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" sheetId="1" r:id="rId4"/>
  </sheets>
  <definedNames>
    <definedName hidden="1" localSheetId="0" name="_xlnm._FilterDatabase">CRE!$A$1:$BF$2497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L67">
      <text>
        <t xml:space="preserve">Matt Knight:
https://therealdeal.com/2019/01/16/this-real-estate-sustainability-startup-just-closed-on-a-19m-funding-round/
</t>
      </text>
    </comment>
    <comment authorId="0" ref="AL423">
      <text>
        <t xml:space="preserve">Matt Knight:
https://techcrunch.com/2019/02/04/2nd-address-picks-up-10m-from-gv-foundation-to-take-on-airbnb-in-business-travel/
</t>
      </text>
    </comment>
    <comment authorId="0" ref="AL439">
      <text>
        <t xml:space="preserve">Matt Knight:
https://www.cretech.com/news/credifi-announces-total-capital-raised-surpasses-29-million/</t>
      </text>
    </comment>
    <comment authorId="0" ref="AG1095">
      <text>
        <t xml:space="preserve">Matt Knight:
$10,000,000 Valuation</t>
      </text>
    </comment>
  </commentList>
</comments>
</file>

<file path=xl/sharedStrings.xml><?xml version="1.0" encoding="utf-8"?>
<sst xmlns="http://schemas.openxmlformats.org/spreadsheetml/2006/main" count="15840" uniqueCount="9815">
  <si>
    <t>Name</t>
  </si>
  <si>
    <t>Technology</t>
  </si>
  <si>
    <t>Prop Type</t>
  </si>
  <si>
    <t>AngelList</t>
  </si>
  <si>
    <t>Crunchbase</t>
  </si>
  <si>
    <t>Domain</t>
  </si>
  <si>
    <t>HQ Address</t>
  </si>
  <si>
    <t>City</t>
  </si>
  <si>
    <t>State</t>
  </si>
  <si>
    <t>Zip</t>
  </si>
  <si>
    <t># Founders</t>
  </si>
  <si>
    <t>Founded</t>
  </si>
  <si>
    <t>Years Active</t>
  </si>
  <si>
    <t># of Funding Rounds</t>
  </si>
  <si>
    <t>Valuation Rank</t>
  </si>
  <si>
    <t>Funding/Year Rank</t>
  </si>
  <si>
    <t>Total Funding Rank</t>
  </si>
  <si>
    <t>ARR Rank</t>
  </si>
  <si>
    <t>CAFR Rank</t>
  </si>
  <si>
    <t>Avg. Funding/Year</t>
  </si>
  <si>
    <t>ARR/Funds Raised</t>
  </si>
  <si>
    <t>Total Funding</t>
  </si>
  <si>
    <t>Estimated ARR</t>
  </si>
  <si>
    <t>CFRGR (Compound Funding Round Growth Rate)</t>
  </si>
  <si>
    <t>CAFR</t>
  </si>
  <si>
    <t>Latest Valuation</t>
  </si>
  <si>
    <t>Latest Valuation Year</t>
  </si>
  <si>
    <t>Accelerator</t>
  </si>
  <si>
    <t>Accelerator 2</t>
  </si>
  <si>
    <t>Pre-Seed Date</t>
  </si>
  <si>
    <t>Pre-Seed $</t>
  </si>
  <si>
    <t>Seed Date</t>
  </si>
  <si>
    <t>Seed $</t>
  </si>
  <si>
    <t>Bridge Date</t>
  </si>
  <si>
    <t>Bridge $</t>
  </si>
  <si>
    <t>A Round Date</t>
  </si>
  <si>
    <t>A Round $</t>
  </si>
  <si>
    <t>B Round Date</t>
  </si>
  <si>
    <t>B Round $</t>
  </si>
  <si>
    <t>C Round Date</t>
  </si>
  <si>
    <t>C Round $</t>
  </si>
  <si>
    <t>D Round Date</t>
  </si>
  <si>
    <t>D Round $</t>
  </si>
  <si>
    <t>E Round Date</t>
  </si>
  <si>
    <t>E Round $</t>
  </si>
  <si>
    <t>F Round Date</t>
  </si>
  <si>
    <t>F Round $</t>
  </si>
  <si>
    <t>G Round Date</t>
  </si>
  <si>
    <t>G Round $</t>
  </si>
  <si>
    <t>H Round Date</t>
  </si>
  <si>
    <t>H Round $</t>
  </si>
  <si>
    <t>Unknown Series Date</t>
  </si>
  <si>
    <t>Unknown Series $</t>
  </si>
  <si>
    <t>Non-Dilutive Round Date</t>
  </si>
  <si>
    <t>Non-Dilutive Round $</t>
  </si>
  <si>
    <t>Exit Date</t>
  </si>
  <si>
    <t>Exit $</t>
  </si>
  <si>
    <t>Acquirer</t>
  </si>
  <si>
    <t>Aurora Solar</t>
  </si>
  <si>
    <t>ALL</t>
  </si>
  <si>
    <t>https://angel.co/company/aurora-solar</t>
  </si>
  <si>
    <t>https://www.crunchbase.com/organization/aurora-solar</t>
  </si>
  <si>
    <t>https://www.aurorasolar.com/</t>
  </si>
  <si>
    <t>434 Brannan St</t>
  </si>
  <si>
    <t>San Francisco</t>
  </si>
  <si>
    <t>CA</t>
  </si>
  <si>
    <t>94107</t>
  </si>
  <si>
    <t>EquipmentShare</t>
  </si>
  <si>
    <t>Construction</t>
  </si>
  <si>
    <t>https://wellfound.com/company/equipmentshare</t>
  </si>
  <si>
    <t>https://www.crunchbase.com/organization/equipmentshare</t>
  </si>
  <si>
    <t>https://www.equipmentshare.com/</t>
  </si>
  <si>
    <t>Columbia</t>
  </si>
  <si>
    <t>MO</t>
  </si>
  <si>
    <t>2023</t>
  </si>
  <si>
    <t>Verkada</t>
  </si>
  <si>
    <t>Commercial</t>
  </si>
  <si>
    <t>https://angel.co/company/verkada</t>
  </si>
  <si>
    <t>https://www.crunchbase.com/organization/verkada</t>
  </si>
  <si>
    <t>https://www.verkada.com/</t>
  </si>
  <si>
    <t>San Mateo</t>
  </si>
  <si>
    <t>2016</t>
  </si>
  <si>
    <t>2022</t>
  </si>
  <si>
    <t>Loft</t>
  </si>
  <si>
    <t>Residential</t>
  </si>
  <si>
    <t>https://www.crunchbase.com/organization/loft-br</t>
  </si>
  <si>
    <t>https://loft.com.br/</t>
  </si>
  <si>
    <t>2840 Rua Augusta</t>
  </si>
  <si>
    <t>Sao Paulo</t>
  </si>
  <si>
    <t>Brazil</t>
  </si>
  <si>
    <t>Side Inc.</t>
  </si>
  <si>
    <t>https://www.crunchbase.com/organization/side-5e5b</t>
  </si>
  <si>
    <t>https://www.sideinc.com/</t>
  </si>
  <si>
    <t>466 Brannan Street</t>
  </si>
  <si>
    <t>2021</t>
  </si>
  <si>
    <t>Enpal</t>
  </si>
  <si>
    <t>https://angel.co/company/enpal-1</t>
  </si>
  <si>
    <t>https://www.crunchbase.com/organization/enpal</t>
  </si>
  <si>
    <t>https://www.enpal.de/</t>
  </si>
  <si>
    <t>Berlin</t>
  </si>
  <si>
    <t>Germany</t>
  </si>
  <si>
    <t>Divvy Homes</t>
  </si>
  <si>
    <t>https://www.crunchbase.com/organization/divvy-homes</t>
  </si>
  <si>
    <t>https://www.divvyhomes.com/</t>
  </si>
  <si>
    <t>Lessen</t>
  </si>
  <si>
    <t>https://angel.co/company/lessen-1</t>
  </si>
  <si>
    <t>https://www.crunchbase.com/organization/lessen</t>
  </si>
  <si>
    <t>https://www.lessen.com/</t>
  </si>
  <si>
    <t>Scottsdale</t>
  </si>
  <si>
    <t>AZ</t>
  </si>
  <si>
    <t>ICON</t>
  </si>
  <si>
    <t>https://angel.co/company/icon-15</t>
  </si>
  <si>
    <t>https://www.crunchbase.com/organization/icon3d</t>
  </si>
  <si>
    <t>https://www.iconbuild.com/</t>
  </si>
  <si>
    <t>Austin</t>
  </si>
  <si>
    <t>TX</t>
  </si>
  <si>
    <t>Roofstock</t>
  </si>
  <si>
    <t>https://angel.co/company/roofstock</t>
  </si>
  <si>
    <t>https://www.crunchbase.com/organization/roofstock</t>
  </si>
  <si>
    <t>https://www.roofstock.com/</t>
  </si>
  <si>
    <t>Oakland</t>
  </si>
  <si>
    <t>VTS</t>
  </si>
  <si>
    <t>Leasing</t>
  </si>
  <si>
    <t>All</t>
  </si>
  <si>
    <t>https://angel.co/view-the-space</t>
  </si>
  <si>
    <t>https://www.crunchbase.com/organization/vts#section-twitter</t>
  </si>
  <si>
    <t>www.vts.com</t>
  </si>
  <si>
    <t>114 W. 41st Street, 11th Floor</t>
  </si>
  <si>
    <t>New York</t>
  </si>
  <si>
    <t>NY</t>
  </si>
  <si>
    <t>10018</t>
  </si>
  <si>
    <t>HomeLight</t>
  </si>
  <si>
    <t>Multifamily</t>
  </si>
  <si>
    <t>https://angel.co/company/homelight</t>
  </si>
  <si>
    <t>https://www.crunchbase.com/organization/homelight</t>
  </si>
  <si>
    <t>https://www.homelight.com/</t>
  </si>
  <si>
    <t>SnapDocs</t>
  </si>
  <si>
    <t>https://angel.co/company/snapdocs</t>
  </si>
  <si>
    <t>https://www.crunchbase.com/organization/snapdocs</t>
  </si>
  <si>
    <t>https://snapdocs.com/</t>
  </si>
  <si>
    <t>100 Montgomery St</t>
  </si>
  <si>
    <t xml:space="preserve">San Francisco </t>
  </si>
  <si>
    <t>94104</t>
  </si>
  <si>
    <t>Pacaso</t>
  </si>
  <si>
    <t>https://angel.co/company/pacaso</t>
  </si>
  <si>
    <t>https://www.crunchbase.com/organization/pacaso</t>
  </si>
  <si>
    <t>https://www.pacaso.com/</t>
  </si>
  <si>
    <t>18 E. 4th Street</t>
  </si>
  <si>
    <t>Cincinnati</t>
  </si>
  <si>
    <t>OH</t>
  </si>
  <si>
    <t>45202</t>
  </si>
  <si>
    <t>Knock.com</t>
  </si>
  <si>
    <t>https://angel.co/company/knock-7</t>
  </si>
  <si>
    <t>https://www.crunchbase.com/organization/knockaway</t>
  </si>
  <si>
    <t>https://www.knock.com/</t>
  </si>
  <si>
    <t>335 Madison Avenue</t>
  </si>
  <si>
    <t xml:space="preserve">NY </t>
  </si>
  <si>
    <t>10017</t>
  </si>
  <si>
    <t>Estimate</t>
  </si>
  <si>
    <t>Arcadia</t>
  </si>
  <si>
    <t>https://angel.co/company/arcadia-power</t>
  </si>
  <si>
    <t>https://www.crunchbase.com/organization/arcadia-power-2</t>
  </si>
  <si>
    <t>https://www.arcadia.com/</t>
  </si>
  <si>
    <t>Washington</t>
  </si>
  <si>
    <t>DC</t>
  </si>
  <si>
    <t>Updater</t>
  </si>
  <si>
    <t>https://angel.co/company/updater</t>
  </si>
  <si>
    <t>https://www.crunchbase.com/organization/updater</t>
  </si>
  <si>
    <t>https://updater.com/</t>
  </si>
  <si>
    <t>Built Technologies</t>
  </si>
  <si>
    <t>https://angel.co/company/built-technologies</t>
  </si>
  <si>
    <t>https://www.crunchbase.com/organization/built-technologies-inc</t>
  </si>
  <si>
    <t>https://getbuilt.com/</t>
  </si>
  <si>
    <t>Nashville</t>
  </si>
  <si>
    <t>TN</t>
  </si>
  <si>
    <t>Bilt Rewards</t>
  </si>
  <si>
    <t>https://www.crunchbase.com/organization/bilt-technologies</t>
  </si>
  <si>
    <t>https://www.biltrewards.com/</t>
  </si>
  <si>
    <t>31 Bond St</t>
  </si>
  <si>
    <t>Envoy</t>
  </si>
  <si>
    <t>Office, Industrial, Other</t>
  </si>
  <si>
    <t>https://angel.co/company/envoy</t>
  </si>
  <si>
    <t>https://www.crunchbase.com/organization/envoy</t>
  </si>
  <si>
    <t>https://envoy.com/</t>
  </si>
  <si>
    <t>Sun King</t>
  </si>
  <si>
    <t>https://www.crunchbase.com/organization/greenlight-planet</t>
  </si>
  <si>
    <t>https://sunking.com/</t>
  </si>
  <si>
    <t>Chicago</t>
  </si>
  <si>
    <t>IL</t>
  </si>
  <si>
    <t>TravelPerk</t>
  </si>
  <si>
    <t>Hospitality</t>
  </si>
  <si>
    <t>https://angel.co/company/travelperk</t>
  </si>
  <si>
    <t>https://www.crunchbase.com/organization/travelperk</t>
  </si>
  <si>
    <t>https://www.travelperk.com/</t>
  </si>
  <si>
    <t>Barcelona</t>
  </si>
  <si>
    <t>Spain</t>
  </si>
  <si>
    <t>Sidewalk Infrastructure Partners (SIP)</t>
  </si>
  <si>
    <t>https://www.crunchbase.com/organization/sidewalk-infrastructure-partners/investor_financials</t>
  </si>
  <si>
    <t>https://www.sidewalkinfra.com/</t>
  </si>
  <si>
    <t>1Komma5°</t>
  </si>
  <si>
    <t>https://www.crunchbase.com/organization/1komma5</t>
  </si>
  <si>
    <t>https://www.1komma5grad.com/</t>
  </si>
  <si>
    <t>Branch</t>
  </si>
  <si>
    <t>https://www.crunchbase.com/organization/branch-financial</t>
  </si>
  <si>
    <t>https://www.ourbranch.com/</t>
  </si>
  <si>
    <t>Columbus</t>
  </si>
  <si>
    <t>Density</t>
  </si>
  <si>
    <t>Office</t>
  </si>
  <si>
    <t>https://angel.co/company/density</t>
  </si>
  <si>
    <t>https://www.crunchbase.com/organization/density</t>
  </si>
  <si>
    <t>https://www.density.io/</t>
  </si>
  <si>
    <t>369 Sutter St.</t>
  </si>
  <si>
    <t>94108</t>
  </si>
  <si>
    <t>H2 Green Steel</t>
  </si>
  <si>
    <t>https://www.crunchbase.com/organization/h2-green-steel</t>
  </si>
  <si>
    <t>https://www.h2greensteel.com/</t>
  </si>
  <si>
    <t xml:space="preserve">Riddargatan 23 A, 1 tr. 114 57 </t>
  </si>
  <si>
    <t>Stockholm</t>
  </si>
  <si>
    <t>Sweden</t>
  </si>
  <si>
    <t>-</t>
  </si>
  <si>
    <t>SageSure</t>
  </si>
  <si>
    <t>https://www.crunchbase.com/organization/sagesure-insurance-managers</t>
  </si>
  <si>
    <t>https://www.sagesure.com/</t>
  </si>
  <si>
    <t>Palmetto</t>
  </si>
  <si>
    <t>https://www.crunchbase.com/organization/palmetto</t>
  </si>
  <si>
    <t>http://www.palmetto.com/</t>
  </si>
  <si>
    <t>Charleston</t>
  </si>
  <si>
    <t>SC</t>
  </si>
  <si>
    <t>Electric Hydrogen</t>
  </si>
  <si>
    <t>https://www.crunchbase.com/organization/electric-hydrogen-co</t>
  </si>
  <si>
    <t>https://www.eh2.com/</t>
  </si>
  <si>
    <t>Habi</t>
  </si>
  <si>
    <t>https://www.crunchbase.com/organization/habi-fefd</t>
  </si>
  <si>
    <t>https://habi.co/</t>
  </si>
  <si>
    <t>30 Carrera 14 93A</t>
  </si>
  <si>
    <t>Bogota</t>
  </si>
  <si>
    <t>Colombia</t>
  </si>
  <si>
    <t>Turntide Technologies</t>
  </si>
  <si>
    <t>https://www.crunchbase.com/organization/software-motor-company</t>
  </si>
  <si>
    <t>https://turntide.com/</t>
  </si>
  <si>
    <t>1295 Forgewood Avenue</t>
  </si>
  <si>
    <t>Sunnyvale</t>
  </si>
  <si>
    <t>94089</t>
  </si>
  <si>
    <t>Mosaic</t>
  </si>
  <si>
    <t>https://angel.co/company/mosaic</t>
  </si>
  <si>
    <t>https://www.crunchbase.com/organization/solar-mosaic</t>
  </si>
  <si>
    <t>https://joinmosaic.com/</t>
  </si>
  <si>
    <t>Orchard</t>
  </si>
  <si>
    <t>https://angel.co/company/orchardhomes</t>
  </si>
  <si>
    <t>https://www.crunchbase.com/organization/orchardhomes</t>
  </si>
  <si>
    <t>https://orchard.com/</t>
  </si>
  <si>
    <t>NoBroker</t>
  </si>
  <si>
    <t>Residential, Multifamily, Commercial</t>
  </si>
  <si>
    <t>https://angel.co/company/nobroker-2</t>
  </si>
  <si>
    <t>https://www.crunchbase.com/organization/nobroker</t>
  </si>
  <si>
    <t>https://www.nobroker.in/</t>
  </si>
  <si>
    <t>Bangalore</t>
  </si>
  <si>
    <t>India</t>
  </si>
  <si>
    <t>Prescient</t>
  </si>
  <si>
    <t>https://www.crunchbase.com/organization/prescient</t>
  </si>
  <si>
    <t>https://prescientco.com/</t>
  </si>
  <si>
    <t>1910 South Blvd</t>
  </si>
  <si>
    <t>Charlotte</t>
  </si>
  <si>
    <t>NC</t>
  </si>
  <si>
    <t>28203</t>
  </si>
  <si>
    <t>Flexe</t>
  </si>
  <si>
    <t>Logistics</t>
  </si>
  <si>
    <t>Industrial</t>
  </si>
  <si>
    <t>https://angel.co/company/flexe</t>
  </si>
  <si>
    <t>https://www.crunchbase.com/organization/flexe#section-overview</t>
  </si>
  <si>
    <t>https://www.flexe.com/</t>
  </si>
  <si>
    <t>Seattle</t>
  </si>
  <si>
    <t>WA</t>
  </si>
  <si>
    <t>July 6th, 2022</t>
  </si>
  <si>
    <t>Placer.ai</t>
  </si>
  <si>
    <t>Analysis</t>
  </si>
  <si>
    <t>Retail</t>
  </si>
  <si>
    <t>https://angel.co/company/placer-data</t>
  </si>
  <si>
    <t>https://www.crunchbase.com/organization/placer-labs-inc#section-overview</t>
  </si>
  <si>
    <t>https://placer.ai/</t>
  </si>
  <si>
    <t>153 2nd Street</t>
  </si>
  <si>
    <t>94022</t>
  </si>
  <si>
    <t>Qualia</t>
  </si>
  <si>
    <t>Multifamily, Office, Retail, Residential</t>
  </si>
  <si>
    <t>https://angel.co/company/qualialabs</t>
  </si>
  <si>
    <t>https://www.crunchbase.com/organization/qualia-labs-inc</t>
  </si>
  <si>
    <t>https://www.qualia.com/</t>
  </si>
  <si>
    <t xml:space="preserve">CA </t>
  </si>
  <si>
    <t>2020</t>
  </si>
  <si>
    <t>Place</t>
  </si>
  <si>
    <t>https://www.crunchbase.com/organization/place-de12</t>
  </si>
  <si>
    <t>https://place.com/</t>
  </si>
  <si>
    <t>Bellingham</t>
  </si>
  <si>
    <t>Kin Insurance</t>
  </si>
  <si>
    <t>https://angel.co/company/kinsured</t>
  </si>
  <si>
    <t>https://www.crunchbase.com/organization/kin-insurance</t>
  </si>
  <si>
    <t>https://www.kin.com/</t>
  </si>
  <si>
    <t>Avenue One</t>
  </si>
  <si>
    <t>https://www.crunchbase.com/organization/avenue-one-b06e</t>
  </si>
  <si>
    <t>https://www.avenue.one/</t>
  </si>
  <si>
    <t>Redaptive</t>
  </si>
  <si>
    <t>Energy Management</t>
  </si>
  <si>
    <t>https://angel.co/redaptive-2</t>
  </si>
  <si>
    <t>https://www.crunchbase.com/organization/redaptive-inc#section-overview</t>
  </si>
  <si>
    <t>https://redaptiveinc.com/</t>
  </si>
  <si>
    <t>340 Brannan Street, Suite 400</t>
  </si>
  <si>
    <t>Aspen Power</t>
  </si>
  <si>
    <t>https://www.crunchbase.com/organization/aspen-power</t>
  </si>
  <si>
    <t>https://aspenpower.com/</t>
  </si>
  <si>
    <t>Dallas</t>
  </si>
  <si>
    <t>OpenSpace</t>
  </si>
  <si>
    <t>https://angel.co/company/openspace-ai</t>
  </si>
  <si>
    <t>https://www.crunchbase.com/organization/openspace-ai</t>
  </si>
  <si>
    <t>https://www.openspace.ai/</t>
  </si>
  <si>
    <t>333 Kearny St</t>
  </si>
  <si>
    <t>YieldStreet</t>
  </si>
  <si>
    <t>https://angel.co/company/yieldstreet</t>
  </si>
  <si>
    <t>https://www.crunchbase.com/organization/yieldstreet</t>
  </si>
  <si>
    <t>https://www.yieldstreet.com/</t>
  </si>
  <si>
    <t>Bucketplace (Ohouse)</t>
  </si>
  <si>
    <t>https://www.crunchbase.com/organization/bucketplace/company_financials</t>
  </si>
  <si>
    <t>https://www.bucketplace.co.kr/</t>
  </si>
  <si>
    <t>Seoul</t>
  </si>
  <si>
    <t>South Korea</t>
  </si>
  <si>
    <t>Mews</t>
  </si>
  <si>
    <t>https://angel.co/company/mews-systems</t>
  </si>
  <si>
    <t>https://www.crunchbase.com/organization/mews-systems</t>
  </si>
  <si>
    <t>https://www.mews.com/</t>
  </si>
  <si>
    <t>London</t>
  </si>
  <si>
    <t>UK</t>
  </si>
  <si>
    <t>2024</t>
  </si>
  <si>
    <t>Homeward</t>
  </si>
  <si>
    <t>https://angel.co/company/homeward-way</t>
  </si>
  <si>
    <t>https://www.crunchbase.com/organization/homeward</t>
  </si>
  <si>
    <t>https://www.homeward.com/</t>
  </si>
  <si>
    <t>200 S Capital of Texas Hwy</t>
  </si>
  <si>
    <t>78746</t>
  </si>
  <si>
    <t>Flyhomes</t>
  </si>
  <si>
    <t>https://angel.co/company/flyhomes</t>
  </si>
  <si>
    <t>https://www.crunchbase.com/organization/flyhomes</t>
  </si>
  <si>
    <t>https://www.flyhomes.com/</t>
  </si>
  <si>
    <t>1201 Western Ave</t>
  </si>
  <si>
    <t>98101</t>
  </si>
  <si>
    <t>Tul</t>
  </si>
  <si>
    <t>https://www.crunchbase.com/organization/tul-302e</t>
  </si>
  <si>
    <t>https://tul.com.co/</t>
  </si>
  <si>
    <t>Cadre</t>
  </si>
  <si>
    <t>Investments</t>
  </si>
  <si>
    <t>https://angel.co/cadre_/</t>
  </si>
  <si>
    <t>https://www.crunchbase.com/organization/cadre-2</t>
  </si>
  <si>
    <t>cadre.com</t>
  </si>
  <si>
    <t>295 Lafayette St</t>
  </si>
  <si>
    <r>
      <rPr>
        <rFont val="Arial"/>
        <color rgb="FF1155CC"/>
        <sz val="12.0"/>
        <u/>
      </rPr>
      <t>20</t>
    </r>
    <r>
      <rPr>
        <rFont val="Arial"/>
        <sz val="12.0"/>
      </rPr>
      <t>17</t>
    </r>
  </si>
  <si>
    <t>Notarize</t>
  </si>
  <si>
    <t>https://angel.co/company/notarize</t>
  </si>
  <si>
    <t>https://www.crunchbase.com/organization/notarize</t>
  </si>
  <si>
    <t>www.notarize.com/</t>
  </si>
  <si>
    <t>Boston</t>
  </si>
  <si>
    <t>MA</t>
  </si>
  <si>
    <t>Clutter</t>
  </si>
  <si>
    <t>On-Demand</t>
  </si>
  <si>
    <t>Self Storage</t>
  </si>
  <si>
    <t>https://angel.co/company/clutter</t>
  </si>
  <si>
    <t>https://www.crunchbase.com/organization/clutter#section-overview</t>
  </si>
  <si>
    <t>https://www.clutter.com/</t>
  </si>
  <si>
    <t>Los Angeles</t>
  </si>
  <si>
    <t>Guesty</t>
  </si>
  <si>
    <t>https://angel.co/company/guesty</t>
  </si>
  <si>
    <t>https://www.crunchbase.com/organization/guesty</t>
  </si>
  <si>
    <t>https://www.guesty.com</t>
  </si>
  <si>
    <t>340 S Lemon Ave.</t>
  </si>
  <si>
    <t>Tel Aviv</t>
  </si>
  <si>
    <t>Israel</t>
  </si>
  <si>
    <t>91789</t>
  </si>
  <si>
    <t>AvantStay</t>
  </si>
  <si>
    <t>Technology-First Hospitality</t>
  </si>
  <si>
    <t>Travel</t>
  </si>
  <si>
    <t>https://angel.co/company/avantstay</t>
  </si>
  <si>
    <t>https://www.crunchbase.com/organization/avantstay#section-overview</t>
  </si>
  <si>
    <t>https://avantstay.com/</t>
  </si>
  <si>
    <t>Pacific Design Center, 8687 Melrose Ave</t>
  </si>
  <si>
    <t>West Hollywood</t>
  </si>
  <si>
    <t>90069</t>
  </si>
  <si>
    <t>Apartment List</t>
  </si>
  <si>
    <t>Apartments</t>
  </si>
  <si>
    <t>https://angel.co/apartment-list</t>
  </si>
  <si>
    <t>https://www.crunchbase.com/organization/apartmentlist#section-overview</t>
  </si>
  <si>
    <t>https://www.apartmentlist.com/</t>
  </si>
  <si>
    <t>Industrious</t>
  </si>
  <si>
    <t>Co-working Space</t>
  </si>
  <si>
    <t>https://angel.co/company/industrious</t>
  </si>
  <si>
    <t>https://www.crunchbase.com/organization/industrious-office#section-overview</t>
  </si>
  <si>
    <t>https://www.industriousoffice.com/?nabt=0</t>
  </si>
  <si>
    <t>Ponce City Market, 675 Ponce De Leon Ave NE #8500</t>
  </si>
  <si>
    <t>Atlanta</t>
  </si>
  <si>
    <t>GA</t>
  </si>
  <si>
    <t>30308</t>
  </si>
  <si>
    <t>Cloudbeds</t>
  </si>
  <si>
    <t>https://angel.co/company/cloudbeds</t>
  </si>
  <si>
    <t>https://www.crunchbase.com/organization/cloudbeds</t>
  </si>
  <si>
    <t>www.cloudbeds.com</t>
  </si>
  <si>
    <t>San Diego</t>
  </si>
  <si>
    <t>Bungalow</t>
  </si>
  <si>
    <t>STR</t>
  </si>
  <si>
    <t>https://angel.co/company/bungalow-1</t>
  </si>
  <si>
    <t>https://www.crunchbase.com/organization/bungalow</t>
  </si>
  <si>
    <t>https://bungalow.com</t>
  </si>
  <si>
    <t>Halio</t>
  </si>
  <si>
    <t>Smart Glass</t>
  </si>
  <si>
    <t>https://www.crunchbase.com/organization/kinestral-technologies</t>
  </si>
  <si>
    <t>https://halioinc.com/</t>
  </si>
  <si>
    <t>Convene</t>
  </si>
  <si>
    <t>https://angel.co/company/convene-2</t>
  </si>
  <si>
    <t>https://www.crunchbase.com/organization/convene</t>
  </si>
  <si>
    <t>http://www.convene.com</t>
  </si>
  <si>
    <t>101 Greenwich St</t>
  </si>
  <si>
    <t>10006</t>
  </si>
  <si>
    <t>Landis</t>
  </si>
  <si>
    <t>https://angel.co/company/hellolandis</t>
  </si>
  <si>
    <t>https://www.crunchbase.com/organization/landis</t>
  </si>
  <si>
    <t>https://www.landis.com/</t>
  </si>
  <si>
    <t>12 E 49th St</t>
  </si>
  <si>
    <t>Placemakr</t>
  </si>
  <si>
    <t>https://angel.co/company/placemakr</t>
  </si>
  <si>
    <t>https://www.crunchbase.com/organization/whyhotel</t>
  </si>
  <si>
    <t>placemakr.com/</t>
  </si>
  <si>
    <t>Zumper</t>
  </si>
  <si>
    <t>Residential, Multifamily</t>
  </si>
  <si>
    <t>https://angel.co/company/zumper</t>
  </si>
  <si>
    <t>https://www.crunchbase.com/organization/zumper</t>
  </si>
  <si>
    <t>https://www.zumper.com/</t>
  </si>
  <si>
    <t>Measurabl</t>
  </si>
  <si>
    <t>Sustainability</t>
  </si>
  <si>
    <t>https://angel.co/measurabl</t>
  </si>
  <si>
    <t>https://www.crunchbase.com/organization/measurabl#section-overview</t>
  </si>
  <si>
    <t>https://www.measurabl.com/</t>
  </si>
  <si>
    <t>707 Broadway Suite 1000</t>
  </si>
  <si>
    <t>92101</t>
  </si>
  <si>
    <t>Landing</t>
  </si>
  <si>
    <t>https://angel.co/company/landing-1</t>
  </si>
  <si>
    <t>https://www.crunchbase.com/organization/landing</t>
  </si>
  <si>
    <t>https://www.hellolanding.com/</t>
  </si>
  <si>
    <t>535 Mission Street</t>
  </si>
  <si>
    <t>Nested</t>
  </si>
  <si>
    <t>https://angel.co/company/nested-3</t>
  </si>
  <si>
    <t>https://www.crunchbase.com/organization/nested#section-overview</t>
  </si>
  <si>
    <t>https://nested.com/</t>
  </si>
  <si>
    <t>Envision</t>
  </si>
  <si>
    <t>https://www.crunchbase.com/organization/envision-digital</t>
  </si>
  <si>
    <t>https://www.envision-digital.com/</t>
  </si>
  <si>
    <t>Singapore</t>
  </si>
  <si>
    <t>Tado</t>
  </si>
  <si>
    <t>https://wellfound.com/company/tado</t>
  </si>
  <si>
    <t>https://www.crunchbase.com/organization/tado</t>
  </si>
  <si>
    <t>https://www.tado.com/</t>
  </si>
  <si>
    <t>Munich</t>
  </si>
  <si>
    <t>Casavo</t>
  </si>
  <si>
    <t>https://angel.co/company/casavo</t>
  </si>
  <si>
    <t>https://www.crunchbase.com/organization/casavo</t>
  </si>
  <si>
    <t>https://casavo.com/</t>
  </si>
  <si>
    <t>Milan</t>
  </si>
  <si>
    <t>Italy</t>
  </si>
  <si>
    <t>Lev</t>
  </si>
  <si>
    <t>https://www.crunchbase.com/organization/lev</t>
  </si>
  <si>
    <t>https://www.levcapital.com/</t>
  </si>
  <si>
    <t>595 Broadway</t>
  </si>
  <si>
    <t>10012</t>
  </si>
  <si>
    <t>La Haus</t>
  </si>
  <si>
    <t>ILS</t>
  </si>
  <si>
    <t>https://angel.co/company/la-haus</t>
  </si>
  <si>
    <t>https://www.crunchbase.com/organization/la-haus</t>
  </si>
  <si>
    <t>https://www.lahaus.com/</t>
  </si>
  <si>
    <t xml:space="preserve">Torre 97 · Piso 4 - Carrera 16 # 97 - 46
</t>
  </si>
  <si>
    <t>Bogotá</t>
  </si>
  <si>
    <t>Snappt</t>
  </si>
  <si>
    <t>https://www.crunchbase.com/organization/snappt</t>
  </si>
  <si>
    <t>https://www.snappt.com/</t>
  </si>
  <si>
    <t>Life House</t>
  </si>
  <si>
    <t>https://angel.co/company/lifehousehotels</t>
  </si>
  <si>
    <t>https://www.crunchbase.com/organization/the-life-house-group</t>
  </si>
  <si>
    <t>www.lifehousehotels.com/</t>
  </si>
  <si>
    <t>Fetch</t>
  </si>
  <si>
    <t>https://angel.co/company/fetch-package</t>
  </si>
  <si>
    <t>https://www.crunchbase.com/organization/fetch-package#section-overview</t>
  </si>
  <si>
    <t>https://www.fetchpackage.com/</t>
  </si>
  <si>
    <t>9324 Neils Thompson Dr STE 100</t>
  </si>
  <si>
    <t>78758</t>
  </si>
  <si>
    <t>Cherre</t>
  </si>
  <si>
    <t>https://angel.co/cherre</t>
  </si>
  <si>
    <t>https://www.crunchbase.com/organization/cherre#section-overview</t>
  </si>
  <si>
    <t>https://cherre.com/</t>
  </si>
  <si>
    <t>575 8th Avenue</t>
  </si>
  <si>
    <t>CompStak</t>
  </si>
  <si>
    <t>Lease Comps</t>
  </si>
  <si>
    <t>https://angel.co/compstak</t>
  </si>
  <si>
    <t>https://www.crunchbase.com/organization/compstak</t>
  </si>
  <si>
    <t>www.compstak.com</t>
  </si>
  <si>
    <t>36 Cooper Square</t>
  </si>
  <si>
    <t>10003</t>
  </si>
  <si>
    <t>500 Startups</t>
  </si>
  <si>
    <t>DealPath</t>
  </si>
  <si>
    <t>Deal Flow</t>
  </si>
  <si>
    <t>https://angel.co/dealpath</t>
  </si>
  <si>
    <t>https://www.crunchbase.com/organization/dealpath</t>
  </si>
  <si>
    <t>www.dealpath.com/</t>
  </si>
  <si>
    <t>300 California St</t>
  </si>
  <si>
    <t>Zeus Living</t>
  </si>
  <si>
    <t>Residential, Hospitality</t>
  </si>
  <si>
    <t>https://angel.co/company/zeus</t>
  </si>
  <si>
    <t>https://www.crunchbase.com/organization/zeus-living</t>
  </si>
  <si>
    <t>https://zeusliving.com</t>
  </si>
  <si>
    <t>San Francisco Bay Area, West Coast, Western US</t>
  </si>
  <si>
    <t>Bevi</t>
  </si>
  <si>
    <t>Other</t>
  </si>
  <si>
    <t>https://angel.co/company/bevi-1</t>
  </si>
  <si>
    <t>https://www.crunchbase.com/organization/bevi</t>
  </si>
  <si>
    <t>http://www.bevi.co/</t>
  </si>
  <si>
    <t>The Schrafft Center
Suite 304, 529 Main Street, Charlestown</t>
  </si>
  <si>
    <t>Massachusetts</t>
  </si>
  <si>
    <t>2129</t>
  </si>
  <si>
    <t>Orbital Insight</t>
  </si>
  <si>
    <t>Satellite Imagery</t>
  </si>
  <si>
    <t>https://angel.co/orbital-insight</t>
  </si>
  <si>
    <t>https://www.crunchbase.com/organization/orbital-insight-inc</t>
  </si>
  <si>
    <t>www.orbitalinsight.com/</t>
  </si>
  <si>
    <t>3000 El Camino Real</t>
  </si>
  <si>
    <t>Palo Alto</t>
  </si>
  <si>
    <t>PeerStreet</t>
  </si>
  <si>
    <t>Crowdfunding</t>
  </si>
  <si>
    <t>https://angel.co/peerstreet</t>
  </si>
  <si>
    <t>https://www.crunchbase.com/organization/peerstreet#section-overview</t>
  </si>
  <si>
    <t>https://www.peerstreet.com/</t>
  </si>
  <si>
    <t>2121 Park Pl #250</t>
  </si>
  <si>
    <t>El Segundo</t>
  </si>
  <si>
    <t>90245</t>
  </si>
  <si>
    <t>Molekule</t>
  </si>
  <si>
    <t>https://www.crunchbase.com/organization/molekule</t>
  </si>
  <si>
    <t>https://molekule.com/</t>
  </si>
  <si>
    <t>1301 Folsom Street</t>
  </si>
  <si>
    <t xml:space="preserve">Common </t>
  </si>
  <si>
    <t>https://angel.co/company/common-living-1</t>
  </si>
  <si>
    <t>https://www.crunchbase.com/organization/common-2</t>
  </si>
  <si>
    <t>https://www.common.com</t>
  </si>
  <si>
    <t>6 E 43rd Street</t>
  </si>
  <si>
    <t>Spruce Holdings</t>
  </si>
  <si>
    <t>Title</t>
  </si>
  <si>
    <t>https://angel.co/company/spruce-8</t>
  </si>
  <si>
    <t>https://www.crunchbase.com/organization/spruce-holdings#section-overview</t>
  </si>
  <si>
    <t>https://spruce.co/</t>
  </si>
  <si>
    <t>155 W 23rd St. Floor 10</t>
  </si>
  <si>
    <t>10011</t>
  </si>
  <si>
    <t>Zolostays</t>
  </si>
  <si>
    <t>Multifamily, Residential, Hospitality</t>
  </si>
  <si>
    <t>https://angel.co/company/zolostays</t>
  </si>
  <si>
    <t>https://www.crunchbase.com/organization/zolostays#section-overview</t>
  </si>
  <si>
    <t>zolostays.com/</t>
  </si>
  <si>
    <t xml:space="preserve">No. 1190, 22nd Cross,
HSR Layout, Sector 3 Bangalore
</t>
  </si>
  <si>
    <t>Karnataka</t>
  </si>
  <si>
    <t xml:space="preserve">India </t>
  </si>
  <si>
    <t>560102</t>
  </si>
  <si>
    <t>VergeSense</t>
  </si>
  <si>
    <t>Occupancy Analytics</t>
  </si>
  <si>
    <t>https://angel.co/vergesense</t>
  </si>
  <si>
    <t>https://www.crunchbase.com/organization/vergesense#section-overview</t>
  </si>
  <si>
    <t>https://vergesense.com/</t>
  </si>
  <si>
    <t>724 Brannan Street</t>
  </si>
  <si>
    <t>94103</t>
  </si>
  <si>
    <t>Aclima</t>
  </si>
  <si>
    <t>Air Quality</t>
  </si>
  <si>
    <t>https://angel.co/aclima-1</t>
  </si>
  <si>
    <t>https://www.crunchbase.com/organization/aclima#section-overview</t>
  </si>
  <si>
    <t>https://aclima.io/</t>
  </si>
  <si>
    <t>CREtelligent</t>
  </si>
  <si>
    <t>https://www.crunchbase.com/organization/cretelligent</t>
  </si>
  <si>
    <t>https://www.cretelligent.com/</t>
  </si>
  <si>
    <t>Gold River</t>
  </si>
  <si>
    <t>Offerpad</t>
  </si>
  <si>
    <t>https://angel.co/company/offerpad</t>
  </si>
  <si>
    <t>https://www.crunchbase.com/organization/offerpad</t>
  </si>
  <si>
    <t>https://www.offerpad.com/</t>
  </si>
  <si>
    <t>2150 East Germann Road</t>
  </si>
  <si>
    <t>Chandler</t>
  </si>
  <si>
    <t>85286</t>
  </si>
  <si>
    <t>Swell Energy</t>
  </si>
  <si>
    <t>https://angel.co/company/swell-energy</t>
  </si>
  <si>
    <t>https://www.crunchbase.com/organization/swell-energy</t>
  </si>
  <si>
    <t>https://www.swellenergy.com/</t>
  </si>
  <si>
    <t>Santa Monica</t>
  </si>
  <si>
    <t>reAlpha</t>
  </si>
  <si>
    <t>https://wellfound.com/company/realphatech</t>
  </si>
  <si>
    <t>https://www.crunchbase.com/organization/realpha-tech-corp</t>
  </si>
  <si>
    <t>https://realpha.com/</t>
  </si>
  <si>
    <t>Dublin</t>
  </si>
  <si>
    <t>Table Space</t>
  </si>
  <si>
    <t>https://www.crunchbase.com/organization/table-space-technologies</t>
  </si>
  <si>
    <t>https://tablespace.com/</t>
  </si>
  <si>
    <t>BlocPower</t>
  </si>
  <si>
    <t>https://angel.co/company/blocpower-1</t>
  </si>
  <si>
    <t>https://www.crunchbase.com/organization/blocpower</t>
  </si>
  <si>
    <t>https://www.blocpower.io/</t>
  </si>
  <si>
    <t>63 Flushing Ave Bldg 212, Suite 507</t>
  </si>
  <si>
    <t>Brooklyn</t>
  </si>
  <si>
    <t>Juniper Square</t>
  </si>
  <si>
    <t>Fund Management</t>
  </si>
  <si>
    <t>https://angel.co/juniper-square</t>
  </si>
  <si>
    <t>https://www.crunchbase.com/organization/juniper-square</t>
  </si>
  <si>
    <t>https://www.junipersquare.com/</t>
  </si>
  <si>
    <t>343 Sansome Street Suite 600</t>
  </si>
  <si>
    <t>REZI</t>
  </si>
  <si>
    <t>https://angel.co/company/rent-rezi</t>
  </si>
  <si>
    <t>https://www.crunchbase.com/organization/rezi-2</t>
  </si>
  <si>
    <t>https://www.rentrezi.com/</t>
  </si>
  <si>
    <t>Span.io</t>
  </si>
  <si>
    <t>https://www.crunchbase.com/organization/span-io</t>
  </si>
  <si>
    <t>https://www.span.io/</t>
  </si>
  <si>
    <t>Livspace</t>
  </si>
  <si>
    <t>https://angel.co/company/livspace-1</t>
  </si>
  <si>
    <t>https://www.crunchbase.com/organization/livspace</t>
  </si>
  <si>
    <t>https://www.livspace.com/in</t>
  </si>
  <si>
    <t>Bengaluru</t>
  </si>
  <si>
    <t>Billd</t>
  </si>
  <si>
    <t>https://angel.co/company/billd-2</t>
  </si>
  <si>
    <t>https://www.crunchbase.com/organization/billd</t>
  </si>
  <si>
    <t>https://billd.com/</t>
  </si>
  <si>
    <t>Boston Metal</t>
  </si>
  <si>
    <t>https://www.crunchbase.com/organization/boston-metal</t>
  </si>
  <si>
    <t>https://bostonmetal.com/</t>
  </si>
  <si>
    <t>Woburn</t>
  </si>
  <si>
    <t>Cohabs</t>
  </si>
  <si>
    <t>Multifamily, Hospitality</t>
  </si>
  <si>
    <t>https://angel.co/company/cohabs-coliving</t>
  </si>
  <si>
    <t>https://www.crunchbase.com/organization/cohabs</t>
  </si>
  <si>
    <t>http://www.cohabs.com/</t>
  </si>
  <si>
    <t>Brussels</t>
  </si>
  <si>
    <t>Belgium</t>
  </si>
  <si>
    <t>Jobber</t>
  </si>
  <si>
    <t>https://www.crunchbase.com/organization/jobber</t>
  </si>
  <si>
    <t>https://getjobber.com/</t>
  </si>
  <si>
    <t>Edmonton</t>
  </si>
  <si>
    <t>Canada</t>
  </si>
  <si>
    <t>Fervo Energy</t>
  </si>
  <si>
    <t>https://www.crunchbase.com/organization/fervo-energy</t>
  </si>
  <si>
    <t>https://www.fervoenergy.com/</t>
  </si>
  <si>
    <t>Carbon Clean</t>
  </si>
  <si>
    <t>https://www.crunchbase.com/organization/carbon-clean-solutions</t>
  </si>
  <si>
    <t>https://www.carbonclean.com/</t>
  </si>
  <si>
    <t>Roadrunner Recycling</t>
  </si>
  <si>
    <t>https://angel.co/company/roadrunner-recycling</t>
  </si>
  <si>
    <t>https://www.crunchbase.com/organization/roadrunner-recycling</t>
  </si>
  <si>
    <t>https://www.roadrunnerwm.com/</t>
  </si>
  <si>
    <t>Pittsburgh</t>
  </si>
  <si>
    <t>PA</t>
  </si>
  <si>
    <t>Holidu</t>
  </si>
  <si>
    <t>https://angel.co/company/holidu</t>
  </si>
  <si>
    <t>https://www.crunchbase.com/organization/holidu</t>
  </si>
  <si>
    <t>https://www.holidu.com/</t>
  </si>
  <si>
    <t>Hometap</t>
  </si>
  <si>
    <t>https://angel.co/company/hometap</t>
  </si>
  <si>
    <t>https://www.crunchbase.com/organization/hometap</t>
  </si>
  <si>
    <t>https://www.hometap.com/</t>
  </si>
  <si>
    <t xml:space="preserve">MA </t>
  </si>
  <si>
    <t>RZero</t>
  </si>
  <si>
    <t>https://wellfound.com/company/r-zero-1</t>
  </si>
  <si>
    <t>https://www.crunchbase.com/organization/r-zero</t>
  </si>
  <si>
    <t>https://www.rzero.com/</t>
  </si>
  <si>
    <t>Salt Lake City</t>
  </si>
  <si>
    <t>UT</t>
  </si>
  <si>
    <t>Solfacil</t>
  </si>
  <si>
    <t>https://www.crunchbase.com/organization/solf%C3%A1cil</t>
  </si>
  <si>
    <t>http://solfacil.com.br/</t>
  </si>
  <si>
    <t>Deepki</t>
  </si>
  <si>
    <t>https://www.crunchbase.com/organization/deepki</t>
  </si>
  <si>
    <t>https://www.deepki.com/</t>
  </si>
  <si>
    <t>Paris</t>
  </si>
  <si>
    <t>France</t>
  </si>
  <si>
    <t>Blend</t>
  </si>
  <si>
    <t>Mortgage</t>
  </si>
  <si>
    <t>https://angel.co/blend</t>
  </si>
  <si>
    <t>https://www.crunchbase.com/organization/blend-labs</t>
  </si>
  <si>
    <t>https://blend.com/</t>
  </si>
  <si>
    <t>Kiavi</t>
  </si>
  <si>
    <t>https://www.crunchbase.com/organization/kiavi</t>
  </si>
  <si>
    <t>https://www.kiavi.com/</t>
  </si>
  <si>
    <t>Latch</t>
  </si>
  <si>
    <t>Access</t>
  </si>
  <si>
    <t>https://angel.co/company/latch</t>
  </si>
  <si>
    <t>https://www.crunchbase.com/organization/latch</t>
  </si>
  <si>
    <t>https://www.latch.com/</t>
  </si>
  <si>
    <t>450 W. 33rd St.</t>
  </si>
  <si>
    <t>10001</t>
  </si>
  <si>
    <t>Nesto</t>
  </si>
  <si>
    <t>https://angel.co/company/nesto-2</t>
  </si>
  <si>
    <t>https://www.crunchbase.com/organization/nesto</t>
  </si>
  <si>
    <t>https://www.nesto.ca/</t>
  </si>
  <si>
    <t>317 Place d'Youville</t>
  </si>
  <si>
    <t>Montreal</t>
  </si>
  <si>
    <t>Point</t>
  </si>
  <si>
    <t>Commercial, Residential</t>
  </si>
  <si>
    <t>https://angel.co/company/point-4</t>
  </si>
  <si>
    <t>https://www.crunchbase.com/organization/point-4</t>
  </si>
  <si>
    <t>https://point.com/</t>
  </si>
  <si>
    <t>RenoRun</t>
  </si>
  <si>
    <t>Commercial, Industrial</t>
  </si>
  <si>
    <t>https://angel.co/company/renorun</t>
  </si>
  <si>
    <t>https://www.crunchbase.com/organization/renorun</t>
  </si>
  <si>
    <t>https://renorun.com/en</t>
  </si>
  <si>
    <t>Plentific</t>
  </si>
  <si>
    <t>https://angel.co/company/plentific</t>
  </si>
  <si>
    <t>https://www.crunchbase.com/organization/plentific</t>
  </si>
  <si>
    <t>https://www.plentific.com/en-gb/</t>
  </si>
  <si>
    <t>1 Long Lane</t>
  </si>
  <si>
    <t>SE1 4PG</t>
  </si>
  <si>
    <t>Gropyus</t>
  </si>
  <si>
    <t>Construction, Residential</t>
  </si>
  <si>
    <t>https://www.crunchbase.com/organization/gropyus</t>
  </si>
  <si>
    <t>https://gropyus.com/</t>
  </si>
  <si>
    <t>Vienna</t>
  </si>
  <si>
    <t>Austria</t>
  </si>
  <si>
    <t>Commongrounds</t>
  </si>
  <si>
    <t>Coworking</t>
  </si>
  <si>
    <t>https://angel.co/commongrounds</t>
  </si>
  <si>
    <t>https://www.crunchbase.com/organization/commongrounds-workspace#section-overview</t>
  </si>
  <si>
    <t>https://cgworkspace.com/</t>
  </si>
  <si>
    <t>N/A</t>
  </si>
  <si>
    <t>Openly</t>
  </si>
  <si>
    <t>https://angel.co/company/openlyinsured</t>
  </si>
  <si>
    <t>https://www.crunchbase.com/organization/openly-inc</t>
  </si>
  <si>
    <t>https://openly.com/</t>
  </si>
  <si>
    <t>FlipOS</t>
  </si>
  <si>
    <t>https://angel.co/company/flipos-by-stoa-usa</t>
  </si>
  <si>
    <t>https://www.crunchbase.com/organization/stoa-fund</t>
  </si>
  <si>
    <t>https://flipos.com/</t>
  </si>
  <si>
    <t>Sense</t>
  </si>
  <si>
    <t>https://angel.co/company/senselabsinc</t>
  </si>
  <si>
    <t>https://www.crunchbase.com/organization/sense</t>
  </si>
  <si>
    <t>https://sense.com/</t>
  </si>
  <si>
    <t>Cambridge</t>
  </si>
  <si>
    <t>Wander</t>
  </si>
  <si>
    <t>https://www.crunchbase.com/organization/wander-6a24</t>
  </si>
  <si>
    <t>https://www.wander.com/</t>
  </si>
  <si>
    <t>Esusu</t>
  </si>
  <si>
    <t>https://angel.co/company/esusu</t>
  </si>
  <si>
    <t>https://www.crunchbase.com/organization/esusu-financial-inc</t>
  </si>
  <si>
    <t>https://esusurent.com/</t>
  </si>
  <si>
    <t>Tibber</t>
  </si>
  <si>
    <t>https://www.crunchbase.com/organization/tibber</t>
  </si>
  <si>
    <t>https://tibber.com/en</t>
  </si>
  <si>
    <t>Forde</t>
  </si>
  <si>
    <t>Norway</t>
  </si>
  <si>
    <t>Econic</t>
  </si>
  <si>
    <t>https://www.crunchbase.com/organization/econic-c582</t>
  </si>
  <si>
    <t>https://econic.homes/</t>
  </si>
  <si>
    <t>Amsterdam</t>
  </si>
  <si>
    <t>Netherlands</t>
  </si>
  <si>
    <t>Breather</t>
  </si>
  <si>
    <t>Office, Retail</t>
  </si>
  <si>
    <t>https://angel.co/breather</t>
  </si>
  <si>
    <t>https://www.crunchbase.com/organization/breather</t>
  </si>
  <si>
    <t>https://breather.com/</t>
  </si>
  <si>
    <t>HouseCanary</t>
  </si>
  <si>
    <t>https://angel.co/company/housecanary</t>
  </si>
  <si>
    <t>https://www.crunchbase.com/organization/housecanary</t>
  </si>
  <si>
    <t>https://www.housecanary.com/</t>
  </si>
  <si>
    <t>HomeBound</t>
  </si>
  <si>
    <t>https://angel.co/company/homebound-2</t>
  </si>
  <si>
    <t>https://www.crunchbase.com/organization/homebound</t>
  </si>
  <si>
    <t>https://www.homebound.com/</t>
  </si>
  <si>
    <t>Santa Rosa</t>
  </si>
  <si>
    <t>Evolve</t>
  </si>
  <si>
    <t>https://www.crunchbase.com/organization/evolve-vacation-rental-network</t>
  </si>
  <si>
    <t>https://evolve.com/</t>
  </si>
  <si>
    <t>Denver</t>
  </si>
  <si>
    <t>CO</t>
  </si>
  <si>
    <t>Teem</t>
  </si>
  <si>
    <t>https://angel.co/teemforwork</t>
  </si>
  <si>
    <t>https://www.crunchbase.com/organization/eventboard</t>
  </si>
  <si>
    <t>https://www.teem.com/</t>
  </si>
  <si>
    <t>224 S 200 W #100</t>
  </si>
  <si>
    <t xml:space="preserve">UT </t>
  </si>
  <si>
    <t>84101</t>
  </si>
  <si>
    <t>WeWork</t>
  </si>
  <si>
    <t>Turnkey</t>
  </si>
  <si>
    <t>https://angel.co/company/turnkey-vacation-rentals</t>
  </si>
  <si>
    <t>https://www.crunchbase.com/organization/turnkey-vacation-rentals</t>
  </si>
  <si>
    <t>https://www.turnkeyvr.com</t>
  </si>
  <si>
    <t>Scandit</t>
  </si>
  <si>
    <t>Augmented Reality</t>
  </si>
  <si>
    <t>https://angel.co/company/scandit-2</t>
  </si>
  <si>
    <t>https://www.crunchbase.com/organization/scandit/funding_financials</t>
  </si>
  <si>
    <t>https://www.scandit.com/</t>
  </si>
  <si>
    <t>Förrlibuckstrasse 181</t>
  </si>
  <si>
    <t>8005 Zurich</t>
  </si>
  <si>
    <t>Switzerland</t>
  </si>
  <si>
    <t>The Wing</t>
  </si>
  <si>
    <t>https://angel.co/the-wing</t>
  </si>
  <si>
    <t>https://www.crunchbase.com/organization/the-wing</t>
  </si>
  <si>
    <t>https://www.the-wing.com/</t>
  </si>
  <si>
    <t>52 Mercer St</t>
  </si>
  <si>
    <t>10013</t>
  </si>
  <si>
    <t>Reali</t>
  </si>
  <si>
    <t>https://angel.co/company/reali-3</t>
  </si>
  <si>
    <t>https://www.crunchbase.com/organization/reali</t>
  </si>
  <si>
    <t>https://reali.com/get-app/</t>
  </si>
  <si>
    <t>Domio</t>
  </si>
  <si>
    <t>https://angel.co/domio-1</t>
  </si>
  <si>
    <t>https://www.crunchbase.com/organization/domio-inc#section-overview</t>
  </si>
  <si>
    <t>https://www.staydomio.com/</t>
  </si>
  <si>
    <t>Zolar</t>
  </si>
  <si>
    <t>https://www.crunchbase.com/organization/zolar</t>
  </si>
  <si>
    <t>https://www.zolar.de/en</t>
  </si>
  <si>
    <t>Moxion</t>
  </si>
  <si>
    <t>https://angel.co/company/moxion-power-co</t>
  </si>
  <si>
    <t>https://www.crunchbase.com/organization/moxion-power-co</t>
  </si>
  <si>
    <t>https://www.moxionpower.com/</t>
  </si>
  <si>
    <t>Richmond</t>
  </si>
  <si>
    <t>Built Robotics</t>
  </si>
  <si>
    <t>https://angel.co/u/built-robotics-1</t>
  </si>
  <si>
    <t>https://www.crunchbase.com/organization/built-robotics</t>
  </si>
  <si>
    <t>https://www.builtrobotics.com/</t>
  </si>
  <si>
    <t>SoundHound</t>
  </si>
  <si>
    <t>Artificial Intelligence</t>
  </si>
  <si>
    <t>https://angel.co/company/soundhound</t>
  </si>
  <si>
    <t>https://www.crunchbase.com/organization/soundhound</t>
  </si>
  <si>
    <t>www.soundhound.com</t>
  </si>
  <si>
    <t>Headquarters 5400 Betsy Ross Drive</t>
  </si>
  <si>
    <t>Santa Clara</t>
  </si>
  <si>
    <t>California</t>
  </si>
  <si>
    <t>95054</t>
  </si>
  <si>
    <t>Versatile</t>
  </si>
  <si>
    <t>AI</t>
  </si>
  <si>
    <t>Industrial, Multifamily</t>
  </si>
  <si>
    <t>https://www.crunchbase.com/organization/versatile-natures</t>
  </si>
  <si>
    <t>https://www.versatile.ai/</t>
  </si>
  <si>
    <t>153 2nd St</t>
  </si>
  <si>
    <t>Los Altos</t>
  </si>
  <si>
    <t>GoExpedi</t>
  </si>
  <si>
    <t>https://angel.co/company/goexpedi</t>
  </si>
  <si>
    <t>https://www.crunchbase.com/organization/expedi</t>
  </si>
  <si>
    <t>https://www.goexpedi.com/</t>
  </si>
  <si>
    <t>Houston</t>
  </si>
  <si>
    <t>Reonomy</t>
  </si>
  <si>
    <t>https://angel.co/reonomy</t>
  </si>
  <si>
    <t>https://www.crunchbase.com/organization/reonomy</t>
  </si>
  <si>
    <t>https://www.reonomy.com/</t>
  </si>
  <si>
    <t>767 3rd Ave</t>
  </si>
  <si>
    <t>Hqo</t>
  </si>
  <si>
    <t>Amenities</t>
  </si>
  <si>
    <t>https://angel.co/hqoapp/</t>
  </si>
  <si>
    <t>https://www.crunchbase.com/organization/hqo</t>
  </si>
  <si>
    <t>http://www.hqo.co/</t>
  </si>
  <si>
    <t>125 Lincoln Street</t>
  </si>
  <si>
    <t>02111</t>
  </si>
  <si>
    <t>Zeitview</t>
  </si>
  <si>
    <t>https://www.crunchbase.com/organization/dronebase</t>
  </si>
  <si>
    <t>https://www.zeitview.com/</t>
  </si>
  <si>
    <t>Deb 7, 2023</t>
  </si>
  <si>
    <t>Matterport</t>
  </si>
  <si>
    <t>3D Tech and VR</t>
  </si>
  <si>
    <t>https://angel.co/company/matterport</t>
  </si>
  <si>
    <t>https://www.crunchbase.com/organization/matterport</t>
  </si>
  <si>
    <t>https://www.matterport.com/</t>
  </si>
  <si>
    <t>49 Stevenson St., Suite #600</t>
  </si>
  <si>
    <t>94105</t>
  </si>
  <si>
    <t xml:space="preserve">Buildots </t>
  </si>
  <si>
    <t>https://www.crunchbase.com/organization/buildots</t>
  </si>
  <si>
    <t>https://buildots.com/</t>
  </si>
  <si>
    <t>Infogrid</t>
  </si>
  <si>
    <t>https://angel.co/company/infogrid-1</t>
  </si>
  <si>
    <t>https://www.crunchbase.com/organization/infogrid-d81e</t>
  </si>
  <si>
    <t>https://www.infogrid.io/</t>
  </si>
  <si>
    <t>45 Paris Garden</t>
  </si>
  <si>
    <t>Belong</t>
  </si>
  <si>
    <t>https://www.crunchbase.com/organization/belong-336d</t>
  </si>
  <si>
    <t>https://belonghome.com/</t>
  </si>
  <si>
    <t>Block Renovation</t>
  </si>
  <si>
    <t>https://angel.co/company/block-renovation</t>
  </si>
  <si>
    <t>https://www.crunchbase.com/organization/block-renovation</t>
  </si>
  <si>
    <t>https://www.blockrenovation.com/</t>
  </si>
  <si>
    <t>PlanRadar</t>
  </si>
  <si>
    <t>https://angel.co/company/planradar-2</t>
  </si>
  <si>
    <t>https://www.crunchbase.com/organization/defectradar</t>
  </si>
  <si>
    <t>www.planradar.com</t>
  </si>
  <si>
    <t>S440 N. Wolfe Rd</t>
  </si>
  <si>
    <t>94085</t>
  </si>
  <si>
    <t>MakeSpace</t>
  </si>
  <si>
    <t>Ecommerce/Self-Storage</t>
  </si>
  <si>
    <t>https://angel.co/company/makespace</t>
  </si>
  <si>
    <t>https://www.crunchbase.com/organization/makespace</t>
  </si>
  <si>
    <t>makespace.com/</t>
  </si>
  <si>
    <t>123 William St</t>
  </si>
  <si>
    <t>10038</t>
  </si>
  <si>
    <t>SmartRent</t>
  </si>
  <si>
    <t>Smart Homes</t>
  </si>
  <si>
    <t>https://angel.co/smartrent</t>
  </si>
  <si>
    <t>https://www.crunchbase.com/organization/smartrent#section-overview</t>
  </si>
  <si>
    <t>https://smartrent.com/</t>
  </si>
  <si>
    <t>18835 N Thompson Peak Pkwy Suite 300</t>
  </si>
  <si>
    <t>85255</t>
  </si>
  <si>
    <t>Lower</t>
  </si>
  <si>
    <t>https://www.crunchbase.com/organization/lower</t>
  </si>
  <si>
    <t>https://www.lower.com/</t>
  </si>
  <si>
    <t>New Albany</t>
  </si>
  <si>
    <t>43054</t>
  </si>
  <si>
    <t>Locus Robotics</t>
  </si>
  <si>
    <t>Robotics</t>
  </si>
  <si>
    <t>https://www.crunchbase.com/organization/locus-robotics</t>
  </si>
  <si>
    <t>https://locusrobotics.com/</t>
  </si>
  <si>
    <t>301 Ballardvale St,</t>
  </si>
  <si>
    <t>Wilmintong</t>
  </si>
  <si>
    <t>RealWare</t>
  </si>
  <si>
    <t>https://angel.co/company/realwear</t>
  </si>
  <si>
    <t>https://www.crunchbase.com/organization/realwear</t>
  </si>
  <si>
    <t>https://realwear.com//</t>
  </si>
  <si>
    <t>EO Charging</t>
  </si>
  <si>
    <t>Residential, Commercial</t>
  </si>
  <si>
    <t>https://www.crunchbase.com/organization/eo-charging</t>
  </si>
  <si>
    <t>https://www.eocharging.com/</t>
  </si>
  <si>
    <t>Stowmarket</t>
  </si>
  <si>
    <t>TrueWork</t>
  </si>
  <si>
    <t>https://angel.co/company/truework</t>
  </si>
  <si>
    <t>https://www.crunchbase.com/organization/truework</t>
  </si>
  <si>
    <t>https://www.truework.com/</t>
  </si>
  <si>
    <t>EasyKnock</t>
  </si>
  <si>
    <t>https://angel.co/company/easyknock</t>
  </si>
  <si>
    <t>https://www.crunchbase.com/organization/easyknock</t>
  </si>
  <si>
    <t>https://www.easyknock.com/</t>
  </si>
  <si>
    <t>ICE Energy</t>
  </si>
  <si>
    <t>https://www.crunchbase.com/organization/ice-energy-inc#section-overview</t>
  </si>
  <si>
    <t>https://www.ice-energy.com/</t>
  </si>
  <si>
    <t>1575 Sunflower Ave, Costa Mesa, CA 92626</t>
  </si>
  <si>
    <t>92626</t>
  </si>
  <si>
    <t>Ten-X.com</t>
  </si>
  <si>
    <t>Multifamily, Office, Retail, Hospitality, Industrial, Other</t>
  </si>
  <si>
    <t>https://angel.co/company/tenx</t>
  </si>
  <si>
    <t>https://www.crunchbase.com/organization/ten-x</t>
  </si>
  <si>
    <t>http://ten-x.com/</t>
  </si>
  <si>
    <t>15295 Alton Parkway</t>
  </si>
  <si>
    <t>Irvine</t>
  </si>
  <si>
    <t>92618</t>
  </si>
  <si>
    <t>Limehome</t>
  </si>
  <si>
    <t>https://angel.co/company/limehome-1</t>
  </si>
  <si>
    <t>https://www.crunchbase.com/organization/limehome</t>
  </si>
  <si>
    <t>www.limehome.de</t>
  </si>
  <si>
    <t>Aquicore</t>
  </si>
  <si>
    <t>Property Management</t>
  </si>
  <si>
    <t>https://angel.co/company/aquicore</t>
  </si>
  <si>
    <t>https://www.crunchbase.com/organization/aquicore#section-overview</t>
  </si>
  <si>
    <t>https://aquicore.com/</t>
  </si>
  <si>
    <t>875 N Street NW, Suite 205</t>
  </si>
  <si>
    <t xml:space="preserve">DC </t>
  </si>
  <si>
    <t>20001</t>
  </si>
  <si>
    <t>Zillow</t>
  </si>
  <si>
    <t>https://angel.co/company/zillow</t>
  </si>
  <si>
    <t>https://www.zillow.com/</t>
  </si>
  <si>
    <t>Cozy</t>
  </si>
  <si>
    <t>https://angel.co/cozy</t>
  </si>
  <si>
    <t>https://www.crunchbase.com/organization/cozy#section-overview</t>
  </si>
  <si>
    <t>https://cozy.co/</t>
  </si>
  <si>
    <t xml:space="preserve">Portland </t>
  </si>
  <si>
    <t>OR</t>
  </si>
  <si>
    <t>CoStar</t>
  </si>
  <si>
    <t>Radar</t>
  </si>
  <si>
    <t>https://angel.co/company/radarlabs</t>
  </si>
  <si>
    <t>https://www.crunchbase.com/organization/radar-3</t>
  </si>
  <si>
    <t>https://radar.com/</t>
  </si>
  <si>
    <t>Habito</t>
  </si>
  <si>
    <t>https://angel.co/company/habito/people</t>
  </si>
  <si>
    <t>https://www.crunchbase.com/organization/hey-habito</t>
  </si>
  <si>
    <t>https://www.habito.com/</t>
  </si>
  <si>
    <t>Kojo</t>
  </si>
  <si>
    <t>https://angel.co/company/kojo-3</t>
  </si>
  <si>
    <t>https://www.crunchbase.com/organization/kojo</t>
  </si>
  <si>
    <t>http://www.usekojo.com/</t>
  </si>
  <si>
    <t>99.co</t>
  </si>
  <si>
    <t>https://angel.co/company/99-co</t>
  </si>
  <si>
    <t>https://www.crunchbase.com/organization/99-co</t>
  </si>
  <si>
    <t>https://www.99.co/</t>
  </si>
  <si>
    <t>Hotel Engine</t>
  </si>
  <si>
    <t>https://angel.co/company/hotel-engine-1</t>
  </si>
  <si>
    <t>https://www.crunchbase.com/organization/hotel-engine</t>
  </si>
  <si>
    <t>https://www.hotelengine.com/</t>
  </si>
  <si>
    <t>Plant Prefab</t>
  </si>
  <si>
    <t>https://angel.co/company/plant-prefab-1</t>
  </si>
  <si>
    <t>https://www.crunchbase.com/organization/plant-prefab</t>
  </si>
  <si>
    <t>https://www.plantprefab.com/</t>
  </si>
  <si>
    <t>Rialto</t>
  </si>
  <si>
    <t>B8ta</t>
  </si>
  <si>
    <t>Prototyping</t>
  </si>
  <si>
    <t>https://angel.co/b8ta</t>
  </si>
  <si>
    <t>https://www.crunchbase.com/organization/b8ta#section-overview</t>
  </si>
  <si>
    <t>https://b8ta.com/</t>
  </si>
  <si>
    <t>Standard Cognition</t>
  </si>
  <si>
    <t>Facial Recognition/Security</t>
  </si>
  <si>
    <t>https://angel.co/standard-cognition</t>
  </si>
  <si>
    <t>https://www.crunchbase.com/organization/standard-cognition#section-overview</t>
  </si>
  <si>
    <t>https://standard.ai/</t>
  </si>
  <si>
    <t>965 Mission St</t>
  </si>
  <si>
    <t>YC</t>
  </si>
  <si>
    <t>Super</t>
  </si>
  <si>
    <t>https://angel.co/company/super</t>
  </si>
  <si>
    <t>https://www.crunchbase.com/organization/super-a0d5</t>
  </si>
  <si>
    <t>https://www.hellosuper.com/</t>
  </si>
  <si>
    <t>IMMO</t>
  </si>
  <si>
    <t>https://angel.co/company/immo-3</t>
  </si>
  <si>
    <t>https://www.crunchbase.com/organization/immo-capital</t>
  </si>
  <si>
    <t>https://immo.capital/</t>
  </si>
  <si>
    <t>Rentlytics</t>
  </si>
  <si>
    <t>Multifamily, Residential</t>
  </si>
  <si>
    <t>https://angel.co/rentlytics</t>
  </si>
  <si>
    <t>https://www.crunchbase.com/organization/rentlytics#section-overview</t>
  </si>
  <si>
    <t>https://rentlytics.com/</t>
  </si>
  <si>
    <t>537 Stevenson St #200</t>
  </si>
  <si>
    <t>RealPage</t>
  </si>
  <si>
    <t>LocusView</t>
  </si>
  <si>
    <t>https://angel.co/company/locusview</t>
  </si>
  <si>
    <t>https://www.crunchbase.com/organization/nortecview</t>
  </si>
  <si>
    <t>https://www.locusview.com/</t>
  </si>
  <si>
    <t>626 West Randolph Street</t>
  </si>
  <si>
    <t>60661</t>
  </si>
  <si>
    <t>TheGuarantors</t>
  </si>
  <si>
    <t>https://angel.co/company/theguarantors</t>
  </si>
  <si>
    <t>https://www.crunchbase.com/organization/the-guarantors</t>
  </si>
  <si>
    <t>https://www.theguarantors.com/</t>
  </si>
  <si>
    <t>Curbio</t>
  </si>
  <si>
    <t>https://angel.co/company/curbio-1</t>
  </si>
  <si>
    <t>https://www.crunchbase.com/organization/curbio#section-overview</t>
  </si>
  <si>
    <t>https://www.curbio.com/</t>
  </si>
  <si>
    <t>11325 Seven Locks Road, Suite 290</t>
  </si>
  <si>
    <t>Potomac</t>
  </si>
  <si>
    <t>MD</t>
  </si>
  <si>
    <t>20854</t>
  </si>
  <si>
    <t>ConnectLuxe</t>
  </si>
  <si>
    <t>Parking</t>
  </si>
  <si>
    <t>https://angel.co/luxe-1</t>
  </si>
  <si>
    <t>https://www.crunchbase.com/organization/luxe-valet</t>
  </si>
  <si>
    <t>www.luxe.com/</t>
  </si>
  <si>
    <t>PinHome</t>
  </si>
  <si>
    <t>https://www.crunchbase.com/organization/pinhome</t>
  </si>
  <si>
    <t>https://www.pinhome.id/</t>
  </si>
  <si>
    <t>Jakarta</t>
  </si>
  <si>
    <t>Indonesia</t>
  </si>
  <si>
    <t>HappyCo</t>
  </si>
  <si>
    <t>https://angel.co/company/happyco</t>
  </si>
  <si>
    <t>https://www.crunchbase.com/organization/happy-inspector</t>
  </si>
  <si>
    <t>https://happy.co/</t>
  </si>
  <si>
    <t>August</t>
  </si>
  <si>
    <t>Residential, Office</t>
  </si>
  <si>
    <t>https://angel.co/company/august-2</t>
  </si>
  <si>
    <t>https://www.crunchbase.com/organization/august</t>
  </si>
  <si>
    <t>https://august.com/</t>
  </si>
  <si>
    <t>Cover</t>
  </si>
  <si>
    <t>https://angel.co/company/coverbuild</t>
  </si>
  <si>
    <t>https://www.crunchbase.com/organization/cover-technologies-inc</t>
  </si>
  <si>
    <t>https://buildcover.com/</t>
  </si>
  <si>
    <t>Gardena</t>
  </si>
  <si>
    <t>Managed by Q</t>
  </si>
  <si>
    <t>Facilities Management</t>
  </si>
  <si>
    <t>https://angel.co/managed-by-q</t>
  </si>
  <si>
    <t>https://www.crunchbase.com/organization/managed-by-q</t>
  </si>
  <si>
    <t>www.managedbyq.com</t>
  </si>
  <si>
    <t>233 Spring Street, 11th Floor</t>
  </si>
  <si>
    <t>Properly</t>
  </si>
  <si>
    <t>https://angel.co/company/properlyhomes</t>
  </si>
  <si>
    <t>https://www.crunchbase.com/organization/properly-a4b1</t>
  </si>
  <si>
    <t>https://www.properly.ca/</t>
  </si>
  <si>
    <t>Toronto</t>
  </si>
  <si>
    <t>LandTech</t>
  </si>
  <si>
    <t>https://www.crunchbase.com/organization/land-insight</t>
  </si>
  <si>
    <t>https://land.tech/</t>
  </si>
  <si>
    <t>Deliverr</t>
  </si>
  <si>
    <t>Shipping</t>
  </si>
  <si>
    <t>e-commerce</t>
  </si>
  <si>
    <t>https://angel.co/company/deliverr</t>
  </si>
  <si>
    <t>https://www.crunchbase.com/organization/deliverr#section-overview</t>
  </si>
  <si>
    <t>https://deliverr.com/</t>
  </si>
  <si>
    <t>San Francisco Bay</t>
  </si>
  <si>
    <t>Tomo</t>
  </si>
  <si>
    <t>https://www.crunchbase.com/organization/tomo-a2ad</t>
  </si>
  <si>
    <t>https://hellotomo.com/</t>
  </si>
  <si>
    <t>Stamford</t>
  </si>
  <si>
    <t>CT</t>
  </si>
  <si>
    <t>Flowcarbon</t>
  </si>
  <si>
    <t>https://www.crunchbase.com/organization/flow-carbon</t>
  </si>
  <si>
    <t>https://www.flowcarbon.com/</t>
  </si>
  <si>
    <t>PearlX</t>
  </si>
  <si>
    <t>https://www.crunchbase.com/organization/pearlx-infrastructure</t>
  </si>
  <si>
    <t>https://pearlx.com/</t>
  </si>
  <si>
    <t>Charlottesville</t>
  </si>
  <si>
    <t>VA</t>
  </si>
  <si>
    <t>Masteos</t>
  </si>
  <si>
    <t>https://wellfound.com/company/masteos-1</t>
  </si>
  <si>
    <t>https://www.crunchbase.com/organization/masteos</t>
  </si>
  <si>
    <t>https://www.masteos.com/</t>
  </si>
  <si>
    <t>Dusty Robotics</t>
  </si>
  <si>
    <t>https://angel.co/company/dusty-robotics</t>
  </si>
  <si>
    <t>https://www.crunchbase.com/organization/dusty-robotics</t>
  </si>
  <si>
    <t>https://www.dustyrobotics.com/</t>
  </si>
  <si>
    <t>144 South Whisman Road</t>
  </si>
  <si>
    <t>Mountain View</t>
  </si>
  <si>
    <t>94043</t>
  </si>
  <si>
    <t>Clikalia</t>
  </si>
  <si>
    <t>https://angel.co/company/clikalia-1</t>
  </si>
  <si>
    <t>https://www.crunchbase.com/organization/clikalia</t>
  </si>
  <si>
    <t>https://clikalia.com/</t>
  </si>
  <si>
    <t>Madrid</t>
  </si>
  <si>
    <t>Crowdstreet</t>
  </si>
  <si>
    <t>https://angel.co/crowdstreet</t>
  </si>
  <si>
    <t>https://www.crunchbase.com/organization/crowdstreet</t>
  </si>
  <si>
    <t>https://www.crowdstreet.com/</t>
  </si>
  <si>
    <t>Portland</t>
  </si>
  <si>
    <t>Poplar Homes</t>
  </si>
  <si>
    <t>https://angel.co/company/poplarhomes</t>
  </si>
  <si>
    <t>https://www.crunchbase.com/organization/onerent</t>
  </si>
  <si>
    <t>https://www.poplarhomes.com/</t>
  </si>
  <si>
    <t>Cupertino</t>
  </si>
  <si>
    <t>Mynd</t>
  </si>
  <si>
    <t>https://angel.co/mynd-1</t>
  </si>
  <si>
    <t>https://www.crunchbase.com/organization/mynd</t>
  </si>
  <si>
    <t>www.mynd.co/</t>
  </si>
  <si>
    <t>1611 Telegraph Ave</t>
  </si>
  <si>
    <t>Neighbor</t>
  </si>
  <si>
    <t>https://angel.co/company/neighborstorage</t>
  </si>
  <si>
    <t>https://www.crunchbase.com/organization/neiybor#section-overview</t>
  </si>
  <si>
    <t>https://www.neighbor.com/</t>
  </si>
  <si>
    <t>2500 W Executive Pkwy</t>
  </si>
  <si>
    <t>Lehi</t>
  </si>
  <si>
    <t>84043</t>
  </si>
  <si>
    <t>Biomason</t>
  </si>
  <si>
    <t>https://www.crunchbase.com/organization/biomason</t>
  </si>
  <si>
    <t>https://biomason.com/</t>
  </si>
  <si>
    <t>Durham</t>
  </si>
  <si>
    <t>OhmConnect</t>
  </si>
  <si>
    <t>https://www.crunchbase.com/organization/ohmconnect</t>
  </si>
  <si>
    <t>https://www.ohmconnect.com/</t>
  </si>
  <si>
    <t>Buildium</t>
  </si>
  <si>
    <t>Property Mgmt</t>
  </si>
  <si>
    <t>https://angel.co/buildium</t>
  </si>
  <si>
    <t>https://www.crunchbase.com/organization/buildium</t>
  </si>
  <si>
    <t>www.buildium.com</t>
  </si>
  <si>
    <t>225 Franklin Street</t>
  </si>
  <si>
    <t>02110</t>
  </si>
  <si>
    <t>Dandelion Energy</t>
  </si>
  <si>
    <t>https://angel.co/company/dandelion-home-geothermal</t>
  </si>
  <si>
    <t>https://www.crunchbase.com/organization/dandelion-energy</t>
  </si>
  <si>
    <t xml:space="preserve">dandelionenergy.com
</t>
  </si>
  <si>
    <t>Leap Inc.</t>
  </si>
  <si>
    <t>https://angel.co/company/leap-services</t>
  </si>
  <si>
    <t>https://www.crunchbase.com/organization/leap-services</t>
  </si>
  <si>
    <t>https://www.leapinc.com/</t>
  </si>
  <si>
    <t>Safe AI</t>
  </si>
  <si>
    <t>https://angel.co/company/safeai</t>
  </si>
  <si>
    <t>https://www.crunchbase.com/organization/safeai</t>
  </si>
  <si>
    <t>https://safeai.ai/</t>
  </si>
  <si>
    <t>Milpitas</t>
  </si>
  <si>
    <t>95035</t>
  </si>
  <si>
    <t>Leaselock</t>
  </si>
  <si>
    <t>Insurance</t>
  </si>
  <si>
    <t>https://angel.co/leaselock</t>
  </si>
  <si>
    <t>https://www.crunchbase.com/organization/leaselock</t>
  </si>
  <si>
    <t>https://leaselock.com/</t>
  </si>
  <si>
    <t>Avigilon Alta (Openpath)</t>
  </si>
  <si>
    <t>https://angel.co/company/openpath-security</t>
  </si>
  <si>
    <t>https://www.crunchbase.com/organization/openpath-security-inc#section-funding-rounds</t>
  </si>
  <si>
    <t>https://www.avigilon.com/</t>
  </si>
  <si>
    <t>600 Corporate Pointe
Suite 400</t>
  </si>
  <si>
    <t>Culver City</t>
  </si>
  <si>
    <t>90230</t>
  </si>
  <si>
    <t>ShipBob</t>
  </si>
  <si>
    <t>https://angel.co/company/shipbob</t>
  </si>
  <si>
    <t>https://www.crunchbase.com/organization/shipbob</t>
  </si>
  <si>
    <t>https://www.shipbob.com</t>
  </si>
  <si>
    <t xml:space="preserve">IL </t>
  </si>
  <si>
    <t>Spot AI</t>
  </si>
  <si>
    <t>https://angel.co/company/spot_ai</t>
  </si>
  <si>
    <t>https://www.crunchbase.com/organization/spot-d1d1</t>
  </si>
  <si>
    <t>https://www.spot.ai/</t>
  </si>
  <si>
    <t>Unknown</t>
  </si>
  <si>
    <t>Nabr</t>
  </si>
  <si>
    <t>https://angel.co/company/nabr-inc</t>
  </si>
  <si>
    <t>https://www.crunchbase.com/organization/nabr-1bfe</t>
  </si>
  <si>
    <t>https://nabr.com/</t>
  </si>
  <si>
    <t>Newyork</t>
  </si>
  <si>
    <t>Xeal</t>
  </si>
  <si>
    <t>https://www.crunchbase.com/organization/xeal</t>
  </si>
  <si>
    <t>https://xealenergy.com/</t>
  </si>
  <si>
    <t>Enlighted</t>
  </si>
  <si>
    <t>Office, Retail, Industrial, Other</t>
  </si>
  <si>
    <t>https://angel.co/enlighted</t>
  </si>
  <si>
    <t>https://www.crunchbase.com/organization/enlighted#section-overview</t>
  </si>
  <si>
    <t>enlightedinc.com</t>
  </si>
  <si>
    <t>930 Benecia Avenue</t>
  </si>
  <si>
    <t>SevenRooms</t>
  </si>
  <si>
    <t>https://angel.co/company/sevenrooms</t>
  </si>
  <si>
    <t>https://www.crunchbase.com/organization/seven-rooms#section-overview</t>
  </si>
  <si>
    <t xml:space="preserve">www.sevenrooms.com
</t>
  </si>
  <si>
    <t>122 West 27th Street Floor 7</t>
  </si>
  <si>
    <t>Workiz</t>
  </si>
  <si>
    <t>https://www.crunchbase.com/organization/workiz</t>
  </si>
  <si>
    <t>https://www.workiz.com/</t>
  </si>
  <si>
    <t>Citiesense</t>
  </si>
  <si>
    <t>https://angel.co/company/citiesense</t>
  </si>
  <si>
    <t>https://www.crunchbase.com/organization/citiesense</t>
  </si>
  <si>
    <t>https://www.ginkgo.city/</t>
  </si>
  <si>
    <t>EveryRealm</t>
  </si>
  <si>
    <t>https://www.crunchbase.com/organization/republic-realm</t>
  </si>
  <si>
    <t>https://everyrealm.com/</t>
  </si>
  <si>
    <t>Convex</t>
  </si>
  <si>
    <t>https://angel.co/company/convexhq</t>
  </si>
  <si>
    <t>https://www.crunchbase.com/organization/convex-c445</t>
  </si>
  <si>
    <t>https://www.convex.com/</t>
  </si>
  <si>
    <t>Hover</t>
  </si>
  <si>
    <t>3D Mapping</t>
  </si>
  <si>
    <t>https://angel.co/hover-4</t>
  </si>
  <si>
    <t>https://www.crunchbase.com/organization/hover-3d</t>
  </si>
  <si>
    <t>https://www.hover.to/</t>
  </si>
  <si>
    <t>Robin</t>
  </si>
  <si>
    <t>https://angel.co/company/robin</t>
  </si>
  <si>
    <t>https://www.crunchbase.com/organization/getrobin</t>
  </si>
  <si>
    <t>https://robinpowered.com/</t>
  </si>
  <si>
    <t>11 Farnsworth St</t>
  </si>
  <si>
    <t>02210</t>
  </si>
  <si>
    <t>EarnUp</t>
  </si>
  <si>
    <t>https://angel.co/company/earnup</t>
  </si>
  <si>
    <t>https://www.crunchbase.com/organization/earnup</t>
  </si>
  <si>
    <t>https://earnup.com/</t>
  </si>
  <si>
    <t>Residential, Homebuilding</t>
  </si>
  <si>
    <t>https://www.crunchbase.com/organization/mosaic-building</t>
  </si>
  <si>
    <t>https://mosaic.us/</t>
  </si>
  <si>
    <t>3650 E. Wier Ave</t>
  </si>
  <si>
    <t>Phoenix</t>
  </si>
  <si>
    <t>Diamond Age</t>
  </si>
  <si>
    <t>https://www.crunchbase.com/organization/diamond-age</t>
  </si>
  <si>
    <t>https://www.diamondage3d.com/</t>
  </si>
  <si>
    <t>RealtyShare</t>
  </si>
  <si>
    <t>Document Management</t>
  </si>
  <si>
    <t>https://angel.co/realtyshares</t>
  </si>
  <si>
    <t>https://www.crunchbase.com/organization/realtyshares</t>
  </si>
  <si>
    <t>www.realtyshares.com</t>
  </si>
  <si>
    <t>525 Market Street</t>
  </si>
  <si>
    <t>Blueground</t>
  </si>
  <si>
    <t>Fully Furnished Rental</t>
  </si>
  <si>
    <t>https://angel.co/company/blueground</t>
  </si>
  <si>
    <t>https://www.crunchbase.com/organization/blueground#section-overview</t>
  </si>
  <si>
    <t>https://www.theblueground.com/</t>
  </si>
  <si>
    <t>311 W 43rd St, 12th Floor</t>
  </si>
  <si>
    <t>10036</t>
  </si>
  <si>
    <t>Proxy</t>
  </si>
  <si>
    <t>Office, Multifamilty</t>
  </si>
  <si>
    <t>https://angel.co/company/proxyco</t>
  </si>
  <si>
    <t>https://www.crunchbase.com/organization/martians#section-overview</t>
  </si>
  <si>
    <t xml:space="preserve">proxy.com/
</t>
  </si>
  <si>
    <t>500 3rd Street #245</t>
  </si>
  <si>
    <t>CleanFiber</t>
  </si>
  <si>
    <t>https://www.crunchbase.com/organization/ultracell-insulation</t>
  </si>
  <si>
    <t>https://www.cleanfiber.com/</t>
  </si>
  <si>
    <t>Buffalo</t>
  </si>
  <si>
    <t>Polly</t>
  </si>
  <si>
    <t>Office, Multifamily</t>
  </si>
  <si>
    <t>https://www.crunchbase.com/organization/pollyex</t>
  </si>
  <si>
    <t>https://polly.io/</t>
  </si>
  <si>
    <t>222 Kearny St</t>
  </si>
  <si>
    <t>ButterflyMX</t>
  </si>
  <si>
    <t>https://angel.co/company/butterflymx</t>
  </si>
  <si>
    <t>https://www.crunchbase.com/organization/butterflymx</t>
  </si>
  <si>
    <t>https://butterflymx.com/</t>
  </si>
  <si>
    <t>Jobox</t>
  </si>
  <si>
    <t>https://www.crunchbase.com/organization/jobox-2</t>
  </si>
  <si>
    <t>https://www.jobox.ai/</t>
  </si>
  <si>
    <t>Doxel</t>
  </si>
  <si>
    <t>https://angel.co/company/doxel</t>
  </si>
  <si>
    <t>https://www.crunchbase.com/organization/doxel</t>
  </si>
  <si>
    <t>https://www.doxel.ai/</t>
  </si>
  <si>
    <t>Redwood City</t>
  </si>
  <si>
    <t>Kasa</t>
  </si>
  <si>
    <t>https://angel.co/company/kasa/funding</t>
  </si>
  <si>
    <t>https://www.crunchbase.com/organization/kasa-living/company_financials</t>
  </si>
  <si>
    <t>https://www.kasa.com/</t>
  </si>
  <si>
    <t>358 Brannan St</t>
  </si>
  <si>
    <t>New Stand</t>
  </si>
  <si>
    <t>https://angel.co/company/thenewstand</t>
  </si>
  <si>
    <t>https://www.crunchbase.com/organization/new-stand</t>
  </si>
  <si>
    <t>https://www.newstand.com/</t>
  </si>
  <si>
    <t>306 Bowery</t>
  </si>
  <si>
    <t>Sundae</t>
  </si>
  <si>
    <t>https://angel.co/company/sundae-homebuyers-with-heart</t>
  </si>
  <si>
    <t>https://www.crunchbase.com/organization/sundae</t>
  </si>
  <si>
    <t>https://www.sundae.com</t>
  </si>
  <si>
    <t>353 Sacramento St.</t>
  </si>
  <si>
    <t>94111</t>
  </si>
  <si>
    <t>Oliver Space</t>
  </si>
  <si>
    <t>https://angel.co/company/oliver-space</t>
  </si>
  <si>
    <t>https://www.crunchbase.com/organization/oliver-space</t>
  </si>
  <si>
    <t>https://www.oliver.space/</t>
  </si>
  <si>
    <t>2261 Market Street #4178</t>
  </si>
  <si>
    <t>94114</t>
  </si>
  <si>
    <t>Obligo</t>
  </si>
  <si>
    <t>Deposits</t>
  </si>
  <si>
    <t>https://angel.co/obligo/</t>
  </si>
  <si>
    <t>https://www.crunchbase.com/organization/obligo</t>
  </si>
  <si>
    <t>myobligo.com/</t>
  </si>
  <si>
    <t>175 Varick St</t>
  </si>
  <si>
    <t>Brimstone Energy</t>
  </si>
  <si>
    <t>https://www.crunchbase.com/organization/brimstone-energy</t>
  </si>
  <si>
    <t>https://www.brimstone.energy/?stream=top</t>
  </si>
  <si>
    <t>Berkeley</t>
  </si>
  <si>
    <t>Cobalt Robotics</t>
  </si>
  <si>
    <t>Security</t>
  </si>
  <si>
    <t>https://angel.co/cobalt-robotics</t>
  </si>
  <si>
    <t>https://www.crunchbase.com/organization/cobalt-robotics-inc</t>
  </si>
  <si>
    <t>http://cobaltrobotics.com/</t>
  </si>
  <si>
    <t>Valon</t>
  </si>
  <si>
    <t>https://angel.co/company/valon-2</t>
  </si>
  <si>
    <t>https://www.crunchbase.com/organization/peach-street</t>
  </si>
  <si>
    <t>https://www.valon.com/</t>
  </si>
  <si>
    <t>Landed</t>
  </si>
  <si>
    <t>https://angel.co/company/landed</t>
  </si>
  <si>
    <t>https://www.crunchbase.com/organization/landed</t>
  </si>
  <si>
    <t>https://www.landed.com/</t>
  </si>
  <si>
    <t>Stavvy</t>
  </si>
  <si>
    <t>https://wellfound.com/company/stavvy</t>
  </si>
  <si>
    <t>https://www.crunchbase.com/organization/stavvy</t>
  </si>
  <si>
    <t>https://www.stavvy.com/</t>
  </si>
  <si>
    <t>56 Wareham St.</t>
  </si>
  <si>
    <t>02118</t>
  </si>
  <si>
    <t>Centro</t>
  </si>
  <si>
    <t>https://angel.co/company/centro</t>
  </si>
  <si>
    <t>https://www.crunchbase.com/organization/centro</t>
  </si>
  <si>
    <t>https://www.centro.net/</t>
  </si>
  <si>
    <t>Avataar.me</t>
  </si>
  <si>
    <t>https://angel.co/company/avataar-me-1</t>
  </si>
  <si>
    <t>https://www.crunchbase.com/organization/avataar-me/company_financials</t>
  </si>
  <si>
    <t>https://www.avataar.me/</t>
  </si>
  <si>
    <t>Aeroseal</t>
  </si>
  <si>
    <t>https://angel.co/company/aeroseal-2</t>
  </si>
  <si>
    <t>https://www.crunchbase.com/organization/aeroseal</t>
  </si>
  <si>
    <t>http://www.aeroseal.com/</t>
  </si>
  <si>
    <t>225 Byers Road
Suite 1</t>
  </si>
  <si>
    <t>Miamisburg</t>
  </si>
  <si>
    <t>Ohio</t>
  </si>
  <si>
    <t>45342</t>
  </si>
  <si>
    <t>https://angel.co/realpage</t>
  </si>
  <si>
    <t>https://www.crunchbase.com/organization/realpage</t>
  </si>
  <si>
    <t>www.realpage.com</t>
  </si>
  <si>
    <t>2201 Lakeside Blvd.</t>
  </si>
  <si>
    <t>Richardson</t>
  </si>
  <si>
    <t xml:space="preserve">Texas </t>
  </si>
  <si>
    <t>Selina</t>
  </si>
  <si>
    <t>https://www.crunchbase.com/organization/selina-finance-limited</t>
  </si>
  <si>
    <t>https://www.selinaadvance.com/</t>
  </si>
  <si>
    <t>Capacity</t>
  </si>
  <si>
    <t>https://www.crunchbase.com/organization/capacityai</t>
  </si>
  <si>
    <t>https://capacity.com/</t>
  </si>
  <si>
    <t>Saint Louis</t>
  </si>
  <si>
    <t>Starcity</t>
  </si>
  <si>
    <t>https://angel.co/company/starcity</t>
  </si>
  <si>
    <t>https://www.crunchbase.com/organization/starcity</t>
  </si>
  <si>
    <t xml:space="preserve">www.starcity.com/
</t>
  </si>
  <si>
    <t>1020 Kearny St.</t>
  </si>
  <si>
    <t>Kitchen United</t>
  </si>
  <si>
    <t>Ghost Kitchens</t>
  </si>
  <si>
    <t>Industrial, Retail</t>
  </si>
  <si>
    <t>https://angel.co/company/kitchen-united</t>
  </si>
  <si>
    <t>https://www.crunchbase.com/organization/kitchen-united</t>
  </si>
  <si>
    <t>https://www.kitchenunited.com</t>
  </si>
  <si>
    <t>55 S Madison Ave</t>
  </si>
  <si>
    <t>Pasadena</t>
  </si>
  <si>
    <t>91101</t>
  </si>
  <si>
    <t>Mint House</t>
  </si>
  <si>
    <t>https://angel.co/company/mint-house</t>
  </si>
  <si>
    <t>https://www.crunchbase.com/organization/mint-house</t>
  </si>
  <si>
    <t>https://www.minthouse.com/</t>
  </si>
  <si>
    <t>PassiveLogic</t>
  </si>
  <si>
    <t>Facility Management</t>
  </si>
  <si>
    <t>https://angel.co/passivelogic</t>
  </si>
  <si>
    <t>https://www.crunchbase.com/organization/passivelogic</t>
  </si>
  <si>
    <t>www.passivelogic.com</t>
  </si>
  <si>
    <t>2040 E Murray Holladay Road, Suite 112</t>
  </si>
  <si>
    <t>Holladay</t>
  </si>
  <si>
    <t>84117-5185</t>
  </si>
  <si>
    <t>Rentivity</t>
  </si>
  <si>
    <t>https://www.crunchbase.com/organization/rentivity</t>
  </si>
  <si>
    <t>http://rentivity.com</t>
  </si>
  <si>
    <t>3218 East Colonial Drive</t>
  </si>
  <si>
    <t>Orlando</t>
  </si>
  <si>
    <t>FL</t>
  </si>
  <si>
    <t>Homz</t>
  </si>
  <si>
    <t>https://www.crunchbase.com/organization/homz-global</t>
  </si>
  <si>
    <t>https://www.homzglobal.com/</t>
  </si>
  <si>
    <t>Frisco</t>
  </si>
  <si>
    <t>BuildOps</t>
  </si>
  <si>
    <t>https://www.crunchbase.com/organization/buildops</t>
  </si>
  <si>
    <t>https://buildops.com/</t>
  </si>
  <si>
    <t>Saltbox</t>
  </si>
  <si>
    <t>https://www.crunchbase.com/organization/saltbox-com/company_financials</t>
  </si>
  <si>
    <t>https://www.joinsaltbox.com/</t>
  </si>
  <si>
    <t>Georgia</t>
  </si>
  <si>
    <t>UpKeep</t>
  </si>
  <si>
    <t>Hospitality, Industrial, Other</t>
  </si>
  <si>
    <t>https://angel.co/company/upkeep-maintenance-management</t>
  </si>
  <si>
    <t>https://www.crunchbase.com/organization/upkeep-maintenance-management#section-overview</t>
  </si>
  <si>
    <t>www.onupkeep.com</t>
  </si>
  <si>
    <t>10880 Wilshire Blvd</t>
  </si>
  <si>
    <t>90024</t>
  </si>
  <si>
    <t>HouseCall</t>
  </si>
  <si>
    <t>https://angel.co/company/housecall</t>
  </si>
  <si>
    <t>https://www.crunchbase.com/organization/housecall</t>
  </si>
  <si>
    <t>https://www.housecallpro.com/</t>
  </si>
  <si>
    <t>BrainBox</t>
  </si>
  <si>
    <t>https://www.crunchbase.com/organization/brainbox-ai#section-overview</t>
  </si>
  <si>
    <t>www.brainboxai.com/</t>
  </si>
  <si>
    <t>2075 boul Robert-Bourassa, Suite 500</t>
  </si>
  <si>
    <t>H3A 2L1</t>
  </si>
  <si>
    <t>Alice Technologies</t>
  </si>
  <si>
    <t>https://angel.co/company/alice-technologies</t>
  </si>
  <si>
    <t>https://www.crunchbase.com/organization/alice-technologies</t>
  </si>
  <si>
    <t>https://www.alicetechnologies.com/home</t>
  </si>
  <si>
    <t>1040 Noel Dr Suite 203</t>
  </si>
  <si>
    <t>Menlo Park</t>
  </si>
  <si>
    <t>94025</t>
  </si>
  <si>
    <t>Welcome Homes</t>
  </si>
  <si>
    <t>https://wellfound.com/company/welcome-homes</t>
  </si>
  <si>
    <t>https://www.crunchbase.com/organization/welcome-homes</t>
  </si>
  <si>
    <t>https://welcomehomes.com/</t>
  </si>
  <si>
    <t>Alasco</t>
  </si>
  <si>
    <t>https://angel.co/company/alasco</t>
  </si>
  <si>
    <t>https://www.crunchbase.com/organization/alasco</t>
  </si>
  <si>
    <t>https://www.alasco.de/en/</t>
  </si>
  <si>
    <t>HelloAlfred</t>
  </si>
  <si>
    <t>https://angel.co/helloalfred</t>
  </si>
  <si>
    <t>https://www.crunchbase.com/organization/alfred#section-overview</t>
  </si>
  <si>
    <t>https://www.helloalfred.com</t>
  </si>
  <si>
    <t>61 Broadway</t>
  </si>
  <si>
    <t>Goodlord</t>
  </si>
  <si>
    <t>https://angel.co/company/goodlord</t>
  </si>
  <si>
    <t>https://www.crunchbase.com/organization/goodlord</t>
  </si>
  <si>
    <t>https://www.goodlord.co/</t>
  </si>
  <si>
    <t>Archipelago</t>
  </si>
  <si>
    <t>Commercial AI</t>
  </si>
  <si>
    <t>https://angel.co/company/archipelago-analytics</t>
  </si>
  <si>
    <t>https://www.crunchbase.com/organization/archipelago-analytics</t>
  </si>
  <si>
    <t>https://www.onarchipelago.com/</t>
  </si>
  <si>
    <t>8 California St.</t>
  </si>
  <si>
    <t>Huspy</t>
  </si>
  <si>
    <t>https://angel.co/company/huspy</t>
  </si>
  <si>
    <t>https://www.crunchbase.com/organization/huspy</t>
  </si>
  <si>
    <t>https://huspy.com/</t>
  </si>
  <si>
    <t>Dubai</t>
  </si>
  <si>
    <t>UAE</t>
  </si>
  <si>
    <t>PropShare</t>
  </si>
  <si>
    <t>https://angel.co/company/propshare-capital</t>
  </si>
  <si>
    <t>https://www.crunchbase.com/organization/property-share-online-platform</t>
  </si>
  <si>
    <t>https://www.propsharecapital.com/</t>
  </si>
  <si>
    <t>10th Floor, SKAV Seethalakshmi, 21/22,
Kasturba Road</t>
  </si>
  <si>
    <t>560001</t>
  </si>
  <si>
    <t>Canary Technologies</t>
  </si>
  <si>
    <t>https://angel.co/company/canary-technologies</t>
  </si>
  <si>
    <t>https://www.crunchbase.com/organization/canary-technologies</t>
  </si>
  <si>
    <t>https://www.canarytechnologies.com/</t>
  </si>
  <si>
    <t>Sealed</t>
  </si>
  <si>
    <t>https://angel.co/company/sealed</t>
  </si>
  <si>
    <t>https://www.crunchbase.com/organization/sealed</t>
  </si>
  <si>
    <t>https://sealed.com/</t>
  </si>
  <si>
    <t>22 W 38th St</t>
  </si>
  <si>
    <t>Procore Technologies</t>
  </si>
  <si>
    <t>https://angel.co/company/procore-technologies</t>
  </si>
  <si>
    <t>https://www.crunchbase.com/organization/procore-technologies-526d</t>
  </si>
  <si>
    <t>http://www.procorepr.com/</t>
  </si>
  <si>
    <t>Trujillo</t>
  </si>
  <si>
    <t>Puerto Rico</t>
  </si>
  <si>
    <t>Terra CO2</t>
  </si>
  <si>
    <t>https://www.crunchbase.com/organization/terra-co2-technologies</t>
  </si>
  <si>
    <t>https://www.terraco2.com/</t>
  </si>
  <si>
    <t>Vancouver</t>
  </si>
  <si>
    <t>Zesty.ai</t>
  </si>
  <si>
    <t>https://angel.co/company/zesty-ai-1</t>
  </si>
  <si>
    <t>https://www.crunchbase.com/organization/zesty-ai</t>
  </si>
  <si>
    <t>https://zesty.ai/</t>
  </si>
  <si>
    <t>https://angel.co/mews-systems</t>
  </si>
  <si>
    <t>https://www.crunchbase.com/organization/mews-systems#section-overview</t>
  </si>
  <si>
    <t>https://www.mewssystems.com/</t>
  </si>
  <si>
    <t>47-51 Great Suffolk Street</t>
  </si>
  <si>
    <t>SE1 0BS</t>
  </si>
  <si>
    <t>MyTraffic</t>
  </si>
  <si>
    <t>Commercial, Multifamily</t>
  </si>
  <si>
    <t>https://www.crunchbase.com/organization/mytraffic</t>
  </si>
  <si>
    <t>https://www.mytraffic.io/</t>
  </si>
  <si>
    <t>AcreTrader</t>
  </si>
  <si>
    <t>Land Investing</t>
  </si>
  <si>
    <t>https://angel.co/company/acretrader</t>
  </si>
  <si>
    <t>https://www.crunchbase.com/organization/acretrader</t>
  </si>
  <si>
    <t>https://www.acretrader.com/</t>
  </si>
  <si>
    <t>Fayetteville</t>
  </si>
  <si>
    <t>AR</t>
  </si>
  <si>
    <t>Cosuno</t>
  </si>
  <si>
    <t>https://angel.co/company/cosuno-gmbh</t>
  </si>
  <si>
    <t>https://www.crunchbase.com/organization/cosuno</t>
  </si>
  <si>
    <t>https://www.cosuno.de/en/</t>
  </si>
  <si>
    <t>IndiQube</t>
  </si>
  <si>
    <t>https://angel.co/company/indiqube-1</t>
  </si>
  <si>
    <t>https://www.crunchbase.com/organization/indiqube</t>
  </si>
  <si>
    <t>https://indiqube.com/</t>
  </si>
  <si>
    <t>Redfin</t>
  </si>
  <si>
    <t>https://angel.co/company/redfin</t>
  </si>
  <si>
    <t>https://www.crunchbase.com/organization/redfin</t>
  </si>
  <si>
    <t>https://www.redfin.com/</t>
  </si>
  <si>
    <t>1099 Stewart Street</t>
  </si>
  <si>
    <t>Beyond Pricing</t>
  </si>
  <si>
    <t>SaaS Dynamin Pricing Software</t>
  </si>
  <si>
    <t>Vacation Rentals</t>
  </si>
  <si>
    <t>https://angel.co/company/beyondpricing</t>
  </si>
  <si>
    <t>https://www.crunchbase.com/organization/beyond-pricing</t>
  </si>
  <si>
    <t>beyondpricing.com</t>
  </si>
  <si>
    <t>425 2nd St, Ste 606</t>
  </si>
  <si>
    <t>San Fancisco</t>
  </si>
  <si>
    <t>94109</t>
  </si>
  <si>
    <t>Foxen</t>
  </si>
  <si>
    <t>https://www.crunchbase.com/organization/foxen</t>
  </si>
  <si>
    <t>https://www.foxen.com/</t>
  </si>
  <si>
    <t>Reggora</t>
  </si>
  <si>
    <t>https://www.crunchbase.com/organization/reggora</t>
  </si>
  <si>
    <t>https://www.reggora.com/</t>
  </si>
  <si>
    <t>321 Summer Street</t>
  </si>
  <si>
    <t>Qvantum</t>
  </si>
  <si>
    <t>https://www.crunchbase.com/organization/qvantum-3e44</t>
  </si>
  <si>
    <t>https://www.qvantum.com/</t>
  </si>
  <si>
    <t>Limhamn</t>
  </si>
  <si>
    <t>Qventus</t>
  </si>
  <si>
    <t>https://angel.co/company/qventus</t>
  </si>
  <si>
    <t>https://www.crunchbase.com/organization/analyticsmd</t>
  </si>
  <si>
    <t>https://qventus.com/</t>
  </si>
  <si>
    <t>Euclid</t>
  </si>
  <si>
    <t>Spatial Analytics</t>
  </si>
  <si>
    <t>https://angel.co/company/euclid</t>
  </si>
  <si>
    <t>https://www.crunchbase.com/organization/euclid#section-overview</t>
  </si>
  <si>
    <t>https://geteuclid.com/</t>
  </si>
  <si>
    <t>Briq</t>
  </si>
  <si>
    <t>Construction Tech</t>
  </si>
  <si>
    <t>https://angel.co/company/brickschain-construction-blockchain</t>
  </si>
  <si>
    <t>https://www.crunchbase.com/organization/brickschain</t>
  </si>
  <si>
    <t>https://www.br.iq/</t>
  </si>
  <si>
    <t>511 Olive St</t>
  </si>
  <si>
    <t>Santa Barbara</t>
  </si>
  <si>
    <t>93101</t>
  </si>
  <si>
    <t>Willow</t>
  </si>
  <si>
    <t>https://www.crunchbase.com/organization/willow-inc</t>
  </si>
  <si>
    <t>https://www.willowinc.com/</t>
  </si>
  <si>
    <t>Sydney</t>
  </si>
  <si>
    <t>Australia</t>
  </si>
  <si>
    <t>Kaiyo</t>
  </si>
  <si>
    <t>https://www.crunchbase.com/organization/kaiyo</t>
  </si>
  <si>
    <t>https://kaiyo.com/</t>
  </si>
  <si>
    <t>Setpoint</t>
  </si>
  <si>
    <t>https://wellfound.com/company/setpoint</t>
  </si>
  <si>
    <t>https://www.crunchbase.com/organization/setpoint-io</t>
  </si>
  <si>
    <t>https://www.setpoint.io/</t>
  </si>
  <si>
    <t>Funnel Leasing</t>
  </si>
  <si>
    <t>Mutifamily</t>
  </si>
  <si>
    <t>https://angel.co/company/nestio</t>
  </si>
  <si>
    <t>https://www.crunchbase.com/organization/nestio</t>
  </si>
  <si>
    <t>https://funnelleasing.com</t>
  </si>
  <si>
    <t>Facilio</t>
  </si>
  <si>
    <t>https://angel.co/facilio-2</t>
  </si>
  <si>
    <t>https://www.crunchbase.com/organization/facilio</t>
  </si>
  <si>
    <t>https://facilio.com/</t>
  </si>
  <si>
    <t>41 Marietta Street</t>
  </si>
  <si>
    <t>30301</t>
  </si>
  <si>
    <t>PunchlistUSA</t>
  </si>
  <si>
    <t>https://www.crunchbase.com/organization/punch-list-5ac0</t>
  </si>
  <si>
    <t>https://www.punchlistusa.com/</t>
  </si>
  <si>
    <t>Jetty</t>
  </si>
  <si>
    <t>https://angel.co/company/jettyinsurance</t>
  </si>
  <si>
    <t>https://www.crunchbase.com/organization/jetty-2</t>
  </si>
  <si>
    <t>https://www.jetty.com/</t>
  </si>
  <si>
    <t>37 W 20th St, Suite 301</t>
  </si>
  <si>
    <t>Badi</t>
  </si>
  <si>
    <t>https://angel.co/badi-2</t>
  </si>
  <si>
    <t>https://www.crunchbase.com/organization/badi#section-overview</t>
  </si>
  <si>
    <t>https://badi.com/us/</t>
  </si>
  <si>
    <t>Operto Guest Technologies</t>
  </si>
  <si>
    <t>https://wellfound.com/company/slick-spaces</t>
  </si>
  <si>
    <t>https://www.crunchbase.com/organization/operto-guest-technologies</t>
  </si>
  <si>
    <t>https://www.operto.com/</t>
  </si>
  <si>
    <t>Affinity</t>
  </si>
  <si>
    <t>https://angel.co/company/affinityinc</t>
  </si>
  <si>
    <t>https://www.crunchbase.com/organization/affinity-inc</t>
  </si>
  <si>
    <t>https://www.affinity.co/</t>
  </si>
  <si>
    <t>Keyway</t>
  </si>
  <si>
    <t>https://www.crunchbase.com/organization/keyway</t>
  </si>
  <si>
    <t>https://whykeyway.com/</t>
  </si>
  <si>
    <t>LeaseQuery</t>
  </si>
  <si>
    <t>https://angel.co/company/leasequery</t>
  </si>
  <si>
    <t>https://www.crunchbase.com/organization/leasequery-com</t>
  </si>
  <si>
    <t>https://leasequery.com/</t>
  </si>
  <si>
    <t>Skyrise</t>
  </si>
  <si>
    <t>https://angel.co/company/skyrise</t>
  </si>
  <si>
    <t>https://www.crunchbase.com/organization/skyrise</t>
  </si>
  <si>
    <t>http://www.skyriseapp.com/</t>
  </si>
  <si>
    <t xml:space="preserve">TX </t>
  </si>
  <si>
    <t>Ergeon</t>
  </si>
  <si>
    <t>Residential, Construction</t>
  </si>
  <si>
    <t>https://www.crunchbase.com/organization/ergeon</t>
  </si>
  <si>
    <t>https://www.ergeon.com/</t>
  </si>
  <si>
    <t>Modern Electron</t>
  </si>
  <si>
    <t>https://angel.co/company/modern-electron</t>
  </si>
  <si>
    <t>https://www.crunchbase.com/organization/modern-electron</t>
  </si>
  <si>
    <t>https://modernelectron.com/</t>
  </si>
  <si>
    <t>Bellevue</t>
  </si>
  <si>
    <t>Perenna</t>
  </si>
  <si>
    <t>https://www.crunchbase.com/organization/perenna</t>
  </si>
  <si>
    <t>https://www.perenna.co.uk/</t>
  </si>
  <si>
    <t>20 Eastbourne Terrace</t>
  </si>
  <si>
    <t>W2 6LG</t>
  </si>
  <si>
    <t>Sublime Systems</t>
  </si>
  <si>
    <t>https://wellfound.com/company/sublime-systems</t>
  </si>
  <si>
    <t>https://www.crunchbase.com/organization/sublime-systems</t>
  </si>
  <si>
    <t>https://sublime-systems.com/</t>
  </si>
  <si>
    <t>Somerville</t>
  </si>
  <si>
    <t>Entera</t>
  </si>
  <si>
    <t>https://angel.co/company/entera-1</t>
  </si>
  <si>
    <t>https://www.crunchbase.com/organization/entera-holdings</t>
  </si>
  <si>
    <t>https://www.entera.ai/</t>
  </si>
  <si>
    <t>433 Broadway</t>
  </si>
  <si>
    <t>Ukio</t>
  </si>
  <si>
    <t>https://www.crunchbase.com/organization/ukio</t>
  </si>
  <si>
    <t>https://www.ukio.com/</t>
  </si>
  <si>
    <t>Gradient Comfort</t>
  </si>
  <si>
    <t>https://wellfound.com/company/gradient-7</t>
  </si>
  <si>
    <t>https://www.crunchbase.com/organization/treau-inc</t>
  </si>
  <si>
    <t>https://www.gradientcomfort.com/</t>
  </si>
  <si>
    <t>375 Alabama Street 
Suite 220</t>
  </si>
  <si>
    <t>94110</t>
  </si>
  <si>
    <t>Alice</t>
  </si>
  <si>
    <t>Back Office</t>
  </si>
  <si>
    <t>Hotels</t>
  </si>
  <si>
    <t>https://angel.co/alice-12/</t>
  </si>
  <si>
    <t>https://www.crunchbase.com/organization/alice-app</t>
  </si>
  <si>
    <t>https://www.aliceplatform.com/</t>
  </si>
  <si>
    <t>104 W 27th St</t>
  </si>
  <si>
    <t>LuxWall</t>
  </si>
  <si>
    <t>https://www.crunchbase.com/organization/luxwall</t>
  </si>
  <si>
    <t>https://www.luxwall.com/</t>
  </si>
  <si>
    <t>Ypsilanti</t>
  </si>
  <si>
    <t>MI</t>
  </si>
  <si>
    <t>Castia (f.k.a. Acasa)</t>
  </si>
  <si>
    <t>https://angel.co/company/acasa-2</t>
  </si>
  <si>
    <t>https://www.crunchbase.com/organization/acasa</t>
  </si>
  <si>
    <t>https://www.castia.com/</t>
  </si>
  <si>
    <t>Eden</t>
  </si>
  <si>
    <t>https://angel.co/company/eden</t>
  </si>
  <si>
    <t>https://www.crunchbase.com/organization/eden</t>
  </si>
  <si>
    <t>https://www.eden.io</t>
  </si>
  <si>
    <t>Spruce</t>
  </si>
  <si>
    <t>Hotel-inspired services</t>
  </si>
  <si>
    <t>https://angel.co/company/spruceapp</t>
  </si>
  <si>
    <t>https://www.crunchbase.com/organization/spruce-inc#section-overview</t>
  </si>
  <si>
    <t>https://getspruce.com/</t>
  </si>
  <si>
    <t>2005 S Lamar Blvd</t>
  </si>
  <si>
    <t>78704</t>
  </si>
  <si>
    <t>Maxwell</t>
  </si>
  <si>
    <t>https://angel.co/company/maxwell-financial-labs</t>
  </si>
  <si>
    <t>https://www.crunchbase.com/organization/maxwell-financial-labs-inc</t>
  </si>
  <si>
    <t>https://himaxwell.com/</t>
  </si>
  <si>
    <t>518 17th St</t>
  </si>
  <si>
    <t>80202</t>
  </si>
  <si>
    <t>Helix RE</t>
  </si>
  <si>
    <t>https://angel.co/company/helix-re</t>
  </si>
  <si>
    <t>https://www.crunchbase.com/organization/flux-factory</t>
  </si>
  <si>
    <t>https://helixre.com/</t>
  </si>
  <si>
    <t>LoanSnap</t>
  </si>
  <si>
    <t>https://angel.co/loansnap</t>
  </si>
  <si>
    <t>https://www.crunchbase.com/organization/loansnap#section-overview</t>
  </si>
  <si>
    <t>https://www.goloansnap.com/</t>
  </si>
  <si>
    <t>556 Sutter Street</t>
  </si>
  <si>
    <t>94102</t>
  </si>
  <si>
    <t>Assembly OSM</t>
  </si>
  <si>
    <t>https://angel.co/company/assembly-osm</t>
  </si>
  <si>
    <t>https://www.crunchbase.com/organization/assembly-osm</t>
  </si>
  <si>
    <t>http://assemblyosm.com/</t>
  </si>
  <si>
    <t>233 Broadway, 10th Floor</t>
  </si>
  <si>
    <t>10279</t>
  </si>
  <si>
    <t>ResortPass</t>
  </si>
  <si>
    <t>https://angel.co/company/resortpass</t>
  </si>
  <si>
    <t>https://www.crunchbase.com/organization/resortpass</t>
  </si>
  <si>
    <t>https://www.resortpass.com/</t>
  </si>
  <si>
    <t>SunRoof</t>
  </si>
  <si>
    <t>https://wellfound.com/company/sunroof-international-holding-ab-4</t>
  </si>
  <si>
    <t>https://www.crunchbase.com/organization/sunroof</t>
  </si>
  <si>
    <t>https://www.sunroof.se/</t>
  </si>
  <si>
    <t>Doorstead</t>
  </si>
  <si>
    <t>https://angel.co/company/doorstead</t>
  </si>
  <si>
    <t>https://www.crunchbase.com/organization/doorstead</t>
  </si>
  <si>
    <t>https://www.doorstead.com/</t>
  </si>
  <si>
    <t>2193 Fillmore St</t>
  </si>
  <si>
    <t>94115</t>
  </si>
  <si>
    <t>Amenitiz</t>
  </si>
  <si>
    <t>https://angel.co/company/amenitiz</t>
  </si>
  <si>
    <t>https://www.crunchbase.com/organization/amenitiz</t>
  </si>
  <si>
    <t>https://www.amenitiz.com/</t>
  </si>
  <si>
    <t>CompanyCam</t>
  </si>
  <si>
    <t>https://angel.co/company/companycam</t>
  </si>
  <si>
    <t>https://www.crunchbase.com/organization/companycam</t>
  </si>
  <si>
    <t>https://companycam.com/</t>
  </si>
  <si>
    <t>Lincoln</t>
  </si>
  <si>
    <t>NE</t>
  </si>
  <si>
    <t>TaskRabbit, Inc.</t>
  </si>
  <si>
    <t>Multifamily, Office, Residential, Other</t>
  </si>
  <si>
    <t>https://angel.co/company/taskrabbit</t>
  </si>
  <si>
    <t>https://www.crunchbase.com/organization/taskrabbit</t>
  </si>
  <si>
    <t>http://www.taskrabbit.com/</t>
  </si>
  <si>
    <t>425 2nd Street</t>
  </si>
  <si>
    <t>Culdesac</t>
  </si>
  <si>
    <t>https://angel.co/company/culdesac-2</t>
  </si>
  <si>
    <t>https://www.crunchbase.com/organization/culdesac-f070</t>
  </si>
  <si>
    <t>https://culdesac.com/</t>
  </si>
  <si>
    <t>Tempe</t>
  </si>
  <si>
    <t>85281</t>
  </si>
  <si>
    <t>Lodgify</t>
  </si>
  <si>
    <t>https://angel.co/company/lodgify</t>
  </si>
  <si>
    <t>https://www.crunchbase.com/organization/lodgify</t>
  </si>
  <si>
    <t>https://www.lodgify.com/</t>
  </si>
  <si>
    <t>SolarCycle</t>
  </si>
  <si>
    <t>https://www.crunchbase.com/organization/solarcycle-inc</t>
  </si>
  <si>
    <t>https://www.solarcycle.us/</t>
  </si>
  <si>
    <t>Piedmont</t>
  </si>
  <si>
    <t>UrbanFootprint</t>
  </si>
  <si>
    <t>Software for Smart Planning</t>
  </si>
  <si>
    <t>https://angel.co/company/urbanfootprint</t>
  </si>
  <si>
    <t>https://www.crunchbase.com/organization/calthorpe-analytics</t>
  </si>
  <si>
    <t>www.urbanfootprint.com</t>
  </si>
  <si>
    <t>Sympower</t>
  </si>
  <si>
    <t>https://angel.co/company/sympower</t>
  </si>
  <si>
    <t>https://www.crunchbase.com/organization/sympower</t>
  </si>
  <si>
    <t>http://www.sympower.net/</t>
  </si>
  <si>
    <t>Prins Hendrikkade 183</t>
  </si>
  <si>
    <t>1011TD</t>
  </si>
  <si>
    <t>ReadySpaces</t>
  </si>
  <si>
    <t>https://angel.co/company/readyspaces</t>
  </si>
  <si>
    <t>https://www.crunchbase.com/organization/readyspaces</t>
  </si>
  <si>
    <t>https://readyspaces.com/</t>
  </si>
  <si>
    <t>Covetool</t>
  </si>
  <si>
    <t>Design</t>
  </si>
  <si>
    <t>https://www.crunchbase.com/organization/cove-tool</t>
  </si>
  <si>
    <t>https://www.cove.tools/</t>
  </si>
  <si>
    <t>83 Walton Street NW, Level 2</t>
  </si>
  <si>
    <t>Voltus</t>
  </si>
  <si>
    <t>Retail, Hospitality, Industrial, Other</t>
  </si>
  <si>
    <t>https://angel.co/company/voltus</t>
  </si>
  <si>
    <t>https://www.crunchbase.com/organization/voltus-inc</t>
  </si>
  <si>
    <t>https://www.voltus.co/</t>
  </si>
  <si>
    <t>542 Presidio Blvd</t>
  </si>
  <si>
    <t>94129</t>
  </si>
  <si>
    <t>Arrived Homes</t>
  </si>
  <si>
    <t>https://www.crunchbase.com/organization/arrived-homes</t>
  </si>
  <si>
    <t>https://arrivedhomes.com/</t>
  </si>
  <si>
    <t xml:space="preserve">HaulHub
</t>
  </si>
  <si>
    <t>https://angel.co/company/haulhub</t>
  </si>
  <si>
    <t>https://www.crunchbase.com/organization/haulhub#section-overview</t>
  </si>
  <si>
    <t xml:space="preserve">haulhub.com
</t>
  </si>
  <si>
    <t>Mindspace</t>
  </si>
  <si>
    <t>https://angel.co/mindspace</t>
  </si>
  <si>
    <t>https://www.crunchbase.com/organization/mindspace</t>
  </si>
  <si>
    <t>www.mindspace.me</t>
  </si>
  <si>
    <t xml:space="preserve">45 Rothschild blvd, </t>
  </si>
  <si>
    <t>Tel aviv</t>
  </si>
  <si>
    <t xml:space="preserve">Israel </t>
  </si>
  <si>
    <t>6578403</t>
  </si>
  <si>
    <t>Vesta</t>
  </si>
  <si>
    <t>https://angel.co/company/vesta</t>
  </si>
  <si>
    <t>https://www.crunchbase.com/organization/vesta-431c</t>
  </si>
  <si>
    <t>https://www.usevesta.com/</t>
  </si>
  <si>
    <t>Hubble</t>
  </si>
  <si>
    <t>https://angel.co/company/hubblehq</t>
  </si>
  <si>
    <t>https://www.crunchbase.com/organization/hubblehq</t>
  </si>
  <si>
    <t>https://hubblehq.com/</t>
  </si>
  <si>
    <t>PeerSpace</t>
  </si>
  <si>
    <t>https://angel.co/peerspace</t>
  </si>
  <si>
    <t>https://www.crunchbase.com/organization/peerspace#section-overview</t>
  </si>
  <si>
    <t>https://www.peerspace.com/</t>
  </si>
  <si>
    <t>114 Sansome Street, Suite 1100</t>
  </si>
  <si>
    <t>WhyHotel</t>
  </si>
  <si>
    <t>https://angel.co/whyhotel-1</t>
  </si>
  <si>
    <t>https://www.crunchbase.com/organization/whyhotel#section-overview</t>
  </si>
  <si>
    <t>https://whyhotel.com/</t>
  </si>
  <si>
    <t>SenSat</t>
  </si>
  <si>
    <t>https://angel.co/company/sensat</t>
  </si>
  <si>
    <t>https://www.crunchbase.com/organization/sensat#section-overview</t>
  </si>
  <si>
    <t>https://www.sensat.co.uk/</t>
  </si>
  <si>
    <t>59 Rivington St</t>
  </si>
  <si>
    <t>England</t>
  </si>
  <si>
    <t>EC2A3QQ</t>
  </si>
  <si>
    <t>Home365 Property</t>
  </si>
  <si>
    <t>https://www.crunchbase.com/organization/clipcall</t>
  </si>
  <si>
    <t>https://www.home365.co/</t>
  </si>
  <si>
    <t>824 San Antonio Rd</t>
  </si>
  <si>
    <t>94303</t>
  </si>
  <si>
    <t>Proemion</t>
  </si>
  <si>
    <t>https://angel.co/company/proemion</t>
  </si>
  <si>
    <t>https://www.crunchbase.com/organization/proemion</t>
  </si>
  <si>
    <t>https://www.proemion.com/en/</t>
  </si>
  <si>
    <t>Fulda</t>
  </si>
  <si>
    <t>Arturo</t>
  </si>
  <si>
    <t>https://www.crunchbase.com/organization/arturo-inc</t>
  </si>
  <si>
    <t>www.arturo.ai</t>
  </si>
  <si>
    <t>350 North Orleans Street
Suite 8000N</t>
  </si>
  <si>
    <t>60654</t>
  </si>
  <si>
    <t>Fundrise</t>
  </si>
  <si>
    <t>Investment</t>
  </si>
  <si>
    <t>https://angel.co/company/fundrise</t>
  </si>
  <si>
    <t>https://www.crunchbase.com/organization/fundrise</t>
  </si>
  <si>
    <t>https://fundrise.com/</t>
  </si>
  <si>
    <t>11 Dupont Circle NW, 9th Floor</t>
  </si>
  <si>
    <t>Washington, DC</t>
  </si>
  <si>
    <t>20036</t>
  </si>
  <si>
    <t>Geophy</t>
  </si>
  <si>
    <t>Commercial Real Estate</t>
  </si>
  <si>
    <t>https://angel.co/company/geophy</t>
  </si>
  <si>
    <t>https://www.crunchbase.com/organization/officerank</t>
  </si>
  <si>
    <t>https://geophy.com/</t>
  </si>
  <si>
    <t>Stationsplein 10</t>
  </si>
  <si>
    <t>Amsterdam,</t>
  </si>
  <si>
    <t>1012 AB</t>
  </si>
  <si>
    <t>Landa</t>
  </si>
  <si>
    <t>https://angel.co/company/landa_app</t>
  </si>
  <si>
    <t>https://www.crunchbase.com/organization/landa-8cfe</t>
  </si>
  <si>
    <t>https://www.landa.app/</t>
  </si>
  <si>
    <t>Butlr</t>
  </si>
  <si>
    <t>https://angel.co/company/butlr-ai</t>
  </si>
  <si>
    <t>https://www.crunchbase.com/organization/butlr-0e8d</t>
  </si>
  <si>
    <t>https://www.butlr.io/</t>
  </si>
  <si>
    <t>Burlingame</t>
  </si>
  <si>
    <t>Houwzer</t>
  </si>
  <si>
    <t>https://www.crunchbase.com/organization/houwzer-2</t>
  </si>
  <si>
    <t>https://houwzer.com/</t>
  </si>
  <si>
    <t>Philadelphia</t>
  </si>
  <si>
    <t>Northspyre</t>
  </si>
  <si>
    <t>https://angel.co/company/northspyre</t>
  </si>
  <si>
    <t>https://www.crunchbase.com/organization/northspyre</t>
  </si>
  <si>
    <t>www.northspyre.com</t>
  </si>
  <si>
    <t>175 Pearl St</t>
  </si>
  <si>
    <t xml:space="preserve">	
</t>
  </si>
  <si>
    <t>Upflex</t>
  </si>
  <si>
    <t>https://angel.co/company/upflex</t>
  </si>
  <si>
    <t>https://www.crunchbase.com/organization/upflex</t>
  </si>
  <si>
    <t>https://www.upflex.com/</t>
  </si>
  <si>
    <t>Pilot</t>
  </si>
  <si>
    <t>Internet Systems</t>
  </si>
  <si>
    <t>https://angel.co/company/pilot-5</t>
  </si>
  <si>
    <t>https://www.crunchbase.com/organization/pilot-2</t>
  </si>
  <si>
    <t>https://pilotfiber.com/</t>
  </si>
  <si>
    <t>325 Hudson St</t>
  </si>
  <si>
    <t>WithCo</t>
  </si>
  <si>
    <t>https://angel.co/company/withco</t>
  </si>
  <si>
    <t>https://www.crunchbase.com/organization/withco</t>
  </si>
  <si>
    <t>https://with.co/</t>
  </si>
  <si>
    <t>EliseAI</t>
  </si>
  <si>
    <t>AI Leasing Agent</t>
  </si>
  <si>
    <t>https://angel.co/company/meetelise-1</t>
  </si>
  <si>
    <t>https://www.crunchbase.com/organization/meetelise</t>
  </si>
  <si>
    <t>www.meetelise.com</t>
  </si>
  <si>
    <t>Washington DC Metro Area</t>
  </si>
  <si>
    <t>Steadily</t>
  </si>
  <si>
    <t>https://angel.co/company/steadily</t>
  </si>
  <si>
    <t>https://www.crunchbase.com/organization/steadily</t>
  </si>
  <si>
    <t>https://www.steadily.com/</t>
  </si>
  <si>
    <t>Porter</t>
  </si>
  <si>
    <t>Industrial, Office, Retail, Multifamily</t>
  </si>
  <si>
    <t>https://angel.co/company/porter-in-2</t>
  </si>
  <si>
    <t>https://www.crunchbase.com/organization/the-porter#section-overview</t>
  </si>
  <si>
    <t>porter.in</t>
  </si>
  <si>
    <t>No. 9, 1st Floor, Shri Krishna Akshaya Mansion, 1st Phase, 27th Main, 100 ft Road, 1st STage, BTM Layout</t>
  </si>
  <si>
    <t>560068</t>
  </si>
  <si>
    <t>Disperse</t>
  </si>
  <si>
    <t>https://angel.co/company/disperse-io</t>
  </si>
  <si>
    <t>https://www.crunchbase.com/organization/disperse-io</t>
  </si>
  <si>
    <t>https://disperse.io/</t>
  </si>
  <si>
    <t>Juno</t>
  </si>
  <si>
    <t>https://www.crunchbase.com/organization/juno-residential</t>
  </si>
  <si>
    <t>https://juno.co/</t>
  </si>
  <si>
    <t>Righthand Robotics</t>
  </si>
  <si>
    <t>https://angel.co/righthand-robotics</t>
  </si>
  <si>
    <t>https://www.crunchbase.com/organization/righthand-robotics</t>
  </si>
  <si>
    <t>https://www.righthandrobotics.com/</t>
  </si>
  <si>
    <t xml:space="preserve">Assignar </t>
  </si>
  <si>
    <t>https://angel.co/company/assignar</t>
  </si>
  <si>
    <t>https://www.crunchbase.com/organization/assignar</t>
  </si>
  <si>
    <t>https://www.assignar.com/</t>
  </si>
  <si>
    <t>1644 Platte St</t>
  </si>
  <si>
    <t>Nomagic</t>
  </si>
  <si>
    <t>https://www.crunchbase.com/organization/nomagic</t>
  </si>
  <si>
    <t>https://nomagic.ai/</t>
  </si>
  <si>
    <t>Warsaw</t>
  </si>
  <si>
    <t>Mazowieckie</t>
  </si>
  <si>
    <t>Poland</t>
  </si>
  <si>
    <t>Generation Home</t>
  </si>
  <si>
    <t>https://angel.co/company/generationhome</t>
  </si>
  <si>
    <t>https://www.crunchbase.com/organization/generation-home</t>
  </si>
  <si>
    <t>https://www.generationhome.com/</t>
  </si>
  <si>
    <t>Breezeway</t>
  </si>
  <si>
    <t>https://angel.co/company/breezeway</t>
  </si>
  <si>
    <t>https://www.crunchbase.com/organization/breezeway</t>
  </si>
  <si>
    <t xml:space="preserve">www.breezeway.io/
</t>
  </si>
  <si>
    <t>Greater Boston Area</t>
  </si>
  <si>
    <t xml:space="preserve">New England
</t>
  </si>
  <si>
    <t>Darkstore</t>
  </si>
  <si>
    <t>https://angel.co/company/darkstore</t>
  </si>
  <si>
    <t>https://www.crunchbase.com/organization/darkstore</t>
  </si>
  <si>
    <t>https://www.darkstore.com/#/</t>
  </si>
  <si>
    <t>19 Butte Pl</t>
  </si>
  <si>
    <t>Appfolio</t>
  </si>
  <si>
    <t>https://angel.co/appfolio</t>
  </si>
  <si>
    <t>https://www.crunchbase.com/organization/appfolio</t>
  </si>
  <si>
    <t>www.appfolio.com</t>
  </si>
  <si>
    <t>50 Castilian Drive</t>
  </si>
  <si>
    <t>93117</t>
  </si>
  <si>
    <t>Doorloop</t>
  </si>
  <si>
    <t>https://angel.co/company/doorloop</t>
  </si>
  <si>
    <t>https://www.crunchbase.com/organization/doorloop</t>
  </si>
  <si>
    <t>https://www.doorloop.com/</t>
  </si>
  <si>
    <t>Miami</t>
  </si>
  <si>
    <t>Stellar (f.k.a. IFM Restoration)</t>
  </si>
  <si>
    <t>https://angel.co/company/integrity-first-maintenance</t>
  </si>
  <si>
    <t>https://www.crunchbase.com/organization/ifm-restoration</t>
  </si>
  <si>
    <t>https://ifmrestoration.com</t>
  </si>
  <si>
    <t xml:space="preserve">Dallas </t>
  </si>
  <si>
    <t>Fractal Homes</t>
  </si>
  <si>
    <t>https://www.crunchbase.com/organization/fractal-homes</t>
  </si>
  <si>
    <t>https://www.fractal.homes/</t>
  </si>
  <si>
    <t>Kent</t>
  </si>
  <si>
    <t>Agora</t>
  </si>
  <si>
    <t>https://www.crunchbase.com/organization/agora-real-estate-technologies</t>
  </si>
  <si>
    <t>http://agorareal.com/</t>
  </si>
  <si>
    <t>GoFor</t>
  </si>
  <si>
    <t>https://angel.co/company/goforindustries</t>
  </si>
  <si>
    <t>https://www.crunchbase.com/organization/gofor</t>
  </si>
  <si>
    <t>https://www.gofordelivers.com/</t>
  </si>
  <si>
    <t>Ontario</t>
  </si>
  <si>
    <t>Tulu</t>
  </si>
  <si>
    <t>https://www.crunchbase.com/organization/tulou</t>
  </si>
  <si>
    <t>https://www.tulu.io</t>
  </si>
  <si>
    <t>Cohesion</t>
  </si>
  <si>
    <t>https://www.crunchbase.com/organization/cohesionib</t>
  </si>
  <si>
    <r>
      <rPr>
        <rFont val="Calibri"/>
        <color rgb="FF1155CC"/>
        <sz val="12.0"/>
        <u/>
      </rPr>
      <t>cohesionib.com/</t>
    </r>
    <r>
      <rPr>
        <rFont val="Calibri"/>
        <color rgb="FF1155CC"/>
        <sz val="12.0"/>
      </rPr>
      <t xml:space="preserve">
</t>
    </r>
  </si>
  <si>
    <t>Coadjute</t>
  </si>
  <si>
    <t>https://angel.co/company/coadjute</t>
  </si>
  <si>
    <t>https://www.crunchbase.com/organization/coadjute</t>
  </si>
  <si>
    <t>https://www.coadjute.com/</t>
  </si>
  <si>
    <t>PadSplit</t>
  </si>
  <si>
    <t>Hospitality, Multifamily, Residential</t>
  </si>
  <si>
    <t>https://angel.co/company/padsplit-2</t>
  </si>
  <si>
    <t>https://www.crunchbase.com/organization/padsplit</t>
  </si>
  <si>
    <t>https://www.padsplit.com/</t>
  </si>
  <si>
    <t>Runwise</t>
  </si>
  <si>
    <t>Residential, Commercial, Industrial</t>
  </si>
  <si>
    <t>https://www.crunchbase.com/organization/heat-watch</t>
  </si>
  <si>
    <t>https://www.runwise.com/</t>
  </si>
  <si>
    <t>Therma</t>
  </si>
  <si>
    <t>https://www.crunchbase.com/organization/hellotherma</t>
  </si>
  <si>
    <t>https://www.hellotherma.com/</t>
  </si>
  <si>
    <t>Osaro</t>
  </si>
  <si>
    <t>Industrial Automation</t>
  </si>
  <si>
    <t>https://angel.co/company/osaro</t>
  </si>
  <si>
    <t>https://www.crunchbase.com/organization/osaro</t>
  </si>
  <si>
    <t>https://www.osaro.com/</t>
  </si>
  <si>
    <t>118 2ND STREET, Suite 200</t>
  </si>
  <si>
    <t xml:space="preserve"> San Francisco</t>
  </si>
  <si>
    <t>Roami</t>
  </si>
  <si>
    <t>https://www.crunchbase.com/organization/sextant-management</t>
  </si>
  <si>
    <t>https://www.roami.com/</t>
  </si>
  <si>
    <t>UpEquity</t>
  </si>
  <si>
    <t>https://www.crunchbase.com/organization/upequity</t>
  </si>
  <si>
    <t>https://www.upequity.com/</t>
  </si>
  <si>
    <t>Exodigo</t>
  </si>
  <si>
    <t>Industrial, Other</t>
  </si>
  <si>
    <t>https://www.crunchbase.com/organization/exodigo</t>
  </si>
  <si>
    <t>https://www.exodigo.com/</t>
  </si>
  <si>
    <t>Propeller</t>
  </si>
  <si>
    <t>https://angel.co/company/propelleraero</t>
  </si>
  <si>
    <t>https://www.crunchbase.com/organization/propeller-aerobotics#section-funding-rounds</t>
  </si>
  <si>
    <t>https://www.propelleraero.com/</t>
  </si>
  <si>
    <t>251 Riley Street, Surry Hills, NSW</t>
  </si>
  <si>
    <t>Neat Capital</t>
  </si>
  <si>
    <t>https://angel.co/company/neatcapital</t>
  </si>
  <si>
    <t>https://www.crunchbase.com/organization/neat-capital-inc</t>
  </si>
  <si>
    <t>https://www.neatcapital.com/</t>
  </si>
  <si>
    <t>Boulder</t>
  </si>
  <si>
    <t>Colorado</t>
  </si>
  <si>
    <t>RentSpree</t>
  </si>
  <si>
    <t>https://angel.co/company/rentspree</t>
  </si>
  <si>
    <t>https://www.crunchbase.com/organization/rentspree-com</t>
  </si>
  <si>
    <t>http://www.rentspree.com/</t>
  </si>
  <si>
    <t>Falkbuilt</t>
  </si>
  <si>
    <t>https://www.crunchbase.com/organization/falkbuilt</t>
  </si>
  <si>
    <t>https://falkbuilt.com/</t>
  </si>
  <si>
    <t>4100 106 Ave SE Unit 2</t>
  </si>
  <si>
    <t>Calgary</t>
  </si>
  <si>
    <t>AB T2C 5B6</t>
  </si>
  <si>
    <t>CasaOne</t>
  </si>
  <si>
    <t>https://angel.co/company/casaone</t>
  </si>
  <si>
    <t>https://www.crunchbase.com/organization/casaone</t>
  </si>
  <si>
    <t>https://www.casaone.com/</t>
  </si>
  <si>
    <t>Emeryville</t>
  </si>
  <si>
    <t>Giraffe360</t>
  </si>
  <si>
    <t>https://angel.co/company/giraffe360</t>
  </si>
  <si>
    <t>https://www.crunchbase.com/organization/giraffe360</t>
  </si>
  <si>
    <t>https://www.giraffe360.com/</t>
  </si>
  <si>
    <t>42-46 Princelet Street, Spitalfields</t>
  </si>
  <si>
    <t>Rive</t>
  </si>
  <si>
    <t>https://www.crunchbase.com/organization/kodit-io</t>
  </si>
  <si>
    <t>https://rivehomes.com/</t>
  </si>
  <si>
    <t>Helsinki</t>
  </si>
  <si>
    <t>Finland</t>
  </si>
  <si>
    <t>Solidia</t>
  </si>
  <si>
    <t>https://www.crunchbase.com/organization/solidia-technologies</t>
  </si>
  <si>
    <t>https://www.solidiatech.com/</t>
  </si>
  <si>
    <t>11 Colonial Drive</t>
  </si>
  <si>
    <t>Piscataway</t>
  </si>
  <si>
    <t>NJ</t>
  </si>
  <si>
    <t>08854</t>
  </si>
  <si>
    <t>SwiftConnect</t>
  </si>
  <si>
    <t>https://www.crunchbase.com/organization/swiftconnect</t>
  </si>
  <si>
    <t>https://swiftconnect.io/</t>
  </si>
  <si>
    <t>Higharc</t>
  </si>
  <si>
    <t>https://angel.co/company/higharc</t>
  </si>
  <si>
    <t>https://www.crunchbase.com/organization/higharc</t>
  </si>
  <si>
    <t>https://www.higharc.com/</t>
  </si>
  <si>
    <t>619 Broad Street</t>
  </si>
  <si>
    <t>27705</t>
  </si>
  <si>
    <t>Unreserved Inc.</t>
  </si>
  <si>
    <t>https://www.crunchbase.com/organization/unreserved</t>
  </si>
  <si>
    <t>https://unreserved.com/</t>
  </si>
  <si>
    <t>Nepean</t>
  </si>
  <si>
    <t>HelloOffice</t>
  </si>
  <si>
    <t>https://angel.co/company/hellooffice</t>
  </si>
  <si>
    <t>crunchbase.com/organization/hellooffice</t>
  </si>
  <si>
    <t>https://www.hellooffice.com</t>
  </si>
  <si>
    <t>26 O'Farrell Street, 2nd Floor</t>
  </si>
  <si>
    <t>SiteAware</t>
  </si>
  <si>
    <t>https://angel.co/company/siteaware</t>
  </si>
  <si>
    <t>https://www.crunchbase.com/organization/dronomy</t>
  </si>
  <si>
    <t>http://www.siteaware.com</t>
  </si>
  <si>
    <t>Tel Aviv-yafo</t>
  </si>
  <si>
    <t>Atheer</t>
  </si>
  <si>
    <t>https://angel.co/company/atheerair</t>
  </si>
  <si>
    <t>https://www.crunchbase.com/organization/atheer</t>
  </si>
  <si>
    <t>https://atheerair.com/</t>
  </si>
  <si>
    <t>2350 Mission College Blvd Suite #1200</t>
  </si>
  <si>
    <t>Pupil</t>
  </si>
  <si>
    <t>https://www.crunchbase.com/organization/pupil</t>
  </si>
  <si>
    <t xml:space="preserve">pupil.co
</t>
  </si>
  <si>
    <t>Euston Tower, 286 Euston Road</t>
  </si>
  <si>
    <t>NW1 3DP</t>
  </si>
  <si>
    <t>Flock Homes</t>
  </si>
  <si>
    <t>https://angel.co/company/flock-homes</t>
  </si>
  <si>
    <t>https://www.crunchbase.com/organization/flock-homes</t>
  </si>
  <si>
    <t>https://www.flockhomes.com/</t>
  </si>
  <si>
    <t>VendorPM</t>
  </si>
  <si>
    <t>https://angel.co/company/vendorpm</t>
  </si>
  <si>
    <t>https://www.crunchbase.com/organization/vendorpm</t>
  </si>
  <si>
    <t>https://vendorpm.com/</t>
  </si>
  <si>
    <t>Tellus</t>
  </si>
  <si>
    <t>https://angel.co/company/tellusapp</t>
  </si>
  <si>
    <t>https://www.crunchbase.com/organization/tellus-d699</t>
  </si>
  <si>
    <t>https://www.tellusapp.com/</t>
  </si>
  <si>
    <t>Logiwa</t>
  </si>
  <si>
    <t>https://angel.co/company/logiwa-1</t>
  </si>
  <si>
    <t>https://www.crunchbase.com/organization/logiwa</t>
  </si>
  <si>
    <t>http://www.logiwa.com/</t>
  </si>
  <si>
    <t>Bridgit</t>
  </si>
  <si>
    <t>https://angel.co/company/bridgit</t>
  </si>
  <si>
    <t>https://www.crunchbase.com/organization/bridgit</t>
  </si>
  <si>
    <t>https://gobridgit.com/</t>
  </si>
  <si>
    <t>Kitchener</t>
  </si>
  <si>
    <t>HeadLight</t>
  </si>
  <si>
    <t>construction</t>
  </si>
  <si>
    <t>https://www.crunchbase.com/organization/pavia-systems#section-overview</t>
  </si>
  <si>
    <t>headlight.com/</t>
  </si>
  <si>
    <t>Energy X</t>
  </si>
  <si>
    <t>https://www.crunchbase.com/organization/energy-x</t>
  </si>
  <si>
    <t>http://energyx.ai/</t>
  </si>
  <si>
    <t>Korea</t>
  </si>
  <si>
    <t>Trusscore</t>
  </si>
  <si>
    <t>https://www.crunchbase.com/organization/trusscore</t>
  </si>
  <si>
    <t>https://trusscore.com/</t>
  </si>
  <si>
    <t>Palmerston</t>
  </si>
  <si>
    <t>Skyline AI</t>
  </si>
  <si>
    <t>https://angel.co/skyline-ai-2</t>
  </si>
  <si>
    <t>https://www.crunchbase.com/organization/skyline-ai#section-overview</t>
  </si>
  <si>
    <t>https://www.skyline.ai/</t>
  </si>
  <si>
    <t>379 W Broadway</t>
  </si>
  <si>
    <t>Spacemaker AI</t>
  </si>
  <si>
    <t>Planning</t>
  </si>
  <si>
    <t>https://angel.co/company/spacemaker-ai</t>
  </si>
  <si>
    <t>https://www.crunchbase.com/organization/spacemaker-ai</t>
  </si>
  <si>
    <t>https://spacemaker.ai/</t>
  </si>
  <si>
    <t>Edvard Storms gate 2, 0166</t>
  </si>
  <si>
    <t>Oslo</t>
  </si>
  <si>
    <t>011h</t>
  </si>
  <si>
    <t>https://angel.co/company/011h</t>
  </si>
  <si>
    <t>https://www.crunchbase.com/organization/011h</t>
  </si>
  <si>
    <t>https://www.011h.com/</t>
  </si>
  <si>
    <t>Rentyl Resorts</t>
  </si>
  <si>
    <t>https://www.crunchbase.com/organization/rentyl-resorts</t>
  </si>
  <si>
    <t>https://rentylresorts.com/</t>
  </si>
  <si>
    <t>Kissimmee</t>
  </si>
  <si>
    <t>75F</t>
  </si>
  <si>
    <t>HVAC</t>
  </si>
  <si>
    <t>https://angel.co/75f</t>
  </si>
  <si>
    <t>https://www.crunchbase.com/organization/75-fahrenheit</t>
  </si>
  <si>
    <t>http://www.75f.io</t>
  </si>
  <si>
    <t>1650 W 82nd St</t>
  </si>
  <si>
    <t>Burnsville</t>
  </si>
  <si>
    <t>MN</t>
  </si>
  <si>
    <t>55337</t>
  </si>
  <si>
    <t>Kumospace</t>
  </si>
  <si>
    <t>https://angel.co/company/kumospace-2</t>
  </si>
  <si>
    <t>https://www.crunchbase.com/organization/kumospace</t>
  </si>
  <si>
    <t>https://www.kumospace.com/</t>
  </si>
  <si>
    <t>Long Island City</t>
  </si>
  <si>
    <t>Patch of Land</t>
  </si>
  <si>
    <t>https://angel.co/company/patch-of-land</t>
  </si>
  <si>
    <t>https://www.crunchbase.com/organization/patch-of-land</t>
  </si>
  <si>
    <t>http://patchofland.com/</t>
  </si>
  <si>
    <t>15000 Ventura Blvd, Suite 300</t>
  </si>
  <si>
    <t>Sherman Oaks</t>
  </si>
  <si>
    <t>91403</t>
  </si>
  <si>
    <t>Gridium</t>
  </si>
  <si>
    <t>Enterprise Software</t>
  </si>
  <si>
    <t>https://angel.co/company/gridium</t>
  </si>
  <si>
    <t>https://www.crunchbase.com/organization/gridium</t>
  </si>
  <si>
    <t>https://gridium.com/</t>
  </si>
  <si>
    <t>USA</t>
  </si>
  <si>
    <t>SiteMinder</t>
  </si>
  <si>
    <t>https://angel.co/company/siteminder</t>
  </si>
  <si>
    <t>https://www.crunchbase.com/organization/siteminder</t>
  </si>
  <si>
    <t>www.siteminder.com/</t>
  </si>
  <si>
    <t xml:space="preserve">Ground Floor, 88 Cumberland Street </t>
  </si>
  <si>
    <t>NSW 2000</t>
  </si>
  <si>
    <t>Unacast Now</t>
  </si>
  <si>
    <t>https://angel.co/company/unacast</t>
  </si>
  <si>
    <t>https://www.crunchbase.com/organization/unacast</t>
  </si>
  <si>
    <t>https://www.unacast.com/now</t>
  </si>
  <si>
    <t>Canvas Construction</t>
  </si>
  <si>
    <t>https://angel.co/company/canvas-construction</t>
  </si>
  <si>
    <t>https://www.crunchbase.com/organization/canvas-ed06</t>
  </si>
  <si>
    <t>https://canvas.build/</t>
  </si>
  <si>
    <t>376 Utah Street</t>
  </si>
  <si>
    <t>Nomad Homes</t>
  </si>
  <si>
    <t>https://www.crunchbase.com/organization/nomad-homes</t>
  </si>
  <si>
    <t>https://nomadhomes.co/</t>
  </si>
  <si>
    <t>WiredScore</t>
  </si>
  <si>
    <t>Connectivity</t>
  </si>
  <si>
    <t>https://angel.co/wiredscore</t>
  </si>
  <si>
    <t>https://www.crunchbase.com/organization/wiredscore</t>
  </si>
  <si>
    <t>https://wiredscore.com/en/</t>
  </si>
  <si>
    <t>494 Broadway</t>
  </si>
  <si>
    <t>Knock CRM</t>
  </si>
  <si>
    <t>CRM</t>
  </si>
  <si>
    <t>https://angel.co/company/knock-3</t>
  </si>
  <si>
    <t>https://www.crunchbase.com/organization/knock-rentals</t>
  </si>
  <si>
    <t>https://www.knockcrm.com</t>
  </si>
  <si>
    <t>Myne</t>
  </si>
  <si>
    <t>https://www.crunchbase.com/organization/myne-homes</t>
  </si>
  <si>
    <t>https://www.myne-homes.de/</t>
  </si>
  <si>
    <t>Freemodel</t>
  </si>
  <si>
    <t>https://www.crunchbase.com/organization/freemodel</t>
  </si>
  <si>
    <t>https://www.freemodel.com/</t>
  </si>
  <si>
    <t>Casai</t>
  </si>
  <si>
    <t>https://www.crunchbase.com/organization/casai</t>
  </si>
  <si>
    <t>https://casai.com/</t>
  </si>
  <si>
    <t>Mexico City</t>
  </si>
  <si>
    <t>Distrito Capital</t>
  </si>
  <si>
    <t>Mexico</t>
  </si>
  <si>
    <t>Taliance</t>
  </si>
  <si>
    <t>https://angel.co/company/taliance</t>
  </si>
  <si>
    <t>https://www.crunchbase.com/organization/taliance</t>
  </si>
  <si>
    <t>https://taliance.com/</t>
  </si>
  <si>
    <t>23 Rue Daviel</t>
  </si>
  <si>
    <t>75013</t>
  </si>
  <si>
    <t>Altus</t>
  </si>
  <si>
    <t>Milo</t>
  </si>
  <si>
    <t>https://www.crunchbase.com/organization/milo-credit</t>
  </si>
  <si>
    <t>https://www.milocredit.com/</t>
  </si>
  <si>
    <t>Project Solar</t>
  </si>
  <si>
    <t>https://www.crunchbase.com/organization/project-solar</t>
  </si>
  <si>
    <t>https://projectsolar.io/</t>
  </si>
  <si>
    <t>Lehi,</t>
  </si>
  <si>
    <t>Blokable</t>
  </si>
  <si>
    <t>Construction, Multifamily</t>
  </si>
  <si>
    <t>https://angel.co/company/blokable</t>
  </si>
  <si>
    <t>https://www.crunchbase.com/organization/blokable-inc</t>
  </si>
  <si>
    <t>http://www.blokable.com/</t>
  </si>
  <si>
    <t>1750 Creekside Oaks Drive 
Suite 130</t>
  </si>
  <si>
    <t>Sacramento</t>
  </si>
  <si>
    <t>95833</t>
  </si>
  <si>
    <t>Rhumbix</t>
  </si>
  <si>
    <t>https://angel.co/company/rhumbix</t>
  </si>
  <si>
    <t>https://www.crunchbase.com/organization/rhumbix</t>
  </si>
  <si>
    <t>https://www.rhumbix.com/</t>
  </si>
  <si>
    <t>Bumblebee Spaces</t>
  </si>
  <si>
    <t>https://angel.co/company/bumblebee-spaces</t>
  </si>
  <si>
    <t>https://www.crunchbase.com/organization/bumblebee-spaces</t>
  </si>
  <si>
    <t>https://bumblebeespaces.com</t>
  </si>
  <si>
    <t>Bellman</t>
  </si>
  <si>
    <t>https://www.crunchbase.com/organization/bellman-immo</t>
  </si>
  <si>
    <t>https://bellman.immo/</t>
  </si>
  <si>
    <t>Truss</t>
  </si>
  <si>
    <t>Tenant Rep</t>
  </si>
  <si>
    <t>https://angel.co/company/truss-holdings-2</t>
  </si>
  <si>
    <t>https://www.crunchbase.com/organization/truss#section-overview</t>
  </si>
  <si>
    <t>www.truss.co/</t>
  </si>
  <si>
    <t>500 Lake Cook Road, Suite 350</t>
  </si>
  <si>
    <t>Deerfield</t>
  </si>
  <si>
    <t>60015</t>
  </si>
  <si>
    <t>2nd Address</t>
  </si>
  <si>
    <t>Hospitality, Multifamily</t>
  </si>
  <si>
    <t>https://angel.co/company/2ndaddress</t>
  </si>
  <si>
    <t>https://www.crunchbase.com/organization/2ndaddress</t>
  </si>
  <si>
    <t>http://www.2ndaddress.com/</t>
  </si>
  <si>
    <t>703 Market Street, 18th Floor, San Francisco, CA 94103</t>
  </si>
  <si>
    <t>OnSiteIQ</t>
  </si>
  <si>
    <t>https://angel.co/company/onsiteiq</t>
  </si>
  <si>
    <t>https://www.crunchbase.com/organization/onsiteiq</t>
  </si>
  <si>
    <t>https://www.onsiteiq.io/</t>
  </si>
  <si>
    <t>335 Madison Ave 4th Floor</t>
  </si>
  <si>
    <t>JetClosing</t>
  </si>
  <si>
    <t>Closing</t>
  </si>
  <si>
    <t>https://angel.co/jet-closing</t>
  </si>
  <si>
    <t>https://www.crunchbase.com/organization/jetclosing#section-overview</t>
  </si>
  <si>
    <t>https://www.jetclosing.com/</t>
  </si>
  <si>
    <t>Staircase</t>
  </si>
  <si>
    <t>https://angel.co/company/staircase-2</t>
  </si>
  <si>
    <t>https://www.crunchbase.com/organization/staircase-fb11</t>
  </si>
  <si>
    <t>https://www.staircase.co/</t>
  </si>
  <si>
    <t>Iotium</t>
  </si>
  <si>
    <t>IoT</t>
  </si>
  <si>
    <t>Industrial, Office, Other</t>
  </si>
  <si>
    <t>https://angel.co/iotium</t>
  </si>
  <si>
    <t>https://www.crunchbase.com/organization/iotium</t>
  </si>
  <si>
    <t>iotium.io/</t>
  </si>
  <si>
    <t>3900 Freedom Circle</t>
  </si>
  <si>
    <t xml:space="preserve">California </t>
  </si>
  <si>
    <t>Lex Markets</t>
  </si>
  <si>
    <t>Investing</t>
  </si>
  <si>
    <t>https://angel.co/company/lexmarkets</t>
  </si>
  <si>
    <t xml:space="preserve">https://www.crunchbase.com/organization/landwright#section-funding-rounds
</t>
  </si>
  <si>
    <t>https://www.lex-markets.com/</t>
  </si>
  <si>
    <t>25 W 39th St 7th Floor</t>
  </si>
  <si>
    <t>Rondo Energy</t>
  </si>
  <si>
    <t>https://www.crunchbase.com/organization/rondo-energy</t>
  </si>
  <si>
    <t>https://www.rondo.energy/</t>
  </si>
  <si>
    <t>TestFit</t>
  </si>
  <si>
    <t>https://angel.co/company/testfit</t>
  </si>
  <si>
    <t>https://www.crunchbase.com/organization/testfit</t>
  </si>
  <si>
    <t>https://testfit.io/</t>
  </si>
  <si>
    <t>GlobalFair</t>
  </si>
  <si>
    <t>https://angel.co/company/globalfair-1</t>
  </si>
  <si>
    <t>https://www.crunchbase.com/organization/globalfair</t>
  </si>
  <si>
    <t>https://www.myglobalfair.com/</t>
  </si>
  <si>
    <t>Effy</t>
  </si>
  <si>
    <t>https://www.crunchbase.com/organization/effy-502c</t>
  </si>
  <si>
    <t>http://www.effy.fr/</t>
  </si>
  <si>
    <t>Evernest</t>
  </si>
  <si>
    <t>https://www.crunchbase.com/organization/evernest</t>
  </si>
  <si>
    <t>https://www.evernest.com/de/</t>
  </si>
  <si>
    <t>Hamburg</t>
  </si>
  <si>
    <t>Hightower (VTS)</t>
  </si>
  <si>
    <t>https://angel.co/hightower</t>
  </si>
  <si>
    <t>https://www.crunchbase.com/organization/hightower</t>
  </si>
  <si>
    <t>http://www.gethightower.com/</t>
  </si>
  <si>
    <t>176 Grand St.</t>
  </si>
  <si>
    <t>Manhattan</t>
  </si>
  <si>
    <t>Appear Here</t>
  </si>
  <si>
    <t>https://angel.co/company/appear-here</t>
  </si>
  <si>
    <t>https://www.crunchbase.com/organization/appear-here</t>
  </si>
  <si>
    <t>https://www.appearhere.us</t>
  </si>
  <si>
    <t>Nomad Labs</t>
  </si>
  <si>
    <t>https://www.crunchbase.com/organization/nomad-7447</t>
  </si>
  <si>
    <t>https://nomadlease.com/</t>
  </si>
  <si>
    <t>2911 Walnut St.</t>
  </si>
  <si>
    <t>Blue Frontier</t>
  </si>
  <si>
    <t>https://www.crunchbase.com/organization/blue-frontier</t>
  </si>
  <si>
    <t>https://bluefrontierac.com/</t>
  </si>
  <si>
    <t>Fort Lauderdale</t>
  </si>
  <si>
    <t>2018</t>
  </si>
  <si>
    <t>Codi</t>
  </si>
  <si>
    <t>https://angel.co/company/codi</t>
  </si>
  <si>
    <t>https://www.crunchbase.com/organization/codi-2000</t>
  </si>
  <si>
    <t>https://www.codi.com/</t>
  </si>
  <si>
    <t>Credifi</t>
  </si>
  <si>
    <t xml:space="preserve"> Commercial Real Estate</t>
  </si>
  <si>
    <t>https://angel.co/company/credifi-2</t>
  </si>
  <si>
    <t>https://www.crunchbase.com/organization/credifi</t>
  </si>
  <si>
    <t>https://www.credifi.com/</t>
  </si>
  <si>
    <t>417 Fifth Avenue
8th Floor
New York, NY 10016</t>
  </si>
  <si>
    <t>10016</t>
  </si>
  <si>
    <t>Leko Labs</t>
  </si>
  <si>
    <t>https://www.crunchbase.com/organization/leko-labs</t>
  </si>
  <si>
    <t>https://lekolabs.com/</t>
  </si>
  <si>
    <t>Foetz</t>
  </si>
  <si>
    <t>Luxembourg</t>
  </si>
  <si>
    <t>Aro Homes</t>
  </si>
  <si>
    <t>https://www.crunchbase.com/organization/aro-homes</t>
  </si>
  <si>
    <t>https://www.aro.homes/</t>
  </si>
  <si>
    <t>Service 1st Financial</t>
  </si>
  <si>
    <t>https://www.crunchbase.com/organization/service-1st-financial</t>
  </si>
  <si>
    <t>https://www.service1stfinancial.com/</t>
  </si>
  <si>
    <t>6900 Wisconsin Ave., Suite 200</t>
  </si>
  <si>
    <t>Bethesda</t>
  </si>
  <si>
    <t>20815</t>
  </si>
  <si>
    <t>Casafari</t>
  </si>
  <si>
    <t>https://angel.co/company/casafari</t>
  </si>
  <si>
    <t>https://www.crunchbase.com/organization/casafari</t>
  </si>
  <si>
    <t>https://www.casafari.com/</t>
  </si>
  <si>
    <t>67 Rua Luz Soriano</t>
  </si>
  <si>
    <t>Lisbon</t>
  </si>
  <si>
    <t>Portugal</t>
  </si>
  <si>
    <t>Blooma</t>
  </si>
  <si>
    <t>https://www.crunchbase.com/organization/blooma</t>
  </si>
  <si>
    <t>https://blooma.ai/</t>
  </si>
  <si>
    <t>3770 Tansy St</t>
  </si>
  <si>
    <t>92121</t>
  </si>
  <si>
    <t>Urban Umbrella</t>
  </si>
  <si>
    <t>https://angel.co/company/urban-umbrella</t>
  </si>
  <si>
    <t>https://www.crunchbase.com/organization/urban-umbrella</t>
  </si>
  <si>
    <t>https://www.urbanumbrella.com/</t>
  </si>
  <si>
    <t>195 Broadway</t>
  </si>
  <si>
    <t>10007</t>
  </si>
  <si>
    <t>Property Meld</t>
  </si>
  <si>
    <t>https://wellfound.com/company/property-meld</t>
  </si>
  <si>
    <t>https://www.crunchbase.com/organization/property-meld</t>
  </si>
  <si>
    <t>http://www.propertymeld.com/</t>
  </si>
  <si>
    <t>Rapid city</t>
  </si>
  <si>
    <t>SD</t>
  </si>
  <si>
    <t>FrontDesk</t>
  </si>
  <si>
    <t>https://angel.co/company/stayfrontdesk</t>
  </si>
  <si>
    <t>https://www.crunchbase.com/organization/frontdesk</t>
  </si>
  <si>
    <t>http://www.stayfrontdesk.com/</t>
  </si>
  <si>
    <t>Milwaukee</t>
  </si>
  <si>
    <t>WI</t>
  </si>
  <si>
    <t>OwnUp</t>
  </si>
  <si>
    <t>https://angel.co/company/ownup</t>
  </si>
  <si>
    <t>https://www.crunchbase.com/organization/rategravity</t>
  </si>
  <si>
    <t>https://www.ownup.com/</t>
  </si>
  <si>
    <t>21 Union St</t>
  </si>
  <si>
    <t>02108</t>
  </si>
  <si>
    <t>Dongnae</t>
  </si>
  <si>
    <t>https://www.crunchbase.com/organization/dongnae</t>
  </si>
  <si>
    <t>https://dongnae.com/en</t>
  </si>
  <si>
    <t>Woltair</t>
  </si>
  <si>
    <t>https://www.crunchbase.com/organization/topite</t>
  </si>
  <si>
    <t>https://www.woltair.cz/</t>
  </si>
  <si>
    <t>Prague</t>
  </si>
  <si>
    <t>Czech Republic</t>
  </si>
  <si>
    <t>ChargeLab</t>
  </si>
  <si>
    <t>https://www.crunchbase.com/organization/chargelab</t>
  </si>
  <si>
    <t>https://www.chargelab.co/</t>
  </si>
  <si>
    <t>ChargerHelp</t>
  </si>
  <si>
    <t>https://wellfound.com/company/chargerhelp-2</t>
  </si>
  <si>
    <t>https://www.crunchbase.com/organization/chargerhelp</t>
  </si>
  <si>
    <t>http://www.chargerhelp.com/</t>
  </si>
  <si>
    <t>Deako</t>
  </si>
  <si>
    <t>https://angel.co/company/deako</t>
  </si>
  <si>
    <t>https://www.crunchbase.com/organization/deako</t>
  </si>
  <si>
    <t>https://www.deako.com/</t>
  </si>
  <si>
    <t>BoomTown!</t>
  </si>
  <si>
    <t>https://angel.co/company/boomtown-roi</t>
  </si>
  <si>
    <t>https://www.crunchbase.com/organization/boomtown</t>
  </si>
  <si>
    <t>https://boomtownroi.com</t>
  </si>
  <si>
    <t>South California</t>
  </si>
  <si>
    <t>Aloft Appraisal</t>
  </si>
  <si>
    <t>https://angel.co/company/aloft-appraisal</t>
  </si>
  <si>
    <t>https://www.crunchbase.com/organization/aloft-appraisal</t>
  </si>
  <si>
    <t>https://aloftappraisal.com/</t>
  </si>
  <si>
    <t>AvidXchange</t>
  </si>
  <si>
    <t>https://angel.co/company/avidxchange-inc</t>
  </si>
  <si>
    <t>https://www.crunchbase.com/organization/avidxchange</t>
  </si>
  <si>
    <t>https://www.avidxchange.com/</t>
  </si>
  <si>
    <t>North Carolina</t>
  </si>
  <si>
    <t>Cityzenith</t>
  </si>
  <si>
    <t>https://angel.co/company/cityzenith-2</t>
  </si>
  <si>
    <t>https://www.crunchbase.com/organization/cityzenith</t>
  </si>
  <si>
    <t>https://cityzenith.com/</t>
  </si>
  <si>
    <t>2506 N. Clark Street Suite #235</t>
  </si>
  <si>
    <t>Illinois</t>
  </si>
  <si>
    <t>Enverid</t>
  </si>
  <si>
    <t>https://www.crunchbase.com/organization/enverid</t>
  </si>
  <si>
    <t>https://www.enverid.com/</t>
  </si>
  <si>
    <t>21 Southwest Park</t>
  </si>
  <si>
    <t>Westwood</t>
  </si>
  <si>
    <t>02090</t>
  </si>
  <si>
    <t>Saltmine</t>
  </si>
  <si>
    <t>https://www.crunchbase.com/organization/saltmine</t>
  </si>
  <si>
    <t>https://www.saltmine.com/</t>
  </si>
  <si>
    <t>Staykeepers</t>
  </si>
  <si>
    <t>https://angel.co/company/staykeepers</t>
  </si>
  <si>
    <t>https://www.crunchbase.com/organization/staykeepers</t>
  </si>
  <si>
    <t>https://www.staykeepers.com/</t>
  </si>
  <si>
    <t>ThoughtWire</t>
  </si>
  <si>
    <t>https://angel.co/company/thoughtwire-5</t>
  </si>
  <si>
    <t>https://www.crunchbase.com/organization/thoughtwire-corp</t>
  </si>
  <si>
    <t>https://www.thoughtwire.com/</t>
  </si>
  <si>
    <t>Able</t>
  </si>
  <si>
    <t>https://able.ai/</t>
  </si>
  <si>
    <t>BidMyListing</t>
  </si>
  <si>
    <t>https://www.crunchbase.com/organization/bidmylisting</t>
  </si>
  <si>
    <t>https://www.bidmylisting.com/</t>
  </si>
  <si>
    <t>Newport Beach</t>
  </si>
  <si>
    <t>92660</t>
  </si>
  <si>
    <t>Cleartrace</t>
  </si>
  <si>
    <t>https://www.crunchbase.com/organization/cleartrace</t>
  </si>
  <si>
    <t>https://cleartrace.io/</t>
  </si>
  <si>
    <t>Common Grounds</t>
  </si>
  <si>
    <t>https://www.crunchbase.com/organization/common-ground-8b0d</t>
  </si>
  <si>
    <t>https://www.commonground.work/</t>
  </si>
  <si>
    <t>Kuala Lumpur</t>
  </si>
  <si>
    <t>Malaysia</t>
  </si>
  <si>
    <t>Flueid</t>
  </si>
  <si>
    <t>https://angel.co/company/flueid</t>
  </si>
  <si>
    <t>https://www.crunchbase.com/organization/flueid</t>
  </si>
  <si>
    <t>https://flueid.com/</t>
  </si>
  <si>
    <t>Numa</t>
  </si>
  <si>
    <t>https://www.crunchbase.com/organization/cosi-hospitality</t>
  </si>
  <si>
    <t>https://numastays.com/</t>
  </si>
  <si>
    <t>Stonal</t>
  </si>
  <si>
    <t>https://www.crunchbase.com/organization/la-fonciere-numerique</t>
  </si>
  <si>
    <t>https://stonal.com/</t>
  </si>
  <si>
    <t>Aerwave</t>
  </si>
  <si>
    <t>https://angel.co/company/aerwave</t>
  </si>
  <si>
    <t>https://www.crunchbase.com/organization/aerwave</t>
  </si>
  <si>
    <t>http://www.aerwave.io/</t>
  </si>
  <si>
    <t>2919 Commerce Street 
Suite 626</t>
  </si>
  <si>
    <t>Texas</t>
  </si>
  <si>
    <t>75226</t>
  </si>
  <si>
    <t>Reasonai</t>
  </si>
  <si>
    <t>https://www.crunchbase.com/organization/resonai</t>
  </si>
  <si>
    <t>http://www.resonai.com/</t>
  </si>
  <si>
    <t>Building Robotics</t>
  </si>
  <si>
    <t>https://angel.co/company/building-robotics</t>
  </si>
  <si>
    <t>https://www.crunchbase.com/organization/building-robotics</t>
  </si>
  <si>
    <t>http://buildingrobotics.com/</t>
  </si>
  <si>
    <t>Comfy</t>
  </si>
  <si>
    <t>https://angel.co/building-robotics</t>
  </si>
  <si>
    <t>https://www.crunchbase.com/organization/building-robotics#section-overview</t>
  </si>
  <si>
    <t>https://www.comfyapp.com/</t>
  </si>
  <si>
    <t>Siemens</t>
  </si>
  <si>
    <t>Yardlink</t>
  </si>
  <si>
    <t>https://www.crunchbase.com/organization/yardlynk</t>
  </si>
  <si>
    <t>https://yardlink.com/</t>
  </si>
  <si>
    <t>Latchel</t>
  </si>
  <si>
    <t>https://angel.co/company/latchel</t>
  </si>
  <si>
    <t>https://www.crunchbase.com/organization/latchel</t>
  </si>
  <si>
    <t>https://latchel.com/</t>
  </si>
  <si>
    <t>Yotta Energy</t>
  </si>
  <si>
    <t>https://www.crunchbase.com/organization/yotta-solar</t>
  </si>
  <si>
    <t>https://www.yottaenergy.com/</t>
  </si>
  <si>
    <t>Canopy</t>
  </si>
  <si>
    <t>https://angel.co/company/canopy-42</t>
  </si>
  <si>
    <t>https://www.crunchbase.com/organization/canopy-cloud</t>
  </si>
  <si>
    <t>http://www.canopy.cloud/</t>
  </si>
  <si>
    <t>151 Chin Swee Road 
Manhattan House Number 04-08</t>
  </si>
  <si>
    <t>169876</t>
  </si>
  <si>
    <t>Kewazo</t>
  </si>
  <si>
    <t>https://wellfound.com/company/kewazo</t>
  </si>
  <si>
    <t>https://www.crunchbase.com/organization/kewazo</t>
  </si>
  <si>
    <t>http://www.kewazo.com/</t>
  </si>
  <si>
    <t>Bayern</t>
  </si>
  <si>
    <t>Unyoked</t>
  </si>
  <si>
    <t>https://wellfound.com/company/unyoked</t>
  </si>
  <si>
    <t>https://www.crunchbase.com/organization/unyoked</t>
  </si>
  <si>
    <t>http://www.unyoked.co/</t>
  </si>
  <si>
    <t>Airside</t>
  </si>
  <si>
    <t>https://www.crunchbase.com/organization/airside-mobile</t>
  </si>
  <si>
    <t>https://airsidemobile.com/</t>
  </si>
  <si>
    <t>Arlington</t>
  </si>
  <si>
    <t>Asset Avenue</t>
  </si>
  <si>
    <t>https://angel.co/company/assetavenue</t>
  </si>
  <si>
    <t>https://www.crunchbase.com/organization/assetavenue</t>
  </si>
  <si>
    <t>http://assetavenue.com/</t>
  </si>
  <si>
    <t>LA</t>
  </si>
  <si>
    <t>Wheelhouse</t>
  </si>
  <si>
    <t>Furniture</t>
  </si>
  <si>
    <t>https://angel.co/usewheelhouse</t>
  </si>
  <si>
    <t>https://www.crunchbase.com/organization/usewheelhouse</t>
  </si>
  <si>
    <t>www.usewheelhouse.com/</t>
  </si>
  <si>
    <t>77 Maiden Ln</t>
  </si>
  <si>
    <t>Azibo</t>
  </si>
  <si>
    <t>https://www.crunchbase.com/organization/azibo</t>
  </si>
  <si>
    <t>https://azibo.com/</t>
  </si>
  <si>
    <t>Reno</t>
  </si>
  <si>
    <t>NV</t>
  </si>
  <si>
    <t>Converge.io</t>
  </si>
  <si>
    <t>https://www.crunchbase.com/organization/converge-2</t>
  </si>
  <si>
    <t>https://www.converge.io/</t>
  </si>
  <si>
    <t>Darwin</t>
  </si>
  <si>
    <t>https://angel.co/company/darwin-14</t>
  </si>
  <si>
    <t>https://www.darwinhomes.com</t>
  </si>
  <si>
    <t>Pagaya</t>
  </si>
  <si>
    <t>Mapxus</t>
  </si>
  <si>
    <t>https://www.crunchbase.com/organization/mapxus</t>
  </si>
  <si>
    <t>http://www.mapxus.com/</t>
  </si>
  <si>
    <t>Hong Kong</t>
  </si>
  <si>
    <t>China</t>
  </si>
  <si>
    <t>Roofit.Solar</t>
  </si>
  <si>
    <t>https://www.crunchbase.com/organization/roofit-solar</t>
  </si>
  <si>
    <t>https://roofit.solar/</t>
  </si>
  <si>
    <t>Tallinn</t>
  </si>
  <si>
    <t>Estonia</t>
  </si>
  <si>
    <t>LiquidSpace</t>
  </si>
  <si>
    <t>https://angel.co/company/liquidspace</t>
  </si>
  <si>
    <t>https://www.crunchbase.com/organization/liquidspace</t>
  </si>
  <si>
    <t>https://liquidspace.com/</t>
  </si>
  <si>
    <t>Allthings</t>
  </si>
  <si>
    <t>Communication</t>
  </si>
  <si>
    <t>https://angel.co/allthings_here</t>
  </si>
  <si>
    <t>https://www.crunchbase.com/organization/allthings#section-overview</t>
  </si>
  <si>
    <t>https://www.allthings.me/de</t>
  </si>
  <si>
    <t>Basel</t>
  </si>
  <si>
    <t>Bowery</t>
  </si>
  <si>
    <t>Appraisal</t>
  </si>
  <si>
    <t>https://angel.co/bowery-real-estate-systems</t>
  </si>
  <si>
    <t>https://www.crunchbase.com/organization/bowery-2</t>
  </si>
  <si>
    <t>https://boweryres.com/</t>
  </si>
  <si>
    <t>MetaProp</t>
  </si>
  <si>
    <t>NavigatorCRE</t>
  </si>
  <si>
    <t>https://www.crunchbase.com/organization/navigator-cre</t>
  </si>
  <si>
    <t>www.navigatorcre.com/</t>
  </si>
  <si>
    <t>500 Union Street</t>
  </si>
  <si>
    <t>​Seattle</t>
  </si>
  <si>
    <t xml:space="preserve">WA </t>
  </si>
  <si>
    <t>Atmos</t>
  </si>
  <si>
    <t>https://angel.co/company/atmosxr</t>
  </si>
  <si>
    <t>https://www.crunchbase.com/organization/atmos-506c</t>
  </si>
  <si>
    <t>https://www.buildatmos.com/</t>
  </si>
  <si>
    <t>Cottage</t>
  </si>
  <si>
    <t>https://www.crunchbase.com/organization/cottage</t>
  </si>
  <si>
    <t>https://www.cotta.ge/</t>
  </si>
  <si>
    <t>Fora Travel</t>
  </si>
  <si>
    <t>https://angel.co/company/fora-travel</t>
  </si>
  <si>
    <t>https://www.crunchbase.com/organization/fora-9ac3</t>
  </si>
  <si>
    <t>https://www.foratravel.com/</t>
  </si>
  <si>
    <t>Homelike</t>
  </si>
  <si>
    <t>Marketplace</t>
  </si>
  <si>
    <t>https://angel.co/homelike</t>
  </si>
  <si>
    <t>https://www.crunchbase.com/organization/homelike#section-overview</t>
  </si>
  <si>
    <t>https://www.thehomelike.com/en/</t>
  </si>
  <si>
    <t>Cologne</t>
  </si>
  <si>
    <t>Squarefoot</t>
  </si>
  <si>
    <t>https://angel.co/thesquarefoot</t>
  </si>
  <si>
    <t>https://www.crunchbase.com/organization/thesquarefoot</t>
  </si>
  <si>
    <t>https://www.squarefoot.com/</t>
  </si>
  <si>
    <t>115 W 30th St Suite #900</t>
  </si>
  <si>
    <t>Proxyclick</t>
  </si>
  <si>
    <t>https://angel.co/company/proxyclick-1</t>
  </si>
  <si>
    <t>https://www.crunchbase.com/organization/proxyclick#section-overview</t>
  </si>
  <si>
    <t xml:space="preserve">www.proxyclick.com
</t>
  </si>
  <si>
    <t>1177 Avenue of the Americas, 7th floor</t>
  </si>
  <si>
    <t xml:space="preserve"> 10036</t>
  </si>
  <si>
    <t>Intelligent City</t>
  </si>
  <si>
    <t>https://www.crunchbase.com/organization/intelligent-city</t>
  </si>
  <si>
    <t>http://www.intelligent-city.com/</t>
  </si>
  <si>
    <t>3353 West 4th Avenue</t>
  </si>
  <si>
    <t>V6R 1N6</t>
  </si>
  <si>
    <t>Propy</t>
  </si>
  <si>
    <t>Blockchain</t>
  </si>
  <si>
    <t>https://angel.co/propy-2</t>
  </si>
  <si>
    <t>https://www.crunchbase.com/organization/propy</t>
  </si>
  <si>
    <t>www.propy.com/</t>
  </si>
  <si>
    <t>644 Emerson St</t>
  </si>
  <si>
    <t>94301</t>
  </si>
  <si>
    <t>ActionIQ</t>
  </si>
  <si>
    <t>https://angel.co/company/actioniq</t>
  </si>
  <si>
    <t>https://www.crunchbase.com/organization/actioniq</t>
  </si>
  <si>
    <t>https://www.actioniq.com/</t>
  </si>
  <si>
    <t>Avenue 8</t>
  </si>
  <si>
    <t>https://angel.co/company/avenue-8-2</t>
  </si>
  <si>
    <t>https://www.crunchbase.com/organization/avenue-8</t>
  </si>
  <si>
    <t>https://www.avenue8.com/</t>
  </si>
  <si>
    <t>94133</t>
  </si>
  <si>
    <t>Tripalink</t>
  </si>
  <si>
    <t>auto service community</t>
  </si>
  <si>
    <t>https://angel.co/company/tripalink-2</t>
  </si>
  <si>
    <t>https://www.crunchbase.com/organization/tripalink#section-overview</t>
  </si>
  <si>
    <t>https://www.tripalink.com/</t>
  </si>
  <si>
    <t>2905 Vermont Ave #208</t>
  </si>
  <si>
    <t>90007</t>
  </si>
  <si>
    <t>Selfbook</t>
  </si>
  <si>
    <t>https://www.crunchbase.com/organization/six-travel</t>
  </si>
  <si>
    <t>https://selfbook.com/</t>
  </si>
  <si>
    <t>Prince</t>
  </si>
  <si>
    <t>Tour24</t>
  </si>
  <si>
    <t>https://www.crunchbase.com/organization/tour24</t>
  </si>
  <si>
    <t>https://tour24now.com/</t>
  </si>
  <si>
    <t>Medfield</t>
  </si>
  <si>
    <t>Virgil</t>
  </si>
  <si>
    <t>https://www.crunchbase.com/organization/virgil-33ce</t>
  </si>
  <si>
    <t>https://www.wearevirgil.com/</t>
  </si>
  <si>
    <t>ClosetBox</t>
  </si>
  <si>
    <t>https://angel.co/closetbox</t>
  </si>
  <si>
    <t>https://www.crunchbase.com/organization/closetbox</t>
  </si>
  <si>
    <t>https://www.closetbox.com/</t>
  </si>
  <si>
    <t>VivaCity</t>
  </si>
  <si>
    <t>https://wellfound.com/company/vivacity-labs</t>
  </si>
  <si>
    <t>https://www.crunchbase.com/organization/vivacity-labs</t>
  </si>
  <si>
    <t>https://vivacitylabs.com/</t>
  </si>
  <si>
    <t>Everyscape</t>
  </si>
  <si>
    <t>https://www.crunchbase.com/organization/everyscape#section-overview</t>
  </si>
  <si>
    <t>http://www.everyscape.com/</t>
  </si>
  <si>
    <t>Doorvest</t>
  </si>
  <si>
    <t>https://angel.co/company/doorvest</t>
  </si>
  <si>
    <t>https://www.crunchbase.com/organization/doorvest</t>
  </si>
  <si>
    <t>https://doorvest.com/</t>
  </si>
  <si>
    <t>Splitero</t>
  </si>
  <si>
    <t>https://www.crunchbase.com/organization/splitero</t>
  </si>
  <si>
    <t>https://splitero.com/</t>
  </si>
  <si>
    <t>Fuergy</t>
  </si>
  <si>
    <t>https://www.crunchbase.com/organization/fuergy</t>
  </si>
  <si>
    <t>https://www.fuergy.com/</t>
  </si>
  <si>
    <t>Bratislava</t>
  </si>
  <si>
    <t>Slovakia</t>
  </si>
  <si>
    <t>42Floors</t>
  </si>
  <si>
    <t>https://angel.co/42floors</t>
  </si>
  <si>
    <t>https://www.crunchbase.com/organization/42floors</t>
  </si>
  <si>
    <t>https://42floors.com/us/ga/atlanta</t>
  </si>
  <si>
    <t>100 Waller St #236.</t>
  </si>
  <si>
    <t>Knotel</t>
  </si>
  <si>
    <t>Social Construct</t>
  </si>
  <si>
    <t>https://angel.co/company/social-construct-1</t>
  </si>
  <si>
    <t>https://www.crunchbase.com/organization/social-construct-company</t>
  </si>
  <si>
    <r>
      <rPr>
        <rFont val="Calibri"/>
        <color rgb="FF1155CC"/>
        <sz val="12.0"/>
        <u/>
      </rPr>
      <t>https://www.socialconstructco.com/</t>
    </r>
    <r>
      <rPr>
        <rFont val="Calibri"/>
        <color rgb="FF1155CC"/>
        <sz val="12.0"/>
        <u/>
      </rPr>
      <t xml:space="preserve">
</t>
    </r>
  </si>
  <si>
    <t>BuildingOS</t>
  </si>
  <si>
    <t>https://angel.co/company/lucid</t>
  </si>
  <si>
    <t>https://www.crunchbase.com/organization/lucid-design-group</t>
  </si>
  <si>
    <t>https://lucidconnects.com/solutions</t>
  </si>
  <si>
    <t>Bowery Valuation</t>
  </si>
  <si>
    <t>https://angel.co/company/bowery-real-estate-systems</t>
  </si>
  <si>
    <t>https://www.boweryvaluation.com/</t>
  </si>
  <si>
    <t>REEF</t>
  </si>
  <si>
    <t>https://www.crunchbase.com/organization/reef-technology</t>
  </si>
  <si>
    <t>https://reeftechnology.com/</t>
  </si>
  <si>
    <t>601 Brickell Key Dr</t>
  </si>
  <si>
    <t>Florida</t>
  </si>
  <si>
    <t>33131</t>
  </si>
  <si>
    <t>Zerv</t>
  </si>
  <si>
    <t>https://www.crunchbase.com/organization/zerv</t>
  </si>
  <si>
    <t>https://www.zervaccess.com/</t>
  </si>
  <si>
    <t>Radius</t>
  </si>
  <si>
    <t>https://angel.co/company/radiusagent</t>
  </si>
  <si>
    <t>https://www.crunchbase.com/organization/radiusagent</t>
  </si>
  <si>
    <t>https://www.radiusagent.com/realty</t>
  </si>
  <si>
    <t>Irrigreen</t>
  </si>
  <si>
    <t>https://wellfound.com/company/irrigreen-2</t>
  </si>
  <si>
    <t>https://www.crunchbase.com/organization/irrigreen</t>
  </si>
  <si>
    <t>https://irrigreen.com/</t>
  </si>
  <si>
    <t>SmartVid.io</t>
  </si>
  <si>
    <t>https://angel.co/company/smartvid-io</t>
  </si>
  <si>
    <t>https://www.crunchbase.com/organization/smartvid-io</t>
  </si>
  <si>
    <t>https://www.smartvid.io/</t>
  </si>
  <si>
    <t>245 Main St</t>
  </si>
  <si>
    <t>02142</t>
  </si>
  <si>
    <t>Deep North</t>
  </si>
  <si>
    <t>https://www.crunchbase.com/organization/deep-north</t>
  </si>
  <si>
    <t>https://www.deepnorth.com/</t>
  </si>
  <si>
    <t>Foster City</t>
  </si>
  <si>
    <t>Clarity Movement</t>
  </si>
  <si>
    <t>https://angel.co/company/claritymovement</t>
  </si>
  <si>
    <t>https://www.crunchbase.com/organization/clarity-movement</t>
  </si>
  <si>
    <t>https://www.clarity.io/</t>
  </si>
  <si>
    <t>808 Gilman Street</t>
  </si>
  <si>
    <t>94710</t>
  </si>
  <si>
    <t>Engrain</t>
  </si>
  <si>
    <t>https://angel.co/company/engrain</t>
  </si>
  <si>
    <t>https://www.crunchbase.com/organization/engrain</t>
  </si>
  <si>
    <t>https://engrain.com/</t>
  </si>
  <si>
    <t>5660 Greenwood Plaza Boulevard</t>
  </si>
  <si>
    <t>Greenwood Village</t>
  </si>
  <si>
    <t>80111</t>
  </si>
  <si>
    <t>Concreit</t>
  </si>
  <si>
    <t>https://www.crunchbase.com/organization/concreit</t>
  </si>
  <si>
    <t>https://concreit.com/</t>
  </si>
  <si>
    <t>Wayhome</t>
  </si>
  <si>
    <t>https://angel.co/company/wayhomeuk</t>
  </si>
  <si>
    <t>https://www.crunchbase.com/organization/unmortgage</t>
  </si>
  <si>
    <t>https://wayhome.co.uk/</t>
  </si>
  <si>
    <t>Tepeo</t>
  </si>
  <si>
    <t>https://wellfound.com/company/tepeo</t>
  </si>
  <si>
    <t>https://www.crunchbase.com/organization/tepeo</t>
  </si>
  <si>
    <t>https://tepeo.com/</t>
  </si>
  <si>
    <t>Maidenhead</t>
  </si>
  <si>
    <t>Modo Labs</t>
  </si>
  <si>
    <t>https://angel.co/company/modo-labs</t>
  </si>
  <si>
    <t>https://www.crunchbase.com/organization/modo-labs</t>
  </si>
  <si>
    <t>https://www.modolabs.com/</t>
  </si>
  <si>
    <t>Propseller</t>
  </si>
  <si>
    <t>https://angel.co/company/propseller</t>
  </si>
  <si>
    <t>https://www.crunchbase.com/organization/propseller</t>
  </si>
  <si>
    <t>https://propseller.com/</t>
  </si>
  <si>
    <t>Pallet SPC</t>
  </si>
  <si>
    <t>https://angel.co/company/pallet-4</t>
  </si>
  <si>
    <t>https://www.crunchbase.com/organization/pallet</t>
  </si>
  <si>
    <t>https://www.palletshelter.com/</t>
  </si>
  <si>
    <t>Purchasing Platform</t>
  </si>
  <si>
    <t>E-Commerce</t>
  </si>
  <si>
    <t>https://angel.co/company/purchasing-platform</t>
  </si>
  <si>
    <t>https://www.crunchbase.com/organization/purchasing-platform#section-overview</t>
  </si>
  <si>
    <t>https://www.purchasingplatform.com/w/</t>
  </si>
  <si>
    <t>549 Randolph St, Ste 700,</t>
  </si>
  <si>
    <t>SafeGraph</t>
  </si>
  <si>
    <t>Data AI</t>
  </si>
  <si>
    <t>https://angel.co/company/safegraph</t>
  </si>
  <si>
    <t>https://www.crunchbase.com/organization/safegraph</t>
  </si>
  <si>
    <t>www.safegraph.com/</t>
  </si>
  <si>
    <t>1543 Mission St 3rd floor</t>
  </si>
  <si>
    <t>Sensorberg</t>
  </si>
  <si>
    <t>https://angel.co/sensorberg</t>
  </si>
  <si>
    <t>https://www.crunchbase.com/organization/sensorberg</t>
  </si>
  <si>
    <t>www.sensorberg.com/</t>
  </si>
  <si>
    <t>Leipziger Straße 126</t>
  </si>
  <si>
    <t>Stake</t>
  </si>
  <si>
    <t>https://angel.co/company/stake-4</t>
  </si>
  <si>
    <t>https://www.crunchbase.com/organization/stake-2f06</t>
  </si>
  <si>
    <t>https://www.stake.rent/</t>
  </si>
  <si>
    <t>Join</t>
  </si>
  <si>
    <t>https://www.crunchbase.com/organization/join</t>
  </si>
  <si>
    <t>https://join.build/</t>
  </si>
  <si>
    <t>1611 Telegraph Ave, Suite 1500</t>
  </si>
  <si>
    <t>94612</t>
  </si>
  <si>
    <t>Amenify</t>
  </si>
  <si>
    <t>Revenue</t>
  </si>
  <si>
    <t>https://angel.co/amenify/</t>
  </si>
  <si>
    <t>https://www.crunchbase.com/organization/amenify</t>
  </si>
  <si>
    <t>www.Amenify.com</t>
  </si>
  <si>
    <t>18 Bartol</t>
  </si>
  <si>
    <t>Mixergy</t>
  </si>
  <si>
    <t>https://www.crunchbase.com/organization/mixergy-ltd</t>
  </si>
  <si>
    <t>https://mixergy.co.uk/</t>
  </si>
  <si>
    <t>Cassington</t>
  </si>
  <si>
    <t>Flafair</t>
  </si>
  <si>
    <t>Deposit Free Renting</t>
  </si>
  <si>
    <t>https://angel.co/company/flatfair</t>
  </si>
  <si>
    <t>https://www.crunchbase.com/organization/flatfair#section-overview</t>
  </si>
  <si>
    <t>https://www.flatfair.co.uk/</t>
  </si>
  <si>
    <t>51 EastCheap</t>
  </si>
  <si>
    <t>United Kingdom</t>
  </si>
  <si>
    <t>EC3M1JP</t>
  </si>
  <si>
    <t>Beanstock</t>
  </si>
  <si>
    <t>https://angel.co/company/beanstock-fr</t>
  </si>
  <si>
    <t>https://www.crunchbase.com/organization/beanstock-a735</t>
  </si>
  <si>
    <t>https://beanstock.com/en/</t>
  </si>
  <si>
    <t>Upskill (TeamViewer)</t>
  </si>
  <si>
    <t>Retail, Industrial, Other</t>
  </si>
  <si>
    <t>https://www.crunchbase.com/organization/apx-labs</t>
  </si>
  <si>
    <t>https://upskill.io/</t>
  </si>
  <si>
    <t>voxel</t>
  </si>
  <si>
    <t>Honest Buildings</t>
  </si>
  <si>
    <t>Project Management</t>
  </si>
  <si>
    <t>https://angel.co/honest-buildings/</t>
  </si>
  <si>
    <t>https://www.crunchbase.com/organization/honest-buildings</t>
  </si>
  <si>
    <t>http://honestbuildings.com/</t>
  </si>
  <si>
    <t>115 Broadway</t>
  </si>
  <si>
    <t>HoneyComb</t>
  </si>
  <si>
    <t>https://www.crunchbase.com/organization/honeycombinsurance</t>
  </si>
  <si>
    <t>https://honeycombinsurance.com/</t>
  </si>
  <si>
    <t>Milestones Labs</t>
  </si>
  <si>
    <t>https://www.crunchbase.com/organization/milestones-labs</t>
  </si>
  <si>
    <t>https://milestones.ai/</t>
  </si>
  <si>
    <t>925 S. Capital of TX Hwy</t>
  </si>
  <si>
    <t>Crexi</t>
  </si>
  <si>
    <t>https://angel.co/crexi-com</t>
  </si>
  <si>
    <t>https://www.crunchbase.com/organization/crexi</t>
  </si>
  <si>
    <t>https://www.crexi.com/</t>
  </si>
  <si>
    <t xml:space="preserve"> Greater Los Angeles Area</t>
  </si>
  <si>
    <t>Venice Beach</t>
  </si>
  <si>
    <t>Prophia (f.k.a. Leaseable)</t>
  </si>
  <si>
    <t>https://angel.co/company/leaseable</t>
  </si>
  <si>
    <t>https://www.crunchbase.com/organization/leaseable</t>
  </si>
  <si>
    <t>https://www.leaseable.com/</t>
  </si>
  <si>
    <t>Oriient</t>
  </si>
  <si>
    <t>https://www.crunchbase.com/organization/oriient</t>
  </si>
  <si>
    <t>https://www.oriient.me/</t>
  </si>
  <si>
    <t>Daisy Intelligence</t>
  </si>
  <si>
    <t>https://angel.co/company/daisy-intelligence-1</t>
  </si>
  <si>
    <t>https://www.crunchbase.com/organization/daisy-intelligence-corporation#section-overview</t>
  </si>
  <si>
    <t>https://www.daisyintelligence.com/</t>
  </si>
  <si>
    <t>2300 Steeles Ave W #250</t>
  </si>
  <si>
    <t>Concord</t>
  </si>
  <si>
    <t>Ontario, Canada</t>
  </si>
  <si>
    <t>L4K 5X6</t>
  </si>
  <si>
    <t>Fernish</t>
  </si>
  <si>
    <t>https://angel.co/company/fernish</t>
  </si>
  <si>
    <t>https://www.crunchbase.com/organization/fernish#section-overview</t>
  </si>
  <si>
    <t>https://www.fernish.com/</t>
  </si>
  <si>
    <t>Greater Los Angeles Area, West Coast, Western US</t>
  </si>
  <si>
    <t>LeaseCake</t>
  </si>
  <si>
    <t>https://angel.co/company/leasecake</t>
  </si>
  <si>
    <t>https://www.crunchbase.com/organization/leasecake-inc</t>
  </si>
  <si>
    <t>https://leasecake.com</t>
  </si>
  <si>
    <t>Winter Park</t>
  </si>
  <si>
    <t>Ollie</t>
  </si>
  <si>
    <t>Coliving</t>
  </si>
  <si>
    <t>https://angel.co/ollie-5</t>
  </si>
  <si>
    <t>https://www.crunchbase.com/organization/ollie-2</t>
  </si>
  <si>
    <t>www.ollie.co/</t>
  </si>
  <si>
    <t>450 Park Ave S</t>
  </si>
  <si>
    <t>Perchwell</t>
  </si>
  <si>
    <t>https://angel.co/company/perchwell</t>
  </si>
  <si>
    <t>https://www.crunchbase.com/organization/perchwell</t>
  </si>
  <si>
    <t>https://www.perchwell.com/</t>
  </si>
  <si>
    <t>PuduTech</t>
  </si>
  <si>
    <t>Office, Multifamily, Retail</t>
  </si>
  <si>
    <t>https://www.crunchbase.com/organization/pudutech</t>
  </si>
  <si>
    <t>https://www.pudutech.com/</t>
  </si>
  <si>
    <t>Shenzhen</t>
  </si>
  <si>
    <t>Realm</t>
  </si>
  <si>
    <t>https://angel.co/company/realm-15</t>
  </si>
  <si>
    <t>https://www.crunchbase.com/organization/realm-8a75</t>
  </si>
  <si>
    <t>https://myrealm.co/</t>
  </si>
  <si>
    <t>Stord</t>
  </si>
  <si>
    <t>https://angel.co/company/stord</t>
  </si>
  <si>
    <t>https://www.crunchbase.com/organization/stord</t>
  </si>
  <si>
    <t>https://www.stord.com</t>
  </si>
  <si>
    <t>ThirdWave</t>
  </si>
  <si>
    <t>https://www.crunchbase.com/organization/third-wave-automation</t>
  </si>
  <si>
    <t>https://www.thirdwave.ai/</t>
  </si>
  <si>
    <t>30118 Eigenbrodt Way</t>
  </si>
  <si>
    <t>Union City</t>
  </si>
  <si>
    <t>August Health</t>
  </si>
  <si>
    <t>https://angel.co/company/august-health</t>
  </si>
  <si>
    <t>https://www.crunchbase.com/organization/august-health</t>
  </si>
  <si>
    <t>https://www.augusthealth.com/</t>
  </si>
  <si>
    <t>BeamUp</t>
  </si>
  <si>
    <t>https://www.crunchbase.com/organization/beamup</t>
  </si>
  <si>
    <t>https://www.beamup.ai/</t>
  </si>
  <si>
    <t>Evocalize</t>
  </si>
  <si>
    <t>https://angel.co/company/evocalize</t>
  </si>
  <si>
    <t>https://www.crunchbase.com/organization/evocalize</t>
  </si>
  <si>
    <r>
      <rPr>
        <color rgb="FF1155CC"/>
        <u/>
      </rPr>
      <t>https://www.evocalize.com/</t>
    </r>
    <r>
      <rPr/>
      <t>/</t>
    </r>
  </si>
  <si>
    <t>Fergus</t>
  </si>
  <si>
    <t>https://www.crunchbase.com/organization/fergus-software</t>
  </si>
  <si>
    <t>https://fergus.com/en-ie/</t>
  </si>
  <si>
    <t>Auckland</t>
  </si>
  <si>
    <t>New Zealand</t>
  </si>
  <si>
    <t>Flashtract</t>
  </si>
  <si>
    <t>https://angel.co/company/flashtract</t>
  </si>
  <si>
    <t>https://www.crunchbase.com/organization/flashtract</t>
  </si>
  <si>
    <t>https://www.flashtract.com/</t>
  </si>
  <si>
    <t>Awair</t>
  </si>
  <si>
    <t>https://angel.co/company/awair</t>
  </si>
  <si>
    <t>https://www.crunchbase.com/organization/awair</t>
  </si>
  <si>
    <t>https://www.getawair.com/business</t>
  </si>
  <si>
    <t>Mezo</t>
  </si>
  <si>
    <t>https://www.crunchbase.com/organization/mezo</t>
  </si>
  <si>
    <t>https://mezo.io/</t>
  </si>
  <si>
    <t>RenoFi</t>
  </si>
  <si>
    <t>https://angel.co/company/renofi</t>
  </si>
  <si>
    <t>https://www.crunchbase.com/organization/renofi</t>
  </si>
  <si>
    <t>https://www.renofi.com/</t>
  </si>
  <si>
    <t>Enteligent</t>
  </si>
  <si>
    <t>https://wellfound.com/company/enteligent</t>
  </si>
  <si>
    <t>https://www.crunchbase.com/organization/enteligent-inc</t>
  </si>
  <si>
    <t>https://enteligent.com/</t>
  </si>
  <si>
    <t>San Jose</t>
  </si>
  <si>
    <t>SunHero</t>
  </si>
  <si>
    <t>https://www.crunchbase.com/organization/sunhero</t>
  </si>
  <si>
    <t>https://www.sunhero.com/</t>
  </si>
  <si>
    <t>1Build</t>
  </si>
  <si>
    <t>https://angel.co/company/1build</t>
  </si>
  <si>
    <t>https://www.crunchbase.com/organization/1build</t>
  </si>
  <si>
    <t>https://www.1build.com/</t>
  </si>
  <si>
    <t>Toggle</t>
  </si>
  <si>
    <t>https://angel.co/company/toggle-is</t>
  </si>
  <si>
    <t>https://www.crunchbase.com/organization/toggle</t>
  </si>
  <si>
    <t>https://www.toggle.is/?stream=top</t>
  </si>
  <si>
    <t>29 Norman Ave.</t>
  </si>
  <si>
    <t>11222</t>
  </si>
  <si>
    <t>RentRedi</t>
  </si>
  <si>
    <t>https://angel.co/company/rentredi</t>
  </si>
  <si>
    <t>https://www.crunchbase.com/organization/rentredi</t>
  </si>
  <si>
    <t>https://rentredi.com/</t>
  </si>
  <si>
    <t>Scythe Robotics</t>
  </si>
  <si>
    <t>https://angel.co/company/scytherobotics</t>
  </si>
  <si>
    <t>https://www.crunchbase.com/organization/scythe-robotics</t>
  </si>
  <si>
    <t>https://www.scytherobotics.com/</t>
  </si>
  <si>
    <t>HomeLister</t>
  </si>
  <si>
    <t>https://angel.co/company/homelister</t>
  </si>
  <si>
    <t>https://www.crunchbase.com/organization/homelister/company_financials</t>
  </si>
  <si>
    <t>https://www.homelister.com/</t>
  </si>
  <si>
    <t>Room</t>
  </si>
  <si>
    <t>Noise Reduction</t>
  </si>
  <si>
    <t>https://angel.co/company/madebyroom/jobs</t>
  </si>
  <si>
    <t>https://www.crunchbase.com/organization/room-8767#section-overview</t>
  </si>
  <si>
    <t>https://getroom.com/</t>
  </si>
  <si>
    <t>599 Broadway</t>
  </si>
  <si>
    <t>Handle</t>
  </si>
  <si>
    <t>https://www.crunchbase.com/organization/handle-com</t>
  </si>
  <si>
    <t>https://www.handle.com/</t>
  </si>
  <si>
    <t>Knox</t>
  </si>
  <si>
    <t>https://angel.co/company/knox-financial</t>
  </si>
  <si>
    <t>https://www.crunchbase.com/organization/knox-financial</t>
  </si>
  <si>
    <t>https://knoxfinancial.com/</t>
  </si>
  <si>
    <t>4 Liberty Square</t>
  </si>
  <si>
    <t>02109</t>
  </si>
  <si>
    <t>Dvele</t>
  </si>
  <si>
    <t>https://angel.co/company/dvele</t>
  </si>
  <si>
    <t>https://www.crunchbase.com/organization/dvele#section-overview</t>
  </si>
  <si>
    <t xml:space="preserve"> www.dvele.com/</t>
  </si>
  <si>
    <t>Loma Linda</t>
  </si>
  <si>
    <t>92354</t>
  </si>
  <si>
    <t>RSMetrics</t>
  </si>
  <si>
    <t>https://angel.co/rs-metrics-1</t>
  </si>
  <si>
    <t>https://www.crunchbase.com/organization/rs-metrics</t>
  </si>
  <si>
    <t>www.rsmetrics.com/</t>
  </si>
  <si>
    <t>205 E. 42nd St.</t>
  </si>
  <si>
    <t>XKool Technology</t>
  </si>
  <si>
    <t>https://www.crunchbase.com/organization/xkool-technology</t>
  </si>
  <si>
    <t>https://www.xkool.ai/</t>
  </si>
  <si>
    <t>Bounce</t>
  </si>
  <si>
    <t>https://www.crunchbase.com/organization/bounce-2</t>
  </si>
  <si>
    <t>https://usebounce.com/</t>
  </si>
  <si>
    <t>Enact</t>
  </si>
  <si>
    <t>https://angel.co/company/enact-systems-4</t>
  </si>
  <si>
    <t>https://www.crunchbase.com/organization/enact-systems</t>
  </si>
  <si>
    <t>http://www.enact-systems.com/</t>
  </si>
  <si>
    <t>Pleasanton</t>
  </si>
  <si>
    <t>Blox</t>
  </si>
  <si>
    <t>https://wellfound.com/company/blox-xyz</t>
  </si>
  <si>
    <t>https://www.crunchbase.com/organization/blox-xyz</t>
  </si>
  <si>
    <t>https://www.blox.xyz/</t>
  </si>
  <si>
    <t>Mumbai</t>
  </si>
  <si>
    <t>Clever</t>
  </si>
  <si>
    <t>https://www.crunchbase.com/organization/clever-real-estate</t>
  </si>
  <si>
    <t>https://listwithclever.com/</t>
  </si>
  <si>
    <t>St Louis</t>
  </si>
  <si>
    <t>Obie</t>
  </si>
  <si>
    <t>Multifamily, Office, Retail</t>
  </si>
  <si>
    <t>https://angel.co/company/join-obie</t>
  </si>
  <si>
    <t>https://www.crunchbase.com/organization/obiesoft</t>
  </si>
  <si>
    <t>https://www.obierisk.com/</t>
  </si>
  <si>
    <t>1134 W Hubbard St</t>
  </si>
  <si>
    <t>60642</t>
  </si>
  <si>
    <t>SweepSouth</t>
  </si>
  <si>
    <t>https://angel.co/company/sweepsouth</t>
  </si>
  <si>
    <t>https://www.crunchbase.com/organization/sweepsouth</t>
  </si>
  <si>
    <t>https://sweepsouth.com/</t>
  </si>
  <si>
    <t>Sandown</t>
  </si>
  <si>
    <t>South Africa</t>
  </si>
  <si>
    <t>Betterview</t>
  </si>
  <si>
    <t>https://angel.co/company/betterviewmarketplace</t>
  </si>
  <si>
    <t>https://www.crunchbase.com/organization/betterview</t>
  </si>
  <si>
    <t>https://www.betterview.com/</t>
  </si>
  <si>
    <t>643 7th St</t>
  </si>
  <si>
    <t>Evercam</t>
  </si>
  <si>
    <t>https://angel.co/company/evercam</t>
  </si>
  <si>
    <t>https://www.crunchbase.com/organization/evercam</t>
  </si>
  <si>
    <t>https://evercam.io/</t>
  </si>
  <si>
    <t>Ireland</t>
  </si>
  <si>
    <t>Architizer</t>
  </si>
  <si>
    <t>https://angel.co/company/architizer</t>
  </si>
  <si>
    <t>https://www.crunchbase.com/organization/architizer</t>
  </si>
  <si>
    <t>http://www.architizer.com/</t>
  </si>
  <si>
    <t>Post Office Box 170146</t>
  </si>
  <si>
    <t>11217</t>
  </si>
  <si>
    <t>Haven</t>
  </si>
  <si>
    <t>https://angel.co/company/havenservicing</t>
  </si>
  <si>
    <t>https://www.crunchbase.com/organization/haven-d689</t>
  </si>
  <si>
    <t>https://www.havenservicing.com/</t>
  </si>
  <si>
    <t>Mudafy</t>
  </si>
  <si>
    <t>https://www.crunchbase.com/organization/mudafy</t>
  </si>
  <si>
    <t>https://mudafy.com/</t>
  </si>
  <si>
    <t>Av. Paseo de la Reforma 296</t>
  </si>
  <si>
    <t>Flowspace</t>
  </si>
  <si>
    <t>Retail, Industrial</t>
  </si>
  <si>
    <t>https://angel.co/company/flowspace</t>
  </si>
  <si>
    <t>https://www.crunchbase.com/organization/flowspace</t>
  </si>
  <si>
    <t>https://www.flow.space</t>
  </si>
  <si>
    <t>OfficeRnD</t>
  </si>
  <si>
    <t>Coworking Management Platform</t>
  </si>
  <si>
    <t>https://angel.co/company/officernd-2</t>
  </si>
  <si>
    <t>https://www.crunchbase.com/organization/officernd</t>
  </si>
  <si>
    <t>officernd.com</t>
  </si>
  <si>
    <t>4 Crown Place</t>
  </si>
  <si>
    <t>EC2A 4BT</t>
  </si>
  <si>
    <t>Ecoworks</t>
  </si>
  <si>
    <t>https://angel.co/company/ecoworks-2</t>
  </si>
  <si>
    <t>https://www.crunchbase.com/organization/ecoworks#section-overview</t>
  </si>
  <si>
    <t>https://www.ecoworks.tech/</t>
  </si>
  <si>
    <t>Caper</t>
  </si>
  <si>
    <t>Artificial Inteligence</t>
  </si>
  <si>
    <t>https://angel.co/company/caperai</t>
  </si>
  <si>
    <t>https://www.crunchbase.com/organization/caper</t>
  </si>
  <si>
    <t>www.Caperlab.com</t>
  </si>
  <si>
    <t>61 Greenpoint Ave</t>
  </si>
  <si>
    <t>Aalto</t>
  </si>
  <si>
    <t>https://angel.co/company/aaltohomes</t>
  </si>
  <si>
    <t>https://www.crunchbase.com/organization/aalto</t>
  </si>
  <si>
    <t>https://aalto.com/</t>
  </si>
  <si>
    <t>biproxi</t>
  </si>
  <si>
    <t>https://angel.co/company/biproxi</t>
  </si>
  <si>
    <t>https://www.crunchbase.com/organization/biproxi</t>
  </si>
  <si>
    <t>http://www.biproxi.com</t>
  </si>
  <si>
    <t>115 E 23rd St</t>
  </si>
  <si>
    <t>10010</t>
  </si>
  <si>
    <t>Rooomy</t>
  </si>
  <si>
    <t>AR/VR</t>
  </si>
  <si>
    <t>https://angel.co/rooomy</t>
  </si>
  <si>
    <t>https://www.crunchbase.com/organization/rooomy</t>
  </si>
  <si>
    <t>rooomy.com/</t>
  </si>
  <si>
    <t>100 W San Fernando St.</t>
  </si>
  <si>
    <t>Blend Network</t>
  </si>
  <si>
    <t>https://www.crunchbase.com/organization/blend-network</t>
  </si>
  <si>
    <t>https://www.blendnetwork.com/</t>
  </si>
  <si>
    <t>Mayfair</t>
  </si>
  <si>
    <t>Westminster</t>
  </si>
  <si>
    <t>Pinata</t>
  </si>
  <si>
    <t>https://www.crunchbase.com/organization/pinata-2310</t>
  </si>
  <si>
    <t>https://www.pinata.ai</t>
  </si>
  <si>
    <t>Newark</t>
  </si>
  <si>
    <t>XY Sense</t>
  </si>
  <si>
    <t>https://www.crunchbase.com/organization/xy-sense</t>
  </si>
  <si>
    <t>https://xysense.com/</t>
  </si>
  <si>
    <t>Melbourne</t>
  </si>
  <si>
    <t>Move Easy</t>
  </si>
  <si>
    <t>https://wellfound.com/company/moveeasy</t>
  </si>
  <si>
    <t>https://www.crunchbase.com/organization/moveez</t>
  </si>
  <si>
    <t>www.moveeasy.com</t>
  </si>
  <si>
    <t>1275 Kinnear Road Columbus, OH 43212 United States</t>
  </si>
  <si>
    <t>43212</t>
  </si>
  <si>
    <t>Greyter</t>
  </si>
  <si>
    <t>https://www.crunchbase.com/organization/greyter</t>
  </si>
  <si>
    <t>https://greyter.com/</t>
  </si>
  <si>
    <t>Mississauga</t>
  </si>
  <si>
    <t>Modulous</t>
  </si>
  <si>
    <t>https://angel.co/company/modulous</t>
  </si>
  <si>
    <t>https://www.crunchbase.com/organization/modulous</t>
  </si>
  <si>
    <t>https://www.modulous.com/</t>
  </si>
  <si>
    <t>Greenworks Princeton Street</t>
  </si>
  <si>
    <t>WC1R 4BH</t>
  </si>
  <si>
    <t>Swivel</t>
  </si>
  <si>
    <t>https://www.crunchbase.com/organization/poquito#section-overview</t>
  </si>
  <si>
    <t>www.swivel.work/</t>
  </si>
  <si>
    <t>110 Wild Basin Rd S</t>
  </si>
  <si>
    <t>Stuf</t>
  </si>
  <si>
    <t>https://www.crunchbase.com/organization/stuf</t>
  </si>
  <si>
    <t>https://stufstorage.com/</t>
  </si>
  <si>
    <t>15 Vanderbilt Avenue</t>
  </si>
  <si>
    <t>Aedifion</t>
  </si>
  <si>
    <t>https://www.crunchbase.com/organization/aedifion</t>
  </si>
  <si>
    <t>https://www.aedifion.com/</t>
  </si>
  <si>
    <t>Valcre</t>
  </si>
  <si>
    <t>https://angel.co/company/valcre</t>
  </si>
  <si>
    <t>https://www.crunchbase.com/organization/valcre</t>
  </si>
  <si>
    <t xml:space="preserve">www.valcre.com
</t>
  </si>
  <si>
    <t>Greater San Diego Area</t>
  </si>
  <si>
    <t>iink Payments</t>
  </si>
  <si>
    <t>https://angel.co/company/iinktech</t>
  </si>
  <si>
    <t>https://www.crunchbase.com/organization/iink-endorsements</t>
  </si>
  <si>
    <t>https://iinkpay.com/</t>
  </si>
  <si>
    <t>Tampa</t>
  </si>
  <si>
    <t>Lavanda</t>
  </si>
  <si>
    <t>SaaS Platform</t>
  </si>
  <si>
    <t>https://angel.co/company/lavanda-1</t>
  </si>
  <si>
    <t>https://www.crunchbase.com/organization/lavanda#section-overview</t>
  </si>
  <si>
    <t>https://getlavanda.com/</t>
  </si>
  <si>
    <t>England (UK)</t>
  </si>
  <si>
    <t>AirGarage</t>
  </si>
  <si>
    <t>Hospitality, Other</t>
  </si>
  <si>
    <t>https://angel.co/company/airgarageinc</t>
  </si>
  <si>
    <t>https://www.crunchbase.com/organization/airgarage</t>
  </si>
  <si>
    <t>https://www.airgarage.com/</t>
  </si>
  <si>
    <t>Lane</t>
  </si>
  <si>
    <t>Tenant Management</t>
  </si>
  <si>
    <t>https://www.crunchbase.com/organization/lane</t>
  </si>
  <si>
    <t>1 Yonge Street, Suite 1801</t>
  </si>
  <si>
    <t>M5E 1W7</t>
  </si>
  <si>
    <t>Colliers</t>
  </si>
  <si>
    <t>Workframe</t>
  </si>
  <si>
    <t>https://angel.co/workframehq</t>
  </si>
  <si>
    <t>https://www.crunchbase.com/organization/workframe#section-overview</t>
  </si>
  <si>
    <t>workframe.com</t>
  </si>
  <si>
    <t>520 Broadway</t>
  </si>
  <si>
    <t>Wynd Technologies</t>
  </si>
  <si>
    <t>https://angel.co/company/wynd-technologies-1</t>
  </si>
  <si>
    <t>https://www.crunchbase.com/organization/wynd-technologies#section-overview</t>
  </si>
  <si>
    <t>www.hellowynd.com</t>
  </si>
  <si>
    <t>503 W Fox Ct</t>
  </si>
  <si>
    <t>94061</t>
  </si>
  <si>
    <t>Calumino</t>
  </si>
  <si>
    <t>https://www.crunchbase.com/organization/calumino</t>
  </si>
  <si>
    <t>http://www.calumino.com/</t>
  </si>
  <si>
    <t>Eyrus</t>
  </si>
  <si>
    <t>https://www.crunchbase.com/organization/eyrus-inc</t>
  </si>
  <si>
    <t>https://www.eyrus.com/</t>
  </si>
  <si>
    <t>Bilt</t>
  </si>
  <si>
    <t>https://angel.co/company/bilt-1</t>
  </si>
  <si>
    <t>https://www.crunchbase.com/organization/bilt</t>
  </si>
  <si>
    <t>http://www.biltapp.com/</t>
  </si>
  <si>
    <t>1000 Nolen Drive 
Suite 400</t>
  </si>
  <si>
    <t>Grapevine</t>
  </si>
  <si>
    <t>76051</t>
  </si>
  <si>
    <t>Extracker</t>
  </si>
  <si>
    <t>https://angel.co/company/extracker</t>
  </si>
  <si>
    <t>https://www.crunchbase.com/organization/extracker</t>
  </si>
  <si>
    <t>https://www.extracker.com/</t>
  </si>
  <si>
    <t>3249 Mount Diablo Court</t>
  </si>
  <si>
    <t>Lafayette</t>
  </si>
  <si>
    <t>94549</t>
  </si>
  <si>
    <t>Residently</t>
  </si>
  <si>
    <t>https://angel.co/company/residently</t>
  </si>
  <si>
    <t>https://www.crunchbase.com/organization/residently</t>
  </si>
  <si>
    <t>https://residently.com/</t>
  </si>
  <si>
    <t>United Dwellings</t>
  </si>
  <si>
    <t>https://www.crunchbase.com/organization/united-dwelling#section-overview</t>
  </si>
  <si>
    <t>www.uniteddwelling.com</t>
  </si>
  <si>
    <t>8757 Washington Blvd</t>
  </si>
  <si>
    <t>90232</t>
  </si>
  <si>
    <t>Desana</t>
  </si>
  <si>
    <t>https://wellfound.com/company/desana</t>
  </si>
  <si>
    <t>https://www.crunchbase.com/organization/desana-network</t>
  </si>
  <si>
    <t>https://desana.io/</t>
  </si>
  <si>
    <t>Edinburgh</t>
  </si>
  <si>
    <t>Entic Inc.</t>
  </si>
  <si>
    <t>https://www.crunchbase.com/organization/entic#section-overview</t>
  </si>
  <si>
    <t>https://www.entic.com/</t>
  </si>
  <si>
    <t>20841 Johnson Street, Suite 116</t>
  </si>
  <si>
    <t>Pembroke Pines</t>
  </si>
  <si>
    <t>33029</t>
  </si>
  <si>
    <t>Route</t>
  </si>
  <si>
    <t>https://www.crunchbase.com/organization/route-b905#section-overview</t>
  </si>
  <si>
    <t>https://route.com/</t>
  </si>
  <si>
    <t>1557 W Innovation Way Suite 200</t>
  </si>
  <si>
    <t>Smarten Spaces</t>
  </si>
  <si>
    <t>https://www.crunchbase.com/organization/smarten-spaces</t>
  </si>
  <si>
    <t>https://smartenspaces.com/</t>
  </si>
  <si>
    <t>Bren</t>
  </si>
  <si>
    <t>https://www.crunchbase.com/organization/bren-i-leri</t>
  </si>
  <si>
    <t>https://www.brenpower.co/</t>
  </si>
  <si>
    <t>29970 Fox Club Dr</t>
  </si>
  <si>
    <t>Farmington Hills</t>
  </si>
  <si>
    <t>Stake Properties</t>
  </si>
  <si>
    <t>https://angel.co/company/stake-6</t>
  </si>
  <si>
    <t>https://www.crunchbase.com/organization/stake-properties</t>
  </si>
  <si>
    <t>https://getstake.com/</t>
  </si>
  <si>
    <t>Office Unit 170 1st floor, Gate Avenue</t>
  </si>
  <si>
    <t>Teleo</t>
  </si>
  <si>
    <t>https://www.crunchbase.com/organization/teleo</t>
  </si>
  <si>
    <t>https://www.teleo.ai/</t>
  </si>
  <si>
    <t>British Pearl</t>
  </si>
  <si>
    <t>https://angel.co/britishpearl</t>
  </si>
  <si>
    <t>https://www.crunchbase.com/organization/british-pearl#section-overview</t>
  </si>
  <si>
    <t>https://www.britishpearl.com/</t>
  </si>
  <si>
    <t>Occupier</t>
  </si>
  <si>
    <t>https://angel.co/company/occupier</t>
  </si>
  <si>
    <t>https://www.crunchbase.com/organization/occupier</t>
  </si>
  <si>
    <t>http://occupier.com/</t>
  </si>
  <si>
    <t>85 Broad Street</t>
  </si>
  <si>
    <t>10004</t>
  </si>
  <si>
    <t>Rugged Robotics</t>
  </si>
  <si>
    <t>https://www.crunchbase.com/organization/rugged-robotics</t>
  </si>
  <si>
    <t>https://www.rugged-robotics.com/</t>
  </si>
  <si>
    <t>Airly</t>
  </si>
  <si>
    <t>https://angel.co/company/airly-3</t>
  </si>
  <si>
    <t>https://www.crunchbase.com/organization/airly-ddd4</t>
  </si>
  <si>
    <t>https://airly.org/en/</t>
  </si>
  <si>
    <t>620 Hansen Way</t>
  </si>
  <si>
    <t>Sunroom</t>
  </si>
  <si>
    <t>https://www.crunchbase.com/organization/sunroom-rentals</t>
  </si>
  <si>
    <t>https://sunroomrentals.com/</t>
  </si>
  <si>
    <t>Prevu3D</t>
  </si>
  <si>
    <t>https://www.crunchbase.com/organization/prevu3d</t>
  </si>
  <si>
    <t>https://www.prevu3d.com/</t>
  </si>
  <si>
    <t>INDUS.AI</t>
  </si>
  <si>
    <t>https://www.crunchbase.com/organization/indus-ai</t>
  </si>
  <si>
    <t>https://www.indus.ai/</t>
  </si>
  <si>
    <t>Markerr</t>
  </si>
  <si>
    <t>https://www.crunchbase.com/organization/markerr</t>
  </si>
  <si>
    <t>https://markerr.com/</t>
  </si>
  <si>
    <t>Hoboken</t>
  </si>
  <si>
    <t>SpaceIQ</t>
  </si>
  <si>
    <t>https://angel.co/company/spaceiq/people</t>
  </si>
  <si>
    <t>https://www.crunchbase.com/organization/spaceiq</t>
  </si>
  <si>
    <t>https://spaceiq.com/</t>
  </si>
  <si>
    <t xml:space="preserve">Silicon Valley: 1400 Terra Bella Ave, Suite E </t>
  </si>
  <si>
    <t>Acorn Finance</t>
  </si>
  <si>
    <t>https://angel.co/company/acorn-finance</t>
  </si>
  <si>
    <t>https://www.crunchbase.com/organization/acorn-finance</t>
  </si>
  <si>
    <t>https://www.acornfinance.com/</t>
  </si>
  <si>
    <t>Great Jones</t>
  </si>
  <si>
    <t>https://angel.co/company/great-jones</t>
  </si>
  <si>
    <t>https://www.crunchbase.com/organization/great-jones</t>
  </si>
  <si>
    <t>https://www.greatjones.co</t>
  </si>
  <si>
    <t xml:space="preserve">New York </t>
  </si>
  <si>
    <t>Estateguru</t>
  </si>
  <si>
    <t>https://wellfound.com/company/estateguru</t>
  </si>
  <si>
    <t>https://www.crunchbase.com/organization/estateguru</t>
  </si>
  <si>
    <t>https://estateguru.co/</t>
  </si>
  <si>
    <t>Amber Solutions</t>
  </si>
  <si>
    <t>https://angel.co/company/amber-solutions</t>
  </si>
  <si>
    <t>https://www.crunchbase.com/organization/amber-solutions-inc</t>
  </si>
  <si>
    <t>https://www.ambersi.com/</t>
  </si>
  <si>
    <t>Cortex Building Intelligence</t>
  </si>
  <si>
    <t>https://angel.co/company/cortex-2</t>
  </si>
  <si>
    <t>https://www.crunchbase.com/organization/cortex-building-intelligence#section-overview</t>
  </si>
  <si>
    <t>https://get.cortexintel.com/</t>
  </si>
  <si>
    <t>1730 Rhode Island Ave. NW</t>
  </si>
  <si>
    <t>Sojo</t>
  </si>
  <si>
    <t>https://www.crunchbase.com/organization/sojo-9fff</t>
  </si>
  <si>
    <t>https://www.getsojo.com/</t>
  </si>
  <si>
    <t>Lun</t>
  </si>
  <si>
    <t>https://wellfound.com/company/lun-3</t>
  </si>
  <si>
    <t>https://www.crunchbase.com/organization/lun-e2b4</t>
  </si>
  <si>
    <t>https://www.lun.energy/</t>
  </si>
  <si>
    <t>Copenhagen</t>
  </si>
  <si>
    <t>Denmark</t>
  </si>
  <si>
    <t>3E Nano</t>
  </si>
  <si>
    <t>https://www.crunchbase.com/organization/3e-nano</t>
  </si>
  <si>
    <t>http://www.3enano.com/</t>
  </si>
  <si>
    <t>Avail</t>
  </si>
  <si>
    <t>https://angel.co/helloavail</t>
  </si>
  <si>
    <t>https://www.crunchbase.com/organization/helloavail</t>
  </si>
  <si>
    <t>www.avail.co</t>
  </si>
  <si>
    <t>900 N Franklin</t>
  </si>
  <si>
    <t>60610</t>
  </si>
  <si>
    <t>Branch Technology</t>
  </si>
  <si>
    <t>https://angel.co/company/branchfurniture</t>
  </si>
  <si>
    <t>https://www.crunchbase.com/organization/branch-technology</t>
  </si>
  <si>
    <t>https://www.branch.technology/</t>
  </si>
  <si>
    <t>Localize.city</t>
  </si>
  <si>
    <t>https://angel.co/company/localize-city</t>
  </si>
  <si>
    <t>https://www.crunchbase.com/organization/localize-city</t>
  </si>
  <si>
    <t>https://www.localize.city/</t>
  </si>
  <si>
    <t>Greater New York Area, East Coast, Northeastern US</t>
  </si>
  <si>
    <t>Replica</t>
  </si>
  <si>
    <t>https://angel.co/company/replica</t>
  </si>
  <si>
    <t>https://www.crunchbase.com/organization/replica#section-overview</t>
  </si>
  <si>
    <t>https://replicahq.com/</t>
  </si>
  <si>
    <t>575 Market Street, Floor 4</t>
  </si>
  <si>
    <t>Beti</t>
  </si>
  <si>
    <t>https://www.crunchbase.com/organization/beti-digital-services</t>
  </si>
  <si>
    <t>https://www.beti-safety.com/</t>
  </si>
  <si>
    <t>Hei be-Iyar St 14</t>
  </si>
  <si>
    <t>Clarity AI</t>
  </si>
  <si>
    <t>https://angel.co/company/clarityai</t>
  </si>
  <si>
    <t>https://www.crunchbase.com/organization/clarity-ai</t>
  </si>
  <si>
    <t>https://clarity.ai/</t>
  </si>
  <si>
    <t>Properti</t>
  </si>
  <si>
    <t>https://angel.co/company/properti-ag</t>
  </si>
  <si>
    <t>https://www.crunchbase.com/organization/properti</t>
  </si>
  <si>
    <t>https://www.properti.ch/de/</t>
  </si>
  <si>
    <t>Zurich</t>
  </si>
  <si>
    <t>Nodalview</t>
  </si>
  <si>
    <t>https://wellfound.com/company/nodalview</t>
  </si>
  <si>
    <t>https://www.crunchbase.com/organization/nodalview</t>
  </si>
  <si>
    <t>http://production.combell.mkt.nodalview.com/en</t>
  </si>
  <si>
    <t>Nexkey</t>
  </si>
  <si>
    <t>Smart Business, Security, Mobile App</t>
  </si>
  <si>
    <t>https://angel.co/company/nexkey</t>
  </si>
  <si>
    <t>https://www.crunchbase.com/organization/nexkey-inc</t>
  </si>
  <si>
    <t>https://www.nexkey.com</t>
  </si>
  <si>
    <t>245 s railroad ave</t>
  </si>
  <si>
    <t>san mateo</t>
  </si>
  <si>
    <t>94401</t>
  </si>
  <si>
    <t>Landeed</t>
  </si>
  <si>
    <t>https://wellfound.com/company/landeed</t>
  </si>
  <si>
    <t>https://www.crunchbase.com/organization/landeed</t>
  </si>
  <si>
    <t>https://www.landeed.com/</t>
  </si>
  <si>
    <t>Adeptmind</t>
  </si>
  <si>
    <t>https://angel.co/company/adeptmind-1</t>
  </si>
  <si>
    <t>https://www.crunchbase.com/organization/adeptmind</t>
  </si>
  <si>
    <t>https://adeptmind.ai/</t>
  </si>
  <si>
    <t>130 Adelaide St West</t>
  </si>
  <si>
    <t>RealBlocks</t>
  </si>
  <si>
    <t>https://angel.co/company/realblocks</t>
  </si>
  <si>
    <t>crunchbase.com/organization/realblocks</t>
  </si>
  <si>
    <t>https://www.realblocks.com/</t>
  </si>
  <si>
    <t>Greater New York Area</t>
  </si>
  <si>
    <t>Tenant Base</t>
  </si>
  <si>
    <t>https://angel.co/tenantbase</t>
  </si>
  <si>
    <t>https://www.crunchbase.com/organization/tenantbase</t>
  </si>
  <si>
    <t>www.tenantbase.com/</t>
  </si>
  <si>
    <t>225 Arizona Ave, STE 350</t>
  </si>
  <si>
    <t>90401</t>
  </si>
  <si>
    <t>AOS by Saqara</t>
  </si>
  <si>
    <t>https://www.crunchbase.com/organization/aos</t>
  </si>
  <si>
    <t>https://saqara.com/en/aos</t>
  </si>
  <si>
    <t>32 Wigmore St.</t>
  </si>
  <si>
    <t>W1U 2RP</t>
  </si>
  <si>
    <t>Aunt Flow</t>
  </si>
  <si>
    <t>https://angel.co/company/goauntflow</t>
  </si>
  <si>
    <t>https://www.crunchbase.com/organization/aunt-flow</t>
  </si>
  <si>
    <t>http://www.goauntflow.com/</t>
  </si>
  <si>
    <t>757 Garden Road 
Suite 205</t>
  </si>
  <si>
    <t>43214</t>
  </si>
  <si>
    <t>Brick&amp;Bolt</t>
  </si>
  <si>
    <t>https://wellfound.com/company/brick-bolt</t>
  </si>
  <si>
    <t>https://www.crunchbase.com/organization/brick-bolt</t>
  </si>
  <si>
    <t>https://www.bricknbolt.com/</t>
  </si>
  <si>
    <t>Zibo</t>
  </si>
  <si>
    <t xml:space="preserve">Residential </t>
  </si>
  <si>
    <t>https://angel.co/company/zibo-2</t>
  </si>
  <si>
    <t>https://www.crunchbase.com/organization/zibo</t>
  </si>
  <si>
    <t>https://www.zibo.co/</t>
  </si>
  <si>
    <t>Rheaply</t>
  </si>
  <si>
    <t>https://www.crunchbase.com/organization/rheaply</t>
  </si>
  <si>
    <t>https://rheaply.com/</t>
  </si>
  <si>
    <t>Audette</t>
  </si>
  <si>
    <t>https://angel.co/company/audette</t>
  </si>
  <si>
    <t>https://www.crunchbase.com/organization/audette</t>
  </si>
  <si>
    <t>https://www.audette.io/</t>
  </si>
  <si>
    <t>Victoria</t>
  </si>
  <si>
    <t>BuildForce</t>
  </si>
  <si>
    <t>https://angel.co/company/buildforce-2</t>
  </si>
  <si>
    <t>https://www.crunchbase.com/organization/buildforce</t>
  </si>
  <si>
    <t>https://buildforce.com/</t>
  </si>
  <si>
    <t>3737 Buffalo Speedway</t>
  </si>
  <si>
    <t>77098</t>
  </si>
  <si>
    <t>Sumutasu</t>
  </si>
  <si>
    <t>https://www.crunchbase.com/organization/sumutasu</t>
  </si>
  <si>
    <t>https://sumutasu.co.jp/</t>
  </si>
  <si>
    <t>Tokyo</t>
  </si>
  <si>
    <t>Japan</t>
  </si>
  <si>
    <t>Gearflow</t>
  </si>
  <si>
    <t>https://angel.co/company/gearflow</t>
  </si>
  <si>
    <t>https://www.crunchbase.com/organization/gearflow</t>
  </si>
  <si>
    <t>https://www.gearflow.com/</t>
  </si>
  <si>
    <t>Proportunity</t>
  </si>
  <si>
    <t>https://angel.co/company/proportunity</t>
  </si>
  <si>
    <t>https://www.crunchbase.com/organization/proportunity</t>
  </si>
  <si>
    <t>https://proportunity.co/</t>
  </si>
  <si>
    <t>Turbo Tenant</t>
  </si>
  <si>
    <t>https://angel.co/company/turbo-tenant</t>
  </si>
  <si>
    <t>https://www.crunchbase.com/organization/turbo-tenant-llc</t>
  </si>
  <si>
    <t xml:space="preserve">www.turbotenant.com
</t>
  </si>
  <si>
    <t>236 Linden St suite b</t>
  </si>
  <si>
    <t>Fort Collins</t>
  </si>
  <si>
    <t>80524</t>
  </si>
  <si>
    <t>Canoa</t>
  </si>
  <si>
    <t>https://angel.co/company/canoa-1</t>
  </si>
  <si>
    <t>https://www.crunchbase.com/organization/canoa</t>
  </si>
  <si>
    <t>http://www.canoa.supply/</t>
  </si>
  <si>
    <t>1 Dock72 Way 08-118</t>
  </si>
  <si>
    <t>11205</t>
  </si>
  <si>
    <t>Linhuiba</t>
  </si>
  <si>
    <t>https://www.crunchbase.com/organization/linhuiba</t>
  </si>
  <si>
    <t>https://www.linhuiba.com/</t>
  </si>
  <si>
    <t>Hangzhou</t>
  </si>
  <si>
    <t>Altrio</t>
  </si>
  <si>
    <t>https://angel.co/company/altrio</t>
  </si>
  <si>
    <t>https://www.crunchbase.com/organization/altrio</t>
  </si>
  <si>
    <t>https://altrio.com/</t>
  </si>
  <si>
    <t>Unit 802, 96 Spadina Avenue</t>
  </si>
  <si>
    <t>M5V 2J6</t>
  </si>
  <si>
    <t>AnthemIQ</t>
  </si>
  <si>
    <t>https://angel.co/company/anthemiq</t>
  </si>
  <si>
    <t>https://www.crunchbase.com/organization/anthemiq</t>
  </si>
  <si>
    <t>https://www.anthemiq.com/</t>
  </si>
  <si>
    <t>901 9th St</t>
  </si>
  <si>
    <t>78703</t>
  </si>
  <si>
    <t>B+E</t>
  </si>
  <si>
    <t>Retail, Office, Industrial</t>
  </si>
  <si>
    <t>https://www.crunchbase.com/organization/brokers-engineers</t>
  </si>
  <si>
    <t>https://benetlease.com/</t>
  </si>
  <si>
    <t>Firedome</t>
  </si>
  <si>
    <t>Cyber Security</t>
  </si>
  <si>
    <t>https://angel.co/company/firedome</t>
  </si>
  <si>
    <t>https://www.crunchbase.com/organization/firedome</t>
  </si>
  <si>
    <t>https://firedome.io/</t>
  </si>
  <si>
    <t>100 6th Avenue</t>
  </si>
  <si>
    <t>GiGstreem</t>
  </si>
  <si>
    <t>Broadband Service</t>
  </si>
  <si>
    <t>crunchbase.com/organization/gigstreem</t>
  </si>
  <si>
    <t>https://gigstreem.com/</t>
  </si>
  <si>
    <t>1775 Tysons Blvd, 5th Floor</t>
  </si>
  <si>
    <t>Tysons Corner</t>
  </si>
  <si>
    <t>22102</t>
  </si>
  <si>
    <t>Harbor</t>
  </si>
  <si>
    <t>Finance</t>
  </si>
  <si>
    <t>https://angel.co/harborhq</t>
  </si>
  <si>
    <t>https://www.crunchbase.com/organization/harbor-platform#section-overview</t>
  </si>
  <si>
    <t>https://harbor.com/</t>
  </si>
  <si>
    <t>Livly</t>
  </si>
  <si>
    <t>https://www.crunchbase.com/organization/livly#section-overview</t>
  </si>
  <si>
    <t>www.livly.io/</t>
  </si>
  <si>
    <t>1325 W Randolph Street</t>
  </si>
  <si>
    <t>60607</t>
  </si>
  <si>
    <t>OneSpot</t>
  </si>
  <si>
    <t>Advertising, Publishing</t>
  </si>
  <si>
    <t>https://angel.co/company/onespot</t>
  </si>
  <si>
    <t>https://www.crunchbase.com/organization/onespot</t>
  </si>
  <si>
    <t>www.onespot.com</t>
  </si>
  <si>
    <t>3305 Northland Dr #505</t>
  </si>
  <si>
    <t>78731</t>
  </si>
  <si>
    <t>Shipmonk</t>
  </si>
  <si>
    <t>https://angel.co/company/shipmonk</t>
  </si>
  <si>
    <t>https://www.crunchbase.com/organization/shipmonk</t>
  </si>
  <si>
    <t>http://shipmonk.com</t>
  </si>
  <si>
    <t>Worlds</t>
  </si>
  <si>
    <t>https://www.crunchbase.com/organization/worlds-9772</t>
  </si>
  <si>
    <t>https://worlds.io/</t>
  </si>
  <si>
    <t>CoverTree</t>
  </si>
  <si>
    <t>https://www.crunchbase.com/organization/cover-tree</t>
  </si>
  <si>
    <t>https://covertree.com/</t>
  </si>
  <si>
    <t>Detroit</t>
  </si>
  <si>
    <t>LandGate</t>
  </si>
  <si>
    <t>https://www.crunchbase.com/organization/petrovalues</t>
  </si>
  <si>
    <t>https://landgate.com/</t>
  </si>
  <si>
    <t>Tongo</t>
  </si>
  <si>
    <t>https://www.crunchbase.com/organization/tongo-44fc</t>
  </si>
  <si>
    <t>https://gettongo.com/</t>
  </si>
  <si>
    <t>Yesler</t>
  </si>
  <si>
    <t>https://www.crunchbase.com/organization/yesler-6ade</t>
  </si>
  <si>
    <t>https://www.goyesler.com/</t>
  </si>
  <si>
    <t>506 2nd Ave Suite 3100</t>
  </si>
  <si>
    <t>98104</t>
  </si>
  <si>
    <t>Apaleo</t>
  </si>
  <si>
    <t>https://angel.co/company/apaleo</t>
  </si>
  <si>
    <t>https://www.crunchbase.com/organization/apaleo</t>
  </si>
  <si>
    <t>https://apaleo.com/</t>
  </si>
  <si>
    <t>Plantd</t>
  </si>
  <si>
    <t>https://wellfound.com/company/plantd-1</t>
  </si>
  <si>
    <t>https://www.crunchbase.com/organization/plantd</t>
  </si>
  <si>
    <t>https://plantdmaterials.com/</t>
  </si>
  <si>
    <t>Presso</t>
  </si>
  <si>
    <t>https://wellfound.com/company/laundrysucks</t>
  </si>
  <si>
    <t>https://www.crunchbase.com/organization/laundry-sucks</t>
  </si>
  <si>
    <t>http://www.getpresso.co/</t>
  </si>
  <si>
    <t>Envairo</t>
  </si>
  <si>
    <t>software platform</t>
  </si>
  <si>
    <t>https://angel.co/company/envairo</t>
  </si>
  <si>
    <t>https://www.crunchbase.com/organization/envairo</t>
  </si>
  <si>
    <t>https://www.envairo.com/</t>
  </si>
  <si>
    <t xml:space="preserve"> Greater New York Area</t>
  </si>
  <si>
    <t>East Coast</t>
  </si>
  <si>
    <t>Northeastern US</t>
  </si>
  <si>
    <t>.</t>
  </si>
  <si>
    <t>Enertiv</t>
  </si>
  <si>
    <t>https://angel.co/enertiv</t>
  </si>
  <si>
    <t>https://www.crunchbase.com/organization/enertiv#section-overview</t>
  </si>
  <si>
    <t>www.enertiv.com</t>
  </si>
  <si>
    <t>320 W. 37th St.</t>
  </si>
  <si>
    <t>Okapi</t>
  </si>
  <si>
    <t>https://www.crunchbase.com/organization/okapi-f5af</t>
  </si>
  <si>
    <t>http://www.okapi.ai/</t>
  </si>
  <si>
    <t>149 5th Ave, 9 Floor</t>
  </si>
  <si>
    <t>Simplifyy</t>
  </si>
  <si>
    <t>https://www.crunchbase.com/organization/simplifyy</t>
  </si>
  <si>
    <t>https://simplifyy.com/</t>
  </si>
  <si>
    <t>1828 Walnut St</t>
  </si>
  <si>
    <t>Kansas City</t>
  </si>
  <si>
    <t>Missouri</t>
  </si>
  <si>
    <t>64108</t>
  </si>
  <si>
    <t>NERD</t>
  </si>
  <si>
    <t>https://www.crunchbase.com/organization/nationwide-engineering-group</t>
  </si>
  <si>
    <t>https://www.nationwideengineering.co.uk/</t>
  </si>
  <si>
    <t>Amesbury</t>
  </si>
  <si>
    <t>Tumble</t>
  </si>
  <si>
    <t>https://angel.co/company/tumble-2</t>
  </si>
  <si>
    <t>https://www.crunchbase.com/organization/tumble</t>
  </si>
  <si>
    <t>https://tumble.to/</t>
  </si>
  <si>
    <t>Till</t>
  </si>
  <si>
    <t>https://angel.co/company/till-1</t>
  </si>
  <si>
    <t>https://www.crunchbase.com/organization/till-inc</t>
  </si>
  <si>
    <t>https://www.hellotill.com</t>
  </si>
  <si>
    <t>Daybase</t>
  </si>
  <si>
    <t>https://www.crunchbase.com/organization/daybase</t>
  </si>
  <si>
    <t>https://www.daybase.co/</t>
  </si>
  <si>
    <t>Remote</t>
  </si>
  <si>
    <t>Archistar</t>
  </si>
  <si>
    <t>https://angel.co/company/archistar</t>
  </si>
  <si>
    <t>https://www.crunchbase.com/organization/archistar</t>
  </si>
  <si>
    <t>https://archistar.ai/</t>
  </si>
  <si>
    <t>80 Pitt St</t>
  </si>
  <si>
    <t>Soil Connect</t>
  </si>
  <si>
    <t>https://wellfound.com/company/soil-connect</t>
  </si>
  <si>
    <t>https://www.crunchbase.com/organization/soil-connect</t>
  </si>
  <si>
    <t>https://www.soilconnect.com/#/home</t>
  </si>
  <si>
    <t>Goodcover</t>
  </si>
  <si>
    <t>https://angel.co/company/goodcover-co</t>
  </si>
  <si>
    <t>https://www.crunchbase.com/organization/goodcover</t>
  </si>
  <si>
    <t>https://www.goodcover.com/</t>
  </si>
  <si>
    <t>Jupe</t>
  </si>
  <si>
    <t>https://angel.co/company/jupe-1</t>
  </si>
  <si>
    <t>Jupe - Crunchbase Company Profile &amp; Funding</t>
  </si>
  <si>
    <t>https://jupe.com/</t>
  </si>
  <si>
    <t>Wynwood House</t>
  </si>
  <si>
    <t>https://www.crunchbase.com/organization/wynwood-house</t>
  </si>
  <si>
    <t>https://wynwood-house.com/</t>
  </si>
  <si>
    <t>Apto</t>
  </si>
  <si>
    <t>Brokerage</t>
  </si>
  <si>
    <t>https://angel.co/apto-1</t>
  </si>
  <si>
    <t>https://www.crunchbase.com/organization/apto</t>
  </si>
  <si>
    <t>www.apto.com</t>
  </si>
  <si>
    <t>1730 Blake Street</t>
  </si>
  <si>
    <t>Awning</t>
  </si>
  <si>
    <t>https://www.crunchbase.com/organization/awning</t>
  </si>
  <si>
    <t>https://www.awning.com/</t>
  </si>
  <si>
    <t>Vero Leasing</t>
  </si>
  <si>
    <t>https://angel.co/company/sayvero</t>
  </si>
  <si>
    <t>https://www.crunchbase.com/organization/surecave</t>
  </si>
  <si>
    <t>https://www.sayvero.com/vero/splash/</t>
  </si>
  <si>
    <t>335 Madison Ave.</t>
  </si>
  <si>
    <t>Nada Inc</t>
  </si>
  <si>
    <t>https://angel.co/company/nada-inc</t>
  </si>
  <si>
    <t>https://www.crunchbase.com/organization/nada</t>
  </si>
  <si>
    <t>https://www.nada.co/</t>
  </si>
  <si>
    <t>Building IQ</t>
  </si>
  <si>
    <t>https://angel.co/buildingiq</t>
  </si>
  <si>
    <t>https://www.crunchbase.com/organization/buildingiq</t>
  </si>
  <si>
    <t>www.buildingiq.com</t>
  </si>
  <si>
    <t>2121 El Camino Real</t>
  </si>
  <si>
    <t>94403</t>
  </si>
  <si>
    <t>Made Renovation</t>
  </si>
  <si>
    <t>https://angel.co/company/made-renovation</t>
  </si>
  <si>
    <t>https://www.crunchbase.com/organization/made-renovation</t>
  </si>
  <si>
    <t>https://www.maderenovation.com/</t>
  </si>
  <si>
    <t>2108 Chestnut St.</t>
  </si>
  <si>
    <t>94123</t>
  </si>
  <si>
    <t>Virtual Facility</t>
  </si>
  <si>
    <t>https://angel.co/company/virtual-facility</t>
  </si>
  <si>
    <t>https://www.crunchbase.com/organization/virtual-facility</t>
  </si>
  <si>
    <t>Bizly</t>
  </si>
  <si>
    <t>https://angel.co/company/bizly</t>
  </si>
  <si>
    <t>https://www.crunchbase.com/organization/bizly</t>
  </si>
  <si>
    <t>http://www.bizly.com/</t>
  </si>
  <si>
    <t>1350 Broadway 
Suite 2202</t>
  </si>
  <si>
    <t>Hoken</t>
  </si>
  <si>
    <t>https://angel.co/company/gohoken</t>
  </si>
  <si>
    <t>https://www.crunchbase.com/organization/hoken-holdings-inc</t>
  </si>
  <si>
    <t>http://gohoken.com/</t>
  </si>
  <si>
    <t>Storefront</t>
  </si>
  <si>
    <t>https://angel.co/storefront</t>
  </si>
  <si>
    <t>https://www.crunchbase.com/organization/storefront</t>
  </si>
  <si>
    <t>www.thestorefront.com/</t>
  </si>
  <si>
    <t>111 Avenue Victor Hugo</t>
  </si>
  <si>
    <t xml:space="preserve">Paris </t>
  </si>
  <si>
    <t>75016</t>
  </si>
  <si>
    <t>SensorFlow</t>
  </si>
  <si>
    <t>https://angel.co/company/sensorflow</t>
  </si>
  <si>
    <t>https://www.crunchbase.com/organization/sensorflow</t>
  </si>
  <si>
    <t xml:space="preserve">www.sensorflow.co/
</t>
  </si>
  <si>
    <t xml:space="preserve"> Level 6 Vanguard Campus, 1 Kallang Junction</t>
  </si>
  <si>
    <t>339263</t>
  </si>
  <si>
    <t>Flair</t>
  </si>
  <si>
    <t>https://angel.co/company/flair-systems</t>
  </si>
  <si>
    <t>https://www.crunchbase.com/organization/flair-3</t>
  </si>
  <si>
    <t>https://flair.co/</t>
  </si>
  <si>
    <t>Movvo</t>
  </si>
  <si>
    <t>Due Diligence</t>
  </si>
  <si>
    <t>https://angel.co/movvo</t>
  </si>
  <si>
    <t>https://www.crunchbase.com/organization/around-knowledge</t>
  </si>
  <si>
    <t>www.movvo.com</t>
  </si>
  <si>
    <t>Rua Alferes Malheiro 97</t>
  </si>
  <si>
    <t>Porto</t>
  </si>
  <si>
    <t>4000-059</t>
  </si>
  <si>
    <t>Rentable</t>
  </si>
  <si>
    <t>https://angel.co/company/rentableapts</t>
  </si>
  <si>
    <t>https://www.crunchbase.com/organization/abodo</t>
  </si>
  <si>
    <t>https://www.rentable.co/</t>
  </si>
  <si>
    <t>316 W Washington Ave UNIT 700</t>
  </si>
  <si>
    <t>Madison</t>
  </si>
  <si>
    <t>53703</t>
  </si>
  <si>
    <t>Fintor</t>
  </si>
  <si>
    <t>https://angel.co/company/fintor</t>
  </si>
  <si>
    <t>https://www.crunchbase.com/organization/fintor</t>
  </si>
  <si>
    <t>https://fintor.com/</t>
  </si>
  <si>
    <t>Key</t>
  </si>
  <si>
    <t>https://www.crunchbase.com/organization/key-c0c5</t>
  </si>
  <si>
    <t>https://lifeatkey.com/</t>
  </si>
  <si>
    <t>Mastt</t>
  </si>
  <si>
    <t>https://angel.co/company/mastt</t>
  </si>
  <si>
    <t>https://www.crunchbase.com/organization/mastt</t>
  </si>
  <si>
    <t>https://www.mastt.com/</t>
  </si>
  <si>
    <t>CostCertified</t>
  </si>
  <si>
    <t>https://angel.co/company/costcertified-2</t>
  </si>
  <si>
    <t>https://www.crunchbase.com/organization/costcertified</t>
  </si>
  <si>
    <t>https://costcertified.com/</t>
  </si>
  <si>
    <t>Buildup</t>
  </si>
  <si>
    <t>Construction tech</t>
  </si>
  <si>
    <t>https://angel.co/company/buildup-technologies-1</t>
  </si>
  <si>
    <t>https://www.crunchbase.com/organization/buildup</t>
  </si>
  <si>
    <t>https://www.buildup.co/</t>
  </si>
  <si>
    <t>Iotas</t>
  </si>
  <si>
    <t>https://angel.co/iotas</t>
  </si>
  <si>
    <t>https://www.crunchbase.com/organization/iotas-inc</t>
  </si>
  <si>
    <t>www.iotashome.com</t>
  </si>
  <si>
    <t>StructionSite Inc.</t>
  </si>
  <si>
    <t>https://angel.co/company/structionsite</t>
  </si>
  <si>
    <t>https://www.crunchbase.com/organization/structionsite-inc</t>
  </si>
  <si>
    <t>https://structionsite.com/</t>
  </si>
  <si>
    <t>SiteZeus</t>
  </si>
  <si>
    <t>Site Selection</t>
  </si>
  <si>
    <t>https://angel.co/sitezeus/</t>
  </si>
  <si>
    <t>https://www.crunchbase.com/organization/sitezeus</t>
  </si>
  <si>
    <t>https://sitezeus.com</t>
  </si>
  <si>
    <t>1002 S.Church street</t>
  </si>
  <si>
    <t xml:space="preserve">FL </t>
  </si>
  <si>
    <t>Pylon</t>
  </si>
  <si>
    <t>https://www.crunchbase.com/organization/braid-75b6</t>
  </si>
  <si>
    <t>http://www.pylonlending.com/</t>
  </si>
  <si>
    <t>HotelRunner</t>
  </si>
  <si>
    <t>https://wellfound.com/company/hotelrunner</t>
  </si>
  <si>
    <t>https://www.crunchbase.com/organization/hotelrunner</t>
  </si>
  <si>
    <t>https://www.hotelrunner.com/</t>
  </si>
  <si>
    <t>Shopic</t>
  </si>
  <si>
    <t>https://angel.co/company/shopic</t>
  </si>
  <si>
    <t>https://www.crunchbase.com/organization/shopic#section-overview</t>
  </si>
  <si>
    <t>https://www.shopic.co/</t>
  </si>
  <si>
    <t xml:space="preserve">450 Lexington Ave. </t>
  </si>
  <si>
    <t>New-York</t>
  </si>
  <si>
    <t>Rivet Work</t>
  </si>
  <si>
    <t>https://wellfound.com/company/rivet-work</t>
  </si>
  <si>
    <t>https://www.crunchbase.com/organization/rivet-0146</t>
  </si>
  <si>
    <t>https://rivet.work/</t>
  </si>
  <si>
    <t>Verdigris Technologies, Inc</t>
  </si>
  <si>
    <t>Multifamily, Office, Hospitality, Industrial, Other</t>
  </si>
  <si>
    <t>https://angel.co/company/verdigris</t>
  </si>
  <si>
    <t>https://www.crunchbase.com/organization/verdigris-technologies</t>
  </si>
  <si>
    <t>http://www.verdigris.co/</t>
  </si>
  <si>
    <t>NASA Ames Research, Bldg 19, Rm 2073
Mountain View</t>
  </si>
  <si>
    <t>94036</t>
  </si>
  <si>
    <t>Tabas</t>
  </si>
  <si>
    <t>https://www.crunchbase.com/organization/tabas</t>
  </si>
  <si>
    <t>https://tabas.com/</t>
  </si>
  <si>
    <t>Inspectify</t>
  </si>
  <si>
    <t>https://angel.co/company/inspectify</t>
  </si>
  <si>
    <t>https://www.crunchbase.com/organization/inspectify-dd08</t>
  </si>
  <si>
    <t>https://www.inspectify.com/</t>
  </si>
  <si>
    <t>Rabbet</t>
  </si>
  <si>
    <t>https://angel.co/company/rabbet</t>
  </si>
  <si>
    <t>https://www.crunchbase.com/organization/contract-simply</t>
  </si>
  <si>
    <t>https://rabbet.com/</t>
  </si>
  <si>
    <t>7010 Easy Wind Drive, Suite 210</t>
  </si>
  <si>
    <t>78752</t>
  </si>
  <si>
    <t>Y Combinator</t>
  </si>
  <si>
    <t>Over-C</t>
  </si>
  <si>
    <t>https://www.crunchbase.com/organization/over-c-2</t>
  </si>
  <si>
    <t>https://over-c.com/</t>
  </si>
  <si>
    <t>Buildout</t>
  </si>
  <si>
    <t>https://angel.co/company/buildout</t>
  </si>
  <si>
    <t>https://www.crunchbase.com/organization/buildout</t>
  </si>
  <si>
    <t>https://buildout.com</t>
  </si>
  <si>
    <t>ECOncrete</t>
  </si>
  <si>
    <t>https://www.crunchbase.com/organization/econcrete</t>
  </si>
  <si>
    <t>https://econcretetech.com/</t>
  </si>
  <si>
    <t>Knowify</t>
  </si>
  <si>
    <t>https://angel.co/company/knowify</t>
  </si>
  <si>
    <t>https://www.crunchbase.com/organization/knowify-llc</t>
  </si>
  <si>
    <t>https://www.knowify.com/</t>
  </si>
  <si>
    <t>KODE Labs</t>
  </si>
  <si>
    <t>https://angel.co/u/kode-labs</t>
  </si>
  <si>
    <t>https://www.crunchbase.com/organization/kode-labs</t>
  </si>
  <si>
    <t>kodelabs.com</t>
  </si>
  <si>
    <t>NoiseAware</t>
  </si>
  <si>
    <t>https://angel.co/company/noiseaware</t>
  </si>
  <si>
    <t>https://www.crunchbase.com/organization/noiseaware</t>
  </si>
  <si>
    <t>https://noiseaware.com/</t>
  </si>
  <si>
    <t>2800 Routh St.</t>
  </si>
  <si>
    <t>75201</t>
  </si>
  <si>
    <t>Qira</t>
  </si>
  <si>
    <t>https://www.crunchbase.com/organization/qira</t>
  </si>
  <si>
    <t>https://qira.com/</t>
  </si>
  <si>
    <t>Agorus</t>
  </si>
  <si>
    <t>https://www.crunchbase.com/organization/agorus</t>
  </si>
  <si>
    <t>https://agorus.com/</t>
  </si>
  <si>
    <t>Backflip</t>
  </si>
  <si>
    <t>https://angel.co/company/backflip-2</t>
  </si>
  <si>
    <t>https://www.crunchbase.com/organization/backflip-2fd7</t>
  </si>
  <si>
    <t>https://dobackflip.com/</t>
  </si>
  <si>
    <t>Prometheus</t>
  </si>
  <si>
    <t>https://www.crunchbase.com/organization/prometheus-materials</t>
  </si>
  <si>
    <t>https://prometheusmaterials.com/</t>
  </si>
  <si>
    <t>PRODA</t>
  </si>
  <si>
    <t>https://angel.co/company/proda</t>
  </si>
  <si>
    <t>https://www.crunchbase.com/organization/proda</t>
  </si>
  <si>
    <t>https://proda.ai/</t>
  </si>
  <si>
    <t>Realto</t>
  </si>
  <si>
    <t>https://www.crunchbase.com/organization/realto-0bbe</t>
  </si>
  <si>
    <t>https://realto.ai/</t>
  </si>
  <si>
    <t>Overland Park</t>
  </si>
  <si>
    <t>KS</t>
  </si>
  <si>
    <t>StructShare</t>
  </si>
  <si>
    <t>https://wellfound.com/company/structshare</t>
  </si>
  <si>
    <t>https://www.crunchbase.com/organization/structshare</t>
  </si>
  <si>
    <t>http://structshare.com/</t>
  </si>
  <si>
    <t>PropertyScout</t>
  </si>
  <si>
    <t>https://angel.co/company/flexstay-rentals</t>
  </si>
  <si>
    <t>https://www.crunchbase.com/organization/propertyscout</t>
  </si>
  <si>
    <t>https://propertyscout.co.th/</t>
  </si>
  <si>
    <t>Khlong Toei</t>
  </si>
  <si>
    <t>Thailand</t>
  </si>
  <si>
    <t>Quartz</t>
  </si>
  <si>
    <t>https://angel.co/company/quartzcompany</t>
  </si>
  <si>
    <t>https://www.crunchbase.com/organization/quartz-systems-inc</t>
  </si>
  <si>
    <t>https://www.quartz.co/</t>
  </si>
  <si>
    <t>Anyplace</t>
  </si>
  <si>
    <t>https://www.crunchbase.com/organization/anyplace</t>
  </si>
  <si>
    <t>https://www.anyplace.com/</t>
  </si>
  <si>
    <t>Kindred</t>
  </si>
  <si>
    <t>https://www.crunchbase.com/organization/kindred-cf36</t>
  </si>
  <si>
    <t>https://livekindred.com/</t>
  </si>
  <si>
    <t>Silkhaus</t>
  </si>
  <si>
    <t>https://www.crunchbase.com/organization/silkhaus</t>
  </si>
  <si>
    <t>https://www.silkhaus.co/</t>
  </si>
  <si>
    <t>Level 5, One JLT, Jumeirah Lake Towers</t>
  </si>
  <si>
    <t>Snaptrude</t>
  </si>
  <si>
    <t>https://www.crunchbase.com/organization/snaptrude</t>
  </si>
  <si>
    <t>http://www.snaptrude.com/</t>
  </si>
  <si>
    <t>Pointivo</t>
  </si>
  <si>
    <t>https://angel.co/pointivo</t>
  </si>
  <si>
    <t>https://www.crunchbase.com/organization/pointivo</t>
  </si>
  <si>
    <t>www.pointivo.com</t>
  </si>
  <si>
    <t>75 5th St NW , #2140</t>
  </si>
  <si>
    <t xml:space="preserve">Atlanta </t>
  </si>
  <si>
    <t xml:space="preserve">GA </t>
  </si>
  <si>
    <t>Ajar</t>
  </si>
  <si>
    <t>https://angel.co/company/ajar-online</t>
  </si>
  <si>
    <t>https://www.crunchbase.com/organization/ajar-online</t>
  </si>
  <si>
    <t>https://ajar.ae/</t>
  </si>
  <si>
    <t>13th Floor, T21 Tower, Avenue 147</t>
  </si>
  <si>
    <t>Kuwait</t>
  </si>
  <si>
    <t>Apsiyon</t>
  </si>
  <si>
    <t>https://angel.co/company/apsiyon-com</t>
  </si>
  <si>
    <t>https://www.crunchbase.com/organization/apsiyon</t>
  </si>
  <si>
    <t xml:space="preserve">www.apsiyon.com
</t>
  </si>
  <si>
    <t>Altayçeşme Mah. Öz Sokak No: 19
Gold Plaza Office 6</t>
  </si>
  <si>
    <t>Maltepe</t>
  </si>
  <si>
    <t>Estambul</t>
  </si>
  <si>
    <t xml:space="preserve">34843 </t>
  </si>
  <si>
    <t>Bricklane.com</t>
  </si>
  <si>
    <t>https://angel.co/company/bricklane-com</t>
  </si>
  <si>
    <t>https://www.crunchbase.com/organization/bricklane-com</t>
  </si>
  <si>
    <t>http://www.bricklane.com/</t>
  </si>
  <si>
    <t>20 Baltic Street</t>
  </si>
  <si>
    <t>EC1Y 0UL</t>
  </si>
  <si>
    <t>Yave</t>
  </si>
  <si>
    <t>https://www.crunchbase.com/organization/smart-lending-mexico</t>
  </si>
  <si>
    <t>https://yave.mx/</t>
  </si>
  <si>
    <t>Caretaker</t>
  </si>
  <si>
    <t>https://www.crunchbase.com/organization/flip-5</t>
  </si>
  <si>
    <t>http://caretaker.com/</t>
  </si>
  <si>
    <t>52 Marcy Avenue 
Unit 1</t>
  </si>
  <si>
    <t>11211</t>
  </si>
  <si>
    <t>Adaptive</t>
  </si>
  <si>
    <t>https://www.crunchbase.com/organization/adaptive-real-estate</t>
  </si>
  <si>
    <t>https://www.adaptive.build/</t>
  </si>
  <si>
    <t>Aryeo</t>
  </si>
  <si>
    <t>https://angel.co/company/aryeo</t>
  </si>
  <si>
    <t>https://www.crunchbase.com/organization/aryeo</t>
  </si>
  <si>
    <t>https://www.aryeo.com/</t>
  </si>
  <si>
    <t>107 South St</t>
  </si>
  <si>
    <t>Quo Finance</t>
  </si>
  <si>
    <t>https://www.crunchbase.com/organization/nillify</t>
  </si>
  <si>
    <t>https://quo.com/</t>
  </si>
  <si>
    <t>Zuma</t>
  </si>
  <si>
    <t>https://angel.co/company/zuma</t>
  </si>
  <si>
    <t>https://www.crunchbase.com/organization/astro</t>
  </si>
  <si>
    <t>https://www.getzuma.com/</t>
  </si>
  <si>
    <t>Timberhub</t>
  </si>
  <si>
    <t>https://www.crunchbase.com/organization/timberhub</t>
  </si>
  <si>
    <t>https://www.timberhub.com/</t>
  </si>
  <si>
    <t>Munjz</t>
  </si>
  <si>
    <t>https://www.crunchbase.com/organization/munjz</t>
  </si>
  <si>
    <t>https://www.munjz.com/</t>
  </si>
  <si>
    <t>Dammam</t>
  </si>
  <si>
    <t>Saudi Arabia</t>
  </si>
  <si>
    <t>Openn Negotiation</t>
  </si>
  <si>
    <t>https://wellfound.com/company/openn-negotiation</t>
  </si>
  <si>
    <t>https://www.crunchbase.com/organization/openn-negotiation</t>
  </si>
  <si>
    <t>https://www.openn.com.au/</t>
  </si>
  <si>
    <t>Perth</t>
  </si>
  <si>
    <t>GetCovered.io</t>
  </si>
  <si>
    <t>Multfamily</t>
  </si>
  <si>
    <t>https://www.crunchbase.com/organization/get-covered</t>
  </si>
  <si>
    <t>https://getcovered.io/</t>
  </si>
  <si>
    <t>Swapp</t>
  </si>
  <si>
    <t>https://www.crunchbase.com/organization/buildos</t>
  </si>
  <si>
    <t>https://www.swapp.net/</t>
  </si>
  <si>
    <t>144 דרך מנחם בגין</t>
  </si>
  <si>
    <t>Tel Aviv-Yafo</t>
  </si>
  <si>
    <t>Switch Automation</t>
  </si>
  <si>
    <t>Office, Multimaily, Industrial</t>
  </si>
  <si>
    <t>https://angel.co/company/switch-automation</t>
  </si>
  <si>
    <t>https://www.crunchbase.com/organization/switch-automation</t>
  </si>
  <si>
    <t>switchautomation.com</t>
  </si>
  <si>
    <t>Greater Denver Area</t>
  </si>
  <si>
    <t xml:space="preserve">
</t>
  </si>
  <si>
    <t>Tridium</t>
  </si>
  <si>
    <t>https://angel.co/tridium</t>
  </si>
  <si>
    <t>https://www.crunchbase.com/organization/tridium#section-overview</t>
  </si>
  <si>
    <t>https://www.tridium.com/</t>
  </si>
  <si>
    <t>3951 Westerre Parkway, Suite 350</t>
  </si>
  <si>
    <t>23233</t>
  </si>
  <si>
    <t>CoFi</t>
  </si>
  <si>
    <t>https://www.crunchbase.com/organization/cofi-836c</t>
  </si>
  <si>
    <t>https://www.cofisoftware.com/</t>
  </si>
  <si>
    <t>Lindon</t>
  </si>
  <si>
    <t>Endpoint</t>
  </si>
  <si>
    <t>https://angel.co/company/endpoint-closing</t>
  </si>
  <si>
    <t>https://www.crunchbase.com/organization/endpoint</t>
  </si>
  <si>
    <t>https://www.endpointclosing.com/</t>
  </si>
  <si>
    <t>Here</t>
  </si>
  <si>
    <t>https://angel.co/company/here-13</t>
  </si>
  <si>
    <t>https://www.crunchbase.com/organization/here-vacations</t>
  </si>
  <si>
    <t>https://here.co/</t>
  </si>
  <si>
    <t>HomePace</t>
  </si>
  <si>
    <t>https://angel.co/company/homepace</t>
  </si>
  <si>
    <t>https://www.crunchbase.com/organization/homepace</t>
  </si>
  <si>
    <t>https://homepace.com/</t>
  </si>
  <si>
    <t>Park City</t>
  </si>
  <si>
    <t>Landed (Gotlanded)</t>
  </si>
  <si>
    <t>https://www.crunchbase.com/organization/landed-11de</t>
  </si>
  <si>
    <t>https://www.gotlanded.com/</t>
  </si>
  <si>
    <t>Digs</t>
  </si>
  <si>
    <t>https://www.crunchbase.com/organization/digs-8801</t>
  </si>
  <si>
    <t>https://digs.com/</t>
  </si>
  <si>
    <t>Samara</t>
  </si>
  <si>
    <t>https://www.crunchbase.com/organization/samara-319e</t>
  </si>
  <si>
    <t>https://www.samara.energy/</t>
  </si>
  <si>
    <t>PivotDesk</t>
  </si>
  <si>
    <t>https://angel.co/company/pivotdesk</t>
  </si>
  <si>
    <t>https://www.crunchbase.com/organization/pivotdesk</t>
  </si>
  <si>
    <t>https://www.pivotdesk.com/</t>
  </si>
  <si>
    <t>Remote Lock</t>
  </si>
  <si>
    <t>https://www.crunchbase.com/organization/remotelock</t>
  </si>
  <si>
    <t>https://www.remotelock.com/</t>
  </si>
  <si>
    <t>PropHero</t>
  </si>
  <si>
    <t>https://www.crunchbase.com/organization/prophero</t>
  </si>
  <si>
    <t>https://prophero.com.au/</t>
  </si>
  <si>
    <t>RedTeam</t>
  </si>
  <si>
    <t>https://www.crunchbase.com/organization/redteam-software-llc</t>
  </si>
  <si>
    <t>https://www.redteam.com/</t>
  </si>
  <si>
    <t>Humming Homes</t>
  </si>
  <si>
    <t>https://angel.co/company/humming-homes</t>
  </si>
  <si>
    <t>https://www.crunchbase.com/organization/humming-homes</t>
  </si>
  <si>
    <t>https://www.humminghomes.com/</t>
  </si>
  <si>
    <t>Document Crunch</t>
  </si>
  <si>
    <t>Construction, Commercial</t>
  </si>
  <si>
    <t>https://www.crunchbase.com/organization/document-crunch</t>
  </si>
  <si>
    <r>
      <rPr>
        <rFont val="Calibri"/>
        <color rgb="FF1155CC"/>
        <sz val="12.0"/>
        <u/>
      </rPr>
      <t>https://www.documentcrunch.com/</t>
    </r>
    <r>
      <rPr>
        <rFont val="Calibri"/>
        <color rgb="FF1155CC"/>
        <sz val="12.0"/>
      </rPr>
      <t>/</t>
    </r>
  </si>
  <si>
    <t>1 Glenlake Parkway NE, Suite 650</t>
  </si>
  <si>
    <t>30328</t>
  </si>
  <si>
    <t>Mogul.sg</t>
  </si>
  <si>
    <t>https://www.crunchbase.com/organization/mogul</t>
  </si>
  <si>
    <t>https://www.mogul.sg/</t>
  </si>
  <si>
    <t>Kaarta</t>
  </si>
  <si>
    <t>Digital Twin</t>
  </si>
  <si>
    <t>https://angel.co/company/kaarta</t>
  </si>
  <si>
    <t>https://www.crunchbase.com/organization/kaarta</t>
  </si>
  <si>
    <t>https://www.kaarta.com/</t>
  </si>
  <si>
    <t>Pennsylvania</t>
  </si>
  <si>
    <t>Plunk</t>
  </si>
  <si>
    <t>https://angel.co/company/getplunk</t>
  </si>
  <si>
    <t>https://www.crunchbase.com/organization/plunk-1950</t>
  </si>
  <si>
    <t>https://www.getplunk.com/</t>
  </si>
  <si>
    <t>1100 Bellevue Way NE</t>
  </si>
  <si>
    <t>98004</t>
  </si>
  <si>
    <t>GroundFloor</t>
  </si>
  <si>
    <t>https://angel.co/company/groundfloor</t>
  </si>
  <si>
    <t>https://www.crunchbase.com/organization/groundfloor-2</t>
  </si>
  <si>
    <t>https://groundfloor.us/</t>
  </si>
  <si>
    <t>Skyline Robotics</t>
  </si>
  <si>
    <t>https://www.crunchbase.com/organization/skyline-robotics</t>
  </si>
  <si>
    <t>https://www.skylinerobotics.com/</t>
  </si>
  <si>
    <t>SmartPM</t>
  </si>
  <si>
    <t>https://www.crunchbase.com/organization/smartpm-technologies</t>
  </si>
  <si>
    <t>https://smartpmtech.com/</t>
  </si>
  <si>
    <t>Alphaflow</t>
  </si>
  <si>
    <t>SFR, Multifamily</t>
  </si>
  <si>
    <t>https://angel.co/alphaflow/</t>
  </si>
  <si>
    <t>https://www.crunchbase.com/organization/alphaflow</t>
  </si>
  <si>
    <t>www.alphaflow.com/</t>
  </si>
  <si>
    <t>564 Market Street</t>
  </si>
  <si>
    <t>Floored</t>
  </si>
  <si>
    <t>https://www.crunchbase.com/organization/floored#section-overview</t>
  </si>
  <si>
    <t>https://www.floored.com/</t>
  </si>
  <si>
    <t>Flow Living</t>
  </si>
  <si>
    <t>https://www.crunchbase.com/organization/flow-961a</t>
  </si>
  <si>
    <t>https://flowliving.com/</t>
  </si>
  <si>
    <t>Johannesburg</t>
  </si>
  <si>
    <t>Keyzy</t>
  </si>
  <si>
    <t>https://wellfound.com/company/keyzy-1</t>
  </si>
  <si>
    <t>https://www.crunchbase.com/organization/keyzy-9dcb</t>
  </si>
  <si>
    <t>https://www.keyzy.com/</t>
  </si>
  <si>
    <t>Padlist companies</t>
  </si>
  <si>
    <t>https://www.crunchbase.com/organization/seedinvest</t>
  </si>
  <si>
    <t>https://www.seedinvest.com/padlist/seed</t>
  </si>
  <si>
    <t>Constrafor</t>
  </si>
  <si>
    <t>https://www.crunchbase.com/organization/constrafor</t>
  </si>
  <si>
    <t>https://www.constrafor.com/landing/</t>
  </si>
  <si>
    <t>GoContractor</t>
  </si>
  <si>
    <t>https://angel.co/company/gocontractor</t>
  </si>
  <si>
    <t>https://www.crunchbase.com/organization/induction-manager/company_financials</t>
  </si>
  <si>
    <t>https://gocontractor.com/</t>
  </si>
  <si>
    <t xml:space="preserve">300 Park Avenue </t>
  </si>
  <si>
    <t>Rentalutions / Avail</t>
  </si>
  <si>
    <t>https://angel.co/company/helloavail</t>
  </si>
  <si>
    <t>https://www.avail.co/</t>
  </si>
  <si>
    <t>Shepherd</t>
  </si>
  <si>
    <t>https://angel.co/company/withshepherd</t>
  </si>
  <si>
    <t>https://www.crunchbase.com/organization/shepherd-a537</t>
  </si>
  <si>
    <t>https://withshepherd.com/</t>
  </si>
  <si>
    <t>Carbon RE</t>
  </si>
  <si>
    <t>https://angel.co/company/carbon-re</t>
  </si>
  <si>
    <t>https://www.crunchbase.com/organization/carbon-re</t>
  </si>
  <si>
    <t>https://www.carbonre.tech/</t>
  </si>
  <si>
    <t>Curri</t>
  </si>
  <si>
    <t>https://www.crunchbase.com/organization/curri</t>
  </si>
  <si>
    <t>https://www.curri.com/</t>
  </si>
  <si>
    <t>90001</t>
  </si>
  <si>
    <t>TraceAir</t>
  </si>
  <si>
    <t>https://angel.co/company/traceair</t>
  </si>
  <si>
    <t>https://www.crunchbase.com/organization/traceair</t>
  </si>
  <si>
    <t>https://traceair.net/</t>
  </si>
  <si>
    <t>1741 Broadway St</t>
  </si>
  <si>
    <t>94063</t>
  </si>
  <si>
    <t>Nestio</t>
  </si>
  <si>
    <t>Marketing</t>
  </si>
  <si>
    <t>https://angel.co/nestio</t>
  </si>
  <si>
    <t>https://www.crunchbase.com/organization/nestio#section-overview</t>
  </si>
  <si>
    <t>https://www.nestio.com/</t>
  </si>
  <si>
    <t>Wreno</t>
  </si>
  <si>
    <t>https://angel.co/company/wreno</t>
  </si>
  <si>
    <t>https://www.crunchbase.com/organization/wreno</t>
  </si>
  <si>
    <t>https://www.wreno.io/</t>
  </si>
  <si>
    <t>Disruptive Technologies</t>
  </si>
  <si>
    <t>https://www.crunchbase.com/organization/disruptive-technologies-2</t>
  </si>
  <si>
    <t>https://www.disruptive-technologies.com/</t>
  </si>
  <si>
    <t>Bergen</t>
  </si>
  <si>
    <t>Archilogic</t>
  </si>
  <si>
    <t>https://angel.co/company/archilogic</t>
  </si>
  <si>
    <t>https://www.crunchbase.com/organization/archilogic</t>
  </si>
  <si>
    <t>https://www.archilogic.com/</t>
  </si>
  <si>
    <t>Genea</t>
  </si>
  <si>
    <t>https://angel.co/company/genea</t>
  </si>
  <si>
    <t>https://www.crunchbase.com/organization/genea-energy</t>
  </si>
  <si>
    <t>www.getgenea.com/</t>
  </si>
  <si>
    <t>19100 Von Karman</t>
  </si>
  <si>
    <t>92612</t>
  </si>
  <si>
    <t>Realized</t>
  </si>
  <si>
    <t>https://angel.co/company/realized</t>
  </si>
  <si>
    <t>https://www.crunchbase.com/organization/realized-holdings</t>
  </si>
  <si>
    <t>https://www.realized1031.com/</t>
  </si>
  <si>
    <t>RodRadar</t>
  </si>
  <si>
    <t>https://www.crunchbase.com/organization/rod-radar</t>
  </si>
  <si>
    <t>https://www.rodradar.com/</t>
  </si>
  <si>
    <t>Rinatya</t>
  </si>
  <si>
    <t>Ubimax (TeamViewer)</t>
  </si>
  <si>
    <t>https://angel.co/company/ubimax-1</t>
  </si>
  <si>
    <t>https://www.crunchbase.com/organization/ubimax-gmbh</t>
  </si>
  <si>
    <t>https://www.ubimax.com/</t>
  </si>
  <si>
    <t>Courted</t>
  </si>
  <si>
    <t>https://www.crunchbase.com/organization/courted</t>
  </si>
  <si>
    <t>https://www.courted.io/</t>
  </si>
  <si>
    <t>Flexspace</t>
  </si>
  <si>
    <t>https://www.crunchbase.com/organization/flexspace-technologies-inc</t>
  </si>
  <si>
    <t>https://flexspace.ai/</t>
  </si>
  <si>
    <t>Willow Servicing</t>
  </si>
  <si>
    <t>https://www.crunchbase.com/organization/willow-servicing</t>
  </si>
  <si>
    <t>https://www.willowservicing.com/</t>
  </si>
  <si>
    <t>DwellWell</t>
  </si>
  <si>
    <t>https://angel.co/company/dwellwell-2</t>
  </si>
  <si>
    <t>https://www.crunchbase.com/organization/dwellwell-afb6</t>
  </si>
  <si>
    <t>https://www.dwellwell.com/</t>
  </si>
  <si>
    <t>WattCarbon</t>
  </si>
  <si>
    <t>https://wellfound.com/company/wattcarbon</t>
  </si>
  <si>
    <t>https://www.crunchbase.com/organization/wattcarbon</t>
  </si>
  <si>
    <t>https://www.wattcarbon.co/</t>
  </si>
  <si>
    <t>Ivy Homes</t>
  </si>
  <si>
    <t>https://www.crunchbase.com/organization/ivy-homes</t>
  </si>
  <si>
    <t>https://www.ivy.homes/</t>
  </si>
  <si>
    <t>MyPlace</t>
  </si>
  <si>
    <t>Multifamily/Hospitality</t>
  </si>
  <si>
    <t>https://angel.co/company/myplaceapp</t>
  </si>
  <si>
    <t>https://www.crunchbase.com/organization/myplace</t>
  </si>
  <si>
    <t>https://myplace.co/</t>
  </si>
  <si>
    <t>Ownwell</t>
  </si>
  <si>
    <t>https://angel.co/company/ownwell</t>
  </si>
  <si>
    <t>https://www.crunchbase.com/organization/ownwell</t>
  </si>
  <si>
    <t>https://www.ownwell.com/</t>
  </si>
  <si>
    <t>Skipper</t>
  </si>
  <si>
    <t>https://angel.co/company/hiskipper</t>
  </si>
  <si>
    <t>https://www.crunchbase.com/organization/skipper-54b6</t>
  </si>
  <si>
    <t>https://www.skipperhospitality.com/</t>
  </si>
  <si>
    <t>Flyp</t>
  </si>
  <si>
    <r>
      <rPr>
        <rFont val="Calibri"/>
        <color rgb="FF1155CC"/>
        <sz val="12.0"/>
        <u/>
      </rPr>
      <t>https://www.crunchbase.com/organization/flyp-co</t>
    </r>
    <r>
      <rPr>
        <rFont val="Calibri"/>
        <color rgb="FF1155CC"/>
        <sz val="12.0"/>
      </rPr>
      <t>o</t>
    </r>
  </si>
  <si>
    <t>https://flyp.co/</t>
  </si>
  <si>
    <t>Habyt</t>
  </si>
  <si>
    <t>https://angel.co/company/habyt</t>
  </si>
  <si>
    <t>https://www.crunchbase.com/organization/projects</t>
  </si>
  <si>
    <t>https://www.habyt.com/</t>
  </si>
  <si>
    <t>14 Gormannstraße</t>
  </si>
  <si>
    <t>Doorkee</t>
  </si>
  <si>
    <t>https://angel.co/company/doorkee</t>
  </si>
  <si>
    <t>https://www.crunchbase.com/organization/doorkee</t>
  </si>
  <si>
    <t xml:space="preserve">www.doorkee.com/
</t>
  </si>
  <si>
    <t>Isthara</t>
  </si>
  <si>
    <t>https://www.crunchbase.com/organization/isthara</t>
  </si>
  <si>
    <t>https://isthara.com/</t>
  </si>
  <si>
    <t>Hyderabad</t>
  </si>
  <si>
    <t>Sooper</t>
  </si>
  <si>
    <t>https://www.crunchbase.com/organization/sooper</t>
  </si>
  <si>
    <t>https://www.sooper.com.br/</t>
  </si>
  <si>
    <t>Leverton</t>
  </si>
  <si>
    <t>https://angel.co/leverton</t>
  </si>
  <si>
    <t>https://www.crunchbase.com/organization/leverton-gmbh</t>
  </si>
  <si>
    <t>www.leverton.ai</t>
  </si>
  <si>
    <t>166 Mercer Street, Ste 5D</t>
  </si>
  <si>
    <t>Athena Security AI</t>
  </si>
  <si>
    <t>https://angel.co/company/athena-security-1</t>
  </si>
  <si>
    <t>https://www.crunchbase.com/organization/athena-security-inc</t>
  </si>
  <si>
    <t>https://athena-security.com/</t>
  </si>
  <si>
    <t>Naya Homes</t>
  </si>
  <si>
    <t>https://angel.co/company/naya-homes</t>
  </si>
  <si>
    <t>https://www.crunhbase.com/organization/naya-homes</t>
  </si>
  <si>
    <t>https://nayahomes.co/</t>
  </si>
  <si>
    <t>Fractional</t>
  </si>
  <si>
    <t>https://angel.co/company/fractional-2</t>
  </si>
  <si>
    <t>https://www.crunchbase.com/organization/fractional</t>
  </si>
  <si>
    <t>https://www.fractional.app/</t>
  </si>
  <si>
    <t>Instashowing.com</t>
  </si>
  <si>
    <t>https://angel.co/company/instashowing</t>
  </si>
  <si>
    <t>https://www.crunchbase.com/organization/instashowing</t>
  </si>
  <si>
    <t>https://www.instashowing.com/</t>
  </si>
  <si>
    <t>942 Olive St.</t>
  </si>
  <si>
    <t>Eugene</t>
  </si>
  <si>
    <t>97401</t>
  </si>
  <si>
    <t>Keyo</t>
  </si>
  <si>
    <t>https://www.crunchbase.com/organization/keyo-ai#section-overview</t>
  </si>
  <si>
    <t>https://keyo.com/form?page=AddressPage</t>
  </si>
  <si>
    <t>San Francisco Bay Area, Silicon Valley, West Coast</t>
  </si>
  <si>
    <t>Transactly</t>
  </si>
  <si>
    <t>https://angel.co/company/transactly</t>
  </si>
  <si>
    <t>https://www.crunchbase.com/organization/transactly</t>
  </si>
  <si>
    <t>https://transactly.com/</t>
  </si>
  <si>
    <t>St. Charles</t>
  </si>
  <si>
    <t>Boom &amp; Bucket</t>
  </si>
  <si>
    <t>https://angel.co/company/boom-bucket</t>
  </si>
  <si>
    <t>https://www.crunchbase.com/organization/boom-and-bucket</t>
  </si>
  <si>
    <t>https://www.boomandbucket.com/</t>
  </si>
  <si>
    <t>Measurable.energy</t>
  </si>
  <si>
    <t>https://wellfound.com/company/measurable-energy</t>
  </si>
  <si>
    <t>https://www.crunchbase.com/organization/measurable-energy</t>
  </si>
  <si>
    <t>https://measurable.energy/</t>
  </si>
  <si>
    <t>Reading</t>
  </si>
  <si>
    <t>Jumba</t>
  </si>
  <si>
    <t>https://www.crunchbase.com/organization/jumba-8b27</t>
  </si>
  <si>
    <t>https://www.thejumba.com/</t>
  </si>
  <si>
    <t>Nairobi</t>
  </si>
  <si>
    <t>Kenya</t>
  </si>
  <si>
    <t>LocusLabs, Inc.</t>
  </si>
  <si>
    <t>https://angel.co/company/locuslabs</t>
  </si>
  <si>
    <t>https://www.crunchbase.com/organization/locuslabs</t>
  </si>
  <si>
    <t>https://locuslabs.com/</t>
  </si>
  <si>
    <t>Relogix Inc.</t>
  </si>
  <si>
    <t>https://angel.co/company/relogix-1</t>
  </si>
  <si>
    <t>https://www.crunchbase.com/organization/relogix</t>
  </si>
  <si>
    <t>https://relogix.com/</t>
  </si>
  <si>
    <t>Ottawa</t>
  </si>
  <si>
    <t>Zavvie</t>
  </si>
  <si>
    <t>https://www.crunchbase.com/organization/zavvie</t>
  </si>
  <si>
    <t>https://www.zavvie.com/</t>
  </si>
  <si>
    <t>Weaver</t>
  </si>
  <si>
    <t>Industrial, Residential</t>
  </si>
  <si>
    <t>https://www.crunchbase.com/organization/weaver-tech</t>
  </si>
  <si>
    <t>https://weaver.build/</t>
  </si>
  <si>
    <t xml:space="preserve">London </t>
  </si>
  <si>
    <t>Augmenta</t>
  </si>
  <si>
    <t>https://www.crunchbase.com/organization/augmenta-ai</t>
  </si>
  <si>
    <t>https://www.augmenta.ai/</t>
  </si>
  <si>
    <t>Managed App</t>
  </si>
  <si>
    <t>https://www.crunchbase.com/organization/managed-app</t>
  </si>
  <si>
    <t>https://managedapp.com.au/</t>
  </si>
  <si>
    <t>Foyr, LLC</t>
  </si>
  <si>
    <t>Architecture and Design</t>
  </si>
  <si>
    <t>https://angel.co/company/foyr</t>
  </si>
  <si>
    <t>https://www.crunchbase.com/organization/foyr</t>
  </si>
  <si>
    <t>https://foyr.com/</t>
  </si>
  <si>
    <t>3675 Market Street</t>
  </si>
  <si>
    <t>Suite 200</t>
  </si>
  <si>
    <t>Philadelphia,</t>
  </si>
  <si>
    <t>PA 19104</t>
  </si>
  <si>
    <t>Jones</t>
  </si>
  <si>
    <t>InsurTech</t>
  </si>
  <si>
    <t>Real Estate</t>
  </si>
  <si>
    <t>https://angel.co/company/jones1</t>
  </si>
  <si>
    <t>https://www.crunchbase.com/organization/get-jones#section-overview</t>
  </si>
  <si>
    <t>https://getjones.com/</t>
  </si>
  <si>
    <t>Travtus</t>
  </si>
  <si>
    <t>https://angel.co/company/travtus-workforce-pte-1</t>
  </si>
  <si>
    <t>https://www.crunchbase.com/organization/travtus-2</t>
  </si>
  <si>
    <t>http://www.travtus.com/</t>
  </si>
  <si>
    <t>1 Saint Katharine's Way</t>
  </si>
  <si>
    <t>E1W 1UU</t>
  </si>
  <si>
    <t>Arcol</t>
  </si>
  <si>
    <t>https://angel.co/company/arcol-technology</t>
  </si>
  <si>
    <t>https://www.crunchbase.com/organization/arcol-7292</t>
  </si>
  <si>
    <t>https://arcol.io/</t>
  </si>
  <si>
    <t>Middletown</t>
  </si>
  <si>
    <t>DE</t>
  </si>
  <si>
    <t>Skillit</t>
  </si>
  <si>
    <t>https://wellfound.com/company/skillit-8</t>
  </si>
  <si>
    <t>https://www.crunchbase.com/organization/skillit-e75a</t>
  </si>
  <si>
    <t>https://www.skillit.com/</t>
  </si>
  <si>
    <t>Spark</t>
  </si>
  <si>
    <t>https://www.crunchbase.com/organization/spark-crm</t>
  </si>
  <si>
    <t>https://spark.re/</t>
  </si>
  <si>
    <t>1062 Homer St #400</t>
  </si>
  <si>
    <t>BC V6B 2W9</t>
  </si>
  <si>
    <t>MazumaGo</t>
  </si>
  <si>
    <t>https://angel.co/company/mazumago</t>
  </si>
  <si>
    <t>https://www.crunchbase.com/organization/divdot</t>
  </si>
  <si>
    <t>https://www.mazumago.com/</t>
  </si>
  <si>
    <t>Building Radar</t>
  </si>
  <si>
    <t>https://angel.co/company/building-radar</t>
  </si>
  <si>
    <t>https://www.crunchbase.com/organization/global-data-machine</t>
  </si>
  <si>
    <t>https://buildingradar.com/</t>
  </si>
  <si>
    <t>Encycle</t>
  </si>
  <si>
    <t>Office, Retail, Industrial</t>
  </si>
  <si>
    <t>https://www.crunchbase.com/organization/regen-energy</t>
  </si>
  <si>
    <t>https://www.encycle.com/</t>
  </si>
  <si>
    <t>1850 Diamond Street, Suite 105</t>
  </si>
  <si>
    <t>San Marcos</t>
  </si>
  <si>
    <t>92078</t>
  </si>
  <si>
    <t>Haystacks AI</t>
  </si>
  <si>
    <t>https://www.crunchbase.com/organization/realpha-5f31</t>
  </si>
  <si>
    <t>https://haystacks.ai/</t>
  </si>
  <si>
    <t>InfoTycoon</t>
  </si>
  <si>
    <t>Inspection</t>
  </si>
  <si>
    <t>https://angel.co/infotycoon</t>
  </si>
  <si>
    <t>https://www.crunchbase.com/organization/infotycoon</t>
  </si>
  <si>
    <t>http://infotycoon.com/</t>
  </si>
  <si>
    <t>3340 Peachtree Rd NE</t>
  </si>
  <si>
    <t>30326</t>
  </si>
  <si>
    <t>Kaboodle</t>
  </si>
  <si>
    <t>Community</t>
  </si>
  <si>
    <t>https://angel.co/company/kaboodle</t>
  </si>
  <si>
    <t>https://www.crunchbase.com/organization/kaboodle#section-overview</t>
  </si>
  <si>
    <t>https://www.kaboodle.com/</t>
  </si>
  <si>
    <t>9101 Kings Parade Blvd, Suite 201,</t>
  </si>
  <si>
    <t xml:space="preserve"> 28273</t>
  </si>
  <si>
    <t>Knock App</t>
  </si>
  <si>
    <t>https://angel.co/company/knock-app-1</t>
  </si>
  <si>
    <t>https://www.crunchbase.com/organization/knockapp-co</t>
  </si>
  <si>
    <t>http://www.knockapp.co/</t>
  </si>
  <si>
    <t>ParityGo</t>
  </si>
  <si>
    <t>https://angel.co/company/paritygo</t>
  </si>
  <si>
    <t>https://www.crunchbase.com/organization/parity-3249#section-overview</t>
  </si>
  <si>
    <t>https://www.paritygo.com/</t>
  </si>
  <si>
    <t>462 Wellington St W. Suite 201</t>
  </si>
  <si>
    <t>ON M5V 1E3</t>
  </si>
  <si>
    <t>RealMassive</t>
  </si>
  <si>
    <t>https://angel.co/company/realmassive</t>
  </si>
  <si>
    <t>https://www.crunchbase.com/organization/realmassive</t>
  </si>
  <si>
    <t>https://www.realmassive.com/</t>
  </si>
  <si>
    <t>Site 1001</t>
  </si>
  <si>
    <t>https://angel.co/site-1001-1</t>
  </si>
  <si>
    <t>https://www.crunchbase.com/organization/site-1001-inc</t>
  </si>
  <si>
    <t>site1001.com</t>
  </si>
  <si>
    <t>1001 Locust Street</t>
  </si>
  <si>
    <t xml:space="preserve">MO </t>
  </si>
  <si>
    <t>TrueFace</t>
  </si>
  <si>
    <t>Secure Access</t>
  </si>
  <si>
    <t>https://angel.co/company/trueface</t>
  </si>
  <si>
    <t>https://www.crunchbase.com/organization/trueface-ai</t>
  </si>
  <si>
    <t>www.trueface.ai</t>
  </si>
  <si>
    <t>Spaceti</t>
  </si>
  <si>
    <t>Indoor Mapping</t>
  </si>
  <si>
    <t>https://angel.co/spaceti</t>
  </si>
  <si>
    <t>https://www.crunchbase.com/organization/spaceti</t>
  </si>
  <si>
    <t>spaceti.com</t>
  </si>
  <si>
    <t>Purkyňova 2121/3</t>
  </si>
  <si>
    <t>Prague 1</t>
  </si>
  <si>
    <t xml:space="preserve">Prague </t>
  </si>
  <si>
    <t>110 00</t>
  </si>
  <si>
    <t>Infima</t>
  </si>
  <si>
    <t>https://www.crunchbase.com/organization/infima</t>
  </si>
  <si>
    <t>https://www.infima.io/</t>
  </si>
  <si>
    <t>One franklin parkway, bldg 930</t>
  </si>
  <si>
    <t>Jia Finance</t>
  </si>
  <si>
    <t>https://www.crunchbase.com/organization/jia-finance</t>
  </si>
  <si>
    <t>https://www.jiafinance.com/</t>
  </si>
  <si>
    <t>Kopperfield</t>
  </si>
  <si>
    <t>https://angel.co/company/kopperfield</t>
  </si>
  <si>
    <t>https://www.crunchbase.com/organization/kopperfield</t>
  </si>
  <si>
    <t>https://www.kopperfield.com/</t>
  </si>
  <si>
    <t>Revere</t>
  </si>
  <si>
    <t>https://angel.co/company/revere-cre</t>
  </si>
  <si>
    <t>https://www.crunchbase.com/organization/revere-cre</t>
  </si>
  <si>
    <t>https://reverecre.com/</t>
  </si>
  <si>
    <t>Topline Pro</t>
  </si>
  <si>
    <t>https://www.crunchbase.com/organization/prophone</t>
  </si>
  <si>
    <t>https://www.toplinepro.com/</t>
  </si>
  <si>
    <t>Pashouses.id</t>
  </si>
  <si>
    <t>https://www.crunchbase.com/organization/pashouses-id</t>
  </si>
  <si>
    <t>https://pashouses.id/</t>
  </si>
  <si>
    <t>AIA Central, 31st Floor (JustCo)
Jl. Jend. Sudirman No.Kav. 48A</t>
  </si>
  <si>
    <t>Wiseday</t>
  </si>
  <si>
    <t>https://www.crunchbase.com/organization/wiseday</t>
  </si>
  <si>
    <t>https://www.wiseday.com/</t>
  </si>
  <si>
    <t>Pulppo</t>
  </si>
  <si>
    <t>https://www.crunchbase.com/organization/pulppo</t>
  </si>
  <si>
    <t>https://www.pulppo.com/</t>
  </si>
  <si>
    <t>Polanco</t>
  </si>
  <si>
    <t>Togal.AI</t>
  </si>
  <si>
    <t>https://wellfound.com/company/togal-ai</t>
  </si>
  <si>
    <t>https://www.crunchbase.com/organization/togal-ai</t>
  </si>
  <si>
    <t>https://togal.ai/</t>
  </si>
  <si>
    <t>Estater</t>
  </si>
  <si>
    <t>https://www.crunchbase.com/organization/estater-3264</t>
  </si>
  <si>
    <t>https://estater.com/</t>
  </si>
  <si>
    <t>Manama</t>
  </si>
  <si>
    <t>Bahrain</t>
  </si>
  <si>
    <t>RealConnex</t>
  </si>
  <si>
    <t>https://angel.co/company/realconnex</t>
  </si>
  <si>
    <t>https://www.crunchbase.com/organization/realconnex-com</t>
  </si>
  <si>
    <t>https://www.realconnex.com/</t>
  </si>
  <si>
    <t>Solarsquare</t>
  </si>
  <si>
    <t>https://www.crunchbase.com/organization/solarsquare-energy</t>
  </si>
  <si>
    <t>https://www.solarsquare.in/</t>
  </si>
  <si>
    <t>VersaPay</t>
  </si>
  <si>
    <t>Retail, Other</t>
  </si>
  <si>
    <t>https://angel.co/company/versapay</t>
  </si>
  <si>
    <t>https://www.crunchbase.com/organization/versapay</t>
  </si>
  <si>
    <t>http://www.versapay.com/</t>
  </si>
  <si>
    <t>18 King Street East, 18th Floor</t>
  </si>
  <si>
    <t>ON</t>
  </si>
  <si>
    <t>Proper</t>
  </si>
  <si>
    <t>https://www.crunchbase.com/organization/proper-cb14</t>
  </si>
  <si>
    <t>https://www.proper.ai</t>
  </si>
  <si>
    <t>TFLiving</t>
  </si>
  <si>
    <t>https://angel.co/company/tfliving</t>
  </si>
  <si>
    <t>https://www.crunchbase.com/organization/tfliving</t>
  </si>
  <si>
    <t>tfliving.com</t>
  </si>
  <si>
    <t>68 Wall St.</t>
  </si>
  <si>
    <t>Pawleys Island</t>
  </si>
  <si>
    <t>29585</t>
  </si>
  <si>
    <t>Mero</t>
  </si>
  <si>
    <t>https://wellfound.com/company/merotech</t>
  </si>
  <si>
    <t>https://www.crunchbase.com/organization/mero-technologies</t>
  </si>
  <si>
    <t>https://mero.co/</t>
  </si>
  <si>
    <t>Microshare</t>
  </si>
  <si>
    <t>https://www.crunchbase.com/organization/point-io</t>
  </si>
  <si>
    <t>https://www.microshare.io/</t>
  </si>
  <si>
    <t>HomeShare</t>
  </si>
  <si>
    <t>Roomate Matching</t>
  </si>
  <si>
    <t>https://angel.co/homeshare-1</t>
  </si>
  <si>
    <t>https://www.crunchbase.com/organization/homeshare</t>
  </si>
  <si>
    <t>www.homeshare.com</t>
  </si>
  <si>
    <t>Lyvly</t>
  </si>
  <si>
    <t>https://angel.co/lyvly-2</t>
  </si>
  <si>
    <t>https://www.crunchbase.com/organization/lyvly-d458#section-overview</t>
  </si>
  <si>
    <t>https://www.lyvly.uk/</t>
  </si>
  <si>
    <t>ProDeal360</t>
  </si>
  <si>
    <t>https://angel.co/company/prodeal</t>
  </si>
  <si>
    <t>https://www.crunchbase.com/organization/prodeal360</t>
  </si>
  <si>
    <t>https://prodeal360.com</t>
  </si>
  <si>
    <t>Mercator AI</t>
  </si>
  <si>
    <t>https://wellfound.com/company/mercator-ai</t>
  </si>
  <si>
    <t>https://www.crunchbase.com/organization/mercator-ai</t>
  </si>
  <si>
    <t>https://www.mercator.ai/</t>
  </si>
  <si>
    <t>Nashwork</t>
  </si>
  <si>
    <t>https://www.crunchbase.com/organization/nash-work#section-overview</t>
  </si>
  <si>
    <t>http://www.nash.work/</t>
  </si>
  <si>
    <t>Beijing</t>
  </si>
  <si>
    <t>CityBldr</t>
  </si>
  <si>
    <t>Land Planning</t>
  </si>
  <si>
    <t>https://angel.co/citybldr</t>
  </si>
  <si>
    <t>https://www.crunchbase.com/organization/rebls#section-overview</t>
  </si>
  <si>
    <t>https://www.citybldr.com/</t>
  </si>
  <si>
    <t>,</t>
  </si>
  <si>
    <t>Kolo</t>
  </si>
  <si>
    <t>https://www.crunchbase.com/organization/kolo-app</t>
  </si>
  <si>
    <t>https://koloapp.in/</t>
  </si>
  <si>
    <t>Chatbox</t>
  </si>
  <si>
    <t>https://www.crunchbase.com/organization/chatbox</t>
  </si>
  <si>
    <t>https://www.prompt.io/</t>
  </si>
  <si>
    <t>Handdii</t>
  </si>
  <si>
    <t>https://www.crunchbase.com/organization/handdii</t>
  </si>
  <si>
    <t>https://www.handdii.com/</t>
  </si>
  <si>
    <t>TurnoverBnB</t>
  </si>
  <si>
    <t>https://angel.co/company/turnoverbnb</t>
  </si>
  <si>
    <t>https://www.crunchbase.com/organization/turnoverbnb</t>
  </si>
  <si>
    <t>https://turnoverbnb.com/</t>
  </si>
  <si>
    <t>Honolulu</t>
  </si>
  <si>
    <t>HI</t>
  </si>
  <si>
    <t>WoHo</t>
  </si>
  <si>
    <t>https://www.crunchbase.com/organization/woho</t>
  </si>
  <si>
    <t>https://woho.us/</t>
  </si>
  <si>
    <t>501 Massachusetts Ave.</t>
  </si>
  <si>
    <t>02139</t>
  </si>
  <si>
    <t>Firmus</t>
  </si>
  <si>
    <t>https://www.crunchbase.com/organization/firmus</t>
  </si>
  <si>
    <t>https://www.firmus.ai/</t>
  </si>
  <si>
    <t>Herzliya</t>
  </si>
  <si>
    <t>Transaera</t>
  </si>
  <si>
    <t>https://angel.co/company/transaera</t>
  </si>
  <si>
    <t>https://www.crunchbase.com/organization/transaera</t>
  </si>
  <si>
    <t>https://www.transaera.com/</t>
  </si>
  <si>
    <t>Valve</t>
  </si>
  <si>
    <t>https://angel.co/company/valve-6</t>
  </si>
  <si>
    <t>https://www.crunchbase.com/organization/valve</t>
  </si>
  <si>
    <t>https://www.valvespace.com/</t>
  </si>
  <si>
    <t>25 W 39th St</t>
  </si>
  <si>
    <t>Kukun</t>
  </si>
  <si>
    <t>https://angel.co/company/kukun-1</t>
  </si>
  <si>
    <t>https://www.crunchbase.com/organization/kukun-915a</t>
  </si>
  <si>
    <t>https://staykukun.com/</t>
  </si>
  <si>
    <t>OneRoof</t>
  </si>
  <si>
    <t>https://angel.co/company/oneroof-3</t>
  </si>
  <si>
    <t>https://www.crunchbase.com/organization/oneroof-4d7a</t>
  </si>
  <si>
    <t>https://www.oneroofapp.com/</t>
  </si>
  <si>
    <t>Getaway</t>
  </si>
  <si>
    <t>https://www.crunchbase.com/organization/sucasa</t>
  </si>
  <si>
    <t>https://getaway.co/</t>
  </si>
  <si>
    <t>Pulley</t>
  </si>
  <si>
    <t>https://www.crunchbase.com/organization/pulley-5b0d</t>
  </si>
  <si>
    <t>https://www.withpulley.com/</t>
  </si>
  <si>
    <t>Glimpse</t>
  </si>
  <si>
    <t>https://www.crunchbase.com/organization/glimpse-1ee9</t>
  </si>
  <si>
    <t>https://www.tryglimpse.com/</t>
  </si>
  <si>
    <t>InvestNext</t>
  </si>
  <si>
    <t>https://angel.co/company/investnext</t>
  </si>
  <si>
    <t>https://www.crunchbase.com/organization/investnext</t>
  </si>
  <si>
    <t>https://www.investnext.com/</t>
  </si>
  <si>
    <t>Shifted Energy</t>
  </si>
  <si>
    <t>https://www.crunchbase.com/organization/shifted-energy</t>
  </si>
  <si>
    <t>http://shiftedenergy.com/</t>
  </si>
  <si>
    <t>Domatic</t>
  </si>
  <si>
    <t>https://angel.co/company/domatic</t>
  </si>
  <si>
    <t>https://www.crunchbase.com/organization/domatic</t>
  </si>
  <si>
    <t>http://www.domatic.io/</t>
  </si>
  <si>
    <t>943 Bryant Street</t>
  </si>
  <si>
    <t>Billy</t>
  </si>
  <si>
    <t>https://www.crunchbase.com/organization/billy-7023</t>
  </si>
  <si>
    <t>https://billyforinsurance.com/</t>
  </si>
  <si>
    <t>Pinktada</t>
  </si>
  <si>
    <t>https://angel.co/company/firstclasset-trading-as-pinktada</t>
  </si>
  <si>
    <t>https://www.crunchbase.com/organization/pinktada</t>
  </si>
  <si>
    <t>https://pinktada.com/</t>
  </si>
  <si>
    <t>Brck</t>
  </si>
  <si>
    <t>https://angel.co/company/brck</t>
  </si>
  <si>
    <t>https://www.crunchbase.com/organization/brck-inc</t>
  </si>
  <si>
    <t>http://www.brck.com/</t>
  </si>
  <si>
    <t>2nd Floor, Bishop Magua Building 
George Padmore Lane</t>
  </si>
  <si>
    <t>200</t>
  </si>
  <si>
    <t>LaborWorx</t>
  </si>
  <si>
    <t>https://www.crunchbase.com/organization/laborworx</t>
  </si>
  <si>
    <t>https://laborworx.com/</t>
  </si>
  <si>
    <t>Peachtree City</t>
  </si>
  <si>
    <t>DigiBuild</t>
  </si>
  <si>
    <t>https://www.crunchbase.com/organization/digibuild</t>
  </si>
  <si>
    <t>https://digibuild.com/</t>
  </si>
  <si>
    <t>1000 Brickell Avernue
Suite 715</t>
  </si>
  <si>
    <t>Building Intelligence</t>
  </si>
  <si>
    <t>https://angel.co/building-intelligence-inc</t>
  </si>
  <si>
    <t>https://www.crunchbase.com/organization/BuildingIntelligence</t>
  </si>
  <si>
    <t>http://buildingintelligence.com/</t>
  </si>
  <si>
    <t>Doorsey</t>
  </si>
  <si>
    <t>https://www.crunchbase.com/organization/doorsey</t>
  </si>
  <si>
    <t>https://www.doorsey.com/</t>
  </si>
  <si>
    <t>Spokane</t>
  </si>
  <si>
    <t>Remarkably</t>
  </si>
  <si>
    <t>Analytics</t>
  </si>
  <si>
    <t>https://angel.co/company/remarkably</t>
  </si>
  <si>
    <t>https://www.crunchbase.com/organization/remarkably</t>
  </si>
  <si>
    <t>https://www.remarkably.io/</t>
  </si>
  <si>
    <t>2284 W Commodore Way</t>
  </si>
  <si>
    <t>98199</t>
  </si>
  <si>
    <t>Vergo</t>
  </si>
  <si>
    <t>https://www.crunchbase.com/organization/vergo-7f2d</t>
  </si>
  <si>
    <t>https://www.getvergo.com/</t>
  </si>
  <si>
    <t>Zenbase</t>
  </si>
  <si>
    <t>https://www.crunchbase.com/organization/zenbase-2ee1</t>
  </si>
  <si>
    <t>https://myzenbase.com/</t>
  </si>
  <si>
    <t>Alberta</t>
  </si>
  <si>
    <t>Locatee</t>
  </si>
  <si>
    <t>https://angel.co/company/locatee</t>
  </si>
  <si>
    <t>https://www.crunchbase.com/organization/locatee</t>
  </si>
  <si>
    <t>www.locatee.com</t>
  </si>
  <si>
    <t>Fyxt</t>
  </si>
  <si>
    <t>https://www.crunchbase.com/organization/fyxt</t>
  </si>
  <si>
    <t>https://fyxt.com/</t>
  </si>
  <si>
    <t>Venice</t>
  </si>
  <si>
    <t>Automated Insights</t>
  </si>
  <si>
    <t>https://angel.co/company/automated-insights</t>
  </si>
  <si>
    <t>https://www.crunchbase.com/organization/automated-insights</t>
  </si>
  <si>
    <t>https://automatedinsights.com/</t>
  </si>
  <si>
    <t>Bentley Systems</t>
  </si>
  <si>
    <t>https://angel.co/company/bentley-systems</t>
  </si>
  <si>
    <t>https://www.crunchbase.com/organization/bentley-systems</t>
  </si>
  <si>
    <t>www.bentley.com/en-US</t>
  </si>
  <si>
    <t>685 Stockton Dr</t>
  </si>
  <si>
    <t>Exton</t>
  </si>
  <si>
    <t xml:space="preserve">PA </t>
  </si>
  <si>
    <t>19341</t>
  </si>
  <si>
    <t>Blueprint Power</t>
  </si>
  <si>
    <t>https://angel.co/blueprint-power</t>
  </si>
  <si>
    <t>https://www.crunchbase.com/organization/blueprint-power#section-overview</t>
  </si>
  <si>
    <t>https://www.blueprintpower.com/</t>
  </si>
  <si>
    <t>Carson</t>
  </si>
  <si>
    <t>https://angel.co/company/carson-5/jobs</t>
  </si>
  <si>
    <t>https://www.crunchbase.com/organization/carson-living-inc#section-overview</t>
  </si>
  <si>
    <t>https://www.carson.live/</t>
  </si>
  <si>
    <t>ClosingLock</t>
  </si>
  <si>
    <t>https://angel.co/company/closinglock</t>
  </si>
  <si>
    <t>https://www.crunchbase.com/organization/closinglock</t>
  </si>
  <si>
    <t>http://www.closinglock.com/</t>
  </si>
  <si>
    <t>78720</t>
  </si>
  <si>
    <t>Kogniz, Inc</t>
  </si>
  <si>
    <t>Occupancy</t>
  </si>
  <si>
    <t>https://angel.co/company/kogniz-2</t>
  </si>
  <si>
    <t>https://www.crunchbase.com/organization/kogniz</t>
  </si>
  <si>
    <t>https://www.kogniz.com/</t>
  </si>
  <si>
    <t>Rhino</t>
  </si>
  <si>
    <t>https://angel.co/company/rhinolabs</t>
  </si>
  <si>
    <t>https://www.crunchbase.com/organization/rhino</t>
  </si>
  <si>
    <t>https://www.sayrhino.com/</t>
  </si>
  <si>
    <t>AICrete</t>
  </si>
  <si>
    <t>https://www.crunchbase.com/organization/aicrete</t>
  </si>
  <si>
    <t>http://aicrete.com/</t>
  </si>
  <si>
    <t>Bateau</t>
  </si>
  <si>
    <t>https://angel.co/company/bateau</t>
  </si>
  <si>
    <t>https://www.crunchbase.com/organization/bateau</t>
  </si>
  <si>
    <t>https://www.trybateau.com/</t>
  </si>
  <si>
    <t>Captain</t>
  </si>
  <si>
    <t>https://www.crunchbase.com/organization/captain-4068</t>
  </si>
  <si>
    <t>https://www.captainhq.com/</t>
  </si>
  <si>
    <t>Walnut</t>
  </si>
  <si>
    <t>Colabs</t>
  </si>
  <si>
    <t>https://colabs.pk/</t>
  </si>
  <si>
    <t>Lahore</t>
  </si>
  <si>
    <t>Pakistan</t>
  </si>
  <si>
    <t>Juragan Material</t>
  </si>
  <si>
    <t>https://www.crunchbase.com/organization/juragan-material</t>
  </si>
  <si>
    <t>https://juraganmaterial.id/</t>
  </si>
  <si>
    <t>Tangerang</t>
  </si>
  <si>
    <t>Parcl</t>
  </si>
  <si>
    <t>https://angel.co/company/parcl-6</t>
  </si>
  <si>
    <t>https://www.crunchbase.com/organization/parcl-1b4a</t>
  </si>
  <si>
    <t>https://www.parcl.co/</t>
  </si>
  <si>
    <t>SpaceJoy</t>
  </si>
  <si>
    <t>https://angel.co/company/spacejoy</t>
  </si>
  <si>
    <t>https://www.crunchbase.com/organization/spacejoy</t>
  </si>
  <si>
    <t>https://www.spacejoy.com/</t>
  </si>
  <si>
    <t>Approva Fácil</t>
  </si>
  <si>
    <t>https://www.crunchbase.com/organization/easy-approve</t>
  </si>
  <si>
    <t>https://www.approvafacil.com.br/</t>
  </si>
  <si>
    <t>Calçada das margaridas, nº 163</t>
  </si>
  <si>
    <t>Brasil</t>
  </si>
  <si>
    <t>Lastro</t>
  </si>
  <si>
    <t>https://www.crunchbase.com/organization/lastro</t>
  </si>
  <si>
    <t>https://www.lastro.co/</t>
  </si>
  <si>
    <t>Trezi</t>
  </si>
  <si>
    <t>https://www.crunchbase.com/organization/trezi</t>
  </si>
  <si>
    <t>https://trezi.com/</t>
  </si>
  <si>
    <t>Noida</t>
  </si>
  <si>
    <t>Beam</t>
  </si>
  <si>
    <r>
      <rPr>
        <color rgb="FF1155CC"/>
        <u/>
      </rPr>
      <t>https://www.crunchbase.com/organization/beam-b7af</t>
    </r>
    <r>
      <rPr>
        <color rgb="FF1155CC"/>
      </rPr>
      <t>f</t>
    </r>
  </si>
  <si>
    <t>https://usebeam.co/</t>
  </si>
  <si>
    <t>Kodehyve</t>
  </si>
  <si>
    <t>https://angel.co/company/kodehyve-1</t>
  </si>
  <si>
    <t>https://www.crunchbase.com/organization/kodehyve</t>
  </si>
  <si>
    <t>https://www.kodehyve.com/</t>
  </si>
  <si>
    <t>Propoly</t>
  </si>
  <si>
    <t>https://angel.co/company/propoly</t>
  </si>
  <si>
    <t>https://www.crunchbase.com/organization/propoly</t>
  </si>
  <si>
    <t>www.propoly.com</t>
  </si>
  <si>
    <t>68-80 Hanbury St</t>
  </si>
  <si>
    <t>E1 5JL</t>
  </si>
  <si>
    <t>SoilConnect</t>
  </si>
  <si>
    <t>https://angel.co/company/soil-connect</t>
  </si>
  <si>
    <t>Hauppauge Rd</t>
  </si>
  <si>
    <t>Hauppauge</t>
  </si>
  <si>
    <t>11788</t>
  </si>
  <si>
    <t>Dottid</t>
  </si>
  <si>
    <t>https://angel.co/company/dottid</t>
  </si>
  <si>
    <t>https://www.crunchbase.com/organization/dottid#section-overview</t>
  </si>
  <si>
    <t xml:space="preserve">dottid.com/
</t>
  </si>
  <si>
    <t>Shojin</t>
  </si>
  <si>
    <t>https://www.crunchbase.com/organization/shojin-property-partners</t>
  </si>
  <si>
    <t>https://www.shojin.co.uk/</t>
  </si>
  <si>
    <t>Faradai</t>
  </si>
  <si>
    <t>https://www.crunchbase.com/organization/faradai</t>
  </si>
  <si>
    <t>https://faradai.ai/</t>
  </si>
  <si>
    <t>Elude</t>
  </si>
  <si>
    <t>https://angel.co/company/elude__</t>
  </si>
  <si>
    <t>https://www.crunchbase.com/organization/elude-2</t>
  </si>
  <si>
    <t>https://elude.co/</t>
  </si>
  <si>
    <t>Perch</t>
  </si>
  <si>
    <t>https://angel.co/company/perch-mortgage</t>
  </si>
  <si>
    <t>https://www.crunchbase.com/organization/perchcanada</t>
  </si>
  <si>
    <t>https://www.myperch.io/</t>
  </si>
  <si>
    <t>100 College St Suite 150</t>
  </si>
  <si>
    <t>M5G1L5</t>
  </si>
  <si>
    <t>Real Atom</t>
  </si>
  <si>
    <t>Commercial Mortgage</t>
  </si>
  <si>
    <t>https://angel.co/realatom</t>
  </si>
  <si>
    <t>https://www.crunchbase.com/organization/realatom</t>
  </si>
  <si>
    <t>realatom.com/</t>
  </si>
  <si>
    <t>1775 Tysons Blvd</t>
  </si>
  <si>
    <t>McLean</t>
  </si>
  <si>
    <t>Patch</t>
  </si>
  <si>
    <t>https://www.crunchbase.com/organization/patch-2019</t>
  </si>
  <si>
    <t>https://www.patch.work/</t>
  </si>
  <si>
    <t>RentCheck</t>
  </si>
  <si>
    <t>https://angel.co/company/rentcheck</t>
  </si>
  <si>
    <t>https://www.crunchbase.com/organization/rentcheck</t>
  </si>
  <si>
    <t>https://getrentcheck.com/</t>
  </si>
  <si>
    <t>New Orleans</t>
  </si>
  <si>
    <t>Louisiana</t>
  </si>
  <si>
    <t>Project Hero</t>
  </si>
  <si>
    <t>https://www.crunchbase.com/organization/project-hero</t>
  </si>
  <si>
    <t>http://www.projecthero.in/</t>
  </si>
  <si>
    <t>Healthy Workers</t>
  </si>
  <si>
    <t>https://angel.co/company/healthy-workers</t>
  </si>
  <si>
    <t>https://www.crunchbase.com/organization/healthyworkers</t>
  </si>
  <si>
    <t>https://healthyworkers.com/</t>
  </si>
  <si>
    <t>ALT DRX</t>
  </si>
  <si>
    <t>https://www.crunchbase.com/organization/alt-drx</t>
  </si>
  <si>
    <t>https://altdrx.com/</t>
  </si>
  <si>
    <t>Seatti</t>
  </si>
  <si>
    <t>https://angel.co/company/seatti-1</t>
  </si>
  <si>
    <t>https://www.crunchbase.com/organization/seatti</t>
  </si>
  <si>
    <t>https://www.seatti.co/</t>
  </si>
  <si>
    <t>München</t>
  </si>
  <si>
    <t>AI Clearing</t>
  </si>
  <si>
    <t>https://www.crunchbase.com/organization/ai-clearing</t>
  </si>
  <si>
    <t>https://aiclearing.com/</t>
  </si>
  <si>
    <t>The Coven</t>
  </si>
  <si>
    <t>https://www.crunchbase.com/organization/the-coven</t>
  </si>
  <si>
    <t>https://thecoven.com/</t>
  </si>
  <si>
    <t>Minneapolis</t>
  </si>
  <si>
    <t>Good Monday</t>
  </si>
  <si>
    <t>https://www.crunchbase.com/organization/good-monday</t>
  </si>
  <si>
    <t>https://www.goodmonday.io/</t>
  </si>
  <si>
    <t>Landgreven 3, 1.th</t>
  </si>
  <si>
    <t>Logical Buildings</t>
  </si>
  <si>
    <t>https://angel.co/company/logical-buildings</t>
  </si>
  <si>
    <t>https://www.crunchbase.com/organization/logical-buildings</t>
  </si>
  <si>
    <t>https://logicalbuildings.com/</t>
  </si>
  <si>
    <t>Livingston</t>
  </si>
  <si>
    <t xml:space="preserve">NJ </t>
  </si>
  <si>
    <t>Uppercase</t>
  </si>
  <si>
    <t>https://angel.co/company/uppercasehq</t>
  </si>
  <si>
    <t>https://www.crunchbase.com/organization/uppercase</t>
  </si>
  <si>
    <t>https://uppercasehq.com</t>
  </si>
  <si>
    <t>Moon Mortgage</t>
  </si>
  <si>
    <t>https://angel.co/company/moon-mortgage</t>
  </si>
  <si>
    <t>https://www.crunchbase.com/organization/moon-mortgage</t>
  </si>
  <si>
    <t>https://www.moonmortgage.io/</t>
  </si>
  <si>
    <t>801 Brickell Ave</t>
  </si>
  <si>
    <t>Paint jet</t>
  </si>
  <si>
    <t>https://angel.co/company/paintjet</t>
  </si>
  <si>
    <t>https://www.crunchbase.com/organization/paintjet</t>
  </si>
  <si>
    <t>www.paintjet.com</t>
  </si>
  <si>
    <t>Nashville, TN, United States</t>
  </si>
  <si>
    <t>0</t>
  </si>
  <si>
    <t>Elephant Energy</t>
  </si>
  <si>
    <t>https://www.crunchbase.com/organization/elephant-energy</t>
  </si>
  <si>
    <t>https://www.elephantenergy.us/</t>
  </si>
  <si>
    <t>Harrisburg</t>
  </si>
  <si>
    <t>Nestment</t>
  </si>
  <si>
    <t>https://wellfound.com/company/nestment</t>
  </si>
  <si>
    <t>https://www.crunchbase.com/organization/nestment</t>
  </si>
  <si>
    <t>https://www.nestment.com/</t>
  </si>
  <si>
    <t>FiveOffices</t>
  </si>
  <si>
    <t>https://www.crunchbase.com/organization/fiveoffices</t>
  </si>
  <si>
    <t>https://www.fiveoffices.com/</t>
  </si>
  <si>
    <t>Sugar</t>
  </si>
  <si>
    <t>https://angel.co/company/sugar-8</t>
  </si>
  <si>
    <t>https://www.crunchbase.com/organization/jetpack-2</t>
  </si>
  <si>
    <t>https://www.sugarliving.com/</t>
  </si>
  <si>
    <t>Fohlio</t>
  </si>
  <si>
    <t>https://www.crunchbase.com/organization/fohlio</t>
  </si>
  <si>
    <t>https://www.fohlio.com/</t>
  </si>
  <si>
    <t>Ark PES</t>
  </si>
  <si>
    <t xml:space="preserve">ALL </t>
  </si>
  <si>
    <t>https://www.crunchbase.com/organization/ark-pes</t>
  </si>
  <si>
    <t>https://www.arkpes.com/</t>
  </si>
  <si>
    <t>02116</t>
  </si>
  <si>
    <t>Trade Hounds</t>
  </si>
  <si>
    <t>https://angel.co/company/tradehounds-1</t>
  </si>
  <si>
    <t>https://www.crunchbase.com/organization/subease</t>
  </si>
  <si>
    <t>www.tradehounds.com/</t>
  </si>
  <si>
    <t>294 Washington Street; Suite M18</t>
  </si>
  <si>
    <t>Minnow Technologies, Inc.</t>
  </si>
  <si>
    <t>Office, Residential</t>
  </si>
  <si>
    <t>https://www.crunchbase.com/organization/minnowpod</t>
  </si>
  <si>
    <t>https://www.minnowpod.com/</t>
  </si>
  <si>
    <t>Spintly</t>
  </si>
  <si>
    <t>https://angel.co/company/spintly</t>
  </si>
  <si>
    <t>https://www.crunchbase.com/organization/mrinq-technologies</t>
  </si>
  <si>
    <t>https://spintly.com/</t>
  </si>
  <si>
    <t>Slabstack</t>
  </si>
  <si>
    <t>https://wellfound.com/company/slabstack-software</t>
  </si>
  <si>
    <t>https://www.crunchbase.com/organization/slabstack</t>
  </si>
  <si>
    <t>https://www.slabstack.com/</t>
  </si>
  <si>
    <t>Chainels</t>
  </si>
  <si>
    <t>Commercial, Multifamily, Residential</t>
  </si>
  <si>
    <t>https://www.crunchbase.com/organization/chainels</t>
  </si>
  <si>
    <t>http://www.getchainels.com/</t>
  </si>
  <si>
    <t>Rotterdam</t>
  </si>
  <si>
    <t>Rubik</t>
  </si>
  <si>
    <t>https://angel.co/company/rubik-1</t>
  </si>
  <si>
    <t>https://www.crunchbase.com/organization/rubik-9055</t>
  </si>
  <si>
    <t>https://www.rubikhomes.com/</t>
  </si>
  <si>
    <t>Justhome</t>
  </si>
  <si>
    <t>https://www.crunchbase.com/organization/justhome</t>
  </si>
  <si>
    <t>https://justhome.co/en</t>
  </si>
  <si>
    <t>Intelligent AI</t>
  </si>
  <si>
    <t>https://www.crunchbase.com/organization/intelligent-ai</t>
  </si>
  <si>
    <t>https://intelligentai.co.uk/</t>
  </si>
  <si>
    <t>Exeter</t>
  </si>
  <si>
    <t>Wattsense</t>
  </si>
  <si>
    <t>Industrial, Office</t>
  </si>
  <si>
    <t>https://angel.co/company/wattsense</t>
  </si>
  <si>
    <t>https://www.crunchbase.com/organization/wattsense</t>
  </si>
  <si>
    <t>https://wattsense.com/</t>
  </si>
  <si>
    <t>39 Chemin du Moulin Carron</t>
  </si>
  <si>
    <t>Dardilly</t>
  </si>
  <si>
    <t>69570</t>
  </si>
  <si>
    <t>Spleet</t>
  </si>
  <si>
    <t>https://angel.co/company/spleet</t>
  </si>
  <si>
    <t>https://www.crunchbase.com/organization/spleet-africa</t>
  </si>
  <si>
    <t>https://spleet.africa/</t>
  </si>
  <si>
    <t>Lagos</t>
  </si>
  <si>
    <t>Nigeria</t>
  </si>
  <si>
    <t>Rifiniti</t>
  </si>
  <si>
    <t>https://angel.co/rifiniti</t>
  </si>
  <si>
    <t>https://www.crunchbase.com/organization/rifiniti</t>
  </si>
  <si>
    <t>www.rifiniti.com</t>
  </si>
  <si>
    <t>51 Melcher Street</t>
  </si>
  <si>
    <t>Green Fusion</t>
  </si>
  <si>
    <t>https://www.crunchbase.com/organization/green-fusion</t>
  </si>
  <si>
    <t>https://www.green-fusion.eu/</t>
  </si>
  <si>
    <t>Rent Small Small</t>
  </si>
  <si>
    <t>https://www.crunchbase.com/organization/rentsmallsmall</t>
  </si>
  <si>
    <t>https://www.rentsmallsmall.com/</t>
  </si>
  <si>
    <t>Onboard</t>
  </si>
  <si>
    <t>https://www.crunchbase.com/organization/onboard-59b9</t>
  </si>
  <si>
    <t>https://www.letsonboard.com/</t>
  </si>
  <si>
    <t>Suppli</t>
  </si>
  <si>
    <t>https://wellfound.com/company/gosuppli</t>
  </si>
  <si>
    <t>https://www.crunchbase.com/organization/suppli</t>
  </si>
  <si>
    <t>http://www.gosuppli.com/</t>
  </si>
  <si>
    <t>Building Swell</t>
  </si>
  <si>
    <t>https://wellfound.com/company/building-swell</t>
  </si>
  <si>
    <t>https://www.crunchbase.com/organization/building-swell</t>
  </si>
  <si>
    <t>https://www.buildingswell.com/</t>
  </si>
  <si>
    <t>SearchLand</t>
  </si>
  <si>
    <t>https://www.crunchbase.com/organization/searchland</t>
  </si>
  <si>
    <t>https://searchland.co.uk/</t>
  </si>
  <si>
    <t>HEMLANE</t>
  </si>
  <si>
    <t>https://angel.co/company/hemlane</t>
  </si>
  <si>
    <t>https://www.crunchbase.com/organization/hemlane</t>
  </si>
  <si>
    <t>https://www.hemlane.com/</t>
  </si>
  <si>
    <t>218 9th Street</t>
  </si>
  <si>
    <t>CognitOps</t>
  </si>
  <si>
    <t>https://angel.co/company/cognitops</t>
  </si>
  <si>
    <t>https://www.crunchbase.com/organization/cognitops</t>
  </si>
  <si>
    <t>https://cognitops.com/</t>
  </si>
  <si>
    <t>Estated</t>
  </si>
  <si>
    <t>Data</t>
  </si>
  <si>
    <t>https://angel.co/estated-1</t>
  </si>
  <si>
    <t>https://www.crunchbase.com/organization/estated</t>
  </si>
  <si>
    <t>estated.com</t>
  </si>
  <si>
    <t>532 Leon Ave</t>
  </si>
  <si>
    <t>British Columbia V1Y</t>
  </si>
  <si>
    <t>Finley Technologies</t>
  </si>
  <si>
    <t>https://www.crunchbase.com/organization/finley-ab4b</t>
  </si>
  <si>
    <t>https://www.finleycms.com/</t>
  </si>
  <si>
    <t>Growing Energy Labs</t>
  </si>
  <si>
    <t>https://angel.co/growing-energy-labs-geli</t>
  </si>
  <si>
    <t>https://www.crunchbase.com/organization/geli</t>
  </si>
  <si>
    <t>www.geli.net</t>
  </si>
  <si>
    <t>111 New Montgomery St</t>
  </si>
  <si>
    <t>HomeSpotter</t>
  </si>
  <si>
    <t>https://angel.co/company/homespotter</t>
  </si>
  <si>
    <t>https://www.crunchbase.com/organization/mobilerealtyapps-com</t>
  </si>
  <si>
    <t>https://homespotter.com/</t>
  </si>
  <si>
    <t>301 South 4th Avenue</t>
  </si>
  <si>
    <t>55415</t>
  </si>
  <si>
    <t>Infraspeak</t>
  </si>
  <si>
    <t>https://angel.co/company/infraspeak</t>
  </si>
  <si>
    <t>https://www.crunchbase.com/organization/infraspeak</t>
  </si>
  <si>
    <t>https://www.infraspeak.com/</t>
  </si>
  <si>
    <t>Jurny</t>
  </si>
  <si>
    <t>https://angel.co/company/jurny</t>
  </si>
  <si>
    <t>https://www.crunchbase.com/organization/jurny-inc</t>
  </si>
  <si>
    <t>https://www.jurny.com</t>
  </si>
  <si>
    <t>Propstack</t>
  </si>
  <si>
    <t>Comps</t>
  </si>
  <si>
    <t>https://angel.co/propstack</t>
  </si>
  <si>
    <t>https://www.crunchbase.com/organization/propstack</t>
  </si>
  <si>
    <t>www.propstack.com/</t>
  </si>
  <si>
    <t>Nyay Sagar, Rd Number 13, Kala Nagar, Bandra East</t>
  </si>
  <si>
    <t>Maharashtra</t>
  </si>
  <si>
    <t>400051</t>
  </si>
  <si>
    <t>Smarking</t>
  </si>
  <si>
    <t>Predictive Analytics</t>
  </si>
  <si>
    <t>https://angel.co/company/smarking</t>
  </si>
  <si>
    <t>https://www.crunchbase.com/organization/smarking</t>
  </si>
  <si>
    <t>smarking.com</t>
  </si>
  <si>
    <t>251 Rhode Island St Suite 104</t>
  </si>
  <si>
    <t>Wegowise</t>
  </si>
  <si>
    <t>Multifamily, Retail</t>
  </si>
  <si>
    <t>https://angel.co/company/wegowise</t>
  </si>
  <si>
    <t>https://www.crunchbase.com/organization/wegowise</t>
  </si>
  <si>
    <t>https://www.wegowise.com</t>
  </si>
  <si>
    <t>Finch</t>
  </si>
  <si>
    <t>https://www.crunchbase.com/organization/finch-bf21</t>
  </si>
  <si>
    <t>http://finch3d.com/</t>
  </si>
  <si>
    <t>Malmo</t>
  </si>
  <si>
    <t>Paymints.io</t>
  </si>
  <si>
    <t>https://www.crunchbase.com/organization/paymints-io</t>
  </si>
  <si>
    <t>https://www.paymints.io/</t>
  </si>
  <si>
    <t>Brik</t>
  </si>
  <si>
    <t>https://www.crunchbase.com/organization/brik-513b</t>
  </si>
  <si>
    <t>https://www.brik.id/</t>
  </si>
  <si>
    <t>Kembangan</t>
  </si>
  <si>
    <t>Rentdrop</t>
  </si>
  <si>
    <t>https://wellfound.com/company/rentdrop</t>
  </si>
  <si>
    <t>https://www.crunchbase.com/organization/rentdrop</t>
  </si>
  <si>
    <t>https://www.rentdrop.io/</t>
  </si>
  <si>
    <t>Metahood</t>
  </si>
  <si>
    <t>Metaverse</t>
  </si>
  <si>
    <t>https://wellfound.com/company/metahoodxyz</t>
  </si>
  <si>
    <t>https://www.crunchbase.com/organization/metahood</t>
  </si>
  <si>
    <t>https://metahood.xyz/</t>
  </si>
  <si>
    <t>DEN</t>
  </si>
  <si>
    <t>https://www.crunchbase.com/organization/den-outdoors</t>
  </si>
  <si>
    <t>https://denoutdoors.com/</t>
  </si>
  <si>
    <t>Rhinecliff</t>
  </si>
  <si>
    <t>Canvas Offices</t>
  </si>
  <si>
    <t>https://angel.co/company/canvas-offices</t>
  </si>
  <si>
    <t>https://www.crunchbase.com/organization/canvas-offices</t>
  </si>
  <si>
    <t>https://canvasoffices.co.uk/</t>
  </si>
  <si>
    <t>2nd Floor, 35 Luke St</t>
  </si>
  <si>
    <t>EC2A 4LH</t>
  </si>
  <si>
    <t>EcoSync</t>
  </si>
  <si>
    <t>https://wellfound.com/company/ecosync</t>
  </si>
  <si>
    <t>https://www.crunchbase.com/organization/ecosync</t>
  </si>
  <si>
    <t>https://ecosync.energy/</t>
  </si>
  <si>
    <t>Oxford</t>
  </si>
  <si>
    <t>Playhouse</t>
  </si>
  <si>
    <t>https://angel.co/company/onplayhouse</t>
  </si>
  <si>
    <t>https://www.crunchbase.com/organization/playhouse</t>
  </si>
  <si>
    <t>https://www.playhouse.so/</t>
  </si>
  <si>
    <t>Assess+RE</t>
  </si>
  <si>
    <t>Underwriting</t>
  </si>
  <si>
    <t>https://angel.co/assess-re</t>
  </si>
  <si>
    <t>https://www.crunchbase.com/organization/assess-re#section-overview</t>
  </si>
  <si>
    <t>https://www.assessre.com/</t>
  </si>
  <si>
    <t>Stasher</t>
  </si>
  <si>
    <t>https://angel.co/company/citystasher</t>
  </si>
  <si>
    <t>https://www.crunchbase.com/organization/citystasher</t>
  </si>
  <si>
    <t>stasher.com</t>
  </si>
  <si>
    <t>42 Islington High St.</t>
  </si>
  <si>
    <t>Islington</t>
  </si>
  <si>
    <t>AirWorks</t>
  </si>
  <si>
    <t>Mapping</t>
  </si>
  <si>
    <t>https://angel.co/company/airworks</t>
  </si>
  <si>
    <t>https://www.crunchbase.com/organization/airworks</t>
  </si>
  <si>
    <t>http://airworks.io/</t>
  </si>
  <si>
    <t>180 Canal St Suite 303</t>
  </si>
  <si>
    <t>02114</t>
  </si>
  <si>
    <t>Oculai</t>
  </si>
  <si>
    <t>https://wellfound.com/company/oculai</t>
  </si>
  <si>
    <t>https://www.crunchbase.com/organization/oculai</t>
  </si>
  <si>
    <t>https://oculai.de/</t>
  </si>
  <si>
    <t>Auctree</t>
  </si>
  <si>
    <t>https://wellfound.com/company/auctree</t>
  </si>
  <si>
    <t>https://www.crunchbase.com/organization/auctree</t>
  </si>
  <si>
    <t>https://auctree.com/</t>
  </si>
  <si>
    <t>Park Here</t>
  </si>
  <si>
    <t>https://www.crunchbase.com/organization/parkhere-2</t>
  </si>
  <si>
    <t>https://park-here.eu/</t>
  </si>
  <si>
    <t>Casa Blanca</t>
  </si>
  <si>
    <t>https://angel.co/company/casa-blanca</t>
  </si>
  <si>
    <t>https://www.crunchbase.com/organization/casa-blanca</t>
  </si>
  <si>
    <t>https://www.casa-blanca.com/</t>
  </si>
  <si>
    <t>205 Hudson St.</t>
  </si>
  <si>
    <t>ProcurePro</t>
  </si>
  <si>
    <t>Not Found</t>
  </si>
  <si>
    <t>https://procurepro.co/</t>
  </si>
  <si>
    <t>Brisbane</t>
  </si>
  <si>
    <t>Gravy</t>
  </si>
  <si>
    <t>https://www.crunchbase.com/organization/gravy-bef9</t>
  </si>
  <si>
    <t>https://www.gravy.co/</t>
  </si>
  <si>
    <t>Ownly</t>
  </si>
  <si>
    <t>https://www.crunchbase.com/organization/ownly-b53f</t>
  </si>
  <si>
    <t>https://theownly.io/</t>
  </si>
  <si>
    <t>Parvis</t>
  </si>
  <si>
    <t>https://www.crunchbase.com/organization/parvis-invest</t>
  </si>
  <si>
    <t>https://www.parvisinvest.com/</t>
  </si>
  <si>
    <t>Thing Technologies</t>
  </si>
  <si>
    <t>https://www.crunchbase.com/organization/thing-technologies-llc</t>
  </si>
  <si>
    <t>https://www.thing-it.com/</t>
  </si>
  <si>
    <t>Downsizer</t>
  </si>
  <si>
    <t>https://www.crunchbase.com/organization/downsizer</t>
  </si>
  <si>
    <t>https://www.downsizer.com/</t>
  </si>
  <si>
    <t>3DEN</t>
  </si>
  <si>
    <t>Third Place</t>
  </si>
  <si>
    <t>https://angel.co/3den</t>
  </si>
  <si>
    <t>https://www.crunchbase.com/organization/3den</t>
  </si>
  <si>
    <t>http://3denlounge.com/</t>
  </si>
  <si>
    <t>507 W 28th St</t>
  </si>
  <si>
    <t>Avvir</t>
  </si>
  <si>
    <t>https://angel.co/company/avvir</t>
  </si>
  <si>
    <t>https://www.crunchbase.com/organization/avvir</t>
  </si>
  <si>
    <t>https://avvir.io/</t>
  </si>
  <si>
    <t>370 Jay St</t>
  </si>
  <si>
    <t>11201</t>
  </si>
  <si>
    <t>Enodo</t>
  </si>
  <si>
    <t>https://angel.co/enodo-inc</t>
  </si>
  <si>
    <t>https://www.crunchbase.com/organization/enodo</t>
  </si>
  <si>
    <t>www.enodoinc.com</t>
  </si>
  <si>
    <t>130 S. Jefferson</t>
  </si>
  <si>
    <t>Locale</t>
  </si>
  <si>
    <t>https://angel.co/company/staywithlocale</t>
  </si>
  <si>
    <t>https://www.crunchbase.com/organization/locale-5a6d</t>
  </si>
  <si>
    <t>https://locale.com/</t>
  </si>
  <si>
    <t>Pronto</t>
  </si>
  <si>
    <t>https://angel.co/company/pronto-housing</t>
  </si>
  <si>
    <t>https://www.crunchbase.com/organization/pronto-housing</t>
  </si>
  <si>
    <t>https://www.prontohousing.com/</t>
  </si>
  <si>
    <t>Outlaw Inc.</t>
  </si>
  <si>
    <t>https://angel.co/company/outlaw</t>
  </si>
  <si>
    <t>https://www.crunchbase.com/organization/outlaw#section-overview</t>
  </si>
  <si>
    <t xml:space="preserve">getoutlaw.com/
</t>
  </si>
  <si>
    <t>7Analytics</t>
  </si>
  <si>
    <t>https://www.crunchbase.com/organization/7analytics</t>
  </si>
  <si>
    <t>https://www.7analytics.no/</t>
  </si>
  <si>
    <t>Solheimsviken 7c</t>
  </si>
  <si>
    <t>5054</t>
  </si>
  <si>
    <t>Sensgreen</t>
  </si>
  <si>
    <t>https://www.crunchbase.com/organization/sensgreen</t>
  </si>
  <si>
    <t>https://www.sensgreen.com/</t>
  </si>
  <si>
    <t>Ankara</t>
  </si>
  <si>
    <t>Turkey</t>
  </si>
  <si>
    <t>Acaccia</t>
  </si>
  <si>
    <t>https://www.crunchbase.com/organization/accacia</t>
  </si>
  <si>
    <t>https://accacia.ai/</t>
  </si>
  <si>
    <t>Gurgaon</t>
  </si>
  <si>
    <t>Billion Bricks</t>
  </si>
  <si>
    <t>https://www.crunchbase.com/organization/billionbricks</t>
  </si>
  <si>
    <t>http://www.billionbricks.org/</t>
  </si>
  <si>
    <t>Raise Robotics</t>
  </si>
  <si>
    <t>https://wellfound.com/company/raise-robotics-2</t>
  </si>
  <si>
    <t>https://www.crunchbase.com/organization/raise-robotics</t>
  </si>
  <si>
    <t>https://raiserobotics.ai/</t>
  </si>
  <si>
    <t>Renovate Robotics</t>
  </si>
  <si>
    <t>https://wellfound.com/company/renovate-robotics</t>
  </si>
  <si>
    <t>https://www.crunchbase.com/organization/renovate-robotics</t>
  </si>
  <si>
    <t>https://renovaterobotics.com/</t>
  </si>
  <si>
    <t>Propi</t>
  </si>
  <si>
    <t>https://www.crunchbase.com/organization/propi-9802</t>
  </si>
  <si>
    <t>https://propilatam.com/</t>
  </si>
  <si>
    <t>San Salvador</t>
  </si>
  <si>
    <t>El Salvador</t>
  </si>
  <si>
    <t>Spaceflow</t>
  </si>
  <si>
    <t>Plug and Play App</t>
  </si>
  <si>
    <t>https://angel.co/projects/769754-spaceflow-app-for-android?src=startup_profile</t>
  </si>
  <si>
    <t>https://www.crunchbase.com/organization/spaceflow</t>
  </si>
  <si>
    <t>https://spaceflow.io/en</t>
  </si>
  <si>
    <t>9 Appold Street</t>
  </si>
  <si>
    <t>EC2A 2AP</t>
  </si>
  <si>
    <t>1aim</t>
  </si>
  <si>
    <t>https://angel.co/company/1aim</t>
  </si>
  <si>
    <t>https://www.crunchbase.com/organization/1aim-gmbh</t>
  </si>
  <si>
    <t>Branch Furniture</t>
  </si>
  <si>
    <t>https://www.crunchbase.com/organization/bureauwork</t>
  </si>
  <si>
    <t>https://www.branchfurniture.com/</t>
  </si>
  <si>
    <t>iRestify Inc.</t>
  </si>
  <si>
    <t>https://angel.co/company/irestify</t>
  </si>
  <si>
    <t>https://www.crunchbase.com/organization/irestify</t>
  </si>
  <si>
    <t>https://irestify.com/</t>
  </si>
  <si>
    <t>Rentlogic</t>
  </si>
  <si>
    <t>https://angel.co/company/rentlogic</t>
  </si>
  <si>
    <t>https://www.crunchbase.com/organization/rentlogic</t>
  </si>
  <si>
    <t>rentlogic.com</t>
  </si>
  <si>
    <t>Apply Design</t>
  </si>
  <si>
    <t>https://www.crunchbase.com/organization/apply-design</t>
  </si>
  <si>
    <t>https://www.applydesign.io/</t>
  </si>
  <si>
    <t>SunFi</t>
  </si>
  <si>
    <t>https://www.crunchbase.com/organization/sunfi</t>
  </si>
  <si>
    <t>https://www.sunfi.co/</t>
  </si>
  <si>
    <t>Rentvine</t>
  </si>
  <si>
    <t>https://www.crunchbase.com/organization/rentvine</t>
  </si>
  <si>
    <t>http://www.rentvine.com/</t>
  </si>
  <si>
    <t>Estero</t>
  </si>
  <si>
    <t>InnerSpace</t>
  </si>
  <si>
    <t>https://angel.co/innerspace</t>
  </si>
  <si>
    <t>https://www.crunchbase.com/organization/innerspace-technology-inc</t>
  </si>
  <si>
    <t>http://www.innerspace.io/</t>
  </si>
  <si>
    <t>101 Richmond St E</t>
  </si>
  <si>
    <t>Ontario CA</t>
  </si>
  <si>
    <t>Breeze</t>
  </si>
  <si>
    <t>https://www.crunchbase.com/organization/breeze-5f6a</t>
  </si>
  <si>
    <t>https://www.breeze4me.de/</t>
  </si>
  <si>
    <t>CommLoan</t>
  </si>
  <si>
    <t>https://angel.co/company/commloan</t>
  </si>
  <si>
    <t>https://www.crunchbase.com/organization/commloan-com</t>
  </si>
  <si>
    <t>https://www.commloan.com/</t>
  </si>
  <si>
    <t>Arizona</t>
  </si>
  <si>
    <t>Expetitle</t>
  </si>
  <si>
    <t>https://www.crunchbase.com/organization/expetitle</t>
  </si>
  <si>
    <t>https://www.expetitle.com/</t>
  </si>
  <si>
    <t>Embue</t>
  </si>
  <si>
    <t>https://angel.co/embue</t>
  </si>
  <si>
    <t>https://www.crunchbase.com/organization/embue</t>
  </si>
  <si>
    <t>embue.com</t>
  </si>
  <si>
    <t>745 Atlantic Avenue</t>
  </si>
  <si>
    <t>Realxdata</t>
  </si>
  <si>
    <t>https://angel.co/company/realxdata</t>
  </si>
  <si>
    <t>https://www.crunchbase.com/organization/realxdata</t>
  </si>
  <si>
    <t>www.realxdata.com</t>
  </si>
  <si>
    <t>Oranienstraße 185, 10999</t>
  </si>
  <si>
    <t>TurningArt</t>
  </si>
  <si>
    <t>https://www.crunchbase.com/organization/turningart</t>
  </si>
  <si>
    <t xml:space="preserve">https://www.turningart.com/ </t>
  </si>
  <si>
    <t>184 South Street</t>
  </si>
  <si>
    <t>Far Homes</t>
  </si>
  <si>
    <t>https://www.crunchbase.com/organization/far-homes</t>
  </si>
  <si>
    <t>https://farhomes.com/</t>
  </si>
  <si>
    <t>GenieBelt</t>
  </si>
  <si>
    <t>https://angel.co/company/geniebelt</t>
  </si>
  <si>
    <t>https://www.crunchbase.com/organization/geniebelt</t>
  </si>
  <si>
    <t>https://geniebelt.com/us</t>
  </si>
  <si>
    <t>Aldersrogade 8, 2100</t>
  </si>
  <si>
    <t>København Ø</t>
  </si>
  <si>
    <t>2100</t>
  </si>
  <si>
    <t>Prevu</t>
  </si>
  <si>
    <t>https://angel.co/company/prevuapp</t>
  </si>
  <si>
    <t>https://www.crunchbase.com/organization/prevu</t>
  </si>
  <si>
    <t>https://www.prevu.com/</t>
  </si>
  <si>
    <t>Warehouse Exchange</t>
  </si>
  <si>
    <t>https://angel.co/company/warehouse-exchange</t>
  </si>
  <si>
    <t>https://www.crunchbase.com/organization/warehouse-exchange</t>
  </si>
  <si>
    <t>www.warehouseexchange.com/</t>
  </si>
  <si>
    <t>11340 W Olympic Blvd</t>
  </si>
  <si>
    <t>90064</t>
  </si>
  <si>
    <t>Evo</t>
  </si>
  <si>
    <t>https://www.crunchbase.com/organization/evo-7f38</t>
  </si>
  <si>
    <t>https://evo-pm.com/</t>
  </si>
  <si>
    <t>Bromley</t>
  </si>
  <si>
    <t>Roots Homes</t>
  </si>
  <si>
    <t>https://wellfound.com/company/roots-homes</t>
  </si>
  <si>
    <t>https://www.crunchbase.com/organization/roots-homes</t>
  </si>
  <si>
    <t>https://roots.homes/</t>
  </si>
  <si>
    <t xml:space="preserve">Las Vegas </t>
  </si>
  <si>
    <t>Scaled Robotics</t>
  </si>
  <si>
    <t>Robotics/Construction</t>
  </si>
  <si>
    <t>https://angel.co/company/scaled-robotics</t>
  </si>
  <si>
    <t>https://www.crunchbase.com/organization/scaled-robotics#section-overview</t>
  </si>
  <si>
    <t>https://www.scaledrobotics.com</t>
  </si>
  <si>
    <t>Buildstream</t>
  </si>
  <si>
    <t>https://angel.co/company/buildstream1</t>
  </si>
  <si>
    <t>https://www.crunchbase.com/organization/buildstream</t>
  </si>
  <si>
    <t>http://www.buildstream.co.uk/</t>
  </si>
  <si>
    <t>Business Central, 2 Union Square Central Park</t>
  </si>
  <si>
    <t>Darlington</t>
  </si>
  <si>
    <t>DL1 1GL</t>
  </si>
  <si>
    <t>Construyo</t>
  </si>
  <si>
    <t>https://angel.co/company/partum</t>
  </si>
  <si>
    <t>https://www.crunchbase.com/organization/construyo</t>
  </si>
  <si>
    <t>www.construyo.de/</t>
  </si>
  <si>
    <t>Booqed</t>
  </si>
  <si>
    <t>Office Leasing</t>
  </si>
  <si>
    <t>https://angel.co/booqed</t>
  </si>
  <si>
    <t>https://www.crunchbase.com/organization/booqed-ltd</t>
  </si>
  <si>
    <t>booqed.com/</t>
  </si>
  <si>
    <t>6/F Cheung Hing Industrial Building 12P Smithfield Road Kennedy Town Hong Kong</t>
  </si>
  <si>
    <t>Kennedy Town</t>
  </si>
  <si>
    <t xml:space="preserve">Hong Kong </t>
  </si>
  <si>
    <t>000000</t>
  </si>
  <si>
    <t>StayVista</t>
  </si>
  <si>
    <t>https://angel.co/company/stayvista-1</t>
  </si>
  <si>
    <t>https://www.crunchbase.com/organization/vista-rooms</t>
  </si>
  <si>
    <t>https://www.stayvista.com/</t>
  </si>
  <si>
    <t>Marble</t>
  </si>
  <si>
    <t>https://www.crunchbase.com/organization/marble-2d24</t>
  </si>
  <si>
    <t>https://www.rentmarble.com/</t>
  </si>
  <si>
    <t>Audience Town, Inc.</t>
  </si>
  <si>
    <t>https://www.crunchbase.com/organization/audience-town</t>
  </si>
  <si>
    <t>https://www.audiencetown.com/</t>
  </si>
  <si>
    <t>New Jersey</t>
  </si>
  <si>
    <t>Senseware</t>
  </si>
  <si>
    <t>https://angel.co/company/senseware</t>
  </si>
  <si>
    <t>https://www.crunchbase.com/organization/senseware</t>
  </si>
  <si>
    <t>https://www.senseware.co/</t>
  </si>
  <si>
    <t>West Mclean</t>
  </si>
  <si>
    <t>Virginia</t>
  </si>
  <si>
    <t>Spatial.ai</t>
  </si>
  <si>
    <t>https://www.crunchbase.com/organization/spatial-ai</t>
  </si>
  <si>
    <t>Swiftmile</t>
  </si>
  <si>
    <t>Other, Office, Multifamily</t>
  </si>
  <si>
    <t>https://angel.co/company/swiftmile</t>
  </si>
  <si>
    <t>https://www.crunchbase.com/organization/swiftmile-inc</t>
  </si>
  <si>
    <t xml:space="preserve">www.swiftmile.com
</t>
  </si>
  <si>
    <t>Whose Your Landlord</t>
  </si>
  <si>
    <t>https://angel.co/company/whoseyourlandlord</t>
  </si>
  <si>
    <t>https://www.crunchbase.com/organization/whose-your-landlord</t>
  </si>
  <si>
    <t>https://wyl.co/</t>
  </si>
  <si>
    <t>Modulize</t>
  </si>
  <si>
    <t>https://angel.co/company/modulize-2</t>
  </si>
  <si>
    <t>https://www.crunchbase.com/organization/modulize</t>
  </si>
  <si>
    <t>https://www.modulize.io/</t>
  </si>
  <si>
    <t>Agorafy</t>
  </si>
  <si>
    <t>https://angel.co/company/agorafy-3</t>
  </si>
  <si>
    <t>https://www.crunchbase.com/organization/agorafy</t>
  </si>
  <si>
    <t>http://agorafy.com/</t>
  </si>
  <si>
    <t>Aptly</t>
  </si>
  <si>
    <t>https://angel.co/company/aptly-1</t>
  </si>
  <si>
    <t>https://www.crunchbase.com/organization/aptly</t>
  </si>
  <si>
    <t>https://www.getaptly.com</t>
  </si>
  <si>
    <t>Architrave</t>
  </si>
  <si>
    <t>https://angel.co/company/architrave</t>
  </si>
  <si>
    <t>https://www.crunchbase.com/organization/architrave</t>
  </si>
  <si>
    <t>http://www.archilogic.com</t>
  </si>
  <si>
    <t>Compound Technologies, Inc.</t>
  </si>
  <si>
    <t>https://angel.co/getcompound</t>
  </si>
  <si>
    <t>https://www.crunchbase.com/organization/stayawhile-inc</t>
  </si>
  <si>
    <t>www.getcompound.com</t>
  </si>
  <si>
    <t>510 5th Ave</t>
  </si>
  <si>
    <t>Envelope</t>
  </si>
  <si>
    <t>https://angel.co/company/envelope-3</t>
  </si>
  <si>
    <t>https://www.crunchbase.com/organization/envelope-city-inc</t>
  </si>
  <si>
    <t>https://envelope.city/</t>
  </si>
  <si>
    <t>Goby</t>
  </si>
  <si>
    <t>https://angel.co/goby-co</t>
  </si>
  <si>
    <t>https://www.crunchbase.com/organization/goby-2</t>
  </si>
  <si>
    <t>www.goby.co</t>
  </si>
  <si>
    <t>35 East Broadway</t>
  </si>
  <si>
    <t>10002</t>
  </si>
  <si>
    <t>Shaker</t>
  </si>
  <si>
    <t>https://www.shaker.io/</t>
  </si>
  <si>
    <t>Indianapolis</t>
  </si>
  <si>
    <t>IN</t>
  </si>
  <si>
    <t>TowerIQ, Inc.</t>
  </si>
  <si>
    <t>https://angel.co/company/toweriq-1</t>
  </si>
  <si>
    <t>https://www.crunchbase.com/organization/toweriq</t>
  </si>
  <si>
    <t>http://www.mytoweriq.com/</t>
  </si>
  <si>
    <t>2 Avenue de Lafayette</t>
  </si>
  <si>
    <t>Zego</t>
  </si>
  <si>
    <t>Smart Apts</t>
  </si>
  <si>
    <t>https://angel.co/livezego</t>
  </si>
  <si>
    <t>https://www.crunchbase.com/organization/casaiq</t>
  </si>
  <si>
    <t>zego.io/</t>
  </si>
  <si>
    <t>1828 Walnut Street</t>
  </si>
  <si>
    <t>TransitScreen</t>
  </si>
  <si>
    <t>https://angel.co/transitscreen</t>
  </si>
  <si>
    <t>https://www.crunchbase.com/organization/transit-screen#section-overview</t>
  </si>
  <si>
    <t>https://transitscreen.com/</t>
  </si>
  <si>
    <t>750 17th St NW</t>
  </si>
  <si>
    <t>20006</t>
  </si>
  <si>
    <t>BLDUP, Inc</t>
  </si>
  <si>
    <t>https://angel.co/company/bldup-2</t>
  </si>
  <si>
    <t>https://www.crunchbase.com/organization/bldup</t>
  </si>
  <si>
    <t>https://www.bldup.com/</t>
  </si>
  <si>
    <t>Showplace</t>
  </si>
  <si>
    <t>https://www.crunchbase.com/organization/showplace</t>
  </si>
  <si>
    <t>https://showplacehq.com/</t>
  </si>
  <si>
    <t>inCitu</t>
  </si>
  <si>
    <t>https://www.crunchbase.com/organization/incitu</t>
  </si>
  <si>
    <t>https://www.incitu.us/</t>
  </si>
  <si>
    <t>Deepblocks</t>
  </si>
  <si>
    <t>https://wellfound.com/company/deepblocks</t>
  </si>
  <si>
    <t>https://www.crunchbase.com/organization/deep-blocks</t>
  </si>
  <si>
    <t>http://deepblocks.com/</t>
  </si>
  <si>
    <t>Carbonaide</t>
  </si>
  <si>
    <t>https://www.crunchbase.com/organization/carbonaide</t>
  </si>
  <si>
    <t>https://carbonaide.com/</t>
  </si>
  <si>
    <t>Joensuu</t>
  </si>
  <si>
    <t>Realla</t>
  </si>
  <si>
    <t>https://angel.co/realla</t>
  </si>
  <si>
    <t>https://www.crunchbase.com/organization/realla#section-overview</t>
  </si>
  <si>
    <t>https://realla.co/</t>
  </si>
  <si>
    <t>Monograph</t>
  </si>
  <si>
    <t>https://angel.co/company/monograph</t>
  </si>
  <si>
    <t>https://www.crunchbase.com/organization/monograph#section-overview</t>
  </si>
  <si>
    <t>monograph.io</t>
  </si>
  <si>
    <t>Redist</t>
  </si>
  <si>
    <t>https://www.crunchbase.com/organization/redist</t>
  </si>
  <si>
    <t>https://www.redist.us/</t>
  </si>
  <si>
    <t>Rayon</t>
  </si>
  <si>
    <t>https://angel.co/company/rayon</t>
  </si>
  <si>
    <t>https://www.crunchbase.com/organization/rayon</t>
  </si>
  <si>
    <t>https://www.rayon.design/</t>
  </si>
  <si>
    <t>YapiRadar</t>
  </si>
  <si>
    <t>https://www.crunchbase.com/organization/yap%C4%B1radar-com</t>
  </si>
  <si>
    <t>https://www.yapiradar.com/</t>
  </si>
  <si>
    <t>Istanbul</t>
  </si>
  <si>
    <t>GeoCV</t>
  </si>
  <si>
    <t>AR VR</t>
  </si>
  <si>
    <t>https://angel.co/geocv-1</t>
  </si>
  <si>
    <t>https://www.crunchbase.com/organization/geocv#section-overview</t>
  </si>
  <si>
    <t>geocv.com</t>
  </si>
  <si>
    <t>220 E 23rd St</t>
  </si>
  <si>
    <t>Arbonics</t>
  </si>
  <si>
    <t>https://www.crunchbase.com/organization/arbonics</t>
  </si>
  <si>
    <t>https://www.arbonics.com/</t>
  </si>
  <si>
    <t>Freesi</t>
  </si>
  <si>
    <t>https://www.crunchbase.com/organization/freesi</t>
  </si>
  <si>
    <t>https://freesi.io/en/</t>
  </si>
  <si>
    <t>Espoo</t>
  </si>
  <si>
    <t>Just Move In</t>
  </si>
  <si>
    <t>https://www.crunchbase.com/organization/just-move-in</t>
  </si>
  <si>
    <t>https://justmovein.com/</t>
  </si>
  <si>
    <t>Bournemouth</t>
  </si>
  <si>
    <t>S.I. Container</t>
  </si>
  <si>
    <t>https://www.crunchbase.com/organization/s-i-container-build</t>
  </si>
  <si>
    <t>https://www.sicontainerbuilds.com/</t>
  </si>
  <si>
    <t>Highland Park</t>
  </si>
  <si>
    <t>SymTerra</t>
  </si>
  <si>
    <t>https://www.crunchbase.com/organization/symterra</t>
  </si>
  <si>
    <t>Bureau Design District, 13 Soames Walk</t>
  </si>
  <si>
    <t>SE10 0AX</t>
  </si>
  <si>
    <t>TermScout</t>
  </si>
  <si>
    <t>https://angel.co/company/termscout-1</t>
  </si>
  <si>
    <t>https://www.crunchbase.com/organization/termscout-95d7</t>
  </si>
  <si>
    <t>https://termscout.com/</t>
  </si>
  <si>
    <t>Spotlar</t>
  </si>
  <si>
    <t>https://www.crunchbase.com/organization/spotlar</t>
  </si>
  <si>
    <t>https://www.spotlar.com.br/</t>
  </si>
  <si>
    <t>Florianopolis</t>
  </si>
  <si>
    <t>AskPorter</t>
  </si>
  <si>
    <t>AI driven property platform</t>
  </si>
  <si>
    <t>Rentals</t>
  </si>
  <si>
    <t>https://angel.co/company/askporter</t>
  </si>
  <si>
    <t>https://www.crunchbase.com/organization/askporter#section-overview</t>
  </si>
  <si>
    <t>https://www.askporter.com/</t>
  </si>
  <si>
    <t>51 Eastcheap</t>
  </si>
  <si>
    <t>EC3M 1JP</t>
  </si>
  <si>
    <t>Bractlet</t>
  </si>
  <si>
    <t>https://angel.co/company/bractlet</t>
  </si>
  <si>
    <t>https://www.crunchbase.com/organization/bractlet</t>
  </si>
  <si>
    <t>https://bractlet.com/</t>
  </si>
  <si>
    <t>Gridics</t>
  </si>
  <si>
    <t>Zoning</t>
  </si>
  <si>
    <t>https://angel.co/company/gridics</t>
  </si>
  <si>
    <t>https://www.crunchbase.com/organization/gridics</t>
  </si>
  <si>
    <t>https://www.gridics.com/</t>
  </si>
  <si>
    <t>Rabbu</t>
  </si>
  <si>
    <t>https://angel.co/company/rabbu</t>
  </si>
  <si>
    <t>https://www.crunchbase.com/organization/rabbu</t>
  </si>
  <si>
    <t>https://www.rabbu.com</t>
  </si>
  <si>
    <t>North California</t>
  </si>
  <si>
    <t>RealCrowd</t>
  </si>
  <si>
    <t>Multifamily, Retail, Hospitality, Other</t>
  </si>
  <si>
    <t>https://angel.co/company/realcrowd</t>
  </si>
  <si>
    <t>https://www.crunchbase.com/organization/realcrowd</t>
  </si>
  <si>
    <t>https://www.realcrowd.com/</t>
  </si>
  <si>
    <t>Guiker</t>
  </si>
  <si>
    <t>https://www.crunchbase.com/organization/guiker-%E5%BD%92%E5%A3%B3</t>
  </si>
  <si>
    <t>https://guiker.com/</t>
  </si>
  <si>
    <t>ValueBase</t>
  </si>
  <si>
    <t>https://www.crunchbase.com/organization/valuebase</t>
  </si>
  <si>
    <t>https://www.valuebase.co/</t>
  </si>
  <si>
    <t>Avesdo</t>
  </si>
  <si>
    <t>https://angel.co/company/avesdo</t>
  </si>
  <si>
    <t>https://www.crunchbase.com/organization/avesdo</t>
  </si>
  <si>
    <t>https://avesdo.com/</t>
  </si>
  <si>
    <t>eBrevia</t>
  </si>
  <si>
    <t>Multifamily, Office, Retail, Hospitality, Industrial</t>
  </si>
  <si>
    <t>https://angel.co/company/ebrevia-3</t>
  </si>
  <si>
    <t>https://www.crunchbase.com/organization/ebrevia</t>
  </si>
  <si>
    <t>https://ebrevia.com/</t>
  </si>
  <si>
    <t>55 Water Street</t>
  </si>
  <si>
    <t>10041</t>
  </si>
  <si>
    <t>Gryps</t>
  </si>
  <si>
    <t>https://angel.co/company/gryps_io</t>
  </si>
  <si>
    <t>https://www.crunchbase.com/organization/gryps</t>
  </si>
  <si>
    <t>https://www.gryps.io/</t>
  </si>
  <si>
    <t>3585 GREYSTONE AVE</t>
  </si>
  <si>
    <t>10463</t>
  </si>
  <si>
    <t>InteliGlas Corp</t>
  </si>
  <si>
    <t>https://www.crunchbase.com/organization/inteliglas-corporation-b000</t>
  </si>
  <si>
    <t>https://www.inteliglas.com/</t>
  </si>
  <si>
    <t>Jointer</t>
  </si>
  <si>
    <t>https://angel.co/jointer</t>
  </si>
  <si>
    <t>https://www.crunchbase.com/organization/jointer-2</t>
  </si>
  <si>
    <t>www.jointer.co</t>
  </si>
  <si>
    <t>899 Sherwood Ave</t>
  </si>
  <si>
    <t>LeasePilot</t>
  </si>
  <si>
    <t>https://angel.co/gadfly-legal-technologies</t>
  </si>
  <si>
    <t>https://www.crunchbase.com/organization/leasepilot</t>
  </si>
  <si>
    <t>www.leasepilot.co/</t>
  </si>
  <si>
    <t>800 Boylston St</t>
  </si>
  <si>
    <t>02199</t>
  </si>
  <si>
    <t>NestEgg</t>
  </si>
  <si>
    <t>https://angel.co/company/nestegg-for-rental-properties</t>
  </si>
  <si>
    <t>https://www.crunchbase.com/organization/nestegg-01c3</t>
  </si>
  <si>
    <t>https://www.nestegg.rent</t>
  </si>
  <si>
    <t>Released</t>
  </si>
  <si>
    <t>https://www.crunchbase.com/organization/re-leased-property-software#section-overview</t>
  </si>
  <si>
    <t>https://re-leased.com/</t>
  </si>
  <si>
    <t>Remoov</t>
  </si>
  <si>
    <t>https://angel.co/company/remoov</t>
  </si>
  <si>
    <t>https://www.crunchbase.com/organization/remoov</t>
  </si>
  <si>
    <t>https://remoovit.com/</t>
  </si>
  <si>
    <t>REscour</t>
  </si>
  <si>
    <t>Multifamily, Office, Retail, Other</t>
  </si>
  <si>
    <t>https://angel.co/company/rescour</t>
  </si>
  <si>
    <t>https://www.crunchbase.com/organization/rescour</t>
  </si>
  <si>
    <t>https://rescour.com/</t>
  </si>
  <si>
    <t>Stowga</t>
  </si>
  <si>
    <t>https://angel.co/company/stowga</t>
  </si>
  <si>
    <t>https://www.crunchbase.com/organization/stowga</t>
  </si>
  <si>
    <t>https://www.stowga.com/</t>
  </si>
  <si>
    <t>Rentgrata</t>
  </si>
  <si>
    <t>Messaging Platform</t>
  </si>
  <si>
    <t>https://angel.co/company/rentgrata</t>
  </si>
  <si>
    <t>https://www.crunchbase.com/organization/rentgrata#section-overview</t>
  </si>
  <si>
    <t>https://www.rentgrata.com/</t>
  </si>
  <si>
    <t>225 E Grand Ave, Suite 707</t>
  </si>
  <si>
    <t>60614</t>
  </si>
  <si>
    <t>Placense</t>
  </si>
  <si>
    <t>https://angel.co/company/placense</t>
  </si>
  <si>
    <t>https://www.crunchbase.com/organization/placense</t>
  </si>
  <si>
    <t>https://www.placense.com/</t>
  </si>
  <si>
    <t>3 Aluf Kalman Magen</t>
  </si>
  <si>
    <t>Arrenda</t>
  </si>
  <si>
    <t>https://angel.co/company/arrenda</t>
  </si>
  <si>
    <t>https://www.crunchbase.com/organization/f%C3%A1cil-fc23</t>
  </si>
  <si>
    <t>https://arrenda.mx/</t>
  </si>
  <si>
    <t>Av. Insurgentes Sur 601, Piso 11</t>
  </si>
  <si>
    <t>03810</t>
  </si>
  <si>
    <t>Raccord</t>
  </si>
  <si>
    <t>https://www.crunchbase.com/organization/raccord</t>
  </si>
  <si>
    <t>https://www.raccord.com/</t>
  </si>
  <si>
    <t>Purlin</t>
  </si>
  <si>
    <t>https://angel.co/company/purlin-co-5</t>
  </si>
  <si>
    <t>https://www.crunchbase.com/organization/purlin-co</t>
  </si>
  <si>
    <t>https://www.purlin.com/</t>
  </si>
  <si>
    <t>Torrance</t>
  </si>
  <si>
    <t>Speiz</t>
  </si>
  <si>
    <t>https://wellfound.com/company/speiz</t>
  </si>
  <si>
    <t>https://www.crunchbase.com/organization/speiz</t>
  </si>
  <si>
    <t>https://www.speiz.com/</t>
  </si>
  <si>
    <t>Adaptis</t>
  </si>
  <si>
    <t>https://wellfound.com/company/adaptistech</t>
  </si>
  <si>
    <t>https://www.crunchbase.com/organization/adaptis-technologies</t>
  </si>
  <si>
    <t>https://adaptis.ca/</t>
  </si>
  <si>
    <t>Prokore</t>
  </si>
  <si>
    <t>Data Management</t>
  </si>
  <si>
    <t>Industrial, Office, Multifamily, Retail</t>
  </si>
  <si>
    <t>https://angel.co/company/prokore-1</t>
  </si>
  <si>
    <t>https://www.crunchbase.com/organization/prokore</t>
  </si>
  <si>
    <t>www.prokore.com/</t>
  </si>
  <si>
    <t>Digital Map Products</t>
  </si>
  <si>
    <t>https://angel.co/company/digital-map-products</t>
  </si>
  <si>
    <t>https://www.crunchbase.com/organization/digital-map-products</t>
  </si>
  <si>
    <t>https://www.digmap.com/</t>
  </si>
  <si>
    <t>Piinpoint</t>
  </si>
  <si>
    <t>https://angel.co/company/piinpoint</t>
  </si>
  <si>
    <t>https://www.crunchbase.com/organization/piinpoint</t>
  </si>
  <si>
    <t>https://www.piinpoint.com/</t>
  </si>
  <si>
    <t>Atease</t>
  </si>
  <si>
    <t>https://angel.co/company/at-ease-rentals</t>
  </si>
  <si>
    <t>https://www.crunchbase.com/organization/at-ease-rentals</t>
  </si>
  <si>
    <t>http://www.pcsatease.com/</t>
  </si>
  <si>
    <t>2250 Double Creek Drive 
Unit 7013</t>
  </si>
  <si>
    <t>Round Rock</t>
  </si>
  <si>
    <t>78664</t>
  </si>
  <si>
    <t>FlashParking</t>
  </si>
  <si>
    <t>https://angel.co/company/flash-valet</t>
  </si>
  <si>
    <t>https://www.crunchbase.com/organization/flashparking</t>
  </si>
  <si>
    <t>www.flashparking.com</t>
  </si>
  <si>
    <t>FlashParking 3801 South Capital of Texas Highway, Suite 250</t>
  </si>
  <si>
    <t>IdealSpot</t>
  </si>
  <si>
    <t>https://angel.co/company/idealspot</t>
  </si>
  <si>
    <t>https://www.crunchbase.com/organization/idealspot</t>
  </si>
  <si>
    <t>https://www.idealspot.com/</t>
  </si>
  <si>
    <t>inBuilding Services Corporation</t>
  </si>
  <si>
    <t>https://angel.co/idealspot</t>
  </si>
  <si>
    <t>www.idealspot.com</t>
  </si>
  <si>
    <t>902 East 5th Street</t>
  </si>
  <si>
    <t>78702</t>
  </si>
  <si>
    <t>Upsuite Corp</t>
  </si>
  <si>
    <t>https://angel.co/upsuite</t>
  </si>
  <si>
    <t>https://www.crunchbase.com/organization/upsuite</t>
  </si>
  <si>
    <t>https://www.upsuite.com/about-us</t>
  </si>
  <si>
    <t>2420 17th St</t>
  </si>
  <si>
    <t>NeoCarbon</t>
  </si>
  <si>
    <t>https://angel.co/company/neocarbon</t>
  </si>
  <si>
    <t>https://www.crunchbase.com/organization/neocarbon</t>
  </si>
  <si>
    <t>https://www.neocarbon.tech/</t>
  </si>
  <si>
    <t>Conix.ai</t>
  </si>
  <si>
    <t>https://www.crunchbase.com/organization/conixai</t>
  </si>
  <si>
    <t>https://conix.ai/</t>
  </si>
  <si>
    <t>Riyadh</t>
  </si>
  <si>
    <t>Comstruct</t>
  </si>
  <si>
    <t>https://www.crunchbase.com/organization/comstruct-381d</t>
  </si>
  <si>
    <t>https://comstruct.com/</t>
  </si>
  <si>
    <t>Bammental</t>
  </si>
  <si>
    <t>Commission Trac</t>
  </si>
  <si>
    <t>https://angel.co/commissiontrac-1</t>
  </si>
  <si>
    <t>https://www.crunchbase.com/organization/commissiontrac</t>
  </si>
  <si>
    <t>www.commissiontrac.com</t>
  </si>
  <si>
    <t>4470 Chamblee Dunwoody Road</t>
  </si>
  <si>
    <t>30338</t>
  </si>
  <si>
    <t>Techstars</t>
  </si>
  <si>
    <t>Innago</t>
  </si>
  <si>
    <t>https://angel.co/company/innago</t>
  </si>
  <si>
    <t>https://www.crunchbase.com/organization/innago-property-management-software</t>
  </si>
  <si>
    <t>http://innago.com/</t>
  </si>
  <si>
    <t>Hudson</t>
  </si>
  <si>
    <t>Real</t>
  </si>
  <si>
    <t>https://angel.co/company/real-ventures</t>
  </si>
  <si>
    <t>https://www.crunchbase.com/organization/real-3</t>
  </si>
  <si>
    <t>https://www.joinreal.com/about</t>
  </si>
  <si>
    <t>Restb.ai</t>
  </si>
  <si>
    <t>https://angel.co/company/restb</t>
  </si>
  <si>
    <t>https://www.crunchbase.com/organization/restb-ai</t>
  </si>
  <si>
    <t>https://restb.ai/</t>
  </si>
  <si>
    <t>SiteKick</t>
  </si>
  <si>
    <t>https://www.crunchbase.com/organization/sitekick</t>
  </si>
  <si>
    <t>www.sitekick.com</t>
  </si>
  <si>
    <t>1330 Lagoon Ave.</t>
  </si>
  <si>
    <t>55408</t>
  </si>
  <si>
    <t>Eano</t>
  </si>
  <si>
    <t>https://angel.co/company/eano</t>
  </si>
  <si>
    <t>https://www.crunchbase.com/organization/eanovation</t>
  </si>
  <si>
    <t>https://www.eano.com/</t>
  </si>
  <si>
    <t>400 Concar Drive</t>
  </si>
  <si>
    <t>94402</t>
  </si>
  <si>
    <t>Ecomedes</t>
  </si>
  <si>
    <t>https://angel.co/ecomedes-1</t>
  </si>
  <si>
    <t>https://www.crunchbase.com/organization/ecomedes</t>
  </si>
  <si>
    <t>ecomedes.com</t>
  </si>
  <si>
    <t>1836 48th Ave.</t>
  </si>
  <si>
    <t>94122</t>
  </si>
  <si>
    <t>Casa</t>
  </si>
  <si>
    <t>https://www.crunchbase.com/organization/casa-2535</t>
  </si>
  <si>
    <t>https://pros.casa/</t>
  </si>
  <si>
    <t>Delray Beach</t>
  </si>
  <si>
    <t>S2A Modular</t>
  </si>
  <si>
    <t>https://www.crunchbase.com/organization/s2a-modular</t>
  </si>
  <si>
    <t>https://www.s2amodular.com/</t>
  </si>
  <si>
    <t>Murrieta</t>
  </si>
  <si>
    <t>Fabrica.AI</t>
  </si>
  <si>
    <t>https://www.crunchbase.com/organization/fabrica-ai</t>
  </si>
  <si>
    <t>https://www.fabrica.ai/</t>
  </si>
  <si>
    <t>Zityhub</t>
  </si>
  <si>
    <t>https://www.crunchbase.com/organization/zityhub</t>
  </si>
  <si>
    <t>https://zityhub.com/</t>
  </si>
  <si>
    <t>Realync</t>
  </si>
  <si>
    <t>https://angel.co/company/realync</t>
  </si>
  <si>
    <t>https://www.crunchbase.com/organization/realync</t>
  </si>
  <si>
    <t>https://www.realync.com/</t>
  </si>
  <si>
    <t>Carmen</t>
  </si>
  <si>
    <t>Indiana</t>
  </si>
  <si>
    <t>Green Badger</t>
  </si>
  <si>
    <t>https://angel.co/company/green-badger-1</t>
  </si>
  <si>
    <t>https://www.crunchbase.com/organization/green-badger</t>
  </si>
  <si>
    <t>https://getgreenbadger.com/</t>
  </si>
  <si>
    <t>Savannah</t>
  </si>
  <si>
    <t>Homesfy</t>
  </si>
  <si>
    <t>https://wellfound.com/company/homesfy</t>
  </si>
  <si>
    <t>https://www.crunchbase.com/organization/homesfy</t>
  </si>
  <si>
    <t>http://www.homesfy.in/</t>
  </si>
  <si>
    <t>Thane</t>
  </si>
  <si>
    <t>coUrbanize</t>
  </si>
  <si>
    <t>https://angel.co/company/courbanize</t>
  </si>
  <si>
    <t>https://www.crunchbase.com/organization/courbanize</t>
  </si>
  <si>
    <t>https://www.courbanize.com/</t>
  </si>
  <si>
    <t>33 Arch Street
Boston, MA 02110</t>
  </si>
  <si>
    <t>Domuso</t>
  </si>
  <si>
    <t>https://angel.co/domuso</t>
  </si>
  <si>
    <t>https://www.crunchbase.com/organization/domuso-inc</t>
  </si>
  <si>
    <t>domuso.com/</t>
  </si>
  <si>
    <t>2110 Main Street</t>
  </si>
  <si>
    <t>90405</t>
  </si>
  <si>
    <t>Akia</t>
  </si>
  <si>
    <t>https://angel.co/company/akiaai</t>
  </si>
  <si>
    <t>https://www.crunchbase.com/organization/akia</t>
  </si>
  <si>
    <t>akia.ai</t>
  </si>
  <si>
    <t>101 Jefferson Dr Unit 233A</t>
  </si>
  <si>
    <t>CityVest Capital</t>
  </si>
  <si>
    <t>https://angel.co/company/cityvest</t>
  </si>
  <si>
    <t>https://www.crunchbase.com/organization/citivest-com</t>
  </si>
  <si>
    <t>https://www.cityvest.com/home.html</t>
  </si>
  <si>
    <t>Gyana</t>
  </si>
  <si>
    <t>https://angel.co/blog</t>
  </si>
  <si>
    <t>https://www.crunchbase.com/organization/gyana#section-overview</t>
  </si>
  <si>
    <t>https://www.gyana.co.uk/</t>
  </si>
  <si>
    <t>8 Devonshire Square</t>
  </si>
  <si>
    <t>LONDON</t>
  </si>
  <si>
    <t>EC2M 4PL</t>
  </si>
  <si>
    <t>Megalytics, Inc.</t>
  </si>
  <si>
    <t>https://www.crunchbase.com/organization/megalytics</t>
  </si>
  <si>
    <t>https://megalytics.net/</t>
  </si>
  <si>
    <t>OppSites</t>
  </si>
  <si>
    <t>https://angel.co/company/oppsites-</t>
  </si>
  <si>
    <t>https://www.crunchbase.com/organization/oppsites</t>
  </si>
  <si>
    <t>https://oppsites.com/</t>
  </si>
  <si>
    <t>Optix</t>
  </si>
  <si>
    <t>https://angel.co/company/sharedesk</t>
  </si>
  <si>
    <t>https://www.crunchbase.com/organization/shareddesks</t>
  </si>
  <si>
    <t>https://www.optixapp.com/</t>
  </si>
  <si>
    <t>Place Technology</t>
  </si>
  <si>
    <t>Office, Retail, Multifamily</t>
  </si>
  <si>
    <t>https://angel.co/company/place-technology</t>
  </si>
  <si>
    <t>https://www.crunchbase.com/organization/place-technology</t>
  </si>
  <si>
    <t>https://www.placetechnology.com/</t>
  </si>
  <si>
    <t>Spacebase GmbH</t>
  </si>
  <si>
    <t>https://angel.co/company/spacebase-1</t>
  </si>
  <si>
    <t>https://www.crunchbase.com/organization/spacebase</t>
  </si>
  <si>
    <t>Bidmii</t>
  </si>
  <si>
    <t>Bidmii - Crunchbase Company Profile &amp; Funding</t>
  </si>
  <si>
    <t>https://www.bidmii.com/</t>
  </si>
  <si>
    <t>Trove</t>
  </si>
  <si>
    <t>https://angel.co/company/trove</t>
  </si>
  <si>
    <t>https://www.crunchbase.com/organization/trove-2</t>
  </si>
  <si>
    <t>https://www.discovertrove.com/</t>
  </si>
  <si>
    <t>Vector Homes</t>
  </si>
  <si>
    <t>https://www.crunchbase.com/organization/vector-homes</t>
  </si>
  <si>
    <t>https://www.vectorhomes.co.uk/</t>
  </si>
  <si>
    <t>Manchester</t>
  </si>
  <si>
    <t>Route Konnect</t>
  </si>
  <si>
    <t>https://www.crunchbase.com/organization/route-konnect</t>
  </si>
  <si>
    <t>https://routekonnect.com/</t>
  </si>
  <si>
    <t>Cardiff</t>
  </si>
  <si>
    <t>Ootbox</t>
  </si>
  <si>
    <t>Office, Other</t>
  </si>
  <si>
    <t>https://www.crunchbase.com/organization/ootbox</t>
  </si>
  <si>
    <t>https://www.getootbox.com/</t>
  </si>
  <si>
    <t>Local Logic</t>
  </si>
  <si>
    <t>https://angel.co/company/locallogic</t>
  </si>
  <si>
    <t>https://www.crunchbase.com/organization/local-logic</t>
  </si>
  <si>
    <t>https://www.locallogic.co/</t>
  </si>
  <si>
    <t>5605 Gaspe Ave #304</t>
  </si>
  <si>
    <t>Quebec</t>
  </si>
  <si>
    <t>H2T 2A4</t>
  </si>
  <si>
    <t>Motili</t>
  </si>
  <si>
    <t>Property Maintenance</t>
  </si>
  <si>
    <t>Multifamily, Single Family, Commercial</t>
  </si>
  <si>
    <t>https://angel.co/motili</t>
  </si>
  <si>
    <t>https://www.crunchbase.com/organization/motili</t>
  </si>
  <si>
    <t>motili.com</t>
  </si>
  <si>
    <t>1900 Wazee St #1533</t>
  </si>
  <si>
    <t xml:space="preserve">CO </t>
  </si>
  <si>
    <t>RealQuantum</t>
  </si>
  <si>
    <t>Office, Retail, Hospitality, Industrial, Other</t>
  </si>
  <si>
    <t>https://angel.co/realquantum</t>
  </si>
  <si>
    <t>https://www.crunchbase.com/organization/realquantum-llc</t>
  </si>
  <si>
    <t>realquantum.com</t>
  </si>
  <si>
    <t>6701 W 64th Street</t>
  </si>
  <si>
    <t xml:space="preserve">KS </t>
  </si>
  <si>
    <t>66202</t>
  </si>
  <si>
    <t>HomeMove</t>
  </si>
  <si>
    <t>https://wellfound.com/company/homemove</t>
  </si>
  <si>
    <t>https://www.crunchbase.com/organization/homemove</t>
  </si>
  <si>
    <t>https://www.homemove.com/</t>
  </si>
  <si>
    <t>Norwich</t>
  </si>
  <si>
    <t>Flow Labs</t>
  </si>
  <si>
    <t>https://angel.co/company/flow-labs</t>
  </si>
  <si>
    <t>https://www.crunchbase.com/organization/flow-laboratories-inc#section-overview</t>
  </si>
  <si>
    <t>http://www.flowlabs.com/</t>
  </si>
  <si>
    <t>Hent</t>
  </si>
  <si>
    <t>https://angel.co/company/hent</t>
  </si>
  <si>
    <t>https://www.crunchbase.com/organization/hent</t>
  </si>
  <si>
    <t>https://www.hent.com.br/</t>
  </si>
  <si>
    <t>Av. Engenheiro Domingos Ferreira, 4023</t>
  </si>
  <si>
    <t>Recife</t>
  </si>
  <si>
    <t>Inkuvi</t>
  </si>
  <si>
    <t>https://angel.co/company/inkuvi</t>
  </si>
  <si>
    <t>https://www.crunchbase.com/organization/inkuvi</t>
  </si>
  <si>
    <t>https://inkuvi.com/</t>
  </si>
  <si>
    <t>Guadalajara</t>
  </si>
  <si>
    <t>Lofty AI</t>
  </si>
  <si>
    <t>https://angel.co/company/loftyai</t>
  </si>
  <si>
    <t>https://www.crunchbase.com/organization/lofty-ai</t>
  </si>
  <si>
    <t>https://www.lofty.ai/</t>
  </si>
  <si>
    <t>Greater Los Angeles Area</t>
  </si>
  <si>
    <t>Pocket Buildings</t>
  </si>
  <si>
    <t>https://www.crunchbase.com/organization/pocketbuildings</t>
  </si>
  <si>
    <t>https://www.pocketbuildings.com/</t>
  </si>
  <si>
    <t>Salaryo</t>
  </si>
  <si>
    <t>https://angel.co/company/salaryo</t>
  </si>
  <si>
    <t>https://www.crunchbase.com/organization/salaryo</t>
  </si>
  <si>
    <t>https://www.salaryo.com/</t>
  </si>
  <si>
    <t>123Projetei</t>
  </si>
  <si>
    <t>https://www.crunchbase.com/organization/123projetei</t>
  </si>
  <si>
    <t>http://www.123projetei.com.br/</t>
  </si>
  <si>
    <t>Rio Grande</t>
  </si>
  <si>
    <t>SensorSuite Inc</t>
  </si>
  <si>
    <t>https://angel.co/company/sensorsuite</t>
  </si>
  <si>
    <t>https://www.crunchbase.com/organization/sensorsuite-inc</t>
  </si>
  <si>
    <t>https://www.sensorsuite.com/</t>
  </si>
  <si>
    <t>Bixby</t>
  </si>
  <si>
    <t>https://angel.co/livebixby</t>
  </si>
  <si>
    <t>https://www.crunchbase.com/organization/bixby</t>
  </si>
  <si>
    <t>www.livebixby.co/</t>
  </si>
  <si>
    <t>347 5th Avenue</t>
  </si>
  <si>
    <t>Pantree</t>
  </si>
  <si>
    <t>https://angel.co/company/pantree-1</t>
  </si>
  <si>
    <t>https://www.crunchbase.com/organization/pantree</t>
  </si>
  <si>
    <t>https://pantree.co/</t>
  </si>
  <si>
    <t>Arcbazar</t>
  </si>
  <si>
    <t>https://angel.co/company/arcbazar</t>
  </si>
  <si>
    <t>https://www.crunchbase.com/organization/arcbazar-com</t>
  </si>
  <si>
    <t>https://www.arcbazar.com/</t>
  </si>
  <si>
    <t>Harvard Innovation Lab 114 Western Avenue</t>
  </si>
  <si>
    <t>Allston</t>
  </si>
  <si>
    <t>2134</t>
  </si>
  <si>
    <t>Spce</t>
  </si>
  <si>
    <t>https://angel.co/liveinspce</t>
  </si>
  <si>
    <t>https://www.crunchbase.com/organization/spce</t>
  </si>
  <si>
    <t>https://www.liveinspce.com/</t>
  </si>
  <si>
    <t>The Shard, 32, London Bridge Street</t>
  </si>
  <si>
    <t>SE19SG</t>
  </si>
  <si>
    <t xml:space="preserve"> </t>
  </si>
  <si>
    <t>Unite Living</t>
  </si>
  <si>
    <t>https://www.crunchbase.com/organization/unite-living</t>
  </si>
  <si>
    <t>https://uniteliving.com/</t>
  </si>
  <si>
    <t>Chr. Krohgs gate 1</t>
  </si>
  <si>
    <t>0186</t>
  </si>
  <si>
    <t>Conectric Networks</t>
  </si>
  <si>
    <t>https://angel.co/company/conectric</t>
  </si>
  <si>
    <t>https://www.crunchbase.com/organization/conectric</t>
  </si>
  <si>
    <t>https://www.conectric.com/</t>
  </si>
  <si>
    <t>Mavatar Technologies Inc</t>
  </si>
  <si>
    <t>https://angel.co/company/mavatar-technologies</t>
  </si>
  <si>
    <t>https://www.crunchbase.com/organization/mavatar</t>
  </si>
  <si>
    <t>http://www.mavatar.com/</t>
  </si>
  <si>
    <t>Rail Yard</t>
  </si>
  <si>
    <t>https://angel.co/company/rail-yard</t>
  </si>
  <si>
    <t>https://www.crunchbase.com/organization/rail-yard</t>
  </si>
  <si>
    <t>https://www.railyard.com/</t>
  </si>
  <si>
    <t>Arextech</t>
  </si>
  <si>
    <t>https://angel.co/company/arextech</t>
  </si>
  <si>
    <t>https://www.crunchbase.com/organization/arextech</t>
  </si>
  <si>
    <t>https://arex.technology/</t>
  </si>
  <si>
    <t>Mevi</t>
  </si>
  <si>
    <t>https://angel.co/company/meviapp</t>
  </si>
  <si>
    <t>https://www.crunchbase.com/organization/mevi</t>
  </si>
  <si>
    <t>https://www.mevi.io/home</t>
  </si>
  <si>
    <t>1801 N Broadway</t>
  </si>
  <si>
    <t>Stacksource</t>
  </si>
  <si>
    <t>https://angel.co/stacksource</t>
  </si>
  <si>
    <t>https://www.crunchbase.com/organization/stacksource#section-overview</t>
  </si>
  <si>
    <t>StackSource.com</t>
  </si>
  <si>
    <t>45 West 21st Street, 5th Floor</t>
  </si>
  <si>
    <t>Aetos</t>
  </si>
  <si>
    <t>https://wellfound.com/company/aetos-imaging</t>
  </si>
  <si>
    <t>https://www.crunchbase.com/organization/aetos-imaging</t>
  </si>
  <si>
    <t>https://aetosimaging.com/</t>
  </si>
  <si>
    <t>Dwello</t>
  </si>
  <si>
    <t>https://wellfound.com/company/dwello-1</t>
  </si>
  <si>
    <t>https://www.crunchbase.com/organization/dwello-1f00</t>
  </si>
  <si>
    <t>https://www.dwello.nl/</t>
  </si>
  <si>
    <t>At HUM</t>
  </si>
  <si>
    <t>https://angel.co/company/athum</t>
  </si>
  <si>
    <t>https://www.crunchbase.com/organization/at-hum</t>
  </si>
  <si>
    <t>http://www.athum.com/</t>
  </si>
  <si>
    <t>75 East Santa Clara Avenue</t>
  </si>
  <si>
    <t>95113</t>
  </si>
  <si>
    <t>Spacepass</t>
  </si>
  <si>
    <t>https://www.crunchbase.com/organization/spacepass</t>
  </si>
  <si>
    <t>https://spacepass.global/</t>
  </si>
  <si>
    <t>Riga</t>
  </si>
  <si>
    <t>Latvia</t>
  </si>
  <si>
    <t>CutStruct</t>
  </si>
  <si>
    <t>https://www.crunchbase.com/organization/cutstruct-technology-limited</t>
  </si>
  <si>
    <t>https://www.cutstruct.com/</t>
  </si>
  <si>
    <t>Skrap</t>
  </si>
  <si>
    <t>https://angel.co/company/skrap</t>
  </si>
  <si>
    <t>https://www.crunchbase.com/organization/skrap</t>
  </si>
  <si>
    <t>https://skrap.xyz/skrapweb/</t>
  </si>
  <si>
    <t>562 N Circular Rd</t>
  </si>
  <si>
    <t>Consorto</t>
  </si>
  <si>
    <t>https://angel.co/company/consorto-1/jobs</t>
  </si>
  <si>
    <t>https://www.crunchbase.com/organization/consorto</t>
  </si>
  <si>
    <t>https://www.consorto.com/about</t>
  </si>
  <si>
    <t>Student Rents</t>
  </si>
  <si>
    <t>https://www.crunchbase.com/organization/student-rents</t>
  </si>
  <si>
    <t>https://studentrents.co.uk/</t>
  </si>
  <si>
    <t>Jogogo</t>
  </si>
  <si>
    <t>https://angel.co/company/jogogo</t>
  </si>
  <si>
    <t>https://www.crunchbase.com/organization/jogogo</t>
  </si>
  <si>
    <t>jogogo.co</t>
  </si>
  <si>
    <t>4200 Saint Laurent Boulevard</t>
  </si>
  <si>
    <t>QC</t>
  </si>
  <si>
    <t>Rithum</t>
  </si>
  <si>
    <t>https://www.crunchbase.com/organization/rithum</t>
  </si>
  <si>
    <t>https://rithumhome.com/</t>
  </si>
  <si>
    <t>Land Intelligence, Inc.</t>
  </si>
  <si>
    <t>https://angel.co/company/land-intelligence</t>
  </si>
  <si>
    <t>https://www.crunchbase.com/organization/land-intelligence</t>
  </si>
  <si>
    <t>https://landintelligence.net/</t>
  </si>
  <si>
    <t>South Carolina</t>
  </si>
  <si>
    <t>HouseAfrica</t>
  </si>
  <si>
    <t>https://www.crunchbase.com/organization/houseafrica</t>
  </si>
  <si>
    <t>https://houseafrica.io/</t>
  </si>
  <si>
    <t>Abuja</t>
  </si>
  <si>
    <t>Coastal Risk Consulting</t>
  </si>
  <si>
    <t>https://angel.co/company/coastal-risk-consulting</t>
  </si>
  <si>
    <t>https://www.crunchbase.com/organization/coastal-risk-consulting</t>
  </si>
  <si>
    <t>https://floodscores.com/</t>
  </si>
  <si>
    <t>Plantation</t>
  </si>
  <si>
    <t>Abstract Tokenization</t>
  </si>
  <si>
    <t>Equity</t>
  </si>
  <si>
    <t>https://www.crunchbase.com/organization/abstract-tokenization#section-overview</t>
  </si>
  <si>
    <t>thttps://www.abstracttokenization.com/</t>
  </si>
  <si>
    <t>98122</t>
  </si>
  <si>
    <t>Coworker.com</t>
  </si>
  <si>
    <t>https://www.crunchbase.com/organization/coworker#section-overview</t>
  </si>
  <si>
    <t>https://www.coworker.com/</t>
  </si>
  <si>
    <t>Kairos IoT</t>
  </si>
  <si>
    <t xml:space="preserve">Multifamily </t>
  </si>
  <si>
    <t>https://angel.co/company/kairos-iot</t>
  </si>
  <si>
    <t>https://www.crunchbase.com/organization/kairos-iot#section-overview</t>
  </si>
  <si>
    <t>https://www.kairoswater.io/</t>
  </si>
  <si>
    <t>Greater Atlanta Area, East Coast, Southern US</t>
  </si>
  <si>
    <t>Opiniion</t>
  </si>
  <si>
    <t>https://www.crunchbase.com/organization/opiniion-inc</t>
  </si>
  <si>
    <t>https://www.opiniion.com/</t>
  </si>
  <si>
    <t>Utah</t>
  </si>
  <si>
    <t>Revista</t>
  </si>
  <si>
    <t>https://angel.co/company/revista</t>
  </si>
  <si>
    <t>https://www.crunchbase.com/organization/revista</t>
  </si>
  <si>
    <t>https://revistamed.com/</t>
  </si>
  <si>
    <t>Arnold</t>
  </si>
  <si>
    <t>Maryland</t>
  </si>
  <si>
    <t>WhyFly</t>
  </si>
  <si>
    <t>https://www.crunchbase.com/organization/whyfly</t>
  </si>
  <si>
    <t>https://www.whyfly.com/</t>
  </si>
  <si>
    <t>Wilmington</t>
  </si>
  <si>
    <t>Cortex Intel</t>
  </si>
  <si>
    <t>https://angel.co/company/cortex-3</t>
  </si>
  <si>
    <t>https://www.crunchbase.com/organization/cortex-4</t>
  </si>
  <si>
    <t>https://www.meetcortex.com/</t>
  </si>
  <si>
    <t>1730 Rhode Island Ave, NW Suite 1103
Washington, DC 20036</t>
  </si>
  <si>
    <t>HALO by Mobile RF</t>
  </si>
  <si>
    <t>IT</t>
  </si>
  <si>
    <t>https://angel.co/company/halocures</t>
  </si>
  <si>
    <t>https://www.crunchbase.com/organization/halo-2e0a#section-overview</t>
  </si>
  <si>
    <t>https://mobilerf.com/</t>
  </si>
  <si>
    <t>4521 Leavenworth St. #5</t>
  </si>
  <si>
    <t>Omaha</t>
  </si>
  <si>
    <t>68106</t>
  </si>
  <si>
    <t>Richr</t>
  </si>
  <si>
    <t>https://angel.co/company/richr</t>
  </si>
  <si>
    <t>https://www.crunchbase.com/organization/richr</t>
  </si>
  <si>
    <t>https://richr.com/</t>
  </si>
  <si>
    <t>Seqoon</t>
  </si>
  <si>
    <t>https://angel.co/company/seqoon</t>
  </si>
  <si>
    <t>https://www.crunchbase.com/organization/seqoon</t>
  </si>
  <si>
    <t>https://www.seqoon.com/</t>
  </si>
  <si>
    <t>Cairo</t>
  </si>
  <si>
    <t>Egypt</t>
  </si>
  <si>
    <t>StringBean Technologies</t>
  </si>
  <si>
    <t>https://angel.co/company/stringbean-technologies</t>
  </si>
  <si>
    <t>https://www.crunchbase.com/organization/stringbean-technologies</t>
  </si>
  <si>
    <t>http://www.stringbean.tech/</t>
  </si>
  <si>
    <t xml:space="preserve">11 Sunrise Plaza, Unit 3
</t>
  </si>
  <si>
    <t>Valley Stream</t>
  </si>
  <si>
    <t>11580</t>
  </si>
  <si>
    <t>Tribbo</t>
  </si>
  <si>
    <t>https://www.crunchbase.com/organization/tribboo</t>
  </si>
  <si>
    <t>https://www.tribboo.co/</t>
  </si>
  <si>
    <t>OWAL</t>
  </si>
  <si>
    <t>https://angel.co/company/owal-inc</t>
  </si>
  <si>
    <t>https://www.crunchbase.com/organization/owal#section-overview</t>
  </si>
  <si>
    <t>owal.io</t>
  </si>
  <si>
    <t>137 Varick Street, 2nd floor</t>
  </si>
  <si>
    <t>Servus Connect</t>
  </si>
  <si>
    <t>https://angel.co/servus-2</t>
  </si>
  <si>
    <t>https://www.crunchbase.com/organization/servusconnect</t>
  </si>
  <si>
    <t>www.servusconnect.com</t>
  </si>
  <si>
    <t>1 Floretta Place # 80504</t>
  </si>
  <si>
    <t>Raleigh</t>
  </si>
  <si>
    <t>4Stay</t>
  </si>
  <si>
    <t>https://www.crunchbase.com/organization/fourstay</t>
  </si>
  <si>
    <t>https://4stay.com/</t>
  </si>
  <si>
    <t>Light Line</t>
  </si>
  <si>
    <t>Multifamily/Office</t>
  </si>
  <si>
    <t>https://angel.co/company/light-line-delivery-corp</t>
  </si>
  <si>
    <t>https://www.crunchbase.com/organization/light-line-delivery</t>
  </si>
  <si>
    <t>https://www.lightlinedelivery.com/</t>
  </si>
  <si>
    <t>MoveGenius</t>
  </si>
  <si>
    <t>https://www.crunchbase.com/organization/movegenius</t>
  </si>
  <si>
    <t>https://www.movegenius.com/</t>
  </si>
  <si>
    <t>Inpoi</t>
  </si>
  <si>
    <t>https://www.crunchbase.com/organization/inpoi</t>
  </si>
  <si>
    <t>https://www.inpoi.it/</t>
  </si>
  <si>
    <t>Turin</t>
  </si>
  <si>
    <t>REALly</t>
  </si>
  <si>
    <t>https://angel.co/company/reallyai</t>
  </si>
  <si>
    <t>https://www.crunchbase.com/organization/really-really-inc</t>
  </si>
  <si>
    <t>https://really.ai/</t>
  </si>
  <si>
    <t>CubiCasa</t>
  </si>
  <si>
    <t>Floorplanning</t>
  </si>
  <si>
    <t>https://angel.co/company/cubicasa</t>
  </si>
  <si>
    <t>https://www.crunchbase.com/organization/cubicasa-oy</t>
  </si>
  <si>
    <t>https://www.cubi.casa/</t>
  </si>
  <si>
    <t>Oulu</t>
  </si>
  <si>
    <t>Proximi.io</t>
  </si>
  <si>
    <t>https://angel.co/company/proximi-io</t>
  </si>
  <si>
    <t>https://www.crunchbase.com/organization/proximi-io</t>
  </si>
  <si>
    <t>https://proximi.io/</t>
  </si>
  <si>
    <t>Maria 01, Lapinlahdenkatu 16</t>
  </si>
  <si>
    <t>Vairt</t>
  </si>
  <si>
    <t>https://angel.co/company/vairt</t>
  </si>
  <si>
    <t>https://www.crunchbase.com/organization/vairt-inc</t>
  </si>
  <si>
    <t xml:space="preserve">www.vairt.com
</t>
  </si>
  <si>
    <t>1100 Sycamore St 4th floor</t>
  </si>
  <si>
    <t>Rented.com</t>
  </si>
  <si>
    <t>https://angel.co/company/rented</t>
  </si>
  <si>
    <t>https://www.crunchbase.com/organization/rented-com</t>
  </si>
  <si>
    <t>https://www.rented.com</t>
  </si>
  <si>
    <t>Frameless Inc</t>
  </si>
  <si>
    <t>https://angel.co/company/frameless-1</t>
  </si>
  <si>
    <t>https://www.crunchbase.com/organization/frameless</t>
  </si>
  <si>
    <t>http://ww38.frameless.me/</t>
  </si>
  <si>
    <t>Austri</t>
  </si>
  <si>
    <t>Radiator Labs</t>
  </si>
  <si>
    <t>https://angel.co/company/radiator-labs</t>
  </si>
  <si>
    <t>https://www.crunchbase.com/organization/radiator-labs-inc</t>
  </si>
  <si>
    <t>https://www.radiatorlabs.com/</t>
  </si>
  <si>
    <t>63 Flushing Ave Building 292, Suite 409</t>
  </si>
  <si>
    <t>SharpLaunch</t>
  </si>
  <si>
    <t>https://angel.co/sharplaunch</t>
  </si>
  <si>
    <t>https://www.crunchbase.com/organization/sharplaunch</t>
  </si>
  <si>
    <t>www.sharplaunch.com</t>
  </si>
  <si>
    <t>80 Daniel St</t>
  </si>
  <si>
    <t>Portsmouth</t>
  </si>
  <si>
    <t xml:space="preserve">NH </t>
  </si>
  <si>
    <t>03801</t>
  </si>
  <si>
    <t>Biome</t>
  </si>
  <si>
    <t>https://www.crunchbase.com/organization/biome</t>
  </si>
  <si>
    <t>www.biome.us</t>
  </si>
  <si>
    <t>LoanBase</t>
  </si>
  <si>
    <t>https://angel.co/company/loanbase</t>
  </si>
  <si>
    <t>https://www.crunchbase.com/organization/loanbase</t>
  </si>
  <si>
    <t>https://www.loanbase.com/</t>
  </si>
  <si>
    <t>Easy Floor Robotics</t>
  </si>
  <si>
    <t>https://angel.co/company/easy-floor-robotics</t>
  </si>
  <si>
    <t>https://www.crunchbase.com/organization/easy-floor-robotics</t>
  </si>
  <si>
    <t>https://www.easyfloorrobotics.com/</t>
  </si>
  <si>
    <t>Netanya</t>
  </si>
  <si>
    <t>Faber Connect</t>
  </si>
  <si>
    <t>https://angel.co/faberconnect</t>
  </si>
  <si>
    <t>https://www.crunchbase.com/organization/faber-connect</t>
  </si>
  <si>
    <t>www.faberconnect.com</t>
  </si>
  <si>
    <t>1110 Hamilton street</t>
  </si>
  <si>
    <t>British Columbia V6B 2S2</t>
  </si>
  <si>
    <t>CoWorkr</t>
  </si>
  <si>
    <t>https://angel.co/company/coworkr-1</t>
  </si>
  <si>
    <t>https://www.crunchbase.com/organization/coworkr</t>
  </si>
  <si>
    <t>https://coworkr.co/</t>
  </si>
  <si>
    <t>Nevada</t>
  </si>
  <si>
    <t>Aquanta</t>
  </si>
  <si>
    <t>https://angel.co/company/sunnovations</t>
  </si>
  <si>
    <t>https://www.crunchbase.com/organization/sunnovations</t>
  </si>
  <si>
    <t>https://aquanta.io/</t>
  </si>
  <si>
    <t>Mclean</t>
  </si>
  <si>
    <t>Bright Spaces</t>
  </si>
  <si>
    <t>https://www.crunchbase.com/organization/bright-spaces</t>
  </si>
  <si>
    <t>https://brightspaces.tech/</t>
  </si>
  <si>
    <t>Bucarest</t>
  </si>
  <si>
    <t>Romania</t>
  </si>
  <si>
    <t>Argus</t>
  </si>
  <si>
    <t>Financial Modeling</t>
  </si>
  <si>
    <t>All except multifamily</t>
  </si>
  <si>
    <t>https://www.crunchbase.com/organization/argus</t>
  </si>
  <si>
    <t>HomeJab</t>
  </si>
  <si>
    <t>Real Estate Photography</t>
  </si>
  <si>
    <t>https://angel.co/company/homejab</t>
  </si>
  <si>
    <t>https://www.crunchbase.com/organization/homejab</t>
  </si>
  <si>
    <t>https://www.homejab.com/</t>
  </si>
  <si>
    <t>618 N Front St</t>
  </si>
  <si>
    <t>19123,</t>
  </si>
  <si>
    <t>Homestead</t>
  </si>
  <si>
    <t>https://www.crunchbase.com/organization/homestead</t>
  </si>
  <si>
    <t>https://www.homestead.is/</t>
  </si>
  <si>
    <t>Mycoop</t>
  </si>
  <si>
    <t>https://angel.co/company/mycoop</t>
  </si>
  <si>
    <t>https://www.crunchbase.com/organization/mycoop</t>
  </si>
  <si>
    <t>http://www.mycoop.com/</t>
  </si>
  <si>
    <t>Virtual Xperience</t>
  </si>
  <si>
    <t>https://angel.co/company/virtual-xperience</t>
  </si>
  <si>
    <t>https://www.crunchbase.com/organization/virtual-xperience-inc</t>
  </si>
  <si>
    <t>Hypersay</t>
  </si>
  <si>
    <t>E-Learning, Presentations</t>
  </si>
  <si>
    <t>https://angel.co/projects/553265-hypersay</t>
  </si>
  <si>
    <t>https://www.crunchbase.com/organization/hypersay#section-overview</t>
  </si>
  <si>
    <t>https://hypersay.com/</t>
  </si>
  <si>
    <t>EU</t>
  </si>
  <si>
    <t>Outside</t>
  </si>
  <si>
    <t>Multifamily, Office</t>
  </si>
  <si>
    <t>https://www.crunchbase.com/organization/outsite</t>
  </si>
  <si>
    <t>https://www.outsite.co/</t>
  </si>
  <si>
    <t>Santa Cruz</t>
  </si>
  <si>
    <t>Permits.com</t>
  </si>
  <si>
    <t>Permitting</t>
  </si>
  <si>
    <t>https://angel.co/permitzone/</t>
  </si>
  <si>
    <t>https://www.crunchbase.com/organization/permitzone</t>
  </si>
  <si>
    <t>permitzone.com</t>
  </si>
  <si>
    <t>P.O. Box 50165</t>
  </si>
  <si>
    <t>Myrtle Beach</t>
  </si>
  <si>
    <t xml:space="preserve">SC </t>
  </si>
  <si>
    <t>29579</t>
  </si>
  <si>
    <t>Birdnest</t>
  </si>
  <si>
    <t>https://angel.co/company/birdnestspaces</t>
  </si>
  <si>
    <t>https://www.crunchbase.com/organization/birdnest</t>
  </si>
  <si>
    <t>https://thebirdnest.co/</t>
  </si>
  <si>
    <t>BuildScience</t>
  </si>
  <si>
    <t>https://angel.co/company/buildscience</t>
  </si>
  <si>
    <t>https://www.crunchbase.com/organization/buildscience</t>
  </si>
  <si>
    <t>http://buildscience.com/</t>
  </si>
  <si>
    <t>RealAR</t>
  </si>
  <si>
    <t>https://angel.co/company/realar</t>
  </si>
  <si>
    <t>https://www.crunchbase.com/organization/realar</t>
  </si>
  <si>
    <t>https://www.realar.com/</t>
  </si>
  <si>
    <t>Gold Coast</t>
  </si>
  <si>
    <t>JoyHub</t>
  </si>
  <si>
    <t>https://www.crunchbase.com/organization/joyhub</t>
  </si>
  <si>
    <t>https://www.joyhub.io/</t>
  </si>
  <si>
    <t>Newarc</t>
  </si>
  <si>
    <t>https://www.crunchbase.com/organization/newarc-srl</t>
  </si>
  <si>
    <t>https://www.newarc.it/</t>
  </si>
  <si>
    <t>Torino</t>
  </si>
  <si>
    <t>Fantasmo</t>
  </si>
  <si>
    <t>https://angel.co/company/fantasmo</t>
  </si>
  <si>
    <t>https://www.crunchbase.com/organization/fantasmo-studios#section-overview</t>
  </si>
  <si>
    <t>https://www.fantasmo.io/</t>
  </si>
  <si>
    <t>Orb Maps</t>
  </si>
  <si>
    <t>https://angel.co/orbmaps</t>
  </si>
  <si>
    <t>https://www.crunchbase.com/organization/orbmaps</t>
  </si>
  <si>
    <t>orbmaps.com</t>
  </si>
  <si>
    <t>315 Brunswick St</t>
  </si>
  <si>
    <t xml:space="preserve">Queensland </t>
  </si>
  <si>
    <t>PikMe</t>
  </si>
  <si>
    <t>https://angel.co/company/pikmeio</t>
  </si>
  <si>
    <t>https://www.crunchbase.com/organization/pikme</t>
  </si>
  <si>
    <t>https://pikme.io/</t>
  </si>
  <si>
    <t>Retrolux</t>
  </si>
  <si>
    <t>https://angel.co/company/retrolux</t>
  </si>
  <si>
    <t>https://www.crunchbase.com/organization/retrolux</t>
  </si>
  <si>
    <t>https://retrolux.com/</t>
  </si>
  <si>
    <t>Boise</t>
  </si>
  <si>
    <t>Idaho</t>
  </si>
  <si>
    <t>Hilo World Corp.</t>
  </si>
  <si>
    <t>https://www.crunchbase.com/organization/hilo-743a#section-overview</t>
  </si>
  <si>
    <t>http://hilocorp.com/</t>
  </si>
  <si>
    <t>TouchLight Innovations</t>
  </si>
  <si>
    <t>Energy</t>
  </si>
  <si>
    <t>https://angel.co/company/touchlight-innovations</t>
  </si>
  <si>
    <t>https://www.crunchbase.com/organization/touchlight-innovations</t>
  </si>
  <si>
    <t>http://touchlightinnovations.com/</t>
  </si>
  <si>
    <t>Capital Engine</t>
  </si>
  <si>
    <t>https://angel.co/company/capitalengine</t>
  </si>
  <si>
    <t>https://www.crunchbase.com/organization/capital-engine-inc</t>
  </si>
  <si>
    <t>https://capitalengine.io/home</t>
  </si>
  <si>
    <t>Naava</t>
  </si>
  <si>
    <t>https://angel.co/company/naava_ltd</t>
  </si>
  <si>
    <t>https://www.crunchbase.com/organization/naava</t>
  </si>
  <si>
    <t>https://www.naava.io/en/</t>
  </si>
  <si>
    <t>Singularity Energy, Inc.</t>
  </si>
  <si>
    <t>https://www.crunchbase.com/organization/singularity-energy</t>
  </si>
  <si>
    <t>https://www.singularity.energy/</t>
  </si>
  <si>
    <t>ROOMHERO</t>
  </si>
  <si>
    <t>Multifamily, Residential, Office</t>
  </si>
  <si>
    <t>https://www.crunchbase.com/organization/roomhero</t>
  </si>
  <si>
    <t>https://www.roomhero.de/</t>
  </si>
  <si>
    <t>Moselstraße 27</t>
  </si>
  <si>
    <t>Frankfurt</t>
  </si>
  <si>
    <t>AgentPair</t>
  </si>
  <si>
    <t>https://www.crunchbase.com/organization/agentpair</t>
  </si>
  <si>
    <t>Costa Mesa</t>
  </si>
  <si>
    <t>Asset Dynamics</t>
  </si>
  <si>
    <t>https://angel.co/company/asset-dynamics</t>
  </si>
  <si>
    <t>https://www.crunchbase.com/organization/asset-dynamics</t>
  </si>
  <si>
    <t>http://www.assetdynamics.co/</t>
  </si>
  <si>
    <t>Jack Automation Technologies, Inc.</t>
  </si>
  <si>
    <t>https://angel.co/company/jack_ai</t>
  </si>
  <si>
    <t>https://www.crunchbase.com/organization/jack-3</t>
  </si>
  <si>
    <t>https://247jack.com/</t>
  </si>
  <si>
    <t>Strytex</t>
  </si>
  <si>
    <t>https://angel.co/company/strytex</t>
  </si>
  <si>
    <t>https://www.crunchbase.com/organization/strytex</t>
  </si>
  <si>
    <t>strytex.com/</t>
  </si>
  <si>
    <t>Australasia</t>
  </si>
  <si>
    <t>VirtualSpaces Inc</t>
  </si>
  <si>
    <t>https://angel.co/company/virtspaces</t>
  </si>
  <si>
    <t>https://www.crunchbase.com/organization/virtualspaces-inc</t>
  </si>
  <si>
    <t>https://www.virtualspaces.tech</t>
  </si>
  <si>
    <t>Cleveland</t>
  </si>
  <si>
    <t>AtlasX</t>
  </si>
  <si>
    <t>https://angel.co/atlasx</t>
  </si>
  <si>
    <t>https://www.crunchbase.com/organization/atlasx</t>
  </si>
  <si>
    <t>atlasx.co/</t>
  </si>
  <si>
    <t>55 Broad St</t>
  </si>
  <si>
    <t>FindSpace</t>
  </si>
  <si>
    <t>https://angel.co/company/findspace-pl</t>
  </si>
  <si>
    <t>https://www.crunchbase.com/organization/findspace</t>
  </si>
  <si>
    <t>findspace.pl</t>
  </si>
  <si>
    <t>Vizcab</t>
  </si>
  <si>
    <t>https://www.crunchbase.com/organization/combo-solutions</t>
  </si>
  <si>
    <t>https://vizcab.io/accueil</t>
  </si>
  <si>
    <t>Lyon</t>
  </si>
  <si>
    <t>Fitspot</t>
  </si>
  <si>
    <t>https://angel.co/company/fitspotwellness</t>
  </si>
  <si>
    <t>https://www.crunchbase.com/organization/fitspot#section-overview</t>
  </si>
  <si>
    <t>https://fitspotwellness.com/</t>
  </si>
  <si>
    <t>Dezignable</t>
  </si>
  <si>
    <t>https://angel.co/company/dezignable</t>
  </si>
  <si>
    <t>https://www.crunchbase.com/organization/dezignable</t>
  </si>
  <si>
    <t>https://shop.dezignable.com/swankbiz/</t>
  </si>
  <si>
    <t>GroundBreaker</t>
  </si>
  <si>
    <t>https://angel.co/company/groundbreaker</t>
  </si>
  <si>
    <t>https://www.crunchbase.com/organization/groundbreaker#section-overview</t>
  </si>
  <si>
    <t>https://groundbreaker.co/</t>
  </si>
  <si>
    <t>60611</t>
  </si>
  <si>
    <t>https://angel.co/company/getrialto</t>
  </si>
  <si>
    <t>https://www.crunchbase.com/organization/rialto</t>
  </si>
  <si>
    <t>https://www.getrialto.com/</t>
  </si>
  <si>
    <t>Ghent</t>
  </si>
  <si>
    <t>DadShed</t>
  </si>
  <si>
    <t>https://angel.co/company/dadshed</t>
  </si>
  <si>
    <t>https://www.crunchbase.com/organization/dadshed</t>
  </si>
  <si>
    <t>https://roomagree.com/</t>
  </si>
  <si>
    <t>TenantCloud</t>
  </si>
  <si>
    <t>https://angel.co/company/tenantcloud/funding</t>
  </si>
  <si>
    <t>https://www.crunchbase.com/organization/tenantcloud-2</t>
  </si>
  <si>
    <t>https://www.tenantcloud.com</t>
  </si>
  <si>
    <t>BuildingVibe</t>
  </si>
  <si>
    <t>https://www.crunchbase.com/organization/buildingvibe</t>
  </si>
  <si>
    <t>https://www.buildingvibe.com/</t>
  </si>
  <si>
    <t>Apis Cor</t>
  </si>
  <si>
    <t>https://angel.co/company/apiscor</t>
  </si>
  <si>
    <t>https://www.crunchbase.com/organization/apis-cor</t>
  </si>
  <si>
    <t>https://www.apis-cor.com/copy-of-home</t>
  </si>
  <si>
    <t>Cove</t>
  </si>
  <si>
    <t>https://www.crunchbase.com/organization/cove-2</t>
  </si>
  <si>
    <t>https://www.cove.is/</t>
  </si>
  <si>
    <t>EcoVadis</t>
  </si>
  <si>
    <t>https://www.crunchbase.com/organization/ecovadis</t>
  </si>
  <si>
    <t>https://ecovadis.com/</t>
  </si>
  <si>
    <t xml:space="preserve">Mast </t>
  </si>
  <si>
    <t>https://angel.co/company/mast-tech</t>
  </si>
  <si>
    <t>https://www.crunchbase.com/organization/mast-afa7</t>
  </si>
  <si>
    <t>https://www.usemast.com/</t>
  </si>
  <si>
    <t>71-75 SHELTON STREET</t>
  </si>
  <si>
    <t>WC2H 9JQ</t>
  </si>
  <si>
    <t>Visual Feeder</t>
  </si>
  <si>
    <t>https://www.crunchbase.com/organization/visual-feeder</t>
  </si>
  <si>
    <t>https://www.visualfeeder.com/</t>
  </si>
  <si>
    <t>Ascend</t>
  </si>
  <si>
    <t>https://www.crunchbase.com/organization/ascend-build</t>
  </si>
  <si>
    <t>https://ascendbuild.co/</t>
  </si>
  <si>
    <t>Onboard Data</t>
  </si>
  <si>
    <t>https://angel.co/company/onboard-data</t>
  </si>
  <si>
    <t>https://www.crunchbase.com/organization/onboard-4668</t>
  </si>
  <si>
    <t>https://www.onboarddata.io/</t>
  </si>
  <si>
    <t>Massachusetts Ave</t>
  </si>
  <si>
    <t>02140</t>
  </si>
  <si>
    <t>Multifamily, Office, Retail, Hospitality, Industrial, Residential, Commercial, Construction, Other, ALL</t>
  </si>
  <si>
    <t>10MinRealty</t>
  </si>
  <si>
    <t>https://angel.co/company/10minrealty-1</t>
  </si>
  <si>
    <t>https://www.crunchbase.com/organization/10-min-realty</t>
  </si>
  <si>
    <t>3D Team</t>
  </si>
  <si>
    <t>https://angel.co/company/3d-team</t>
  </si>
  <si>
    <t>https://www.crunchbase.com/organization/3d-team</t>
  </si>
  <si>
    <t>https://www.3dteam.co.nz/</t>
  </si>
  <si>
    <t>4tell Solutions</t>
  </si>
  <si>
    <t>https://angel.co/company/4tell-solutions</t>
  </si>
  <si>
    <t>https://www.crunchbase.com/organization/4tell-solutions</t>
  </si>
  <si>
    <t>4URSPACE</t>
  </si>
  <si>
    <t>https://angel.co/company/4urspace</t>
  </si>
  <si>
    <t>https://www.crunchbase.com/organization/4urspace</t>
  </si>
  <si>
    <t>https://4urspace.com/</t>
  </si>
  <si>
    <t>A Retail Space</t>
  </si>
  <si>
    <t>https://angel.co/a-retail-space</t>
  </si>
  <si>
    <t>https://www.crunchbase.com/organization/aretailspace</t>
  </si>
  <si>
    <t>www.aretailspace.com</t>
  </si>
  <si>
    <t>428 Broadway</t>
  </si>
  <si>
    <t>Abundant Power Group</t>
  </si>
  <si>
    <t>https://angel.co/company/abundant-power</t>
  </si>
  <si>
    <t>Abundent Power/Pointguard</t>
  </si>
  <si>
    <t>https://www.crunchbase.com/organization/abundent#section-overview</t>
  </si>
  <si>
    <t>www.abundent.com/</t>
  </si>
  <si>
    <t>Office #7, Level 8,
Vertical Corporate Tower B Bangsar South</t>
  </si>
  <si>
    <t>Access One</t>
  </si>
  <si>
    <t>https://www.crunchbase.com/organization/access-one</t>
  </si>
  <si>
    <t>https://www.accessoneinc.com/data-network-services/software-defined-networks/</t>
  </si>
  <si>
    <t>Acelab</t>
  </si>
  <si>
    <t>https://acelabusa.com</t>
  </si>
  <si>
    <t>Actovia</t>
  </si>
  <si>
    <t>https://www.crunchbase.com/organization/actovia</t>
  </si>
  <si>
    <t>https://actoviacmi.com/</t>
  </si>
  <si>
    <t>Jackson</t>
  </si>
  <si>
    <t>Adappt Intelligence</t>
  </si>
  <si>
    <t>https://angel.co/company/adappt-intelligence</t>
  </si>
  <si>
    <t>https://adappt.com/</t>
  </si>
  <si>
    <t>Address Report</t>
  </si>
  <si>
    <t>https://www.crunchbase.com/organization/addressreport</t>
  </si>
  <si>
    <t>https://www.addressreport.com/</t>
  </si>
  <si>
    <t>85 Broad Street, 27th Floor</t>
  </si>
  <si>
    <t>ADEx AI</t>
  </si>
  <si>
    <t>https://angel.co/company/adexai</t>
  </si>
  <si>
    <t>https://www.crunchbase.com/organization/adexai</t>
  </si>
  <si>
    <t>https://www.intelease.com</t>
  </si>
  <si>
    <t>ADEXPRO</t>
  </si>
  <si>
    <t>https://angel.co/company/adexpro-1</t>
  </si>
  <si>
    <t>https://www.crunchbase.com/organization/adexpro-com</t>
  </si>
  <si>
    <t>www.adexpro.com</t>
  </si>
  <si>
    <t>23632 Calabasas Road, Suite 105</t>
  </si>
  <si>
    <t>Calabasas</t>
  </si>
  <si>
    <t>91302</t>
  </si>
  <si>
    <t>Aditum</t>
  </si>
  <si>
    <t>https://www.crunchbase.com/organization/aditum</t>
  </si>
  <si>
    <t>https://aditumims.com/</t>
  </si>
  <si>
    <t>Norwalk</t>
  </si>
  <si>
    <t>Connecticut</t>
  </si>
  <si>
    <t>AdvancedREI</t>
  </si>
  <si>
    <t>https://angel.co/company/advancedrei</t>
  </si>
  <si>
    <t>https://www.crunchbase.com/organization/advancedrei</t>
  </si>
  <si>
    <t>http://advancedrei.com/</t>
  </si>
  <si>
    <t>AgentDrive</t>
  </si>
  <si>
    <t>https://angel.co/company/agentdrive</t>
  </si>
  <si>
    <t>https://www.crunchbase.com/organization/agentdrive</t>
  </si>
  <si>
    <t>https://www.agentdrive.com/</t>
  </si>
  <si>
    <t>AgilQuest</t>
  </si>
  <si>
    <t>https://www.crunchbase.com/organization/agilquest</t>
  </si>
  <si>
    <t>https://agilquest.com/</t>
  </si>
  <si>
    <t>Airconnect Asset Intelligence - Smart HVAC Maintenance</t>
  </si>
  <si>
    <t>https://www.crunchbase.com/organization/david-jones-58f8</t>
  </si>
  <si>
    <t>http://airconnect.ai/</t>
  </si>
  <si>
    <t>Airspace</t>
  </si>
  <si>
    <t>Hospitality, Office</t>
  </si>
  <si>
    <t>https://www.crunchbase.com/organization/airspace-5ee1</t>
  </si>
  <si>
    <t>https://www.airspaceoffice.co/</t>
  </si>
  <si>
    <t>Airwavz Solutions</t>
  </si>
  <si>
    <t>https://www.crunchbase.com/organization/airwavz-solutions</t>
  </si>
  <si>
    <t>https://www.airwavz.com/</t>
  </si>
  <si>
    <t>Air Oasis</t>
  </si>
  <si>
    <t>https://www.crunchbase.com/organization/air-oasis</t>
  </si>
  <si>
    <t>https://www.airoasis.com/</t>
  </si>
  <si>
    <t>Akular AR</t>
  </si>
  <si>
    <t>https://www.crunchbase.com/organization/akular</t>
  </si>
  <si>
    <t>https://akular.com/</t>
  </si>
  <si>
    <t>Reston</t>
  </si>
  <si>
    <t>AllPro Technologies</t>
  </si>
  <si>
    <t>https://www.crunchbase.com/organization/allpro-technologies-e4c6</t>
  </si>
  <si>
    <t>https://www.allprotechnologies.com/</t>
  </si>
  <si>
    <t>Crookshank Road</t>
  </si>
  <si>
    <t>Alosant, Inc.</t>
  </si>
  <si>
    <t>https://www.alosant.com/</t>
  </si>
  <si>
    <t>5 W Mendenhall St</t>
  </si>
  <si>
    <t>Bozeman</t>
  </si>
  <si>
    <t>MT</t>
  </si>
  <si>
    <t>59715</t>
  </si>
  <si>
    <t>Alpha'a</t>
  </si>
  <si>
    <t>https://www.crunchbase.com/organization/gera%C3%A7%C3%A3o-alpha</t>
  </si>
  <si>
    <t>https://www.alphaainc.com/</t>
  </si>
  <si>
    <t>AlphaAvenue</t>
  </si>
  <si>
    <t>http://www.alphaavenueadvisors.com/</t>
  </si>
  <si>
    <t>Boundary Road</t>
  </si>
  <si>
    <t>Altanova</t>
  </si>
  <si>
    <t>https://altanova.io/</t>
  </si>
  <si>
    <t>Altanova, LLC. 11-05 44th Dr, LIC</t>
  </si>
  <si>
    <t>11101</t>
  </si>
  <si>
    <t>Alter Group</t>
  </si>
  <si>
    <t>https://www.crunchbase.com/organization/the-alter-group</t>
  </si>
  <si>
    <t>https://www.altergroup.com/</t>
  </si>
  <si>
    <t>Wilmette</t>
  </si>
  <si>
    <t>Alternova</t>
  </si>
  <si>
    <t>Not found</t>
  </si>
  <si>
    <t>https://www.crunchbase.com/organization/alternova</t>
  </si>
  <si>
    <t>https://www.alternova.co/realestate/english</t>
  </si>
  <si>
    <t>1045 Mission St</t>
  </si>
  <si>
    <t>ALTR Labs</t>
  </si>
  <si>
    <t>https://www.crunchbase.com/organization/altr-labs</t>
  </si>
  <si>
    <t>http://altrlabs.com/</t>
  </si>
  <si>
    <t>Altus Group</t>
  </si>
  <si>
    <t>https://angel.co/company/argus-software-altus-group</t>
  </si>
  <si>
    <t>https://www.crunchbase.com/organization/altus-group</t>
  </si>
  <si>
    <t>https://www.altusgroup.com/</t>
  </si>
  <si>
    <t>Ambius</t>
  </si>
  <si>
    <t>https://www.crunchbase.com/organization/ambius-2</t>
  </si>
  <si>
    <t>https://www.ambius.com/</t>
  </si>
  <si>
    <t>Des Plaines</t>
  </si>
  <si>
    <t>AMS CAD + CAFM Solutions</t>
  </si>
  <si>
    <t>https://www.crunchbase.com/organization/ams-cad-cafm-solutions</t>
  </si>
  <si>
    <t>http://www.amscad.com</t>
  </si>
  <si>
    <t>695 US Highway 46</t>
  </si>
  <si>
    <t>Fairfield</t>
  </si>
  <si>
    <t>07004</t>
  </si>
  <si>
    <t>Amstrow</t>
  </si>
  <si>
    <t>https://angel.co/u/amstrow</t>
  </si>
  <si>
    <t>https://amstrow.com/</t>
  </si>
  <si>
    <t>Anabode Ltd</t>
  </si>
  <si>
    <t>https://angel.co/company/anabode</t>
  </si>
  <si>
    <t>https://www.crunchbase.com/organization/anabode-ltd</t>
  </si>
  <si>
    <t>https://www.anabode.co/</t>
  </si>
  <si>
    <t>Anadea</t>
  </si>
  <si>
    <t>https://angel.co/company/anadea-1</t>
  </si>
  <si>
    <t>https://anadea.info/</t>
  </si>
  <si>
    <t>Las Vegas</t>
  </si>
  <si>
    <t>Andcards</t>
  </si>
  <si>
    <t>https://angel.co/company/andcards</t>
  </si>
  <si>
    <t>https://www.crunchbase.com/organization/cards</t>
  </si>
  <si>
    <t>https://andcards.com/</t>
  </si>
  <si>
    <t>Gdansk</t>
  </si>
  <si>
    <t>Angel Landings</t>
  </si>
  <si>
    <t>All, Construction</t>
  </si>
  <si>
    <t>https://angel.co/company/angel-landings</t>
  </si>
  <si>
    <t>https://www.angellandings.com/</t>
  </si>
  <si>
    <t>Angus Systems</t>
  </si>
  <si>
    <t>https://angel.co/company/angus-systems</t>
  </si>
  <si>
    <t>https://www.crunchbase.com/organization/angus-systems</t>
  </si>
  <si>
    <t>www.angus-systems.com</t>
  </si>
  <si>
    <t>1125 Leslie Street</t>
  </si>
  <si>
    <t xml:space="preserve">Ontario </t>
  </si>
  <si>
    <t>M3C 2J6</t>
  </si>
  <si>
    <t>AnySizeDeals</t>
  </si>
  <si>
    <t>https://angel.co/company/anysizedeals</t>
  </si>
  <si>
    <t>https://anysizedealsweek.com/</t>
  </si>
  <si>
    <t>Apadmi</t>
  </si>
  <si>
    <t>https://www.crunchbase.com/organization/apadmi</t>
  </si>
  <si>
    <t>https://www.apadmi.com/contact/london/</t>
  </si>
  <si>
    <t>ApartmentData.com</t>
  </si>
  <si>
    <t>https://www.crunchbase.com/organization/apartment-data-services</t>
  </si>
  <si>
    <t>http://apartmentdata.com</t>
  </si>
  <si>
    <t>Apixel</t>
  </si>
  <si>
    <t>https://www.crunchbase.com/organization/apixel-it-support</t>
  </si>
  <si>
    <t>https://www.apixel.com.sg/</t>
  </si>
  <si>
    <t>App Mobitech</t>
  </si>
  <si>
    <t>https://angel.co/company/appventurez</t>
  </si>
  <si>
    <t>https://www.crunchbase.com/organization/appventurez-technologies</t>
  </si>
  <si>
    <t>https://www.appventurez.com/services/ios-app-development</t>
  </si>
  <si>
    <t>Noda</t>
  </si>
  <si>
    <t>Arcade</t>
  </si>
  <si>
    <t>https://angel.co/company/arcade-7</t>
  </si>
  <si>
    <t>https://www.crunchbase.com/organization/arcade-technologies</t>
  </si>
  <si>
    <t>https://www.arcadelistings.com/</t>
  </si>
  <si>
    <t>Aren</t>
  </si>
  <si>
    <t>https://angel.co/company/aren-4</t>
  </si>
  <si>
    <t>https://www.crunchbase.com/organization/aren</t>
  </si>
  <si>
    <t>https://aren.ai/</t>
  </si>
  <si>
    <t>Areno</t>
  </si>
  <si>
    <t>https://www.arenopropertymanagementsolutions.com/</t>
  </si>
  <si>
    <t>Asheville</t>
  </si>
  <si>
    <t>28805</t>
  </si>
  <si>
    <t>AREX Real Estate Technologies</t>
  </si>
  <si>
    <t>https://angel.co/company/arex-blockchain-real-estate</t>
  </si>
  <si>
    <t>https://www.crunchbase.com/organization/arex-real-estate-technologies</t>
  </si>
  <si>
    <t>http://www.arexre.com</t>
  </si>
  <si>
    <t>Arges Inc.</t>
  </si>
  <si>
    <t>https://angel.co/company/arges-4</t>
  </si>
  <si>
    <t>https://www.crunchbase.com/organization/sheldon-corey</t>
  </si>
  <si>
    <t>https://WorldsFinancialCenter.com</t>
  </si>
  <si>
    <t>ARGUS Software</t>
  </si>
  <si>
    <t>https://www.crunchbase.com/organization/realm-business-solutions</t>
  </si>
  <si>
    <t>https://www.altusgroup.com/argus/</t>
  </si>
  <si>
    <t>Ark Mortgage</t>
  </si>
  <si>
    <t>https://arkmortgage.com/</t>
  </si>
  <si>
    <t>1 Perlman Dr</t>
  </si>
  <si>
    <t>Spring Valley</t>
  </si>
  <si>
    <t>10977</t>
  </si>
  <si>
    <t>ARK Ventures LLC</t>
  </si>
  <si>
    <t>https://www.crunchbase.com/organization/ark-fund</t>
  </si>
  <si>
    <t>Aryze</t>
  </si>
  <si>
    <t>https://angel.co/company/aryze</t>
  </si>
  <si>
    <t>https://www.crunchbase.com/organization/aryze</t>
  </si>
  <si>
    <t>https://aryze.io/</t>
  </si>
  <si>
    <t>Ascendix Technologies</t>
  </si>
  <si>
    <t>https://angel.co/company/ascendix-technologies</t>
  </si>
  <si>
    <t>https://www.crunchbase.com/organization/ascendix-technologies</t>
  </si>
  <si>
    <t>https://ascendix.com/</t>
  </si>
  <si>
    <t>Asset Drone</t>
  </si>
  <si>
    <t>Drone Services</t>
  </si>
  <si>
    <t>https://angel.co/company/drone-assets</t>
  </si>
  <si>
    <t>http://assetdrone.com/</t>
  </si>
  <si>
    <t>6401 Cutter Ridge Ct.</t>
  </si>
  <si>
    <t>Colleyville</t>
  </si>
  <si>
    <t>76034</t>
  </si>
  <si>
    <t>Asset Infinity</t>
  </si>
  <si>
    <t>https://angel.co/company/pcsinfinity</t>
  </si>
  <si>
    <t>https://www.crunchbase.com/organization/asset-infinity</t>
  </si>
  <si>
    <t>https://www.assetinfinity.com/</t>
  </si>
  <si>
    <t>Assetsoft</t>
  </si>
  <si>
    <t>https://angel.co/company/assetsoft</t>
  </si>
  <si>
    <t>https://www.crunchbase.com/organization/assetsoft</t>
  </si>
  <si>
    <t>https://www.assetsoft.biz/</t>
  </si>
  <si>
    <t>Markham</t>
  </si>
  <si>
    <t>Assetti</t>
  </si>
  <si>
    <t>https://angel.co/company/assetti-by-nasta-technologies-oy</t>
  </si>
  <si>
    <t>https://www.crunchbase.com/organization/assetti#section-overview</t>
  </si>
  <si>
    <t>http://assetti.pro/en/</t>
  </si>
  <si>
    <t>Lappeenranta</t>
  </si>
  <si>
    <t>Assignment Ace</t>
  </si>
  <si>
    <t>https://angel.co/company/assignment-ace-uk</t>
  </si>
  <si>
    <t>https://www.crunchbase.com/organization/assignment-ace</t>
  </si>
  <si>
    <t>https://www.assignmentace.co.uk/</t>
  </si>
  <si>
    <t>Asteroom</t>
  </si>
  <si>
    <t>https://angel.co/company/asteroom</t>
  </si>
  <si>
    <t>https://www.crunchbase.com/organization/asteroom</t>
  </si>
  <si>
    <t>https://www.asteroom.com/</t>
  </si>
  <si>
    <t>Fremont</t>
  </si>
  <si>
    <t>Atcarta</t>
  </si>
  <si>
    <t>https://angel.co/company/atcarta</t>
  </si>
  <si>
    <t>https://www.crunchbase.com/organization/atcarta-inc</t>
  </si>
  <si>
    <t>San José</t>
  </si>
  <si>
    <t>Atharva System</t>
  </si>
  <si>
    <t>https://angel.co/company/atharva-system</t>
  </si>
  <si>
    <t>https://www.crunchbase.com/organization/atharva-system</t>
  </si>
  <si>
    <t>https://www.atharvasystem.com/</t>
  </si>
  <si>
    <t>Ahmedabad</t>
  </si>
  <si>
    <t>ATS - Atlantic Tower Services Inc</t>
  </si>
  <si>
    <t>https://www.crunchbase.com/organization/atlantic-tower-services-ats</t>
  </si>
  <si>
    <t>https://accessats.com/</t>
  </si>
  <si>
    <t>Attom Data</t>
  </si>
  <si>
    <t>https://angel.co/attom-data-solutions</t>
  </si>
  <si>
    <t>https://www.crunchbase.com/organization/attom-data-solutions</t>
  </si>
  <si>
    <t>www.attomdata.com/</t>
  </si>
  <si>
    <t>1 Venture</t>
  </si>
  <si>
    <t>Auction</t>
  </si>
  <si>
    <t>https://angel.co/company/tenx/people</t>
  </si>
  <si>
    <t>https://www.crunchbase.com/organization/auction-com</t>
  </si>
  <si>
    <t>https://www.auction.com/</t>
  </si>
  <si>
    <t>Augmented RealiTease</t>
  </si>
  <si>
    <t>https://augmentedrealitease.com/</t>
  </si>
  <si>
    <t>Willow Grove</t>
  </si>
  <si>
    <t>Aware Manager</t>
  </si>
  <si>
    <t>https://angel.co/awaremanager</t>
  </si>
  <si>
    <t>https://www.crunchbase.com/organization/awaremanager</t>
  </si>
  <si>
    <t>https://www.awaremanager.com/</t>
  </si>
  <si>
    <t>33 Arch St</t>
  </si>
  <si>
    <t>Building Engines</t>
  </si>
  <si>
    <t>AXcademy</t>
  </si>
  <si>
    <t>https://angel.co/u/axcademy</t>
  </si>
  <si>
    <t>https://axcademy.com/</t>
  </si>
  <si>
    <t>Axiom Real Estate Solutions</t>
  </si>
  <si>
    <t>https://www.axiomrealestatesolutions.com/</t>
  </si>
  <si>
    <t>3900 Crown Road, Ste 161616</t>
  </si>
  <si>
    <t>30321</t>
  </si>
  <si>
    <t>AxiomPrint Inc.</t>
  </si>
  <si>
    <t>https://axiomprint.com/</t>
  </si>
  <si>
    <t>513 State St</t>
  </si>
  <si>
    <t>Glendale</t>
  </si>
  <si>
    <t>91203</t>
  </si>
  <si>
    <t>Axxerion Inc.</t>
  </si>
  <si>
    <t>https://www.crunchbase.com/organization/axxerion</t>
  </si>
  <si>
    <t>https://axxerionusa.com/</t>
  </si>
  <si>
    <t>Heteren</t>
  </si>
  <si>
    <t>B-Line</t>
  </si>
  <si>
    <t>https://angel.co/company/b-line-analytics</t>
  </si>
  <si>
    <t>https://www.crunchbase.com/organization/b-line</t>
  </si>
  <si>
    <t>https://bline.io/</t>
  </si>
  <si>
    <t>Oregon</t>
  </si>
  <si>
    <t>Badger Box Storage</t>
  </si>
  <si>
    <t>https://angel.co/company/badger-box-storage-1</t>
  </si>
  <si>
    <t>https://badgerboxstorage.com/</t>
  </si>
  <si>
    <t>Bandwidth Logic</t>
  </si>
  <si>
    <t>https://www.bwlogic.com</t>
  </si>
  <si>
    <t>28 Valley Rd</t>
  </si>
  <si>
    <t>Montclair</t>
  </si>
  <si>
    <t>07042</t>
  </si>
  <si>
    <t>Barsala</t>
  </si>
  <si>
    <t>https://angel.co/company/barsala-1</t>
  </si>
  <si>
    <t>https://www.crunchbase.com/organization/barsala</t>
  </si>
  <si>
    <t>https://www.barsala.com</t>
  </si>
  <si>
    <t>Basis</t>
  </si>
  <si>
    <t>https://www.crunchbase.com/organization/basis-852e</t>
  </si>
  <si>
    <t>https://www.mybasis.io/</t>
  </si>
  <si>
    <t>Basking</t>
  </si>
  <si>
    <t>https://angel.co/company/usebask</t>
  </si>
  <si>
    <t>http://www.usebask.com/</t>
  </si>
  <si>
    <t>Baya Build Inc.</t>
  </si>
  <si>
    <t>https://www.crunchbase.com/organization/baya</t>
  </si>
  <si>
    <t>https://www.bayabuild.com/</t>
  </si>
  <si>
    <t>BEAD</t>
  </si>
  <si>
    <t>https://angel.co/company/bead-digital</t>
  </si>
  <si>
    <t>https://www.crunchbase.com/organization/positive-energy</t>
  </si>
  <si>
    <t>https://www.bead.digital/</t>
  </si>
  <si>
    <t>Beans.ai</t>
  </si>
  <si>
    <t>https://www.crunchbase.com/organization/one-hundred-feet-inc</t>
  </si>
  <si>
    <t>https://www.beans.ai/</t>
  </si>
  <si>
    <t>BEI.RE</t>
  </si>
  <si>
    <t>https://angel.co/company/bei-re</t>
  </si>
  <si>
    <t>https://www.bei.re/</t>
  </si>
  <si>
    <t>Berlitz UAE</t>
  </si>
  <si>
    <t>https://www.crunchbase.com/organization/berlitz-language-center-uae</t>
  </si>
  <si>
    <t>https://www.berlitz.ae/</t>
  </si>
  <si>
    <t>BertBrain</t>
  </si>
  <si>
    <t>https://www.crunchbase.com/organization/bert</t>
  </si>
  <si>
    <t>https://bertbrain.com/</t>
  </si>
  <si>
    <t>840 First Avenue</t>
  </si>
  <si>
    <t>King of Prussia</t>
  </si>
  <si>
    <t>19406</t>
  </si>
  <si>
    <t>Bidafi.com</t>
  </si>
  <si>
    <t>http://www.bidafi.com/</t>
  </si>
  <si>
    <t>Bigdata</t>
  </si>
  <si>
    <t>https://www.crunchbase.com/organization/data-science-council-of-america</t>
  </si>
  <si>
    <t>https://www.dasca.org/</t>
  </si>
  <si>
    <t>BIMspot</t>
  </si>
  <si>
    <t>https://angel.co/company/bimspot-io</t>
  </si>
  <si>
    <t>https://www.crunchbase.com/organization/bimspot</t>
  </si>
  <si>
    <t>https://bimspot.io/</t>
  </si>
  <si>
    <t>BioBot</t>
  </si>
  <si>
    <t>Sewage</t>
  </si>
  <si>
    <t>https://www.biobot.io</t>
  </si>
  <si>
    <t>Bitsence</t>
  </si>
  <si>
    <t>Office, Multifamily, Retail, Hospitality</t>
  </si>
  <si>
    <t>https://www.bitsence.io</t>
  </si>
  <si>
    <t>Bldbox</t>
  </si>
  <si>
    <t>https://www.crunchbase.com/organization/bldbox</t>
  </si>
  <si>
    <t>https://bldbox.com/</t>
  </si>
  <si>
    <t>Blocksquare</t>
  </si>
  <si>
    <t>https://angel.co/company/blocksquare</t>
  </si>
  <si>
    <t>https://www.crunchbase.com/organization/blocksquare#section-overview</t>
  </si>
  <si>
    <t>blocksquare.io</t>
  </si>
  <si>
    <t>Ljubljana</t>
  </si>
  <si>
    <t>Slovenia</t>
  </si>
  <si>
    <t>Blockvue</t>
  </si>
  <si>
    <t>https://angel.co/blockvue-1</t>
  </si>
  <si>
    <t>https://www.crunchbase.com/organization/blockvue</t>
  </si>
  <si>
    <t>https://blockvue.com</t>
  </si>
  <si>
    <t>1855 Wazee St</t>
  </si>
  <si>
    <t>BluePay</t>
  </si>
  <si>
    <t>Retail, Residential, Hotels</t>
  </si>
  <si>
    <t>https://angel.co/company/bluepay-1</t>
  </si>
  <si>
    <t>https://www.crunchbase.com/organization/bluepay</t>
  </si>
  <si>
    <t>https://www.bluepay.com/</t>
  </si>
  <si>
    <t>Naperville</t>
  </si>
  <si>
    <t>BlurSPY</t>
  </si>
  <si>
    <t>https://angel.co/company/blurspy-software</t>
  </si>
  <si>
    <t>https://www.crunchbase.com/organization/blurspy</t>
  </si>
  <si>
    <t>https://www.blurspy.com/</t>
  </si>
  <si>
    <t>BNTouch CRM</t>
  </si>
  <si>
    <t>https://www.crunchbase.com/organization/bntouch</t>
  </si>
  <si>
    <t>https://bntouch.com/v6/</t>
  </si>
  <si>
    <t>Beaverton</t>
  </si>
  <si>
    <t>Book ELS</t>
  </si>
  <si>
    <t>https://angel.co/u/bostonexecutive</t>
  </si>
  <si>
    <t>https://www.crunchbase.com/organization/executive-travel-limousine-services</t>
  </si>
  <si>
    <t>https://www.bookels.com/</t>
  </si>
  <si>
    <t>Botstatz</t>
  </si>
  <si>
    <t>https://angel.co/u/botstatz-technologies</t>
  </si>
  <si>
    <t>https://www.botstatz.com/</t>
  </si>
  <si>
    <t>Boulevard Software</t>
  </si>
  <si>
    <t>https://angel.co/company/boulevardsoftware</t>
  </si>
  <si>
    <t>https://www.crunchbase.com/organization/boulevard-software</t>
  </si>
  <si>
    <t>https://www.blvd.ai/</t>
  </si>
  <si>
    <t>Brainlink International, Inc.</t>
  </si>
  <si>
    <t>https://www.crunchbase.com/organization/brainlink-international</t>
  </si>
  <si>
    <t>https://www.brainlink.com/</t>
  </si>
  <si>
    <t>Branchfy Inc.</t>
  </si>
  <si>
    <t>https://angel.co/company/branchfy</t>
  </si>
  <si>
    <t>https://www.crunchbase.com/organization/branchfy</t>
  </si>
  <si>
    <t>https://www.branchfy.com</t>
  </si>
  <si>
    <t>Brandcast</t>
  </si>
  <si>
    <t>https://angel.co/company/brandcast</t>
  </si>
  <si>
    <t>https://www.crunchbase.com/organization/brandcast</t>
  </si>
  <si>
    <t>https://www.brandcast.com/cre</t>
  </si>
  <si>
    <t>Brelion</t>
  </si>
  <si>
    <t>https://angel.co/company/brelion</t>
  </si>
  <si>
    <t>https://www.crunchbase.com/organization/brelion</t>
  </si>
  <si>
    <t>https://brelion.com/</t>
  </si>
  <si>
    <t>Highland</t>
  </si>
  <si>
    <t>Brevvie</t>
  </si>
  <si>
    <t>https://www.brevvie.com/</t>
  </si>
  <si>
    <t>92617</t>
  </si>
  <si>
    <t>Brick Work</t>
  </si>
  <si>
    <t>https://angel.co/company/brick-work-1</t>
  </si>
  <si>
    <t>https://www.crunchbase.com/organization/brick-work</t>
  </si>
  <si>
    <t>http://www.brickwork.la</t>
  </si>
  <si>
    <t>BrickOp</t>
  </si>
  <si>
    <t>https://angel.co/company/brickop-2</t>
  </si>
  <si>
    <t>https://www.brickop.com/</t>
  </si>
  <si>
    <t>Brivo</t>
  </si>
  <si>
    <t>https://angel.co/brivo-systems</t>
  </si>
  <si>
    <t>https://www.crunchbase.com/organization/brivo-systems-inc#section-overview</t>
  </si>
  <si>
    <t>www.brivo.com/</t>
  </si>
  <si>
    <t>7700 Old Georgetown Road</t>
  </si>
  <si>
    <t xml:space="preserve">MD </t>
  </si>
  <si>
    <t>20814</t>
  </si>
  <si>
    <t>Builders Patch, Inc.</t>
  </si>
  <si>
    <t>https://angel.co/company/builders-patch-1</t>
  </si>
  <si>
    <t>https://www.crunchbase.com/organization/builders-patch</t>
  </si>
  <si>
    <t>https://www.builderspatch.com/</t>
  </si>
  <si>
    <t>BuildFax</t>
  </si>
  <si>
    <t>https://angel.co/company/buildfax</t>
  </si>
  <si>
    <t>https://www.crunchbase.com/organization/buildfax</t>
  </si>
  <si>
    <t>http://buildfax.com/</t>
  </si>
  <si>
    <t>Building Clouds</t>
  </si>
  <si>
    <t>https://www.crunchbase.com/organization/building-clouds</t>
  </si>
  <si>
    <t>http://buildingclouds.com</t>
  </si>
  <si>
    <t>https://angel.co/building-engines</t>
  </si>
  <si>
    <t>https://www.crunchbase.com/organization/building-engines</t>
  </si>
  <si>
    <t>www.buildingengines.com</t>
  </si>
  <si>
    <t>Massachusetts 02110</t>
  </si>
  <si>
    <t>Buildings IOT</t>
  </si>
  <si>
    <t>https://www.crunchbase.com/organization/buildings-iot-e3d0</t>
  </si>
  <si>
    <t>https://www.buildingsiot.com/</t>
  </si>
  <si>
    <t>1200 Concord Ave</t>
  </si>
  <si>
    <t>94520</t>
  </si>
  <si>
    <t>Buildrz</t>
  </si>
  <si>
    <t>https://angel.co/company/buildrz</t>
  </si>
  <si>
    <t>https://www.crunchbase.com/organization/buildrz</t>
  </si>
  <si>
    <t>http://www.buildrz.io</t>
  </si>
  <si>
    <t>Builds Worth Digital Marketing Agency</t>
  </si>
  <si>
    <t>https://angel.co/company/builds-worth-digital-marketing-agency</t>
  </si>
  <si>
    <t>https://buildsworthseo.com/</t>
  </si>
  <si>
    <t>BuildSupply</t>
  </si>
  <si>
    <t>https://angel.co/company/buildsupply-archer-technologies</t>
  </si>
  <si>
    <t>https://www.crunchbase.com/organization/buildsupply</t>
  </si>
  <si>
    <t>http://www.buildsupply.com</t>
  </si>
  <si>
    <t>Buy-In</t>
  </si>
  <si>
    <t>https://buy-in.org</t>
  </si>
  <si>
    <t>BuyerVista</t>
  </si>
  <si>
    <t>https://angel.co/company/buyervista</t>
  </si>
  <si>
    <t>https://www.crunchbase.com/organization/buyervista</t>
  </si>
  <si>
    <t>https://buyervista.com/</t>
  </si>
  <si>
    <t>Encino</t>
  </si>
  <si>
    <t>BuzzBuzzHome</t>
  </si>
  <si>
    <t>https://angel.co/company/buzzbuzzhome</t>
  </si>
  <si>
    <t>https://www.crunchbase.com/organization/buzzbuzzhome</t>
  </si>
  <si>
    <t>https://www.buzzbuzzhome.com/</t>
  </si>
  <si>
    <t>Byldan</t>
  </si>
  <si>
    <t>http://www.byldan.io</t>
  </si>
  <si>
    <t>265 S Anita Dr</t>
  </si>
  <si>
    <t>Orange</t>
  </si>
  <si>
    <t>92868</t>
  </si>
  <si>
    <t>Caala</t>
  </si>
  <si>
    <t>https://www.crunchbase.com/organization/caala</t>
  </si>
  <si>
    <t>caala.de</t>
  </si>
  <si>
    <t>Capital Brain</t>
  </si>
  <si>
    <t>https://angel.co/company/monetarex</t>
  </si>
  <si>
    <t>https://www.capitalbrain.co/</t>
  </si>
  <si>
    <t>94010</t>
  </si>
  <si>
    <t>Capitalizarme</t>
  </si>
  <si>
    <t>https://angel.co/company/capitalizarme</t>
  </si>
  <si>
    <t>https://www.crunchbase.com/organization/capitalizarme</t>
  </si>
  <si>
    <t>https://www.capitalizarme.com/</t>
  </si>
  <si>
    <t>Santiago</t>
  </si>
  <si>
    <t>Chile</t>
  </si>
  <si>
    <t>Captate</t>
  </si>
  <si>
    <t>https://angel.co/company/captate-1</t>
  </si>
  <si>
    <t>https://www.crunchbase.com/organization/captate</t>
  </si>
  <si>
    <t>https://captate.com</t>
  </si>
  <si>
    <t>Carbon Lighthouse</t>
  </si>
  <si>
    <t>https://angel.co/carbon-lighthouse</t>
  </si>
  <si>
    <t>https://www.crunchbase.com/organization/carbon-lighthouse</t>
  </si>
  <si>
    <t>https://www.carbonlighthouse.com/</t>
  </si>
  <si>
    <t>343 Sansome Street, 7th Floor</t>
  </si>
  <si>
    <t>Cartofront</t>
  </si>
  <si>
    <t>https://angel.co/cartofront-1</t>
  </si>
  <si>
    <t>https://www.crunchbase.com/organization/cartofront</t>
  </si>
  <si>
    <t>www.cartofront.com/</t>
  </si>
  <si>
    <t>350 N Orleans, #900</t>
  </si>
  <si>
    <t>casavi GmbH</t>
  </si>
  <si>
    <t>https://angel.co/company/casavi</t>
  </si>
  <si>
    <t>https://www.crunchbase.com/organization/casavi</t>
  </si>
  <si>
    <t>https://casavi.de/en</t>
  </si>
  <si>
    <t>Catylist</t>
  </si>
  <si>
    <t>https://angel.co/catylist</t>
  </si>
  <si>
    <t>https://www.crunchbase.com/organization/catylist</t>
  </si>
  <si>
    <t>https://www.catylist.com/</t>
  </si>
  <si>
    <t>2340 East Stadium Blvd</t>
  </si>
  <si>
    <t>Ann Arbor</t>
  </si>
  <si>
    <t>48104</t>
  </si>
  <si>
    <t>CCIM Technologies, Inc - STDB</t>
  </si>
  <si>
    <t>https://angel.co/company/ccim-institute</t>
  </si>
  <si>
    <t>https://www.crunchbase.com/organization/ccim-institute</t>
  </si>
  <si>
    <t>https://www.stdb.com/</t>
  </si>
  <si>
    <t>CDI Technology</t>
  </si>
  <si>
    <t>https://angel.co/company/cdi-technology-2</t>
  </si>
  <si>
    <t>https://www.crunchbase.com/organization/cdi-technology</t>
  </si>
  <si>
    <t>http://cditechnology.com/</t>
  </si>
  <si>
    <t>Lombard</t>
  </si>
  <si>
    <t>CDI World SG</t>
  </si>
  <si>
    <t>https://cdi-world.com/singapore/</t>
  </si>
  <si>
    <t>4897 Lewis Rd</t>
  </si>
  <si>
    <t>Stone Mountain</t>
  </si>
  <si>
    <t>30083</t>
  </si>
  <si>
    <t>CentralF</t>
  </si>
  <si>
    <t>https://www.crunchbase.com/organization/stayhome-inc</t>
  </si>
  <si>
    <t>http://centralf.com/</t>
  </si>
  <si>
    <t>CertAssurance</t>
  </si>
  <si>
    <t>https://certassurance.com/</t>
  </si>
  <si>
    <t>1620 E 7th St</t>
  </si>
  <si>
    <t>Chetu, Inc.</t>
  </si>
  <si>
    <t>https://angel.co/company/chetu-3</t>
  </si>
  <si>
    <t>https://www.crunchbase.com/organization/chetu-inc</t>
  </si>
  <si>
    <t>https://www.chetu.com/lending/mortgages.php</t>
  </si>
  <si>
    <t>Chime</t>
  </si>
  <si>
    <t>https://angel.co/company/lifeatchime</t>
  </si>
  <si>
    <t>https://www.crunchbase.com/organization/chime-6</t>
  </si>
  <si>
    <t>https://chime.me</t>
  </si>
  <si>
    <t>Salt Lake</t>
  </si>
  <si>
    <t>Chinook Systems</t>
  </si>
  <si>
    <t>https://www.chinooksystems.com/</t>
  </si>
  <si>
    <t>1235 S Clark St Suite 500</t>
  </si>
  <si>
    <t xml:space="preserve">Arlington </t>
  </si>
  <si>
    <t>22202</t>
  </si>
  <si>
    <t>Chunker</t>
  </si>
  <si>
    <t>https://angel.co/company/chunker-1</t>
  </si>
  <si>
    <t>https://www.crunchbase.com/organization/chunker</t>
  </si>
  <si>
    <t>https://www.chunker.com/</t>
  </si>
  <si>
    <t>CityDroneZ LLC</t>
  </si>
  <si>
    <t>https://www.citydronez.com/</t>
  </si>
  <si>
    <t>169 Mamaroneck Ave</t>
  </si>
  <si>
    <t>White Plains</t>
  </si>
  <si>
    <t>10601</t>
  </si>
  <si>
    <t>Clarion Technologies</t>
  </si>
  <si>
    <t>https://angel.co/company/tesific-clarion-technologies</t>
  </si>
  <si>
    <t>https://www.crunchbase.com/organization/clarion-technologies</t>
  </si>
  <si>
    <t>https://www.clariontech.com/</t>
  </si>
  <si>
    <t>Pune</t>
  </si>
  <si>
    <t>Clarus Tech Partners</t>
  </si>
  <si>
    <t>https://www.crunchbase.com/organization/clarus-tech-partners</t>
  </si>
  <si>
    <t>https://www.clarustechpartners.com/</t>
  </si>
  <si>
    <t>Classic Folios</t>
  </si>
  <si>
    <t>https://angel.co/company/classic-folios</t>
  </si>
  <si>
    <t>https://www.crunchbase.com/organization/classic-folios</t>
  </si>
  <si>
    <t>https://www.classicfolios.com/</t>
  </si>
  <si>
    <t>Eastleigh</t>
  </si>
  <si>
    <t>CleaTech LLC- Nitrogen Generators</t>
  </si>
  <si>
    <t>https://angel.co/u/cleatech-llc</t>
  </si>
  <si>
    <t>https://www.cleatech.com/product-category/inert-gas-purging-accessories/nitrogen-generators/</t>
  </si>
  <si>
    <t>Click Offices</t>
  </si>
  <si>
    <t>https://www.clickoffices.com/</t>
  </si>
  <si>
    <t>64 Mount Street Lower</t>
  </si>
  <si>
    <t>D02 TH77</t>
  </si>
  <si>
    <t>ClientLook</t>
  </si>
  <si>
    <t>https://www.crunchbase.com/organization/clientlook</t>
  </si>
  <si>
    <t>https://www.clientlook.com</t>
  </si>
  <si>
    <t>Laguna Nigel</t>
  </si>
  <si>
    <t>Clik.ai</t>
  </si>
  <si>
    <t>https://angel.co/clik-ai</t>
  </si>
  <si>
    <t>https://clik.ai</t>
  </si>
  <si>
    <t>The DMZ, 10 Dundas Street East</t>
  </si>
  <si>
    <t>Toronto, Ontario M5B 2G9 ,</t>
  </si>
  <si>
    <t>CLLAX</t>
  </si>
  <si>
    <t>https://angel.co/company/cllax-1</t>
  </si>
  <si>
    <t>https://www.crunchbase.com/organization/cllax</t>
  </si>
  <si>
    <t>https://cllax.com/</t>
  </si>
  <si>
    <t>St Petersburg</t>
  </si>
  <si>
    <t>Cloud11 LLC</t>
  </si>
  <si>
    <t>https://angel.co/company/cloud11-2</t>
  </si>
  <si>
    <t>https://www.cloud11.me/</t>
  </si>
  <si>
    <t>CloudKitchens</t>
  </si>
  <si>
    <t>https://www.crunchbase.com/organization/cloudkitchens</t>
  </si>
  <si>
    <t>https://www.cloudkitchens.com</t>
  </si>
  <si>
    <t>CMARIX TechnoLabs Pvt. Ltd.</t>
  </si>
  <si>
    <t>https://angel.co/company/cmarix-technolabs-7</t>
  </si>
  <si>
    <t>https://www.crunchbase.com/organization/cmarix-technolabs-pvt-ltd</t>
  </si>
  <si>
    <t>https://www.cmarix.com</t>
  </si>
  <si>
    <t>Coastes</t>
  </si>
  <si>
    <t>https://www.crunchbase.com/organization/coastes</t>
  </si>
  <si>
    <t>https://www.coastes.com/</t>
  </si>
  <si>
    <t>Coda Compliance</t>
  </si>
  <si>
    <t>https://angel.co/company/coda-compliance-1</t>
  </si>
  <si>
    <t>https://www.crunchbase.com/organization/coda-compliance</t>
  </si>
  <si>
    <t>https://entitlementrisk.com/</t>
  </si>
  <si>
    <t>Code Brew Labs Dubai</t>
  </si>
  <si>
    <t>https://angel.co/company/code-brew-labs-3</t>
  </si>
  <si>
    <t>https://www.crunchbase.com/organization/code-brew-labs</t>
  </si>
  <si>
    <t>https://www.code-brew.com/mobile-app-development-company-developers-dubai/</t>
  </si>
  <si>
    <t>Chandigarh</t>
  </si>
  <si>
    <t>Coeo</t>
  </si>
  <si>
    <t>https://www.crunchbase.com/organization/coeo-space</t>
  </si>
  <si>
    <t>http://www.coeospace.com/</t>
  </si>
  <si>
    <t>Warrendale</t>
  </si>
  <si>
    <t>Cogitor Limited</t>
  </si>
  <si>
    <t>https://www.crunchbase.com/organization/superbyte-6480</t>
  </si>
  <si>
    <t>http://www.cogitor.co.uk</t>
  </si>
  <si>
    <t>Shrewsbury</t>
  </si>
  <si>
    <t>Cognitive Corp</t>
  </si>
  <si>
    <t>http://www.cognitivewx.info</t>
  </si>
  <si>
    <t>CollegeHouse</t>
  </si>
  <si>
    <t>https://www.crunchbase.com/organization/college-house</t>
  </si>
  <si>
    <t>collegehouse.com/</t>
  </si>
  <si>
    <t>3070 Windward Plaza Ste. F</t>
  </si>
  <si>
    <t>Alpharetta</t>
  </si>
  <si>
    <t>Column Information Security</t>
  </si>
  <si>
    <t>https://angel.co/company/column-technologies</t>
  </si>
  <si>
    <t>https://www.crunchbase.com/organization/column-information-security</t>
  </si>
  <si>
    <t>https://www.columninfosec.com/</t>
  </si>
  <si>
    <t>Column Technologies</t>
  </si>
  <si>
    <t>https://www.crunchbase.com/organization/column-technologies</t>
  </si>
  <si>
    <t>https://www.columnit.com/case-management.html</t>
  </si>
  <si>
    <t>Commercial Property Guide</t>
  </si>
  <si>
    <t>https://angel.co/company/commercial-property-guide</t>
  </si>
  <si>
    <t>https://www.commercialpropertyguide.com.au</t>
  </si>
  <si>
    <t>Common Areas LLC</t>
  </si>
  <si>
    <t>https://www.crunchbase.com/organization/common-areas</t>
  </si>
  <si>
    <t>https://commonareas.com/</t>
  </si>
  <si>
    <t>Tustin</t>
  </si>
  <si>
    <t>Compound Asset Management Inc</t>
  </si>
  <si>
    <t>https://angel.co/company/compoundvc</t>
  </si>
  <si>
    <t>https://www.crunchbase.com/organization/metamorphic-ventures-llc</t>
  </si>
  <si>
    <t>https://www.compound.re/</t>
  </si>
  <si>
    <t>Comydo</t>
  </si>
  <si>
    <t>https://www.crunchbase.com/organization/cido</t>
  </si>
  <si>
    <t>https://comydo.com/de/</t>
  </si>
  <si>
    <t>Configure One</t>
  </si>
  <si>
    <t>https://www.crunchbase.com/organization/configure-one</t>
  </si>
  <si>
    <t>https://www.configureone.com/</t>
  </si>
  <si>
    <t>Oak Brook</t>
  </si>
  <si>
    <t>Connect Media - CRE</t>
  </si>
  <si>
    <t>https://www.crunchbase.com/organization/connectcre</t>
  </si>
  <si>
    <t>https://www.connect.media/?__cf_chl_captcha_tk__=61da052c9d158d4d5b3dec1584812b9fb3dc4fb1-1599841260-0-AWuXNAVZwHXsX7lBid9jifQzuP6Y9FMWTSB9Z3Hg1z6iLD_Uza7rQ2W0-KY3L-cjJ5Y1c929dukVtwnR9k-5neNGKRo2PDlWJlW5hCFwi1_V65FcYMHP93C4GfjbL67TSsp07RWdTfSiyj5juU3tqrofxLWuQFxSBnqUW7E5gJ3mx1cZNsO5pXqpej7SUTzCkxYek8ViB24AXmQKtDJrUXVhQQt-G4LXoPFQtqLPzL8OxSPtPuW_41glzwZ48CRIE-CT9VfYHLbjMK-1zzumnHgH1qhIJ21VLaMENWOtsXp4JBn8kk_N3_2xOo8DkHRxkMkQvG3jIMYiPwgtX6LB4FaupA_3iHT79w3fiiH3ZD-GMW3NmwLWvVgX_5QMP67drF70sCP_XAgctKDii9beLNm1iORBfUHTZtVzohmC9QCh4RzshMCcdzu3EuarXrUMXiqKwlL4_mTOSG0M0xvrwaAiZT-RUl2XDeyl9DZMf2fm</t>
  </si>
  <si>
    <t>Core</t>
  </si>
  <si>
    <t>https://www.crunchbase.com/organization/core-5a60</t>
  </si>
  <si>
    <t>https://bycore.com/</t>
  </si>
  <si>
    <t>CORT</t>
  </si>
  <si>
    <t>https://www.crunchbase.com/organization/cort</t>
  </si>
  <si>
    <t>https://www.cort.com/</t>
  </si>
  <si>
    <t>Chantilly</t>
  </si>
  <si>
    <t>coSquare</t>
  </si>
  <si>
    <t>E-Commerce Platforms</t>
  </si>
  <si>
    <t>Internet</t>
  </si>
  <si>
    <t>https://angel.co/company/cosquare</t>
  </si>
  <si>
    <t>https://www.crunchbase.com/organization/cosquare</t>
  </si>
  <si>
    <t>http://www.cosquare.com/</t>
  </si>
  <si>
    <t>Bundespl. 14, 6300 Zug, Switzerland</t>
  </si>
  <si>
    <t>Zug</t>
  </si>
  <si>
    <t>6300</t>
  </si>
  <si>
    <t>CoStar Group</t>
  </si>
  <si>
    <t>https://angel.co/company/costar-group</t>
  </si>
  <si>
    <t>https://www.crunchbase.com/organization/costar-group</t>
  </si>
  <si>
    <t>http://www.costargroup.com/</t>
  </si>
  <si>
    <t>Cottar</t>
  </si>
  <si>
    <t>https://angel.co/company/cottar</t>
  </si>
  <si>
    <t>https://www.crunchbase.com/organization/cottar#section-overview</t>
  </si>
  <si>
    <t>https://cottar.ai/</t>
  </si>
  <si>
    <t>countlogic</t>
  </si>
  <si>
    <t>https://www.countlogic.com/</t>
  </si>
  <si>
    <t xml:space="preserve">22 Church Street
Liberty Corner, NJ 07938
</t>
  </si>
  <si>
    <t>Liberty Corner</t>
  </si>
  <si>
    <t>07938</t>
  </si>
  <si>
    <t>Courtesy Connection</t>
  </si>
  <si>
    <t>https://www.crunchbase.com/organization/courtesy-connection</t>
  </si>
  <si>
    <t>https://www.courtesyconnection.com/</t>
  </si>
  <si>
    <t>Coyote Software</t>
  </si>
  <si>
    <t>https://angel.co/coyote-1</t>
  </si>
  <si>
    <t>https://www.crunchbase.com/organization/coyote</t>
  </si>
  <si>
    <t>https://coyotesoftware.co.uk/</t>
  </si>
  <si>
    <t>The Monument Building, 11 Monument St, London EC3R 8AF, United Kingdom</t>
  </si>
  <si>
    <t>EC3R 8AF</t>
  </si>
  <si>
    <t>Cozy Air</t>
  </si>
  <si>
    <t>https://www.crunchbase.com/organization/cozy-air-innovation</t>
  </si>
  <si>
    <t>https://www.cozyair.fr/</t>
  </si>
  <si>
    <t>CRE Collaborative</t>
  </si>
  <si>
    <t>https://angel.co/company/cre-collaborative</t>
  </si>
  <si>
    <t>https://www.crunchbase.com/organization/cre-collaborative-inc</t>
  </si>
  <si>
    <t>https://www.creco.ai/?fbclid=IwAR0bCbmZAFSDzld_j69y_nrOCl_tzu2d-ZlL-IK9-0_41NePfqQ4CuRw8VU</t>
  </si>
  <si>
    <t>572 White Plains Road Trumbull</t>
  </si>
  <si>
    <t>Trumbull</t>
  </si>
  <si>
    <t>Ct</t>
  </si>
  <si>
    <t>06611</t>
  </si>
  <si>
    <t>CRE Diligent</t>
  </si>
  <si>
    <t>https://crediligent.com/#/home</t>
  </si>
  <si>
    <t>Create</t>
  </si>
  <si>
    <t>Non Profit</t>
  </si>
  <si>
    <t>https://www.crunchbase.com/organization/create-2</t>
  </si>
  <si>
    <t>www.create-ireland.ie/</t>
  </si>
  <si>
    <t>2 Curved Street Temple Bar
D02 PC43 Dublin 2, Ireland</t>
  </si>
  <si>
    <t>Temple Bar</t>
  </si>
  <si>
    <t>Dublin 2</t>
  </si>
  <si>
    <t>CRED iQ</t>
  </si>
  <si>
    <t>https://angel.co/company/cred-iq</t>
  </si>
  <si>
    <t>https://www.cred-iq.com/</t>
  </si>
  <si>
    <t>Credencys</t>
  </si>
  <si>
    <t>https://angel.co/company/credencys</t>
  </si>
  <si>
    <t>https://www.crunchbase.com/organization/credencys-solutions-inc</t>
  </si>
  <si>
    <t>http://www.credencys.com/</t>
  </si>
  <si>
    <t>6 Centerpointe Drive, Suite 700,
LA Palma, CA 90623</t>
  </si>
  <si>
    <t>LA Palma</t>
  </si>
  <si>
    <t>Credensa</t>
  </si>
  <si>
    <t>https://credensa.co.uk/</t>
  </si>
  <si>
    <t>26 Cowper Street</t>
  </si>
  <si>
    <t>2003</t>
  </si>
  <si>
    <t>creGROW</t>
  </si>
  <si>
    <t>Developer APIs</t>
  </si>
  <si>
    <t>https://angel.co/company/cregrow</t>
  </si>
  <si>
    <t>https://www.crunchbase.com/organization/cregrow#section-overview</t>
  </si>
  <si>
    <t>www.cregrow.com/</t>
  </si>
  <si>
    <t>Boca Raton</t>
  </si>
  <si>
    <t>CREModels</t>
  </si>
  <si>
    <t>https://angel.co/company/cremodels</t>
  </si>
  <si>
    <t>https://www.crunchbase.com/organization/cremodels</t>
  </si>
  <si>
    <t xml:space="preserve"> www.cremodels.com</t>
  </si>
  <si>
    <t>Tampa Bay Area</t>
  </si>
  <si>
    <t>CREOP</t>
  </si>
  <si>
    <t>https://www.crunchbase.com/organization/creop</t>
  </si>
  <si>
    <t>https://www.creop.com/</t>
  </si>
  <si>
    <t>Newport</t>
  </si>
  <si>
    <t>CRESS Inc.</t>
  </si>
  <si>
    <t>https://cressblue.com/</t>
  </si>
  <si>
    <t>55 Fleming Dr</t>
  </si>
  <si>
    <t>CREtech</t>
  </si>
  <si>
    <t>https://angel.co/company/cretech</t>
  </si>
  <si>
    <t>https://www.crunchbase.com/organization/cre-tech-intersect</t>
  </si>
  <si>
    <t>https://www.cretech.com/</t>
  </si>
  <si>
    <t>Crowd Engine</t>
  </si>
  <si>
    <t>https://www.crunchbase.com/organization/crowdengine#section-overview</t>
  </si>
  <si>
    <t xml:space="preserve">www.crowdengine.com
</t>
  </si>
  <si>
    <t>CrowdComfort</t>
  </si>
  <si>
    <t>https://angel.co/crowdcomfort-1/</t>
  </si>
  <si>
    <t>https://www.crunchbase.com/organization/crowdcomfort</t>
  </si>
  <si>
    <t>crowdcomfort.com</t>
  </si>
  <si>
    <t>28 Dane Sreet</t>
  </si>
  <si>
    <t>02143</t>
  </si>
  <si>
    <t>Crowdfundur</t>
  </si>
  <si>
    <t>https://angel.co/u/crowdfundur</t>
  </si>
  <si>
    <t>https://crowdfundur.com/</t>
  </si>
  <si>
    <t>Cubit-Insurance</t>
  </si>
  <si>
    <t>https://angel.co/u/cubit-insurance</t>
  </si>
  <si>
    <t>https://www.crunchbase.com/organization/cubit-insurance</t>
  </si>
  <si>
    <t>https://www.cubit-insurance.co.uk/</t>
  </si>
  <si>
    <t>Curvearro</t>
  </si>
  <si>
    <t>https://www.crunchbase.com/organization/curvearro</t>
  </si>
  <si>
    <t>https://www.curvearro.com/</t>
  </si>
  <si>
    <t>New Delhi</t>
  </si>
  <si>
    <t>Cviker AR / AKULAR</t>
  </si>
  <si>
    <t>https://www.cvikerar.com/</t>
  </si>
  <si>
    <t>11911 Freedom Drive Suite 850</t>
  </si>
  <si>
    <t>Retson</t>
  </si>
  <si>
    <t>20190</t>
  </si>
  <si>
    <t>DarkBears</t>
  </si>
  <si>
    <t>Digital Marketing</t>
  </si>
  <si>
    <t>https://angel.co/company/dark-bear-web-solutions-1</t>
  </si>
  <si>
    <t>https://www.crunchbase.com/organization/dark-bear-web-solutions-llc</t>
  </si>
  <si>
    <t>https://darkbears.com/contact</t>
  </si>
  <si>
    <t>16192, Coastal Hwy. Lewes, Delaware</t>
  </si>
  <si>
    <t>19958</t>
  </si>
  <si>
    <t>Data Pros</t>
  </si>
  <si>
    <t>https://www.crunchbase.com/organization/the-data-pros-inc</t>
  </si>
  <si>
    <t>https://www.the-data-pros.net/</t>
  </si>
  <si>
    <t>Holmdel</t>
  </si>
  <si>
    <t>Datakwip</t>
  </si>
  <si>
    <t>https://angel.co/company/datakwip</t>
  </si>
  <si>
    <t>https://www.crunchbase.com/organization/datakwip</t>
  </si>
  <si>
    <t>https://datakwip.com/</t>
  </si>
  <si>
    <t>Frederick</t>
  </si>
  <si>
    <t>Datappraise</t>
  </si>
  <si>
    <t>https://www.crunchbase.com/organization/datappraise</t>
  </si>
  <si>
    <t xml:space="preserve"> www.datappraise.com/
</t>
  </si>
  <si>
    <t>99201</t>
  </si>
  <si>
    <t>Datex Property Solutions</t>
  </si>
  <si>
    <t>https://angel.co/company/datex-property-solutions</t>
  </si>
  <si>
    <t xml:space="preserve">https://www.crunchbase.com/organization/datex-property-solutions </t>
  </si>
  <si>
    <t>www.datexdata.com</t>
  </si>
  <si>
    <t>5850 Canoga Avenue Suite 312</t>
  </si>
  <si>
    <t>Woodland Hills</t>
  </si>
  <si>
    <t>91367</t>
  </si>
  <si>
    <t>DATOZ</t>
  </si>
  <si>
    <t>https://www.crunchbase.com/organization/datoz#section-overview</t>
  </si>
  <si>
    <t>https://www.datoz.com/</t>
  </si>
  <si>
    <t>Col. del Valle, San Pedro Garza García</t>
  </si>
  <si>
    <t>Nuevo León</t>
  </si>
  <si>
    <t>66220</t>
  </si>
  <si>
    <t>Deacon Dumpsters</t>
  </si>
  <si>
    <t>Industrial, All</t>
  </si>
  <si>
    <t>https://angel.co/company/deacon-dumpsters-1</t>
  </si>
  <si>
    <t>https://www.deacondumpsters.com/</t>
  </si>
  <si>
    <t>DealBoard</t>
  </si>
  <si>
    <t>https://www.crunchbase.com/organization/crelow</t>
  </si>
  <si>
    <t>DealBoard.org</t>
  </si>
  <si>
    <t>Scandia</t>
  </si>
  <si>
    <t>Minnesota</t>
  </si>
  <si>
    <t>DealforceCRE</t>
  </si>
  <si>
    <t>https://angel.co/company/dealforcecre</t>
  </si>
  <si>
    <t>https://dealforcecre.com/</t>
  </si>
  <si>
    <t>Dealius</t>
  </si>
  <si>
    <t>https://www.crunchbase.com/organization/dealius#section-overview</t>
  </si>
  <si>
    <t xml:space="preserve">dealius.com/
</t>
  </si>
  <si>
    <t>201 Specialty Point</t>
  </si>
  <si>
    <t>Sanford</t>
  </si>
  <si>
    <t>32771</t>
  </si>
  <si>
    <t>DealStat</t>
  </si>
  <si>
    <t>https://angel.co/dealstat-rei/</t>
  </si>
  <si>
    <t>https://www.crunchbase.com/organization/dealstat-rei-inc</t>
  </si>
  <si>
    <t>www.dealstatrei.com</t>
  </si>
  <si>
    <t>120 E 23rd St.</t>
  </si>
  <si>
    <t>DealSumm</t>
  </si>
  <si>
    <t>Lease ABstraction</t>
  </si>
  <si>
    <t>https://angel.co/company/dealsumm</t>
  </si>
  <si>
    <t>https://www.crunchbase.com/organization/dealsumm</t>
  </si>
  <si>
    <t>https://www.dealsumm.com/</t>
  </si>
  <si>
    <t>Kentucky</t>
  </si>
  <si>
    <t>Deskpass</t>
  </si>
  <si>
    <t>https://angel.co/company/deskpass</t>
  </si>
  <si>
    <t>https://www.crunchbase.com/organization/deskpass</t>
  </si>
  <si>
    <t>https://www.deskpass.com/</t>
  </si>
  <si>
    <t>Detectivfrei AG</t>
  </si>
  <si>
    <t>https://angel.co/u/detectivfrei-ag</t>
  </si>
  <si>
    <t>https://www.crunchbase.com/organization/detectivfrei</t>
  </si>
  <si>
    <t>https://www.detectivfrei.ch/</t>
  </si>
  <si>
    <t>Detente Technologies Pvt Ltd</t>
  </si>
  <si>
    <t>https://angel.co/detente-technologies-pvt-ltd</t>
  </si>
  <si>
    <t>https://www.crunchbase.com/organization/detente-technologies-pvt-ltd</t>
  </si>
  <si>
    <t xml:space="preserve">www.detentech.com
</t>
  </si>
  <si>
    <t>Andhra Pradesh</t>
  </si>
  <si>
    <t>Digsy</t>
  </si>
  <si>
    <t>https://angel.co/company/digsy</t>
  </si>
  <si>
    <t>https://www.crunchbase.com/organization/digsy</t>
  </si>
  <si>
    <t>https://www.getdigsy.com</t>
  </si>
  <si>
    <t>District</t>
  </si>
  <si>
    <t>Multifamily, Retail, Office</t>
  </si>
  <si>
    <t>https://www.crunchbase.com/organization/district</t>
  </si>
  <si>
    <t>www.district-app.com</t>
  </si>
  <si>
    <t>District Technologies</t>
  </si>
  <si>
    <t>https://www.crunchbase.com/organization/district-technologies#section-overview</t>
  </si>
  <si>
    <t>https://www.district-tech.com/</t>
  </si>
  <si>
    <t>68 Hanbury Street</t>
  </si>
  <si>
    <t>Diversified Property</t>
  </si>
  <si>
    <t>https://angel.co/company/diversified-properties</t>
  </si>
  <si>
    <t>https://www.diversified-property.com/</t>
  </si>
  <si>
    <t>DogSpot</t>
  </si>
  <si>
    <t xml:space="preserve">Petcare </t>
  </si>
  <si>
    <t>https://angel.co/company/dog-parker/jobs</t>
  </si>
  <si>
    <t>https://hellodogspot.com</t>
  </si>
  <si>
    <t>City Acres</t>
  </si>
  <si>
    <t>Williamsburg</t>
  </si>
  <si>
    <t>Dolphin Heat Transfer</t>
  </si>
  <si>
    <t>https://angel.co/company/dolphin-heat-transfer-pvt-ltd</t>
  </si>
  <si>
    <t>DOMUS ORO</t>
  </si>
  <si>
    <t>https://www.domusoro.com/</t>
  </si>
  <si>
    <t>Doorbell/Cobu</t>
  </si>
  <si>
    <t>https://angel.co/company/cobu</t>
  </si>
  <si>
    <t>https://www.crunchbase.com/organization/cobu</t>
  </si>
  <si>
    <t>https://www.livecobu.com/</t>
  </si>
  <si>
    <t>2 Ave De Lafayette, 4th Floor
Boston, MA 02111</t>
  </si>
  <si>
    <t>Doordeck</t>
  </si>
  <si>
    <t>https://angel.co/company/doordeck</t>
  </si>
  <si>
    <t>https://www.crunchbase.com/organization/doordeck</t>
  </si>
  <si>
    <t>https://doordeck.com/</t>
  </si>
  <si>
    <t>Dream Steps Technologies</t>
  </si>
  <si>
    <t>https://angel.co/company/dream-steps-technologies-1</t>
  </si>
  <si>
    <t>https://www.crunchbase.com/organization/dream-steps-technologies-pvt-ltd</t>
  </si>
  <si>
    <t>https://www.thedreamsteps.com/</t>
  </si>
  <si>
    <t>DriveIT Digital Pvt. Ltd</t>
  </si>
  <si>
    <t>https://www.crunchbase.com/organization/driveit-digital</t>
  </si>
  <si>
    <t>https://www.driveitdigital.com/</t>
  </si>
  <si>
    <t>Droneshot</t>
  </si>
  <si>
    <t>https://www.crunchbase.com/organization/droneshot</t>
  </si>
  <si>
    <t>https://droneshot.com/</t>
  </si>
  <si>
    <t>Droplit</t>
  </si>
  <si>
    <t xml:space="preserve"> Developer APIs</t>
  </si>
  <si>
    <t>https://angel.co/company/droplit</t>
  </si>
  <si>
    <t>https://www.crunchbase.com/organization/droplit-inc-</t>
  </si>
  <si>
    <t xml:space="preserve">droplit.io
</t>
  </si>
  <si>
    <t>East Coast, Southern US</t>
  </si>
  <si>
    <t>Dwellsy</t>
  </si>
  <si>
    <t>https://www.crunchbase.com/organization/dwellsy</t>
  </si>
  <si>
    <t>https://dwellsy.com/</t>
  </si>
  <si>
    <t>Dynamic Computer Corporation</t>
  </si>
  <si>
    <t>https://angel.co/company/dynamic-computing-solutions</t>
  </si>
  <si>
    <t>perfectscan.com</t>
  </si>
  <si>
    <t>8396 Sunset Drive</t>
  </si>
  <si>
    <t>Ellicott</t>
  </si>
  <si>
    <t>21043</t>
  </si>
  <si>
    <t>EagleView</t>
  </si>
  <si>
    <t>https://angel.co/company/eagleview-technologies</t>
  </si>
  <si>
    <t>https://www.crunchbase.com/organization/eagleview-technologies</t>
  </si>
  <si>
    <t>www.eagleview.com</t>
  </si>
  <si>
    <t>10900 NE 4th St Suite 800</t>
  </si>
  <si>
    <t>98004-5873</t>
  </si>
  <si>
    <t>Ecorithm</t>
  </si>
  <si>
    <t>https://www.crunchbase.com/organization/ecorithm</t>
  </si>
  <si>
    <t>https://ecorithm.com/</t>
  </si>
  <si>
    <t>5383 Hollister Avenue</t>
  </si>
  <si>
    <t>Goleta</t>
  </si>
  <si>
    <t>93111</t>
  </si>
  <si>
    <t>Eddy Solutions</t>
  </si>
  <si>
    <t>Multifamily, Office, Residential</t>
  </si>
  <si>
    <t>https://www.crunchbase.com/organization/eddy-solutions</t>
  </si>
  <si>
    <t>https://eddysolutions.com/</t>
  </si>
  <si>
    <t>Editsoft</t>
  </si>
  <si>
    <t>https://angel.co/company/editsoft</t>
  </si>
  <si>
    <t>https://www.crunchbase.com/organization/editsoft-digital</t>
  </si>
  <si>
    <t>www.editsoftdigital.in</t>
  </si>
  <si>
    <t>Ghaziabad</t>
  </si>
  <si>
    <t>EDR</t>
  </si>
  <si>
    <t>https://angel.co/company/environmental-data-resources</t>
  </si>
  <si>
    <t>https://www.crunchbase.com/organization/environmental-data-resources</t>
  </si>
  <si>
    <t>https://edrnet.com/</t>
  </si>
  <si>
    <t>6 Armstrong Road</t>
  </si>
  <si>
    <t>Shelton</t>
  </si>
  <si>
    <t>06484</t>
  </si>
  <si>
    <t>Echo</t>
  </si>
  <si>
    <t>https://echosearch.org</t>
  </si>
  <si>
    <t>eFront</t>
  </si>
  <si>
    <t>https://angel.co/company/efront/jobs</t>
  </si>
  <si>
    <t>https://www.crunchbase.com/organization/efront-sf</t>
  </si>
  <si>
    <t>https://www.efrontlearning.com/</t>
  </si>
  <si>
    <t>315 Montgomery Street</t>
  </si>
  <si>
    <t>USA CA</t>
  </si>
  <si>
    <t>eFusion Technology Pte Ltd</t>
  </si>
  <si>
    <t>https://www.crunchbase.com/organization/efusion-technology</t>
  </si>
  <si>
    <t>https://www.efusiontech.com/</t>
  </si>
  <si>
    <t>Egain Group AB</t>
  </si>
  <si>
    <t>https://angel.co/company/egainz-website-designing</t>
  </si>
  <si>
    <t>https://www.crunchbase.com/organization/egain-group</t>
  </si>
  <si>
    <t>https://www.egain.io/</t>
  </si>
  <si>
    <t>Kungsbacka</t>
  </si>
  <si>
    <t>Ejournalz</t>
  </si>
  <si>
    <t>https://angel.co/u/ejournalz-blogging</t>
  </si>
  <si>
    <t>https://www.crunchbase.com/organization/ejournalz</t>
  </si>
  <si>
    <t>https://ejournalz.com/</t>
  </si>
  <si>
    <t>Elko</t>
  </si>
  <si>
    <t>https://www.crunchbase.com/organization/elko-group</t>
  </si>
  <si>
    <t>https://www.useelko.com/</t>
  </si>
  <si>
    <t>Letonia</t>
  </si>
  <si>
    <t>Empaxis</t>
  </si>
  <si>
    <t>https://angel.co/company/empaxis-data-management</t>
  </si>
  <si>
    <t>https://www.crunchbase.com/organization/empaxis</t>
  </si>
  <si>
    <t>https://www.empaxis.com/solutions/turnkey-asset-management-platform/</t>
  </si>
  <si>
    <t>840 Apollo St #100</t>
  </si>
  <si>
    <t>EMS Software</t>
  </si>
  <si>
    <t>https://www.crunchbase.com/organization/ems-software#section-overview</t>
  </si>
  <si>
    <t>https://www.emssoftware.com/</t>
  </si>
  <si>
    <t>Accruent</t>
  </si>
  <si>
    <t>En-trak</t>
  </si>
  <si>
    <t>https://www.crunchbase.com/organization/en-trak</t>
  </si>
  <si>
    <t>https://www.en-trak.com/</t>
  </si>
  <si>
    <t>Wan Chai</t>
  </si>
  <si>
    <t>Endive Software</t>
  </si>
  <si>
    <t>https://angel.co/company/endive-software-1</t>
  </si>
  <si>
    <t>https://www.crunchbase.com/organization/endive-software</t>
  </si>
  <si>
    <t>http://www.endivesoftware.com/magento-ecommerce-development</t>
  </si>
  <si>
    <t>Jaipur</t>
  </si>
  <si>
    <t>EnergyWatch</t>
  </si>
  <si>
    <t>https://angel.co/company/energywatch</t>
  </si>
  <si>
    <t>https://www.crunchbase.com/organization/energy-watch</t>
  </si>
  <si>
    <t>https://energywatch-inc.com/</t>
  </si>
  <si>
    <t>eNest Consultancy Services Pvt. Ltd</t>
  </si>
  <si>
    <t>https://angel.co/company/enest-consultancy-services</t>
  </si>
  <si>
    <t>https://www.crunchbase.com/organization/enest-consultancy-services</t>
  </si>
  <si>
    <t>https://enestservices.com/</t>
  </si>
  <si>
    <t>Delhi</t>
  </si>
  <si>
    <t>Enstoa, Inc.</t>
  </si>
  <si>
    <t>https://www.crunchbase.com/organization/enstoa</t>
  </si>
  <si>
    <t>https://enstoa.com/</t>
  </si>
  <si>
    <t>EntityKeeper</t>
  </si>
  <si>
    <t>https://www.crunchbase.com/organization/entitykeeper</t>
  </si>
  <si>
    <t>https://www.entitykeeper.com/</t>
  </si>
  <si>
    <t>East Coast,</t>
  </si>
  <si>
    <t xml:space="preserve"> Southern US
</t>
  </si>
  <si>
    <t>ENTOUCH</t>
  </si>
  <si>
    <t>Office, Retail, Other</t>
  </si>
  <si>
    <t>https://angel.co/company/entouch-controls</t>
  </si>
  <si>
    <t>https://www.crunchbase.com/organization/entouch-controls</t>
  </si>
  <si>
    <t>https://entouchcontrols.com/</t>
  </si>
  <si>
    <t>Entrata</t>
  </si>
  <si>
    <t>https://www.crunchbase.com/organization/entrata</t>
  </si>
  <si>
    <t>https://www.entrata.com/</t>
  </si>
  <si>
    <t>4205 Chapel Ridge Road</t>
  </si>
  <si>
    <t>Epixel Solutions</t>
  </si>
  <si>
    <t>https://angel.co/company/epixel-solutions</t>
  </si>
  <si>
    <t>https://www.crunchbase.com/organization/epixel-solutions</t>
  </si>
  <si>
    <t>https://www.epixelmlmsoftware.com/</t>
  </si>
  <si>
    <t>3651 Lindell Rd. Suite D1050</t>
  </si>
  <si>
    <t>89103</t>
  </si>
  <si>
    <t>Equiem</t>
  </si>
  <si>
    <t>https://angel.co/equiem</t>
  </si>
  <si>
    <t>https://www.crunchbase.com/organization/equiem</t>
  </si>
  <si>
    <t>www.getequiem.com/</t>
  </si>
  <si>
    <t>525 Collins Street</t>
  </si>
  <si>
    <t>3000</t>
  </si>
  <si>
    <t>EquityMultiple</t>
  </si>
  <si>
    <t>https://angel.co/company/equitymultiple</t>
  </si>
  <si>
    <t>https://www.crunchbase.com/organization/equitymultiple</t>
  </si>
  <si>
    <t>https://www.equitymultiple.com/</t>
  </si>
  <si>
    <t>1140 Broadway</t>
  </si>
  <si>
    <t>eScreenLogic</t>
  </si>
  <si>
    <t>https://angel.co/company/escreenlogic</t>
  </si>
  <si>
    <t>https://www.crunchbase.com/organization/escreenlogic</t>
  </si>
  <si>
    <t>https://www.escreenlogic.com/</t>
  </si>
  <si>
    <t>ESD</t>
  </si>
  <si>
    <t>https://www.crunchbase.com/organization/esd</t>
  </si>
  <si>
    <t>www.esdontheweb.com</t>
  </si>
  <si>
    <t>4352 W Sylvania Ave</t>
  </si>
  <si>
    <t>Toledo</t>
  </si>
  <si>
    <t>43623</t>
  </si>
  <si>
    <t>ESS Software | Commercial Real Estate Websites</t>
  </si>
  <si>
    <t>https://www.crunchbase.com/organization/ess-software-for-commercial-real-estate</t>
  </si>
  <si>
    <t>https://esssoftware.com/</t>
  </si>
  <si>
    <t>essensys</t>
  </si>
  <si>
    <t>https://www.crunchbase.com/organization/essensys</t>
  </si>
  <si>
    <t>https://essensys.tech/</t>
  </si>
  <si>
    <t>Aldgate Tower 2 Leman Street</t>
  </si>
  <si>
    <t>Ethane technologies</t>
  </si>
  <si>
    <t>https://angel.co/company/ethane-web-technologies-pvt-ltd</t>
  </si>
  <si>
    <t>https://www.crunchbase.com/organization/ethane-web-technologies</t>
  </si>
  <si>
    <t>https://www.ethanetechnologies.com/</t>
  </si>
  <si>
    <t>eTracker</t>
  </si>
  <si>
    <t>https://angel.co/company/etracker-2</t>
  </si>
  <si>
    <t>https://www.crunchbase.com/organization/etracker</t>
  </si>
  <si>
    <t>http://www.etracker.com/</t>
  </si>
  <si>
    <t>Evara VR</t>
  </si>
  <si>
    <t>https://angel.co/evaravr</t>
  </si>
  <si>
    <t>https://www.crunchbase.com/organization/tepia-vr</t>
  </si>
  <si>
    <t>www.evaravr.com</t>
  </si>
  <si>
    <t>2900 Bristol St</t>
  </si>
  <si>
    <t>EVERISER LLC</t>
  </si>
  <si>
    <t>Multifamily, Office, Retail, Hospitality, Residential</t>
  </si>
  <si>
    <t>https://everiser.com/</t>
  </si>
  <si>
    <t>345 E 83RD ST, 1</t>
  </si>
  <si>
    <t>10028</t>
  </si>
  <si>
    <t>Eversmart Energy</t>
  </si>
  <si>
    <t>https://angel.co/company/eversmart-energy</t>
  </si>
  <si>
    <t>https://www.crunchbase.com/organization/eversmart-energy</t>
  </si>
  <si>
    <t>http://www.eversmartenergy.co.uk/</t>
  </si>
  <si>
    <t>26 Brindley Road</t>
  </si>
  <si>
    <t>EveryDesigns</t>
  </si>
  <si>
    <t>https://www.crunchbase.com/organization/everydesigns-graphic-designing-company</t>
  </si>
  <si>
    <t>https://www.everydesigns.com/</t>
  </si>
  <si>
    <t>Evincera</t>
  </si>
  <si>
    <t>https://www.crunchbase.com/organization/evincera</t>
  </si>
  <si>
    <t>https://www.evincera.com/</t>
  </si>
  <si>
    <t>Evolution Virtual</t>
  </si>
  <si>
    <t>Multifamily, Office, Retail, Hospitality, Residential, Other</t>
  </si>
  <si>
    <t>https://www.crunchbase.com/organization/evolution-virtual</t>
  </si>
  <si>
    <t>https://evolutionv.com/</t>
  </si>
  <si>
    <t>1 North State Street, Suite 1500</t>
  </si>
  <si>
    <t>Exact Bid</t>
  </si>
  <si>
    <t>Lending</t>
  </si>
  <si>
    <t>https://www.crunchbase.com/organization/exactbid</t>
  </si>
  <si>
    <t>www.exactbid.com/</t>
  </si>
  <si>
    <t>910 E Hamilton Avenue</t>
  </si>
  <si>
    <t>Campbell</t>
  </si>
  <si>
    <t>95008</t>
  </si>
  <si>
    <t>ExactInk</t>
  </si>
  <si>
    <t>https://angel.co/company/exactink-1</t>
  </si>
  <si>
    <t>https://www.exactink.com/</t>
  </si>
  <si>
    <t>Excelfit</t>
  </si>
  <si>
    <t>https://angel.co/u/excelfit-pty-ltd</t>
  </si>
  <si>
    <t>https://www.excelfit.com.au/</t>
  </si>
  <si>
    <t>Exogen</t>
  </si>
  <si>
    <t>Biotech</t>
  </si>
  <si>
    <t>https://www.crunchbase.com/organization/exogen</t>
  </si>
  <si>
    <t>http://www.exogen.com/</t>
  </si>
  <si>
    <t>Exposit</t>
  </si>
  <si>
    <t>https://angel.co/company/exposit</t>
  </si>
  <si>
    <t>https://www.crunchbase.com/organization/exposit</t>
  </si>
  <si>
    <t>https://www.exposit.com/</t>
  </si>
  <si>
    <t>Grodno</t>
  </si>
  <si>
    <t>Belarus</t>
  </si>
  <si>
    <t>Express Image Digital</t>
  </si>
  <si>
    <t>Retail, Hospitality, Other</t>
  </si>
  <si>
    <t>https://angel.co/company/express-image-digital-1</t>
  </si>
  <si>
    <t>http://www.expressimage.digital/</t>
  </si>
  <si>
    <t xml:space="preserve">125 Little Canada Rd E Unit 201
</t>
  </si>
  <si>
    <t xml:space="preserve">St Paul, </t>
  </si>
  <si>
    <t xml:space="preserve">MN </t>
  </si>
  <si>
    <t>55117</t>
  </si>
  <si>
    <t>Exquance Software</t>
  </si>
  <si>
    <t>https://angel.co/company/exquance-software</t>
  </si>
  <si>
    <t>https://www.crunchbase.com/organization/exquance-software#section-overview</t>
  </si>
  <si>
    <t>https://exquance.com/</t>
  </si>
  <si>
    <t>European Union (EU), Nordic Countries, Scandinavia</t>
  </si>
  <si>
    <t>Helsinki,</t>
  </si>
  <si>
    <t>Eyetrax</t>
  </si>
  <si>
    <t>https://angel.co/company/eye-trax</t>
  </si>
  <si>
    <t>https://www.crunchbase.com/organization/eye-trax#section-overview</t>
  </si>
  <si>
    <t>https://eyetrax.net/</t>
  </si>
  <si>
    <t>EZ Rankings</t>
  </si>
  <si>
    <t>https://angel.co/u/ezrankings</t>
  </si>
  <si>
    <t>https://www.crunchbase.com/organization/ez-rankings-it-services#section-overview</t>
  </si>
  <si>
    <t>https://www.ezrankings.org/</t>
  </si>
  <si>
    <t>A-74 2nd Floor, Sector-2</t>
  </si>
  <si>
    <t>U{</t>
  </si>
  <si>
    <t>201301</t>
  </si>
  <si>
    <t>EZ Storit</t>
  </si>
  <si>
    <t>EZstorit.com</t>
  </si>
  <si>
    <t>270 Cobb Parkway South Suite 140-256</t>
  </si>
  <si>
    <t>Marietta</t>
  </si>
  <si>
    <t>30060</t>
  </si>
  <si>
    <t>F9Analytics</t>
  </si>
  <si>
    <t>https://angel.co/company/f9analytics-1</t>
  </si>
  <si>
    <t>https://www.crunchbase.com/organization/f9analytics#section-overview</t>
  </si>
  <si>
    <t>https://www.f9analytics.com/Technology</t>
  </si>
  <si>
    <t>Falkon</t>
  </si>
  <si>
    <t>https://angel.co/company/falkon</t>
  </si>
  <si>
    <t>https://www.crunchbase.com/organization/falkon#section-overview</t>
  </si>
  <si>
    <t>https://falkonapp.com/</t>
  </si>
  <si>
    <t>FanStory</t>
  </si>
  <si>
    <t>https://angel.co/u/fanstory</t>
  </si>
  <si>
    <t>https://www.fanstory.com/</t>
  </si>
  <si>
    <t>Filings Guru</t>
  </si>
  <si>
    <t>https://angel.co/company/filingsguruvellore</t>
  </si>
  <si>
    <t>https://www.crunchbase.com/organization/tax-filing-guru</t>
  </si>
  <si>
    <t>https://www.filingsguru.com/</t>
  </si>
  <si>
    <t>Finneo</t>
  </si>
  <si>
    <t>https://angel.co/company/finneo-3</t>
  </si>
  <si>
    <t>https://www.crunchbase.com/organization/finneo</t>
  </si>
  <si>
    <t>http://www.finneotech.com</t>
  </si>
  <si>
    <t>Fintricity</t>
  </si>
  <si>
    <t>https://angel.co/company/fintricity</t>
  </si>
  <si>
    <t>https://www.crunchbase.com/organization/fintricity</t>
  </si>
  <si>
    <t>https://www.fintricity.com/</t>
  </si>
  <si>
    <t>Fitness on Demand</t>
  </si>
  <si>
    <t>https://www.crunchbase.com/organization/fitness-on-demand#section-overview</t>
  </si>
  <si>
    <t>fitnessondemand247.com</t>
  </si>
  <si>
    <t>Greater Minneapolis-Saint Paul Area, Great Lakes, Midwestern US</t>
  </si>
  <si>
    <t>Flatio</t>
  </si>
  <si>
    <t>https://angel.co/company/flatio</t>
  </si>
  <si>
    <t>https://www.crunchbase.com/organization/flatio</t>
  </si>
  <si>
    <t>https://www.flatio.com/</t>
  </si>
  <si>
    <t>Dominikánské náměstí 187/5</t>
  </si>
  <si>
    <t>FlatMagic</t>
  </si>
  <si>
    <t>https://angel.co/company/flatmagic</t>
  </si>
  <si>
    <t>https://www.crunchbase.com/organization/flatmagic</t>
  </si>
  <si>
    <t>https://flatmagic.com/</t>
  </si>
  <si>
    <t>FlexDesk</t>
  </si>
  <si>
    <t>https://angel.co/company/flexdesk</t>
  </si>
  <si>
    <t>https://www.crunchbase.com/organization/flexdesk</t>
  </si>
  <si>
    <t>https://flexdesk.io/</t>
  </si>
  <si>
    <t>Flomatic Industries Pte Ltd</t>
  </si>
  <si>
    <t>Retail, Hospitality</t>
  </si>
  <si>
    <t>https://angel.co/company/flomatic-industries</t>
  </si>
  <si>
    <t>https://www.crunchbase.com/organization/flomatic-corporation</t>
  </si>
  <si>
    <t>https://www.flomaticasia.com/</t>
  </si>
  <si>
    <t>Glens Falls</t>
  </si>
  <si>
    <t>Floorfy</t>
  </si>
  <si>
    <t>https://angel.co/company/floorfy</t>
  </si>
  <si>
    <t>https://www.crunchbase.com/organization/floorfy</t>
  </si>
  <si>
    <t>https://floorfy.com/es/</t>
  </si>
  <si>
    <t>126 San Antonio Cir, Mountain View</t>
  </si>
  <si>
    <t>Flow</t>
  </si>
  <si>
    <t>https://angel.co/company/flow-8</t>
  </si>
  <si>
    <t>https://www.crunchbase.com/organization/flow-3#section-overview</t>
  </si>
  <si>
    <t>https://www.getflow.com/</t>
  </si>
  <si>
    <t>Foobot</t>
  </si>
  <si>
    <t>Air quality moniter</t>
  </si>
  <si>
    <t>https://www.crunchbase.com/organization/foobot</t>
  </si>
  <si>
    <t>https://foobot.io/</t>
  </si>
  <si>
    <t>3 ave du Blues,</t>
  </si>
  <si>
    <t>Airboxlab S.A.</t>
  </si>
  <si>
    <t>L- 4368 Sanem,</t>
  </si>
  <si>
    <t>Fora Space Limited</t>
  </si>
  <si>
    <t>https://angel.co/company/fora-space</t>
  </si>
  <si>
    <t>https://www.foraspace.com/</t>
  </si>
  <si>
    <t>Forbury</t>
  </si>
  <si>
    <t>https://www.crunchbase.com/organization/forbury</t>
  </si>
  <si>
    <t>https://www.forbury.com/</t>
  </si>
  <si>
    <t>150 Lichfield St</t>
  </si>
  <si>
    <t>Christchurch</t>
  </si>
  <si>
    <t>Forsite LP</t>
  </si>
  <si>
    <t>Healthcare</t>
  </si>
  <si>
    <t>https://www.crunchbase.com/organization/foresite-capital#section-overview</t>
  </si>
  <si>
    <t>https://forsitenz.com/</t>
  </si>
  <si>
    <t>Level 1, 5 Short Street</t>
  </si>
  <si>
    <t>Newmarket</t>
  </si>
  <si>
    <t>1023</t>
  </si>
  <si>
    <t>Foster + Partners</t>
  </si>
  <si>
    <t>https://www.crunchbase.com/organization/foster-and-partners</t>
  </si>
  <si>
    <t>https://www.fosterandpartners.com/</t>
  </si>
  <si>
    <t>Foxy AI</t>
  </si>
  <si>
    <t>Visual Property Intelligence</t>
  </si>
  <si>
    <t>https://angel.co/company/foxy-ai</t>
  </si>
  <si>
    <t>https://www.crunchbase.com/organization/foxy-ai</t>
  </si>
  <si>
    <t>https://www.foxyai.com/</t>
  </si>
  <si>
    <t>Greater NewYork</t>
  </si>
  <si>
    <t xml:space="preserve"> East coast</t>
  </si>
  <si>
    <t>NE US</t>
  </si>
  <si>
    <t>FREEandCLEAR</t>
  </si>
  <si>
    <t>Fundings</t>
  </si>
  <si>
    <t>https://www.crunchbase.com/organization/free-clear</t>
  </si>
  <si>
    <t>https://www.freeandclear.com/</t>
  </si>
  <si>
    <t>2445 Morena Boulevard #102</t>
  </si>
  <si>
    <t>CA 92110</t>
  </si>
  <si>
    <t>Front Row Furniture</t>
  </si>
  <si>
    <t>https://angel.co/company/front-row-ventures</t>
  </si>
  <si>
    <t>https://www.crunchbase.com/organization/front-row-furniture</t>
  </si>
  <si>
    <t>https://www.frontrowfurniture.co.uk/</t>
  </si>
  <si>
    <t>FUEL Enterprises</t>
  </si>
  <si>
    <t>Real estate , Software</t>
  </si>
  <si>
    <t>https://www.crunchbase.com/organization/fuel-739a</t>
  </si>
  <si>
    <t>https://fuelcre.com/</t>
  </si>
  <si>
    <t>FundStar</t>
  </si>
  <si>
    <t>Real estate , Investment</t>
  </si>
  <si>
    <t>https://www.crunchbase.com/press_reference/f8dd4992-55f9-caf9-4904-58acc65fb56b</t>
  </si>
  <si>
    <t>https://www.fundstar.nl/</t>
  </si>
  <si>
    <t>Bodegraven</t>
  </si>
  <si>
    <t>Fusebox</t>
  </si>
  <si>
    <t>Internet, Software</t>
  </si>
  <si>
    <t>https://angel.co/company/fusebox-4</t>
  </si>
  <si>
    <t>https://www.crunchbase.com/organization/fusebox</t>
  </si>
  <si>
    <t>https://fuse-box.org/</t>
  </si>
  <si>
    <t>36 West 20th St</t>
  </si>
  <si>
    <t>FUTURE WORLD Real Estate</t>
  </si>
  <si>
    <t>http://fw-realestate.com/</t>
  </si>
  <si>
    <t>207 Oxford Tower, Business Bay</t>
  </si>
  <si>
    <t>Dubai AE</t>
  </si>
  <si>
    <t>122928</t>
  </si>
  <si>
    <t>Gabbi.ai LTD</t>
  </si>
  <si>
    <t>AI, Real Estate</t>
  </si>
  <si>
    <t>https://angel.co/company/gabbi-ai</t>
  </si>
  <si>
    <t>https://www.crunchbase.com/organization/gabbi-ai</t>
  </si>
  <si>
    <t>https://www.gabbi.ai/</t>
  </si>
  <si>
    <t>2300, 10180-101 Street</t>
  </si>
  <si>
    <t>GarageHop</t>
  </si>
  <si>
    <t>https://angel.co/company/garagehop</t>
  </si>
  <si>
    <t>https://www.crunchbase.com/organization/garagehop-inc</t>
  </si>
  <si>
    <t>https://www.garagehop.co/</t>
  </si>
  <si>
    <t>2606 West Raye Street</t>
  </si>
  <si>
    <t>Gensler</t>
  </si>
  <si>
    <t>https://angel.co/company/gensler-morristown-nj</t>
  </si>
  <si>
    <t>https://www.crunchbase.com/organization/gensler-ltd</t>
  </si>
  <si>
    <t>https://www.gensler.com/</t>
  </si>
  <si>
    <t>2 Harrison St</t>
  </si>
  <si>
    <t>GeoData Plus</t>
  </si>
  <si>
    <t>https://www.crunchbase.com/organization/geodata-plus</t>
  </si>
  <si>
    <t>https://www.geodataplus.com/</t>
  </si>
  <si>
    <t>105 Maxess Road, Suite 124</t>
  </si>
  <si>
    <t>Melville</t>
  </si>
  <si>
    <t>11747</t>
  </si>
  <si>
    <t>GeoGekko</t>
  </si>
  <si>
    <t>https://www.crunchbase.com/organization/geo-gecko</t>
  </si>
  <si>
    <t>https://www.geogecko.com</t>
  </si>
  <si>
    <t>Plot 30 Bukoto Street</t>
  </si>
  <si>
    <t>Kamwokya</t>
  </si>
  <si>
    <t>Kampala, UG</t>
  </si>
  <si>
    <t>Geopipe</t>
  </si>
  <si>
    <t>https://angel.co/company/geopipe</t>
  </si>
  <si>
    <t>https://www.crunchbase.com/organization/geopipe-inc</t>
  </si>
  <si>
    <t>https://geopi.pe</t>
  </si>
  <si>
    <t>Geoverse</t>
  </si>
  <si>
    <t>https://www.crunchbase.com/organization/geovs</t>
  </si>
  <si>
    <t>https://www.geoverse.io/</t>
  </si>
  <si>
    <t>13920 SE Eastgate Way, Suite 115</t>
  </si>
  <si>
    <t>98005</t>
  </si>
  <si>
    <t>Gleensite</t>
  </si>
  <si>
    <t>https://angel.co/company/gleensite</t>
  </si>
  <si>
    <t>https://www.crunchbase.com/organization/gleensite</t>
  </si>
  <si>
    <t>https://www.gleensite.com/</t>
  </si>
  <si>
    <t>Gmaven</t>
  </si>
  <si>
    <t>https://www.crunchbase.com/organization/propmaven</t>
  </si>
  <si>
    <t>https://www.gmaven.com/</t>
  </si>
  <si>
    <t xml:space="preserve">8 Eileen Rd, </t>
  </si>
  <si>
    <t>Blairgowrie</t>
  </si>
  <si>
    <t>2194</t>
  </si>
  <si>
    <t>Gnowise</t>
  </si>
  <si>
    <t>https://angel.co/company/gnowise</t>
  </si>
  <si>
    <t>https://www.crunchbase.com/organization/gnowise</t>
  </si>
  <si>
    <t>https://gnowise.com/</t>
  </si>
  <si>
    <t>14 Erb St. W.</t>
  </si>
  <si>
    <t>Waterloo</t>
  </si>
  <si>
    <t>N2L 1W4</t>
  </si>
  <si>
    <t>Go Fan Yourself</t>
  </si>
  <si>
    <t>https://angel.co/go-fan</t>
  </si>
  <si>
    <t>https://www.gofanyourself.com</t>
  </si>
  <si>
    <t>1032 National Pkwy</t>
  </si>
  <si>
    <t>Schaumburg,</t>
  </si>
  <si>
    <t>60173, USA</t>
  </si>
  <si>
    <t>GoAppX</t>
  </si>
  <si>
    <t>https://angel.co/company/goappx</t>
  </si>
  <si>
    <t>https://www.crunchbase.com/organization/goappx-a-pioneer-in-web-and-mobile-app-development-services</t>
  </si>
  <si>
    <t>https://www.goappx.com/</t>
  </si>
  <si>
    <t>GoDesigny</t>
  </si>
  <si>
    <t>https://angel.co/company/godesigny</t>
  </si>
  <si>
    <t>https://www.crunchbase.com/organization/godesigny</t>
  </si>
  <si>
    <t>https://www.godesigny.com/</t>
  </si>
  <si>
    <t>1915 Deer Park Avenue</t>
  </si>
  <si>
    <t>11729</t>
  </si>
  <si>
    <t>GOEFER</t>
  </si>
  <si>
    <t>https://angel.co/company/goefer</t>
  </si>
  <si>
    <t>https://www.crunchbase.com/organization/goefer</t>
  </si>
  <si>
    <t>https://goefer.com/</t>
  </si>
  <si>
    <t>118 N. Market Street</t>
  </si>
  <si>
    <t>21701</t>
  </si>
  <si>
    <t>Goforwardgroup LLC</t>
  </si>
  <si>
    <t>https://angel.co/company/goforwardgroup</t>
  </si>
  <si>
    <t>http://goforwardllc.co</t>
  </si>
  <si>
    <t>660 4th Street</t>
  </si>
  <si>
    <t>Golo Mobile inc.</t>
  </si>
  <si>
    <t>https://www.crunchbase.com/organization/golo-4bb8</t>
  </si>
  <si>
    <t>https://www.golo.io</t>
  </si>
  <si>
    <t>GoReport</t>
  </si>
  <si>
    <t>https://www.crunchbase.com/organization/goreport</t>
  </si>
  <si>
    <t>https://goreport.com/</t>
  </si>
  <si>
    <t>Belfast</t>
  </si>
  <si>
    <t>GOwheeler Pte Ltd</t>
  </si>
  <si>
    <t>http://www.gowheeler.com.sg/</t>
  </si>
  <si>
    <t>60 Jalan Lam Huat</t>
  </si>
  <si>
    <t>737869</t>
  </si>
  <si>
    <t>Graana</t>
  </si>
  <si>
    <t>https://angel.co/u/graana-com-1</t>
  </si>
  <si>
    <t>https://www.crunchbase.com/organization/graana</t>
  </si>
  <si>
    <t>https://www.graana.com/</t>
  </si>
  <si>
    <t>Islamabad</t>
  </si>
  <si>
    <t>Graphic, Inc</t>
  </si>
  <si>
    <t>https://coinable.com/</t>
  </si>
  <si>
    <t xml:space="preserve">1067 E US Hwy 24, #261 </t>
  </si>
  <si>
    <t>Woodland Park</t>
  </si>
  <si>
    <t>80863</t>
  </si>
  <si>
    <t>Graytec USA</t>
  </si>
  <si>
    <t>https://www.graytec.se/</t>
  </si>
  <si>
    <t>1776 N Scottsdale Rd</t>
  </si>
  <si>
    <t>85257</t>
  </si>
  <si>
    <t>Green Orbit</t>
  </si>
  <si>
    <t>https://angel.co/u/green-orbit</t>
  </si>
  <si>
    <t>https://www.crunchbase.com/organization/intranet-dashboard</t>
  </si>
  <si>
    <t>https://greenorbit.com/</t>
  </si>
  <si>
    <t>GreenApps</t>
  </si>
  <si>
    <t>https://angel.co/company/greenapp</t>
  </si>
  <si>
    <t>https://www.crunchbase.com/organization/greenapps</t>
  </si>
  <si>
    <t>https://www.greenapps.com/</t>
  </si>
  <si>
    <t>1500 Boulevard de</t>
  </si>
  <si>
    <t>Maisonneuve O</t>
  </si>
  <si>
    <t>QC H3G 1N1</t>
  </si>
  <si>
    <t>GreenGen LLC</t>
  </si>
  <si>
    <t>https://www.crunchbase.com/organization/green-generation-solutions</t>
  </si>
  <si>
    <t>https://www.greengen.com/</t>
  </si>
  <si>
    <t>Washintgon</t>
  </si>
  <si>
    <t>Greenshine New Energy</t>
  </si>
  <si>
    <t>https://angel.co/company/greenshine-new-energy</t>
  </si>
  <si>
    <t>https://www.crunchbase.com/organization/greenshine-new-energy</t>
  </si>
  <si>
    <t>https://www.streetlights-solar.com/</t>
  </si>
  <si>
    <t>Greensoil Proptech Ventures</t>
  </si>
  <si>
    <t>https://www.crunchbase.com/organization/greensoil-proptech-ventures</t>
  </si>
  <si>
    <t>https://www.gspv.vc/</t>
  </si>
  <si>
    <t>2345 Yonge St</t>
  </si>
  <si>
    <t>M4P 2E5</t>
  </si>
  <si>
    <t>Greywale Advisors</t>
  </si>
  <si>
    <t>https://angel.co/company/greywale-management</t>
  </si>
  <si>
    <t>http://greywale.com/</t>
  </si>
  <si>
    <t>Grit Group</t>
  </si>
  <si>
    <t>https://grit.group/</t>
  </si>
  <si>
    <t>3rd floor, La Croisette Shopping Mall, Grand Baie,</t>
  </si>
  <si>
    <t>Grand Baie</t>
  </si>
  <si>
    <t>Mauritius</t>
  </si>
  <si>
    <t>Growth Maps</t>
  </si>
  <si>
    <t>https://angel.co/company/growth-maps</t>
  </si>
  <si>
    <t>https://www.crunchbase.com/organization/growth-maps</t>
  </si>
  <si>
    <t>https://www.growth-maps.com/</t>
  </si>
  <si>
    <t>3561 Homestead Road · Unit 361</t>
  </si>
  <si>
    <t>95051</t>
  </si>
  <si>
    <t>GTIB</t>
  </si>
  <si>
    <t>https://gtinsurancebrokers.com.au/</t>
  </si>
  <si>
    <t>43 Williamson St</t>
  </si>
  <si>
    <t>Bendigo</t>
  </si>
  <si>
    <t>VIC 3550</t>
  </si>
  <si>
    <t>Guard Dog Technologies</t>
  </si>
  <si>
    <t>https://guarddogtech.com/</t>
  </si>
  <si>
    <t>GuestWiser/Jurny</t>
  </si>
  <si>
    <t>https://guestwiser.com/</t>
  </si>
  <si>
    <t>6600 Sunset Blvd.</t>
  </si>
  <si>
    <t>Los Angele</t>
  </si>
  <si>
    <t>90028</t>
  </si>
  <si>
    <t>Halock Security Labs</t>
  </si>
  <si>
    <t>https://angel.co/company/halock-security-labs-2</t>
  </si>
  <si>
    <t>https://www.crunchbase.com/organization/halock-security-labs</t>
  </si>
  <si>
    <t>https://www.halock.com/</t>
  </si>
  <si>
    <t>1834 Walden Office Square Suite 200,</t>
  </si>
  <si>
    <t>Schaumburg</t>
  </si>
  <si>
    <t>HAP Investments</t>
  </si>
  <si>
    <t>https://www.crunchbase.com/organization/hap-investments</t>
  </si>
  <si>
    <t>https://hap-ny.com/</t>
  </si>
  <si>
    <t>3 East 54th Street, 15th Floor</t>
  </si>
  <si>
    <t>10022</t>
  </si>
  <si>
    <t>Harmony Real Estate Group</t>
  </si>
  <si>
    <t>https://www.crunchbase.com/organization/harmony-homes#section-overview</t>
  </si>
  <si>
    <t>https://harmonyhomes.com/</t>
  </si>
  <si>
    <t>8912 Spanish Ridge Avenue, Ste 200,</t>
  </si>
  <si>
    <t>89148</t>
  </si>
  <si>
    <t>Hartlabs</t>
  </si>
  <si>
    <t>https://angel.co/u/hartlabs</t>
  </si>
  <si>
    <t>https://www.crunchbase.com/organization/hartlabs</t>
  </si>
  <si>
    <t>https://btnrocket.com/google-maps-instant-contact/</t>
  </si>
  <si>
    <t>Hatch Data</t>
  </si>
  <si>
    <t>https://angel.co/company/hatch-data</t>
  </si>
  <si>
    <t>https://www.crunchbase.com/organization/hatch-data</t>
  </si>
  <si>
    <t>hatchdata.com</t>
  </si>
  <si>
    <t>Hauzd</t>
  </si>
  <si>
    <t>https://angel.co/company/hauzd_com</t>
  </si>
  <si>
    <t>https://www.crunchbase.com/organization/hauzd</t>
  </si>
  <si>
    <t>www.hauzd.com</t>
  </si>
  <si>
    <t>Hello Choice</t>
  </si>
  <si>
    <t>https://angel.co/u/hello-choice</t>
  </si>
  <si>
    <t>https://www.hellochoice.co.za/</t>
  </si>
  <si>
    <t>highlight story</t>
  </si>
  <si>
    <t>highlightstory.com</t>
  </si>
  <si>
    <t>95101</t>
  </si>
  <si>
    <t>Hipercept</t>
  </si>
  <si>
    <t>https://angel.co/company/hipercept</t>
  </si>
  <si>
    <t>https://www.crunchbase.com/organization/hipercept</t>
  </si>
  <si>
    <t>http://www.hipercept.com/</t>
  </si>
  <si>
    <t>135 W 41st Street 3rd Floor, Suite 105</t>
  </si>
  <si>
    <t>Hire Aiva</t>
  </si>
  <si>
    <t>https://angel.co/company/hireaiva</t>
  </si>
  <si>
    <t>https://www.hireaiva.com/</t>
  </si>
  <si>
    <t>36 W 25th St, Floor 12</t>
  </si>
  <si>
    <t>Hock Hin</t>
  </si>
  <si>
    <t>https://singaporebuddhistfunerals.com/</t>
  </si>
  <si>
    <t>38 Sin Ming Dr</t>
  </si>
  <si>
    <t>575712</t>
  </si>
  <si>
    <t>Hologram Outdoor Advertising</t>
  </si>
  <si>
    <t>https://hologramoutdoor.com/#about</t>
  </si>
  <si>
    <t xml:space="preserve">7083 Hollywood Boulevard </t>
  </si>
  <si>
    <t>hom</t>
  </si>
  <si>
    <t>https://angel.co/hom</t>
  </si>
  <si>
    <t>https://www.crunchbase.com/organization/hom</t>
  </si>
  <si>
    <t>http://www.iamhom.com/</t>
  </si>
  <si>
    <t>163 West 18th Street</t>
  </si>
  <si>
    <t>HomeASAP</t>
  </si>
  <si>
    <t>Social media Marketing</t>
  </si>
  <si>
    <t>https://angel.co/company/homeasap</t>
  </si>
  <si>
    <t>https://www.crunchbase.com/organization/homeasap</t>
  </si>
  <si>
    <t>https://about.homeasap.com/</t>
  </si>
  <si>
    <t>4887 Belfort Rd., Suite 400</t>
  </si>
  <si>
    <t>Jacksonville</t>
  </si>
  <si>
    <t>32221</t>
  </si>
  <si>
    <t>HomeBeat.Live</t>
  </si>
  <si>
    <t>https://angel.co/company/homebeatlive</t>
  </si>
  <si>
    <t>https://www.crunchbase.com/organization/homebeat-live</t>
  </si>
  <si>
    <t>https://homebeat.live/</t>
  </si>
  <si>
    <t>Dortmunder Str. 2, 10555</t>
  </si>
  <si>
    <t>HomeNovator</t>
  </si>
  <si>
    <t>https://angel.co/company/homenovator</t>
  </si>
  <si>
    <t>https://www.crunchbase.com/organization/outroop-inc</t>
  </si>
  <si>
    <t>https://www.homenovator.com/</t>
  </si>
  <si>
    <t>1751 Pinnacle Drive, Suite #537, Tysons Corner, VA 22102</t>
  </si>
  <si>
    <t>Tysons</t>
  </si>
  <si>
    <t>HomeOpenly</t>
  </si>
  <si>
    <t>https://angel.co/company/homeopenly</t>
  </si>
  <si>
    <t>https://www.crunchbase.com/organization/homeopenly#section-overview</t>
  </si>
  <si>
    <t>https://homeopenly.com/</t>
  </si>
  <si>
    <t>325 Sharon Park Dr. #416
Menlo Park, California 94025</t>
  </si>
  <si>
    <t>HomeRun IQ</t>
  </si>
  <si>
    <t>https://angel.co/projects/790105-homerun-iq?src=startup_profile</t>
  </si>
  <si>
    <t>https://homeruniq.com/</t>
  </si>
  <si>
    <t>HomeX</t>
  </si>
  <si>
    <t>https://angel.co/company/homex-2</t>
  </si>
  <si>
    <t>https://www.crunchbase.com/organization/homex</t>
  </si>
  <si>
    <t>https://homex.com/</t>
  </si>
  <si>
    <t>Culiacán</t>
  </si>
  <si>
    <t>Honest Network</t>
  </si>
  <si>
    <t>https://angel.co/company/honest-networks</t>
  </si>
  <si>
    <t>https://www.crunchbase.com/organization/honest-networks</t>
  </si>
  <si>
    <t>https://www.honest.net/</t>
  </si>
  <si>
    <t>Horizon Communications Technologies</t>
  </si>
  <si>
    <t>https://angel.co/company/horizon-communications-1</t>
  </si>
  <si>
    <t>https://www.crunchbase.com/organization/horizon-communications-2</t>
  </si>
  <si>
    <t>http://www.horizon-com.com/</t>
  </si>
  <si>
    <t>Hosta Labs</t>
  </si>
  <si>
    <t>https://hostalabs.com/beta/</t>
  </si>
  <si>
    <t>HowLoud, Inc.</t>
  </si>
  <si>
    <t>https://angel.co/company/howloud</t>
  </si>
  <si>
    <t>https://www.crunchbase.com/organization/howloud</t>
  </si>
  <si>
    <t>http://howloud.com/</t>
  </si>
  <si>
    <t>Hudson Pacific Properties</t>
  </si>
  <si>
    <t>https://www.crunchbase.com/organization/hudson-pacific-properties</t>
  </si>
  <si>
    <t>www.hudsonpacificproperties.com</t>
  </si>
  <si>
    <t>11601 Wilshire Blvd</t>
  </si>
  <si>
    <t>90025</t>
  </si>
  <si>
    <t>Hudson Tech</t>
  </si>
  <si>
    <t>https://www.crunchbase.com/organization/hudson-technologies-company</t>
  </si>
  <si>
    <t>https://www.hudsontech.com/</t>
  </si>
  <si>
    <t>Pearl River</t>
  </si>
  <si>
    <t>Human Dynamics</t>
  </si>
  <si>
    <t>Office, Multifamily, Hospitality</t>
  </si>
  <si>
    <t>http://www.human-dyn.com</t>
  </si>
  <si>
    <t>Iconics</t>
  </si>
  <si>
    <t>https://www.crunchbase.com/organization/iconics</t>
  </si>
  <si>
    <t>https://iconics.com/</t>
  </si>
  <si>
    <t>100 Foxborough Blvd.</t>
  </si>
  <si>
    <t>Foxborough</t>
  </si>
  <si>
    <t>02035</t>
  </si>
  <si>
    <t>ID Plans</t>
  </si>
  <si>
    <t>Office, Retail, Hospitality, Other</t>
  </si>
  <si>
    <t>https://www.crunchbase.com/organization/id-plans</t>
  </si>
  <si>
    <t>https://www.idplans.com/?utm_source=cretech</t>
  </si>
  <si>
    <t>iGlobsyn Technologies</t>
  </si>
  <si>
    <t>https://angel.co/company/iglobsyn-technologies-3</t>
  </si>
  <si>
    <t>https://www.crunchbase.com/organization/iglobsyn-technologies</t>
  </si>
  <si>
    <t>https://www.iglobsyn.com/</t>
  </si>
  <si>
    <t>iGMS</t>
  </si>
  <si>
    <t>https://angel.co/company/airgms</t>
  </si>
  <si>
    <t>https://www.crunchbase.com/organization/airgms</t>
  </si>
  <si>
    <t>https://www.igms.com/</t>
  </si>
  <si>
    <t>iLease Management LLC</t>
  </si>
  <si>
    <t>https://angel.co/company/ileasepro</t>
  </si>
  <si>
    <t>https://www.crunchbase.com/organization/ileasepro</t>
  </si>
  <si>
    <t>https://ileasepro.com/</t>
  </si>
  <si>
    <t>iLobby</t>
  </si>
  <si>
    <t>Office, Hospitality</t>
  </si>
  <si>
    <t>https://angel.co/company/ilobby-5</t>
  </si>
  <si>
    <t>https://www.crunchbase.com/organization/ilobby-corp</t>
  </si>
  <si>
    <t>https://ilobby.com/</t>
  </si>
  <si>
    <t>3605 Weston Rd. North York, ON M9L 1V7</t>
  </si>
  <si>
    <t>immoviewer</t>
  </si>
  <si>
    <t xml:space="preserve">Real Estate, Software, Virtual Visits, 360° tours
</t>
  </si>
  <si>
    <t>https://www.crunchbase.com/organization/immoviewer#section-overview</t>
  </si>
  <si>
    <t>https://www.immoviewer.com/</t>
  </si>
  <si>
    <t>IncentiFind</t>
  </si>
  <si>
    <t>https://angel.co/company/incentifind</t>
  </si>
  <si>
    <t>https://www.crunchbase.com/organization/incentifind</t>
  </si>
  <si>
    <t>https://incentifind.com/</t>
  </si>
  <si>
    <t>Incube Space</t>
  </si>
  <si>
    <t>https://angel.co/company/incube-space</t>
  </si>
  <si>
    <t>https://www.crunchbase.com/organization/incube-7847</t>
  </si>
  <si>
    <t>https://incube.space/</t>
  </si>
  <si>
    <t>IndoorVu Inc.</t>
  </si>
  <si>
    <t>https://angel.co/company/indoorvu</t>
  </si>
  <si>
    <t>https://www.crunchbase.com/organization/indoorvu</t>
  </si>
  <si>
    <t>https://indoorvu.com/</t>
  </si>
  <si>
    <t>1240 ROSECRANS AVE. SUITE 120 MANHATTAN BEACH, 90266</t>
  </si>
  <si>
    <t>90266</t>
  </si>
  <si>
    <t>INDRIYN</t>
  </si>
  <si>
    <t>https://angel.co/company/indriyn-data-analytics</t>
  </si>
  <si>
    <t>https://www.crunchbase.com/organization/facillizence</t>
  </si>
  <si>
    <t>http://facillizence.com/</t>
  </si>
  <si>
    <t>CIE, Vindhya C5, IIIT-H Gachibowli</t>
  </si>
  <si>
    <t>500032</t>
  </si>
  <si>
    <t>Infabode</t>
  </si>
  <si>
    <t>https://angel.co/company/infabodeltd</t>
  </si>
  <si>
    <t>https://www.crunchbase.com/organization/infabode</t>
  </si>
  <si>
    <t>https://www.infabode.com/</t>
  </si>
  <si>
    <t>Infabode Limited
3 Lloyd's Avenue
London
EC3N 3DS</t>
  </si>
  <si>
    <t>EC3N 3DS</t>
  </si>
  <si>
    <t>Infill</t>
  </si>
  <si>
    <t>https://www.crunchbase.com/organization/infill</t>
  </si>
  <si>
    <t>https://www.getinfill.com/</t>
  </si>
  <si>
    <t>Königswinter</t>
  </si>
  <si>
    <t>Infinitely Virtual</t>
  </si>
  <si>
    <t>https://www.crunchbase.com/organization/infinitely-virtual</t>
  </si>
  <si>
    <t>https://www.infinitelyvirtual.com/</t>
  </si>
  <si>
    <t>Inolares</t>
  </si>
  <si>
    <t>https://inolares.de/de/</t>
  </si>
  <si>
    <t>Zossener Str. 55</t>
  </si>
  <si>
    <t>10961</t>
  </si>
  <si>
    <t>Inovues</t>
  </si>
  <si>
    <t>Retrofit</t>
  </si>
  <si>
    <t>https://angel.co/inovues</t>
  </si>
  <si>
    <t>https://www.crunchbase.com/organization/inovues</t>
  </si>
  <si>
    <t>https://www.inovues.com/</t>
  </si>
  <si>
    <t>2323 McCue Rd</t>
  </si>
  <si>
    <t>77056</t>
  </si>
  <si>
    <t>Inreal</t>
  </si>
  <si>
    <t>https://angel.co/company/inreal</t>
  </si>
  <si>
    <t>https://www.crunchbase.com/organization/inreal-technologies#section-overview</t>
  </si>
  <si>
    <t>https://inreal-tech.com/?lang=en</t>
  </si>
  <si>
    <t>Station Square 12 |
76137 Karlsruhe</t>
  </si>
  <si>
    <t>Manheim</t>
  </si>
  <si>
    <t xml:space="preserve">76137 </t>
  </si>
  <si>
    <t>InSite</t>
  </si>
  <si>
    <t>https://www.insiteintelligence.com/</t>
  </si>
  <si>
    <t>2021 L Street NW</t>
  </si>
  <si>
    <t>Instant</t>
  </si>
  <si>
    <t>https://www.crunchbase.com/organization/the-instant-group</t>
  </si>
  <si>
    <t>https://www.theinstantgroup.com/en-gb</t>
  </si>
  <si>
    <t>Integrated Business Systems, Inc.</t>
  </si>
  <si>
    <t>https://angel.co/company/integrated-business-systems-ibs</t>
  </si>
  <si>
    <t>https://www.crunchbase.com/organization/integrated-business-systems</t>
  </si>
  <si>
    <t>https://www.ibsre.com/</t>
  </si>
  <si>
    <t>Totowa</t>
  </si>
  <si>
    <t>Investor Deal Room</t>
  </si>
  <si>
    <t>https://angel.co/company/investor-deal-room-1</t>
  </si>
  <si>
    <t>https://www.crunchbase.com/organization/investor-deal-room</t>
  </si>
  <si>
    <t>https://investordealroom.com/</t>
  </si>
  <si>
    <t>Plano</t>
  </si>
  <si>
    <t>Investor Management Services (IMS)</t>
  </si>
  <si>
    <t>https://angel.co/company/investor-management-services-1</t>
  </si>
  <si>
    <t>https://www.crunchbase.com/organization/investor-management-services</t>
  </si>
  <si>
    <t>https://www.investormanagementservices.com</t>
  </si>
  <si>
    <t>InvestReal</t>
  </si>
  <si>
    <t>https://www.crunchbase.com/organization/investreal</t>
  </si>
  <si>
    <t>https://www.investreal.com/#/</t>
  </si>
  <si>
    <t>Invicara</t>
  </si>
  <si>
    <t>https://www.crunchbase.com/organization/invicara</t>
  </si>
  <si>
    <t>https://invicara.com/</t>
  </si>
  <si>
    <t>IonPacific</t>
  </si>
  <si>
    <t>https://ionbox.net/</t>
  </si>
  <si>
    <t>IoTConnect - Intelligent Building Solution</t>
  </si>
  <si>
    <t>https://angel.co/company/iotconnect</t>
  </si>
  <si>
    <t>https://www.crunchbase.com/organization/iotconnect</t>
  </si>
  <si>
    <t>https://www.iotconnect.io/</t>
  </si>
  <si>
    <t>2531 Technology Drive, St 312</t>
  </si>
  <si>
    <t>Elgin</t>
  </si>
  <si>
    <t>60124</t>
  </si>
  <si>
    <t>Ipsos Retail Performance</t>
  </si>
  <si>
    <t>https://angel.co/company/ipsos</t>
  </si>
  <si>
    <t>https://www.crunchbase.com/organization/ipsos-retail-performance</t>
  </si>
  <si>
    <t>https://www.ipsos-retailperformance.com/us/</t>
  </si>
  <si>
    <t>Mylton Keynes</t>
  </si>
  <si>
    <t>Jabbrbox</t>
  </si>
  <si>
    <t>https://www.crunchbase.com/organization/jabbrrbox</t>
  </si>
  <si>
    <t>https://www.jabbrrbox.com/</t>
  </si>
  <si>
    <t>4545 Center Boulevard</t>
  </si>
  <si>
    <t>11109</t>
  </si>
  <si>
    <t>Jagaha.com</t>
  </si>
  <si>
    <t>https://angel.co/company/jagaha</t>
  </si>
  <si>
    <t>https://www.crunchbase.com/organization/jagaha</t>
  </si>
  <si>
    <t>https://www.jagaha.com/</t>
  </si>
  <si>
    <t>1st floor, 103-105, Makhija Arcade, 35th Road, Bandra West, Mumbai, Maharashtra 400052</t>
  </si>
  <si>
    <t xml:space="preserve">Maharashtra </t>
  </si>
  <si>
    <t>400052</t>
  </si>
  <si>
    <t>JAS Business Systems</t>
  </si>
  <si>
    <t>https://angel.co/u/jas-business-system</t>
  </si>
  <si>
    <t>http://www.jasbusinesssystems.com/</t>
  </si>
  <si>
    <t>406, 4th Floor,Markaz Almana</t>
  </si>
  <si>
    <t>Doha</t>
  </si>
  <si>
    <t>Qatar</t>
  </si>
  <si>
    <t>Jellyswitch</t>
  </si>
  <si>
    <t>https://angel.co/company/jellyswitch</t>
  </si>
  <si>
    <t>https://www.jellyswitch.com/</t>
  </si>
  <si>
    <t>JobNimbus</t>
  </si>
  <si>
    <t>https://www.crunchbase.com/organization/jobnimbus</t>
  </si>
  <si>
    <t>http://www.jobnimbus.com/</t>
  </si>
  <si>
    <t>American Fork</t>
  </si>
  <si>
    <t>JLL Spark</t>
  </si>
  <si>
    <t xml:space="preserve">Real Estate </t>
  </si>
  <si>
    <t>https://www.crunchbase.com/organization/jll-spark#section-overview</t>
  </si>
  <si>
    <t>https://www.us.jll.com/</t>
  </si>
  <si>
    <t>703 Market St., 17th Floor
Suite 1700</t>
  </si>
  <si>
    <t>Jocial</t>
  </si>
  <si>
    <t>https://angel.co/company/jocial-1</t>
  </si>
  <si>
    <t>https://www.jocial.com/</t>
  </si>
  <si>
    <t>https://www.crunchbase.com/organization/join-d22f#section-overview</t>
  </si>
  <si>
    <t>https://joinpdx.org/</t>
  </si>
  <si>
    <t>1435 NE 81st Avenue, Suite 100</t>
  </si>
  <si>
    <t>OR 97213</t>
  </si>
  <si>
    <t>Kahua</t>
  </si>
  <si>
    <t>https://www.crunchbase.com/organization/kahua</t>
  </si>
  <si>
    <t>https://www.kahua.com/</t>
  </si>
  <si>
    <t>Kawsay</t>
  </si>
  <si>
    <t>http://kawsay.io</t>
  </si>
  <si>
    <t>Kebony</t>
  </si>
  <si>
    <t>https://angel.co/company/kebony</t>
  </si>
  <si>
    <t>https://www.crunchbase.com/organization/kebony</t>
  </si>
  <si>
    <t>https://us.kebony.com/</t>
  </si>
  <si>
    <t>Keepe</t>
  </si>
  <si>
    <t>https://angel.co/company/keepe</t>
  </si>
  <si>
    <t>https://www.crunchbase.com/organization/keepe#section-overview</t>
  </si>
  <si>
    <t>https://www.keepe.com/</t>
  </si>
  <si>
    <t>719 2nd Ave, Ste 825</t>
  </si>
  <si>
    <t>WA 98104</t>
  </si>
  <si>
    <t>Kitt</t>
  </si>
  <si>
    <t>https://angel.co/company/kitt</t>
  </si>
  <si>
    <t>https://www.crunchbase.com/organization/kitt</t>
  </si>
  <si>
    <t>https://kitt.co.nz/</t>
  </si>
  <si>
    <t>Knogeo Technologies Inc.</t>
  </si>
  <si>
    <t>https://angel.co/company/knogeo</t>
  </si>
  <si>
    <t>https://www.crunchbase.com/organization/knogeo</t>
  </si>
  <si>
    <t>https://www.knogeo.com/</t>
  </si>
  <si>
    <t>Kodaro</t>
  </si>
  <si>
    <t>https://angel.co/kodaro/</t>
  </si>
  <si>
    <t>https://www.crunchbase.com/organization/kodaro</t>
  </si>
  <si>
    <t>http://www.kodaro.com/</t>
  </si>
  <si>
    <t>3451 Vincent Road</t>
  </si>
  <si>
    <t>Pleasant Hill</t>
  </si>
  <si>
    <t>94523</t>
  </si>
  <si>
    <t>Kognition.ai</t>
  </si>
  <si>
    <t>Facial Recognition</t>
  </si>
  <si>
    <t>https://angel.co/kognition</t>
  </si>
  <si>
    <t>https://www.crunchbase.com/organization/kognition</t>
  </si>
  <si>
    <t>www.kognition.ai</t>
  </si>
  <si>
    <t>4646 Umbria Street</t>
  </si>
  <si>
    <t>19127</t>
  </si>
  <si>
    <t>Komfort IQ</t>
  </si>
  <si>
    <t>https://www.crunchbase.com/organization/komfort-iq</t>
  </si>
  <si>
    <t>https://komfortiq.com</t>
  </si>
  <si>
    <t>KQSensors</t>
  </si>
  <si>
    <t>https://www.kqsensors.com/</t>
  </si>
  <si>
    <t>Kwant</t>
  </si>
  <si>
    <t>https://angel.co/company/ontarget-technologies</t>
  </si>
  <si>
    <t>https://www.crunchbase.com/organization/ontarget-technologies</t>
  </si>
  <si>
    <t>Kwant.ai</t>
  </si>
  <si>
    <t>Landcheck</t>
  </si>
  <si>
    <t>http://landchecks.com/</t>
  </si>
  <si>
    <t>1595 Peachtree Pkwy Suite 204# 276</t>
  </si>
  <si>
    <t>Cumming</t>
  </si>
  <si>
    <t>30041</t>
  </si>
  <si>
    <t>Landlordy</t>
  </si>
  <si>
    <t>https://angel.co/company/landlordy</t>
  </si>
  <si>
    <t>https://www.crunchbase.com/organization/landlordy</t>
  </si>
  <si>
    <t>https://landlordy.com/</t>
  </si>
  <si>
    <t>LARKI</t>
  </si>
  <si>
    <t>https://angel.co/company/larki</t>
  </si>
  <si>
    <t>https://www.crunchbase.com/organization/larki</t>
  </si>
  <si>
    <t>https://larki.com.au/</t>
  </si>
  <si>
    <t>Leadkit</t>
  </si>
  <si>
    <t>https://angel.co/company/leadkit-1</t>
  </si>
  <si>
    <t>https://www.crunchbase.com/organization/leadkit</t>
  </si>
  <si>
    <t>http://www.getleadkit.com</t>
  </si>
  <si>
    <t>LeaseCalcs, Inc.</t>
  </si>
  <si>
    <t>https://angel.co/company/leasecalcs-inc</t>
  </si>
  <si>
    <t>https://www.crunchbase.com/organization/leasecalcs</t>
  </si>
  <si>
    <t>www.leasecalcs.com</t>
  </si>
  <si>
    <t>LeaseEagle</t>
  </si>
  <si>
    <t>https://www.crunchbase.com/organization/leaseeagle</t>
  </si>
  <si>
    <t>https://leaseeagle.com/</t>
  </si>
  <si>
    <t>Leasera</t>
  </si>
  <si>
    <t>https://angel.co/company/leasera-1</t>
  </si>
  <si>
    <t>https://www.crunchbase.com/organization/leasera</t>
  </si>
  <si>
    <t>https://www.leasera.com</t>
  </si>
  <si>
    <t>LeasingBetter</t>
  </si>
  <si>
    <t>https://leasingbetter.com/</t>
  </si>
  <si>
    <t>33606</t>
  </si>
  <si>
    <t>Leesman</t>
  </si>
  <si>
    <t>https://www.crunchbase.com/organization/leesman</t>
  </si>
  <si>
    <t>https://www.leesmanindex.com/</t>
  </si>
  <si>
    <t>Level Home</t>
  </si>
  <si>
    <t>Smart Home</t>
  </si>
  <si>
    <t>https://angel.co/company/joinlevel</t>
  </si>
  <si>
    <t>https://www.crunchbase.com/organization/level-home#section-overview</t>
  </si>
  <si>
    <t>https://level.co/</t>
  </si>
  <si>
    <t>935 Main Street</t>
  </si>
  <si>
    <t>LIKK Technologies</t>
  </si>
  <si>
    <t>https://www.crunchbase.com/organization/likk-technologies</t>
  </si>
  <si>
    <t>https://www.likktechnologies.com/</t>
  </si>
  <si>
    <t>Listing Llama Ltd.</t>
  </si>
  <si>
    <t>https://www.crunchbase.com/organization/listing-llama</t>
  </si>
  <si>
    <t>https://listingllama.com/</t>
  </si>
  <si>
    <t>Kelowna</t>
  </si>
  <si>
    <t>LoanBoss</t>
  </si>
  <si>
    <t>https://www.crunchbase.com/organization/loan-boss</t>
  </si>
  <si>
    <t>https://loanboss.com/</t>
  </si>
  <si>
    <t>1300 South Mint Street, Suite 410</t>
  </si>
  <si>
    <t>Lobby CRE</t>
  </si>
  <si>
    <t>https://angel.co/company/lobby-cre</t>
  </si>
  <si>
    <t>https://www.lobbycre.com/</t>
  </si>
  <si>
    <t>11121 Carmel Commons Blvd</t>
  </si>
  <si>
    <t>28226</t>
  </si>
  <si>
    <t>LocateAI</t>
  </si>
  <si>
    <t>https://angel.co/company/locateai</t>
  </si>
  <si>
    <t>https://www.crunchbase.com/organization/locateai</t>
  </si>
  <si>
    <t>https://www.locate.ai</t>
  </si>
  <si>
    <t>Lucro</t>
  </si>
  <si>
    <t>https://angel.co/company/lucro</t>
  </si>
  <si>
    <t>https://www.crunchbase.com/organization/lucro-8684</t>
  </si>
  <si>
    <t>www.getlucro.com</t>
  </si>
  <si>
    <t>321 N. Clark St., STE 2550</t>
  </si>
  <si>
    <t>MACH Energy</t>
  </si>
  <si>
    <t>https://angel.co/company/mach-energy</t>
  </si>
  <si>
    <r>
      <rPr>
        <color rgb="FF1155CC"/>
      </rPr>
      <t xml:space="preserve"> </t>
    </r>
    <r>
      <rPr>
        <color rgb="FF1155CC"/>
        <u/>
      </rPr>
      <t>https://www.crunchbase.com/organization/mach-energy</t>
    </r>
  </si>
  <si>
    <t>https://www.machenergy.com/</t>
  </si>
  <si>
    <t>San Francisco Bay Area</t>
  </si>
  <si>
    <t>Mallcomm</t>
  </si>
  <si>
    <t>https://www.crunchbase.com/organization/mallcomm</t>
  </si>
  <si>
    <t>https://www.mallcommapp.com/welcome/</t>
  </si>
  <si>
    <t>Bury Saint Edmunds</t>
  </si>
  <si>
    <t>ManagedMethods</t>
  </si>
  <si>
    <t>https://www.crunchbase.com/organization/managed-methods</t>
  </si>
  <si>
    <t>https://managedmethods.com/</t>
  </si>
  <si>
    <t>ManageTeamz</t>
  </si>
  <si>
    <t>Retail; Logistics</t>
  </si>
  <si>
    <t>https://www.crunchbase.com/organization/manageteamz</t>
  </si>
  <si>
    <t>https://www.manageteamz.com/</t>
  </si>
  <si>
    <t>Chennai</t>
  </si>
  <si>
    <t>Manor Straits</t>
  </si>
  <si>
    <t>https://angel.co/company/manor-straits</t>
  </si>
  <si>
    <t>https://www.crunchbase.com/organization/manor-straits</t>
  </si>
  <si>
    <t>https://manorstraits.com/</t>
  </si>
  <si>
    <t>MAP Systems</t>
  </si>
  <si>
    <t>https://angel.co/company/map-systems-5</t>
  </si>
  <si>
    <t>https://www.crunchbase.com/organization/mapsystems</t>
  </si>
  <si>
    <t>https://mapsystemsindia.com/</t>
  </si>
  <si>
    <t>Map Your Property</t>
  </si>
  <si>
    <t>https://angel.co/mapyourproperty</t>
  </si>
  <si>
    <t>https://www.crunchbase.com/organization/mapyourproperty</t>
  </si>
  <si>
    <t>https://www.mapyourproperty.com/</t>
  </si>
  <si>
    <t>Mapped</t>
  </si>
  <si>
    <t>Industrial and Multifamily</t>
  </si>
  <si>
    <t>https://angel.co/company/mapped</t>
  </si>
  <si>
    <t>https://www.crunchbase.com/organization/mapped-d316</t>
  </si>
  <si>
    <t>https://www.mapped.com/</t>
  </si>
  <si>
    <t>147 Standard St</t>
  </si>
  <si>
    <t>MappSnap</t>
  </si>
  <si>
    <t>https://www.mappsnap.com/</t>
  </si>
  <si>
    <t>1204 W Gardena Blvd Unit A</t>
  </si>
  <si>
    <t>90247</t>
  </si>
  <si>
    <t>Mapiq</t>
  </si>
  <si>
    <t>https://angel.co/company/mapiq</t>
  </si>
  <si>
    <t>https://www.crunchbase.com/organization/mapiq</t>
  </si>
  <si>
    <t>https://www.mapiq.com/</t>
  </si>
  <si>
    <t>Molengraaffsingel 10</t>
  </si>
  <si>
    <t>Delft</t>
  </si>
  <si>
    <t>The Netherlands</t>
  </si>
  <si>
    <t>MarketPier</t>
  </si>
  <si>
    <t>https://www.marketpier.com/</t>
  </si>
  <si>
    <t>4858 Mercury St</t>
  </si>
  <si>
    <t>92111</t>
  </si>
  <si>
    <t>Mashroom</t>
  </si>
  <si>
    <t>https://angel.co/company/mashroom-1</t>
  </si>
  <si>
    <t>https://www.crunchbase.com/organization/mashroom-4dd3</t>
  </si>
  <si>
    <t>https://www.mashroom.com</t>
  </si>
  <si>
    <t>21 Navigation Business Village Navigation Way, Ashton-On-Ribble</t>
  </si>
  <si>
    <t>Preston</t>
  </si>
  <si>
    <t>PR2 2YP</t>
  </si>
  <si>
    <t>Meridio</t>
  </si>
  <si>
    <t>https://www.crunchbase.com/organization/meridio</t>
  </si>
  <si>
    <t>https://www.meridio.co/</t>
  </si>
  <si>
    <t>Metrikus</t>
  </si>
  <si>
    <t>https://angel.co/company/metrikus-1</t>
  </si>
  <si>
    <t>https://www.crunchbase.com/organization/metrikus</t>
  </si>
  <si>
    <t>https://www.metrikus.io/</t>
  </si>
  <si>
    <t>Micro Strategies Inc.</t>
  </si>
  <si>
    <t>https://www.crunchbase.com/organization/micro-strategies-inc</t>
  </si>
  <si>
    <t>https://www.microstrat.com</t>
  </si>
  <si>
    <t>Denville</t>
  </si>
  <si>
    <t>Microlab</t>
  </si>
  <si>
    <t>https://microlabtech.com/</t>
  </si>
  <si>
    <t>25 Eastmans Road
Parsippany</t>
  </si>
  <si>
    <t>Parsippany</t>
  </si>
  <si>
    <t>07054</t>
  </si>
  <si>
    <t>Mistbox</t>
  </si>
  <si>
    <t>https://angel.co/mistbox</t>
  </si>
  <si>
    <t>https://www.crunchbase.com/organization/mistbox</t>
  </si>
  <si>
    <t>https://mistbox.com/</t>
  </si>
  <si>
    <t>10661 Haddington Dr #170</t>
  </si>
  <si>
    <t>77043</t>
  </si>
  <si>
    <t>MOBLZ</t>
  </si>
  <si>
    <t>https://www.moblz.com/</t>
  </si>
  <si>
    <t>Millstone Dr</t>
  </si>
  <si>
    <t>Hillsborough</t>
  </si>
  <si>
    <t>27278</t>
  </si>
  <si>
    <t>Moderan</t>
  </si>
  <si>
    <t>https://www.crunchbase.com/organization/moderan</t>
  </si>
  <si>
    <t>https://moderansolutions.com/</t>
  </si>
  <si>
    <t>Hesse</t>
  </si>
  <si>
    <t>Monetics</t>
  </si>
  <si>
    <t>https://angel.co/company/monetics-1</t>
  </si>
  <si>
    <t>https://www.crunchbase.com/organization/monetics</t>
  </si>
  <si>
    <t>https://www.monetics.app/</t>
  </si>
  <si>
    <t>Moody's Analytics</t>
  </si>
  <si>
    <t>https://angel.co/company/moody-s-analytics</t>
  </si>
  <si>
    <t>https://www.crunchbase.com/organization/moodys-analytics</t>
  </si>
  <si>
    <t>https://www.moodysanalytics.com/</t>
  </si>
  <si>
    <t>MotionLoft</t>
  </si>
  <si>
    <t>Traffic Counts</t>
  </si>
  <si>
    <t>https://angel.co/motionloft/</t>
  </si>
  <si>
    <t>https://www.crunchbase.com/organization/motionloft</t>
  </si>
  <si>
    <t>www.motionloft.com</t>
  </si>
  <si>
    <t>550 15th St.</t>
  </si>
  <si>
    <t>MovingNow.in</t>
  </si>
  <si>
    <t>Residential, Industrial</t>
  </si>
  <si>
    <t>https://angel.co/company/mandate-logistics-systems-pvt-ltd</t>
  </si>
  <si>
    <t>https://www.crunchbase.com/organization/movingnow-in</t>
  </si>
  <si>
    <t>https://www.movingnow.in/</t>
  </si>
  <si>
    <t>MRI Software</t>
  </si>
  <si>
    <t>Software Applications and Hosted Solutions</t>
  </si>
  <si>
    <t>https://angel.co/company/mri-software</t>
  </si>
  <si>
    <t>https://www.crunchbase.com/organization/mri-software</t>
  </si>
  <si>
    <t>https://www.mrisoftware.com/</t>
  </si>
  <si>
    <t>28925 Fountain Parkwa</t>
  </si>
  <si>
    <t>Solon</t>
  </si>
  <si>
    <t>44139</t>
  </si>
  <si>
    <t>Multipath Data</t>
  </si>
  <si>
    <t>https://www.crunchbase.com/organization/multipath-data</t>
  </si>
  <si>
    <t>https://multipathdata.com/</t>
  </si>
  <si>
    <t>Elmhurst</t>
  </si>
  <si>
    <t>MVI Systems</t>
  </si>
  <si>
    <t>https://www.crunchbase.com/organization/mvi-systems</t>
  </si>
  <si>
    <t>https://www.mvisystems.com/</t>
  </si>
  <si>
    <t>My Perfect Workplace</t>
  </si>
  <si>
    <t xml:space="preserve">Office </t>
  </si>
  <si>
    <t>https://angel.co/company/my-perfect-workplace</t>
  </si>
  <si>
    <t>https://www.crunchbase.com/organization/my-perfect-workplace</t>
  </si>
  <si>
    <t>https://myperfectworkplace.com/</t>
  </si>
  <si>
    <t>201 N Brand Suite 200</t>
  </si>
  <si>
    <t>Myriad360</t>
  </si>
  <si>
    <t>https://angel.co/company/myriad-360-1</t>
  </si>
  <si>
    <t>https://www.crunchbase.com/organization/myriad360</t>
  </si>
  <si>
    <t>https://myriad360.com/</t>
  </si>
  <si>
    <t>199 Water St</t>
  </si>
  <si>
    <t>Mywifiext</t>
  </si>
  <si>
    <t>https://angel.co/company/mywifiextnetsetup</t>
  </si>
  <si>
    <t>https://www.crunchbase.com/organization/mywifiext-f990</t>
  </si>
  <si>
    <t>https://mywiefiext.net/</t>
  </si>
  <si>
    <t>Nearlist</t>
  </si>
  <si>
    <t>https://www.nearlist.com/</t>
  </si>
  <si>
    <t>757 Page St</t>
  </si>
  <si>
    <t>94117</t>
  </si>
  <si>
    <t>Nesterly</t>
  </si>
  <si>
    <t>https://www.nesterly.com</t>
  </si>
  <si>
    <t>Netdoorz</t>
  </si>
  <si>
    <t>https://angel.co/company/netdoorz</t>
  </si>
  <si>
    <t>https://www.crunchbase.com/organization/netdoorz</t>
  </si>
  <si>
    <t>http://netdoorz.com/</t>
  </si>
  <si>
    <t>Tarpon Spring</t>
  </si>
  <si>
    <t>Nexe Lifestyle</t>
  </si>
  <si>
    <t>https://www.crunchbase.com/organization/nexe-lifestyle</t>
  </si>
  <si>
    <t>https://www.nexelifestyle.com/</t>
  </si>
  <si>
    <t>Nexudus</t>
  </si>
  <si>
    <t>https://www.crunchbase.com/organization/nexudus</t>
  </si>
  <si>
    <t>https://nexudus.com</t>
  </si>
  <si>
    <t>Nexus Systems, LLC.</t>
  </si>
  <si>
    <t>https://www.crunchbase.com/organization/nexus-systems</t>
  </si>
  <si>
    <t>https://nexussystems.com/</t>
  </si>
  <si>
    <t>Falls Church</t>
  </si>
  <si>
    <t>Nimblechapps</t>
  </si>
  <si>
    <t>https://angel.co/company/nimblechapps</t>
  </si>
  <si>
    <t>https://www.crunchbase.com/organization/nimblechapps-ltd</t>
  </si>
  <si>
    <t>https://www.nimblechapps.com/</t>
  </si>
  <si>
    <t>Novamen Inc</t>
  </si>
  <si>
    <t>https://angel.co/u/novamen-1</t>
  </si>
  <si>
    <t>https://www.crunchbase.com/organization/novamem</t>
  </si>
  <si>
    <t>http://www.novamen.ca/</t>
  </si>
  <si>
    <t>Schlieren</t>
  </si>
  <si>
    <t>NTrust Infotech, Inc.</t>
  </si>
  <si>
    <t>https://angel.co/company/ntrustinfotech-1</t>
  </si>
  <si>
    <t>https://www.crunchbase.com/organization/ntrust-acc3</t>
  </si>
  <si>
    <t>https://www.ntrustinfotech.com/</t>
  </si>
  <si>
    <t>Oddway International</t>
  </si>
  <si>
    <t>https://angel.co/u/oddway-international-2</t>
  </si>
  <si>
    <t>https://www.crunchbase.com/organization/oddway-international</t>
  </si>
  <si>
    <t>https://www.oddwayinternational.com/</t>
  </si>
  <si>
    <t>Offerd</t>
  </si>
  <si>
    <t>https://www.offerd.com/</t>
  </si>
  <si>
    <t>Office Hub</t>
  </si>
  <si>
    <t>https://www.office-hub.com/</t>
  </si>
  <si>
    <t>Sidney</t>
  </si>
  <si>
    <t>OfficeApp</t>
  </si>
  <si>
    <t>https://angel.co/company/office-app</t>
  </si>
  <si>
    <t>https://www.crunchbase.com/organization/office-app</t>
  </si>
  <si>
    <t>https://getofficeapp.com/</t>
  </si>
  <si>
    <t>Weesperplein 4B 1018 XA</t>
  </si>
  <si>
    <t>OfficeSpace</t>
  </si>
  <si>
    <t>https://angel.co/officespace-com</t>
  </si>
  <si>
    <t>https://www.crunchbase.com/organization/officespace-com</t>
  </si>
  <si>
    <t>www.officespace.com/</t>
  </si>
  <si>
    <t>605 1st Ave</t>
  </si>
  <si>
    <t>Oizom</t>
  </si>
  <si>
    <t>https://angel.co/oizom</t>
  </si>
  <si>
    <t>https://www.crunchbase.com/organization/oizom</t>
  </si>
  <si>
    <t>oizom.com/</t>
  </si>
  <si>
    <t xml:space="preserve">306, Indraprastha Corporate, Opp Shell Petrol pump, Anandnagar, Ahmedabad, </t>
  </si>
  <si>
    <t>Gujarat</t>
  </si>
  <si>
    <t>380015</t>
  </si>
  <si>
    <t>OM InfoSoft</t>
  </si>
  <si>
    <t>https://angel.co/company/om-infosoft-1</t>
  </si>
  <si>
    <t>https://www.crunchbase.com/organization/om-infosoft-2147</t>
  </si>
  <si>
    <t>www.ominfosoft.com</t>
  </si>
  <si>
    <t>OneChirp</t>
  </si>
  <si>
    <t>https://angel.co/company/onechirp</t>
  </si>
  <si>
    <t>http://www.onechirp.com/</t>
  </si>
  <si>
    <t>101 S Santa Cruz Ave</t>
  </si>
  <si>
    <t>Los Gatos</t>
  </si>
  <si>
    <t>95030</t>
  </si>
  <si>
    <t>Onyx Adjusting</t>
  </si>
  <si>
    <t>https://angel.co/u/onyx-adjusting</t>
  </si>
  <si>
    <t>https://onyxadjusting.ca/</t>
  </si>
  <si>
    <t>10 Wincrest Dr, Scarborough</t>
  </si>
  <si>
    <t>M1P 4J4</t>
  </si>
  <si>
    <t>Op2mize Energy</t>
  </si>
  <si>
    <t>https://angel.co/company/op2mize-energy</t>
  </si>
  <si>
    <t>op2mize.com</t>
  </si>
  <si>
    <t>1415 W. 22nd Street, Tower Floor</t>
  </si>
  <si>
    <t>60523</t>
  </si>
  <si>
    <t>Open Box</t>
  </si>
  <si>
    <t>https://www.crunchbase.com/organization/open-box-software</t>
  </si>
  <si>
    <t>https://www.openboxsoftware.com/</t>
  </si>
  <si>
    <t>Orchard Funding</t>
  </si>
  <si>
    <t>https://angel.co/u/orchardfunding</t>
  </si>
  <si>
    <t>https://www.crunchbase.com/organization/orchard-funding</t>
  </si>
  <si>
    <t>https://orchardfunding.com/</t>
  </si>
  <si>
    <t>Otso</t>
  </si>
  <si>
    <t>https://www.crunchbase.com/organization/otso-corp</t>
  </si>
  <si>
    <t>https://otso.io/</t>
  </si>
  <si>
    <t>The Woodlands</t>
  </si>
  <si>
    <t>Outer Realm</t>
  </si>
  <si>
    <t>https://www.outerrealmvr.com/</t>
  </si>
  <si>
    <t>1309 Main St</t>
  </si>
  <si>
    <t>90291</t>
  </si>
  <si>
    <t>Pactriglo</t>
  </si>
  <si>
    <t>https://www.crunchbase.com/organization/pactriglo-inc</t>
  </si>
  <si>
    <t>https://pactriglo.com/</t>
  </si>
  <si>
    <t>Pactriglo 3205 Los Feliz Blvd Bldg 11 Suite 201</t>
  </si>
  <si>
    <t>90039</t>
  </si>
  <si>
    <t>PadMint</t>
  </si>
  <si>
    <t>https://www.crunchbase.com/organization/padmint</t>
  </si>
  <si>
    <t>http://www.padmint.com/</t>
  </si>
  <si>
    <t>PANDO Group</t>
  </si>
  <si>
    <t>https://angel.co/company/pando-group</t>
  </si>
  <si>
    <t>https://www.pandogrp.com/who-we-are.html</t>
  </si>
  <si>
    <t>5151 W Club Cir</t>
  </si>
  <si>
    <t>33487</t>
  </si>
  <si>
    <t>Paperstac</t>
  </si>
  <si>
    <t>https://angel.co/company/paperstac</t>
  </si>
  <si>
    <t>https://www.crunchbase.com/organization/paperstac</t>
  </si>
  <si>
    <t>https://paperstac.com/</t>
  </si>
  <si>
    <t>Parafin</t>
  </si>
  <si>
    <t>Proforma</t>
  </si>
  <si>
    <t>https://angel.co/company/parafin</t>
  </si>
  <si>
    <t>https://www.crunchbase.com/organization/parafin#section-overview</t>
  </si>
  <si>
    <t>www.parafin3d.com/</t>
  </si>
  <si>
    <t>Patrocinium Systems</t>
  </si>
  <si>
    <t>https://www.crunchbase.com/organization/patrocinium-systems</t>
  </si>
  <si>
    <t>http://www.patrocinium.com</t>
  </si>
  <si>
    <t>Peak Power</t>
  </si>
  <si>
    <t>https://angel.co/company/peak-power-1</t>
  </si>
  <si>
    <t>peakpowerenergy.com</t>
  </si>
  <si>
    <t>335 Madison Ave, 4th Floor</t>
  </si>
  <si>
    <t>PeppyOcean</t>
  </si>
  <si>
    <t>https://angel.co/company/peppyocean</t>
  </si>
  <si>
    <t>https://www.crunchbase.com/organization/peppyocean</t>
  </si>
  <si>
    <t>https://www.peppyocean.com/</t>
  </si>
  <si>
    <t>Perchin LLC</t>
  </si>
  <si>
    <t>https://angel.co/company/permitzone</t>
  </si>
  <si>
    <t>https://permits.com/</t>
  </si>
  <si>
    <t>Pereview Software</t>
  </si>
  <si>
    <t>https://www.crunchbase.com/organization/pereview-software</t>
  </si>
  <si>
    <t>https://pereviewsoftware.com/</t>
  </si>
  <si>
    <t xml:space="preserve">Perspective3-D </t>
  </si>
  <si>
    <t>https://perspective3-d.com/</t>
  </si>
  <si>
    <t>1101 Fulton St E</t>
  </si>
  <si>
    <t>Grand Rapids</t>
  </si>
  <si>
    <t>49503</t>
  </si>
  <si>
    <t>Phoenix Solar Renewable Services</t>
  </si>
  <si>
    <t>https://angel.co/u/phoenixrs</t>
  </si>
  <si>
    <t>https://www.phoenixrs.com/</t>
  </si>
  <si>
    <t>3176 Lionshead Ave</t>
  </si>
  <si>
    <t>Carlsbad</t>
  </si>
  <si>
    <t>92010</t>
  </si>
  <si>
    <t>PinPut, LLC</t>
  </si>
  <si>
    <t>https://angel.co/company/pinput-real-estate-technology</t>
  </si>
  <si>
    <t>https://pinput.com/</t>
  </si>
  <si>
    <t>Placeint</t>
  </si>
  <si>
    <t>https://www.placeint.com</t>
  </si>
  <si>
    <t>PlanHub</t>
  </si>
  <si>
    <t>Constructino</t>
  </si>
  <si>
    <t>https://www.crunchbase.com/organization/planhub</t>
  </si>
  <si>
    <t>https://www.planhub.com/</t>
  </si>
  <si>
    <t>West Palm Beach</t>
  </si>
  <si>
    <t>Planitar Inc.</t>
  </si>
  <si>
    <t>https://www.crunchbase.com/organization/planitar</t>
  </si>
  <si>
    <t>https://goiguide.com/</t>
  </si>
  <si>
    <t>Planned Grocery®</t>
  </si>
  <si>
    <t>https://www.crunchbase.com/organization/planned-grocery</t>
  </si>
  <si>
    <t>https://plannedgrocery.com/</t>
  </si>
  <si>
    <t>Pocketstop</t>
  </si>
  <si>
    <t>https://angel.co/company/pocketstop</t>
  </si>
  <si>
    <t>https://www.crunchbase.com/organization/pocketstop</t>
  </si>
  <si>
    <t>https://pocketstop.com/</t>
  </si>
  <si>
    <t>Point Load Power, Inc.</t>
  </si>
  <si>
    <t>https://www.crunchbase.com/organization/point-load-power</t>
  </si>
  <si>
    <t>https://www.pointloadpower.com/</t>
  </si>
  <si>
    <t xml:space="preserve">Pasadena </t>
  </si>
  <si>
    <t>Pointguard</t>
  </si>
  <si>
    <t>https://www.crunchbase.com/organization/pointguard</t>
  </si>
  <si>
    <t>https://www.pointguardtech.com/</t>
  </si>
  <si>
    <t>1447 South Tryon Street, Suite 301</t>
  </si>
  <si>
    <t>Pointr</t>
  </si>
  <si>
    <t>https://angel.co/company/pointr</t>
  </si>
  <si>
    <t>https://www.crunchbase.com/organization/pointr</t>
  </si>
  <si>
    <t>https://www.pointr.tech/</t>
  </si>
  <si>
    <t>Positionptt</t>
  </si>
  <si>
    <t xml:space="preserve">Industrial </t>
  </si>
  <si>
    <t>https://angel.co/company/positionptt</t>
  </si>
  <si>
    <t>https://www.crunchbase.com/organization/positionptt-push-to-talk</t>
  </si>
  <si>
    <t>https://positionptt.com/</t>
  </si>
  <si>
    <t>Bloomington</t>
  </si>
  <si>
    <t>Powers IoT - Smart Home Gurus</t>
  </si>
  <si>
    <t>https://powersiot.com/</t>
  </si>
  <si>
    <t>407 E Main St</t>
  </si>
  <si>
    <t>Port Jefferson</t>
  </si>
  <si>
    <t>11777</t>
  </si>
  <si>
    <t>Precision Software</t>
  </si>
  <si>
    <t>https://www.crunchbase.com/organization/precision-software</t>
  </si>
  <si>
    <t>https://www.precisionsoftware.com/solutions/multi-carrier-shipping-software</t>
  </si>
  <si>
    <t>Lisle</t>
  </si>
  <si>
    <t>Predictre</t>
  </si>
  <si>
    <t>RE Intelligence</t>
  </si>
  <si>
    <t>https://predict.re</t>
  </si>
  <si>
    <t>PremiseHQ</t>
  </si>
  <si>
    <t>https://premisesaas.com/</t>
  </si>
  <si>
    <t>30 Wellington St W</t>
  </si>
  <si>
    <t>ON M5J</t>
  </si>
  <si>
    <t>Prescriptive Data</t>
  </si>
  <si>
    <t>https://angel.co/prescriptive-data</t>
  </si>
  <si>
    <t>https://www.crunchbase.com/organization/prescriptive-data</t>
  </si>
  <si>
    <t>www.prescriptivedata.io</t>
  </si>
  <si>
    <t>415 Madison Avenue</t>
  </si>
  <si>
    <t>Privy</t>
  </si>
  <si>
    <t>https://angel.co/company/privy-5</t>
  </si>
  <si>
    <t>https://www.getprivynow.com/</t>
  </si>
  <si>
    <t>ProforMap Inc.</t>
  </si>
  <si>
    <t>https://proformap.com/</t>
  </si>
  <si>
    <t>1990 N California Blvd</t>
  </si>
  <si>
    <t>Walnut Creek</t>
  </si>
  <si>
    <t>94596</t>
  </si>
  <si>
    <t>Prominence Support</t>
  </si>
  <si>
    <t>https://prominencesupport.co.uk/</t>
  </si>
  <si>
    <t>35 Hallmead Road</t>
  </si>
  <si>
    <t>Sutton</t>
  </si>
  <si>
    <t>ProNet Group</t>
  </si>
  <si>
    <t>https://angel.co/company/pronet-group</t>
  </si>
  <si>
    <t>https://www.crunchbase.com/organization/pronet-group</t>
  </si>
  <si>
    <t>https://www.pronetgroup.com/</t>
  </si>
  <si>
    <t>1 Sugar Creek Center Blvd</t>
  </si>
  <si>
    <t>Sugar Land</t>
  </si>
  <si>
    <t>77478</t>
  </si>
  <si>
    <t>ProperGate</t>
  </si>
  <si>
    <t>https://angel.co/company/propergate</t>
  </si>
  <si>
    <t>https://www.crunchbase.com/organization/propergate</t>
  </si>
  <si>
    <t>https://www.propergate.co/</t>
  </si>
  <si>
    <t>Property Capsule</t>
  </si>
  <si>
    <t>Propert Search</t>
  </si>
  <si>
    <t>https://angel.co/property-capsule</t>
  </si>
  <si>
    <t>https://www.crunchbase.com/organization/property-capsule</t>
  </si>
  <si>
    <t>propertycapsule.com</t>
  </si>
  <si>
    <t>311 4th Ave</t>
  </si>
  <si>
    <t>Property Platform</t>
  </si>
  <si>
    <t>https://www.crunchbase.com/organization/property-platform</t>
  </si>
  <si>
    <t>https://propertyplatform.com/</t>
  </si>
  <si>
    <t>Property Shark</t>
  </si>
  <si>
    <t>https://angel.co/propertyshark</t>
  </si>
  <si>
    <t>https://www.crunchbase.com/organization/propertyshark#section-overview</t>
  </si>
  <si>
    <t>www.propertyshark.com</t>
  </si>
  <si>
    <t>370 Lexington Avenue, #2100</t>
  </si>
  <si>
    <t>PropertyBookNYC</t>
  </si>
  <si>
    <t>https://www.crunchbase.com/organization/propertybook-nyc</t>
  </si>
  <si>
    <t>https://propertybook.nyc/</t>
  </si>
  <si>
    <t>PropertyIDX</t>
  </si>
  <si>
    <t>https://www.crunchbase.com/organization/propertyidx</t>
  </si>
  <si>
    <t>https://www.propertyidx.com/</t>
  </si>
  <si>
    <t>PropertyQuants</t>
  </si>
  <si>
    <t>https://angel.co/company/propertyquants</t>
  </si>
  <si>
    <t>https://www.crunchbase.com/organization/propertyquants</t>
  </si>
  <si>
    <t>https://propertyquants.com/</t>
  </si>
  <si>
    <t>Prophix</t>
  </si>
  <si>
    <t>https://www.crunchbase.com/organization/prophix-software</t>
  </si>
  <si>
    <t>https://www.prophix.com/</t>
  </si>
  <si>
    <t>Proplend</t>
  </si>
  <si>
    <t>https://angel.co/company/proplend-1</t>
  </si>
  <si>
    <t>https://www.crunchbase.com/organization/proplend</t>
  </si>
  <si>
    <t>https://www.proplend.com/</t>
  </si>
  <si>
    <t>ProspectNow</t>
  </si>
  <si>
    <t>https://angel.co/company/prospectnow</t>
  </si>
  <si>
    <t>https://www.crunchbase.com/organization/prospectnow</t>
  </si>
  <si>
    <t>https://www.prospectnow.com/</t>
  </si>
  <si>
    <t xml:space="preserve">Los Altos </t>
  </si>
  <si>
    <t>PublicAssets, Ltd</t>
  </si>
  <si>
    <t>https://angel.co/company/publicassets</t>
  </si>
  <si>
    <t>https://www.crunchbase.com/organization/publicassets</t>
  </si>
  <si>
    <t>https://www.publicassets.com/</t>
  </si>
  <si>
    <t>Mill Valley</t>
  </si>
  <si>
    <t>Purple Olive Labs</t>
  </si>
  <si>
    <t>https://angel.co/company/purple-olive-labs</t>
  </si>
  <si>
    <t>https://www.crunchbase.com/organization/purple-olive-labs</t>
  </si>
  <si>
    <t>https://www.purpleolivelabs.com/</t>
  </si>
  <si>
    <t>Qlair</t>
  </si>
  <si>
    <t>https://www.crunchbase.com/organization/qlair</t>
  </si>
  <si>
    <t>http://www.i-qlair.com</t>
  </si>
  <si>
    <t>440 N Wolfe Rd</t>
  </si>
  <si>
    <t>94085﻿</t>
  </si>
  <si>
    <t>Qobo Ltd/Qobrix</t>
  </si>
  <si>
    <t>https://www.crunchbase.com/organization/qobo-group-ltd</t>
  </si>
  <si>
    <t>https://qobrix.com/</t>
  </si>
  <si>
    <t>Pulborough</t>
  </si>
  <si>
    <t>QualIT One</t>
  </si>
  <si>
    <t>https://www.crunchbase.com/organization/qualit-one-llc</t>
  </si>
  <si>
    <t>https://www.qit1.com/</t>
  </si>
  <si>
    <t>QuantumListing</t>
  </si>
  <si>
    <t>https://www.crunchbase.com/organization/quantumlisting</t>
  </si>
  <si>
    <t>https://quantumlisting.com/</t>
  </si>
  <si>
    <t>Quarem</t>
  </si>
  <si>
    <t>https://www.crunchbase.com/organization/quarem</t>
  </si>
  <si>
    <t>https://www.quarem.com/</t>
  </si>
  <si>
    <t>Quarters</t>
  </si>
  <si>
    <t>https://www.crunchbase.com/organization/quarters</t>
  </si>
  <si>
    <t>https://quarters.com/</t>
  </si>
  <si>
    <t>Berlin, Berlin, Germany</t>
  </si>
  <si>
    <t>Quix</t>
  </si>
  <si>
    <t>https://www.quix.ps</t>
  </si>
  <si>
    <t>Queentessence</t>
  </si>
  <si>
    <t>https://angel.co/company/queentessenceio</t>
  </si>
  <si>
    <t>https://www.crunchbase.com/organization/queentessence-inc</t>
  </si>
  <si>
    <t>https://queentessence.io/</t>
  </si>
  <si>
    <t>Quick Space</t>
  </si>
  <si>
    <t>http://www.Quickspace.com</t>
  </si>
  <si>
    <t>9320 49 St NW</t>
  </si>
  <si>
    <t>Quikshow</t>
  </si>
  <si>
    <t>https://angel.co/company/quikshow</t>
  </si>
  <si>
    <t>https://www.crunchbase.com/organization/quikshow</t>
  </si>
  <si>
    <t>http://www.quikshow.com/</t>
  </si>
  <si>
    <t>Radix</t>
  </si>
  <si>
    <t>https://www.crunchbase.com/organization/radix-4326</t>
  </si>
  <si>
    <t>www.radix.com</t>
  </si>
  <si>
    <t>8283 N Hayden Rd</t>
  </si>
  <si>
    <t>85258</t>
  </si>
  <si>
    <t>RankON Technologies Pvt Ltd</t>
  </si>
  <si>
    <t>https://angel.co/u/rankontech</t>
  </si>
  <si>
    <t>http://www.rankontechnologies.com/seo-company-india/</t>
  </si>
  <si>
    <t>Raven</t>
  </si>
  <si>
    <t>https://angel.co/company/raven-8</t>
  </si>
  <si>
    <t>https://raven.re/</t>
  </si>
  <si>
    <t>Ravti</t>
  </si>
  <si>
    <t>https://angel.co/ravti</t>
  </si>
  <si>
    <t>https://www.crunchbase.com/organization/ravti</t>
  </si>
  <si>
    <t>www.ravti.com/</t>
  </si>
  <si>
    <t>4100 W Kennedy Blvd</t>
  </si>
  <si>
    <t>Raybased</t>
  </si>
  <si>
    <t>https://angel.co/raybased-ab</t>
  </si>
  <si>
    <t>https://www.crunchbase.com/organization/raybased</t>
  </si>
  <si>
    <t>https://raybased.com/en/</t>
  </si>
  <si>
    <t>A Odhner Street 41</t>
  </si>
  <si>
    <t>Gothenberg</t>
  </si>
  <si>
    <t>421 30 WEST DEVELOPMENT</t>
  </si>
  <si>
    <t>RDM/Building Engines</t>
  </si>
  <si>
    <t>https://angel.co/company/building-engines-3</t>
  </si>
  <si>
    <t>https://www.buildingengines.com/</t>
  </si>
  <si>
    <t>Massachussets</t>
  </si>
  <si>
    <t>Re-imagining Cities</t>
  </si>
  <si>
    <t>https://angel.co/company/re-imagining-cities-foundation</t>
  </si>
  <si>
    <t>https://www.re-cities.org/</t>
  </si>
  <si>
    <t>Re-Leased</t>
  </si>
  <si>
    <t>https://www.crunchbase.com/organization/re-leased-property-software</t>
  </si>
  <si>
    <t>https://www.re-leased.com/</t>
  </si>
  <si>
    <t>RE-Trax</t>
  </si>
  <si>
    <t>https://angel.co/company/re-trax-2</t>
  </si>
  <si>
    <t>https://www.crunchbase.com/organization/re-trax</t>
  </si>
  <si>
    <t>http://re-trax.com/</t>
  </si>
  <si>
    <t>Centennial</t>
  </si>
  <si>
    <t>re-viv</t>
  </si>
  <si>
    <t>https://angel.co/company/re-viv</t>
  </si>
  <si>
    <t>https://re-viv.com/</t>
  </si>
  <si>
    <t>REACTIV</t>
  </si>
  <si>
    <t>https://reactiv.io/</t>
  </si>
  <si>
    <t>970 Yuma St</t>
  </si>
  <si>
    <t>80204</t>
  </si>
  <si>
    <t>Real Capital Markets</t>
  </si>
  <si>
    <t>https://angel.co/company/real-capital-markets</t>
  </si>
  <si>
    <t>https://www.crunchbase.com/organization/real-capital-markets</t>
  </si>
  <si>
    <t>https://www.rcm1.com</t>
  </si>
  <si>
    <t>Realcore</t>
  </si>
  <si>
    <t>https://www.crunchbase.com/organization/realcore</t>
  </si>
  <si>
    <t>https://www.realcoreapps.com/error.aspx?aspxerrorpath=/index.aspx</t>
  </si>
  <si>
    <t>Morrisville</t>
  </si>
  <si>
    <t>RealDash</t>
  </si>
  <si>
    <t>https://angel.co/realdash</t>
  </si>
  <si>
    <t>https://www.crunchbase.com/organization/realdash</t>
  </si>
  <si>
    <t>realdash.com</t>
  </si>
  <si>
    <t>2100 Coral Way</t>
  </si>
  <si>
    <t>RealFactors</t>
  </si>
  <si>
    <t>https://angel.co/company/real-factors</t>
  </si>
  <si>
    <t>https://www.crunchbase.com/organization/real-factors</t>
  </si>
  <si>
    <t>http://www.realfactors.com</t>
  </si>
  <si>
    <t>318 E 34th St</t>
  </si>
  <si>
    <t>RealINSIGHT</t>
  </si>
  <si>
    <t>https://angel.co/company/realinsight</t>
  </si>
  <si>
    <t>https://www.realinsight.com/</t>
  </si>
  <si>
    <t>900 19th St NW</t>
  </si>
  <si>
    <t>Realisti.co</t>
  </si>
  <si>
    <t>https://www.crunchbase.com/organization/realisti-co-s-r-l</t>
  </si>
  <si>
    <t>https://www.realisti.co/es/</t>
  </si>
  <si>
    <t>PASEO DE LA CASTELLANA, 182</t>
  </si>
  <si>
    <t>España</t>
  </si>
  <si>
    <t>RealLiquidity</t>
  </si>
  <si>
    <t>Secondaries</t>
  </si>
  <si>
    <t>https://angel.co/realliquidity</t>
  </si>
  <si>
    <t>https://www.crunchbase.com/organization/real-liquidity</t>
  </si>
  <si>
    <t>realliquidity.com</t>
  </si>
  <si>
    <t>RealMatters</t>
  </si>
  <si>
    <t>https://angel.co/real-matters-realmatters-com</t>
  </si>
  <si>
    <t>https://www.crunchbase.com/organization/real-matters#section-overview</t>
  </si>
  <si>
    <t>https://www.realmatters.com/home/default.aspx</t>
  </si>
  <si>
    <t>50 Minthorn Blvd</t>
  </si>
  <si>
    <t>Thornhill</t>
  </si>
  <si>
    <t>L3T 7X8</t>
  </si>
  <si>
    <t>RealNex</t>
  </si>
  <si>
    <t>https://www.crunchbase.com/organization/realnex</t>
  </si>
  <si>
    <t>https://www.realnex.com</t>
  </si>
  <si>
    <t>Stafford</t>
  </si>
  <si>
    <t>RealPad</t>
  </si>
  <si>
    <t>https://angel.co/company/realpad-software</t>
  </si>
  <si>
    <t>https://www.crunchbase.com/organization/realpad</t>
  </si>
  <si>
    <t>https://realpadsoftware.com/</t>
  </si>
  <si>
    <t>Praha</t>
  </si>
  <si>
    <t>RealPropti / Agent Marketing</t>
  </si>
  <si>
    <t>https://angel.co/company/realpropti</t>
  </si>
  <si>
    <t>https://www.crunchbase.com/organization/realpropti</t>
  </si>
  <si>
    <t>https://agentmarketing.com/</t>
  </si>
  <si>
    <t>Realstax</t>
  </si>
  <si>
    <t>https://angel.co/company/realstax</t>
  </si>
  <si>
    <t>https://www.crunchbase.com/organization/realstax</t>
  </si>
  <si>
    <t>RealtyAds, LLC</t>
  </si>
  <si>
    <t>https://www.realtyads.com/</t>
  </si>
  <si>
    <t>216 N May St</t>
  </si>
  <si>
    <t>RealtyeVest</t>
  </si>
  <si>
    <t>https://angel.co/company/realtyevest</t>
  </si>
  <si>
    <t>https://www.crunchbase.com/organization/realtyevest</t>
  </si>
  <si>
    <t>RealtyHive</t>
  </si>
  <si>
    <t>https://www.crunchbase.com/organization/realtyhive</t>
  </si>
  <si>
    <t>https://realtyhive.com/</t>
  </si>
  <si>
    <t>Green Bay</t>
  </si>
  <si>
    <t>Wisconsin</t>
  </si>
  <si>
    <t>RealtyPad</t>
  </si>
  <si>
    <t>https://www.crunchbase.com/organization/realtypad</t>
  </si>
  <si>
    <t>http://realtypad.net/</t>
  </si>
  <si>
    <t>Pennysilvania</t>
  </si>
  <si>
    <t>RealtyZapp</t>
  </si>
  <si>
    <t>https://www.crunchbase.com/organization/realtyzapp</t>
  </si>
  <si>
    <t>https://realtyzapp.com/</t>
  </si>
  <si>
    <t>RealVantage</t>
  </si>
  <si>
    <t>https://angel.co/company/realvantage</t>
  </si>
  <si>
    <t>https://www.crunchbase.com/organization/realvantage</t>
  </si>
  <si>
    <t>https://www.realvantage.co/</t>
  </si>
  <si>
    <t>RealVectors</t>
  </si>
  <si>
    <t>https://angel.co/company/realvectors</t>
  </si>
  <si>
    <t>https://www.crunchbase.com/organization/realvectors</t>
  </si>
  <si>
    <t>http://www.realvectors.com/</t>
  </si>
  <si>
    <t>RealX.Pro</t>
  </si>
  <si>
    <t>https://www.crunchbase.com/organization/realx-pro</t>
  </si>
  <si>
    <t>https://realx.pro/</t>
  </si>
  <si>
    <t>Nordic Countries</t>
  </si>
  <si>
    <t xml:space="preserve">Scandinavia
</t>
  </si>
  <si>
    <t>Scandinavia</t>
  </si>
  <si>
    <t>Rebl Tech</t>
  </si>
  <si>
    <t>PR and Marketing</t>
  </si>
  <si>
    <t>https://www.crunchbase.com/organization/rebeltech</t>
  </si>
  <si>
    <t>https://www.rebeltech.io/</t>
  </si>
  <si>
    <t>REdevly</t>
  </si>
  <si>
    <t>https://www.crunchbase.com/organization/redevly</t>
  </si>
  <si>
    <t>https://www.redevly.com/landing</t>
  </si>
  <si>
    <t>7667 SE SHERMAN CT</t>
  </si>
  <si>
    <t>97217</t>
  </si>
  <si>
    <t>RedIQ</t>
  </si>
  <si>
    <t>https://angel.co/company/rediq</t>
  </si>
  <si>
    <t>https://www.crunchbase.com/organization/resimodel</t>
  </si>
  <si>
    <t>https://www.rediq.io/</t>
  </si>
  <si>
    <t>RedVision</t>
  </si>
  <si>
    <t>https://angel.co/company/redvision-systems</t>
  </si>
  <si>
    <t>https://www.crunchbase.com/organization/redvision-system</t>
  </si>
  <si>
    <t>http://www.redvision.com</t>
  </si>
  <si>
    <t>1055 Parsippany Blvd, Suite 412</t>
  </si>
  <si>
    <t>Refined Data Solutions Inc.</t>
  </si>
  <si>
    <t>https://www.crunchbase.com/organization/refined-data-solutions</t>
  </si>
  <si>
    <t>https://www.refineddata.com/</t>
  </si>
  <si>
    <t>RefineRE</t>
  </si>
  <si>
    <t>https://angel.co/refinere</t>
  </si>
  <si>
    <t>https://www.crunchbase.com/organization/refinere</t>
  </si>
  <si>
    <t>www.refinere.net</t>
  </si>
  <si>
    <t>110 5th Ave</t>
  </si>
  <si>
    <t>REINNO</t>
  </si>
  <si>
    <t>https://angel.co/company/reinno</t>
  </si>
  <si>
    <t>https://www.crunchbase.com/organization/reinno</t>
  </si>
  <si>
    <t>https://reinno.io/</t>
  </si>
  <si>
    <t>ReMeter</t>
  </si>
  <si>
    <t>Credit</t>
  </si>
  <si>
    <t>https://www.crunchbase.com/organization/re-meter</t>
  </si>
  <si>
    <t>www.re-meter.com/</t>
  </si>
  <si>
    <t>160 North Wacker Drive</t>
  </si>
  <si>
    <t>60606</t>
  </si>
  <si>
    <t>REMLogics, LLC</t>
  </si>
  <si>
    <t>https://www.remlogics.net/</t>
  </si>
  <si>
    <t>10 SOUTHPOINTE DR, SUITE D</t>
  </si>
  <si>
    <t>Paragould</t>
  </si>
  <si>
    <t>72450</t>
  </si>
  <si>
    <t>Remotedesk</t>
  </si>
  <si>
    <t>https://www.crunchbase.com/organization/remotedesk</t>
  </si>
  <si>
    <t>https://remotedesk.me/</t>
  </si>
  <si>
    <t>Remote Roofing</t>
  </si>
  <si>
    <t>https://angel.co/company/remote-roofing-2</t>
  </si>
  <si>
    <t>https://www.crunchbase.com/organization/remote-roofing</t>
  </si>
  <si>
    <t>http://www.remoteroofing.com/</t>
  </si>
  <si>
    <t>Roanoke</t>
  </si>
  <si>
    <t>Remzy</t>
  </si>
  <si>
    <t>https://angel.co/company/remzy</t>
  </si>
  <si>
    <t>https://www.crunchbase.com/organization/remzy</t>
  </si>
  <si>
    <t>https://remzy.com/</t>
  </si>
  <si>
    <t>Miami Beach</t>
  </si>
  <si>
    <t>Rent Manager</t>
  </si>
  <si>
    <t>https://www.crunchbase.com/organization/rent-manager</t>
  </si>
  <si>
    <t>www.rentmanager.com/</t>
  </si>
  <si>
    <t>9140 Waterstone Blvd</t>
  </si>
  <si>
    <t>Rent Potential</t>
  </si>
  <si>
    <t>https://www.rentpotential.com/</t>
  </si>
  <si>
    <t>510 5th Avenue Floor 3</t>
  </si>
  <si>
    <t>Rental Beast</t>
  </si>
  <si>
    <t>https://angel.co/company/rental-beast</t>
  </si>
  <si>
    <t>https://www.crunchbase.com/organization/rental-beast</t>
  </si>
  <si>
    <t>https://rentalbeast.com/</t>
  </si>
  <si>
    <t>RentalAds</t>
  </si>
  <si>
    <t>https://angel.co/company/rentalads</t>
  </si>
  <si>
    <t>https://www.rentalads.com/</t>
  </si>
  <si>
    <t>Oklahoma</t>
  </si>
  <si>
    <t>OK</t>
  </si>
  <si>
    <t>Rentec Direct</t>
  </si>
  <si>
    <t>https://www.crunchbase.com/organization/rentec-direct</t>
  </si>
  <si>
    <t>www.rentecdirect.com</t>
  </si>
  <si>
    <t>301 ne 6th street</t>
  </si>
  <si>
    <t>Grants Pass</t>
  </si>
  <si>
    <t>Rentigo</t>
  </si>
  <si>
    <t>https://angel.co/company/rentigo-1</t>
  </si>
  <si>
    <t>https://www.crunchbase.com/organization/rentigo-inc</t>
  </si>
  <si>
    <t>https://rentigo.com/</t>
  </si>
  <si>
    <t>Rentivate</t>
  </si>
  <si>
    <t>https://www.rentivate.io/</t>
  </si>
  <si>
    <t>RentPath</t>
  </si>
  <si>
    <t>https://angel.co/rentpath</t>
  </si>
  <si>
    <t>https://www.crunchbase.com/organization/rentpath</t>
  </si>
  <si>
    <t>rentpath.com</t>
  </si>
  <si>
    <t>950 East Paces Ferry Road</t>
  </si>
  <si>
    <t>Republic</t>
  </si>
  <si>
    <t>https://angel.co/company/republic</t>
  </si>
  <si>
    <t>https://www.crunchbase.com/organization/republic-co</t>
  </si>
  <si>
    <t>https://republic.co/contact</t>
  </si>
  <si>
    <t>REscan Inc.</t>
  </si>
  <si>
    <t>https://angel.co/company/rescan_inc</t>
  </si>
  <si>
    <t>https://www.crunchbase.com/organization/rescan</t>
  </si>
  <si>
    <t>https://www.rescan360.com/</t>
  </si>
  <si>
    <t>Resonai</t>
  </si>
  <si>
    <t>https://www.resonai.com/</t>
  </si>
  <si>
    <t>Resquared</t>
  </si>
  <si>
    <t>https://angel.co/company/resquared</t>
  </si>
  <si>
    <t>https://re2.ai/</t>
  </si>
  <si>
    <t>309 VINE ST</t>
  </si>
  <si>
    <t>Cincinatti</t>
  </si>
  <si>
    <t>REST Solution</t>
  </si>
  <si>
    <t>https://www.crunchbase.com/organization/rest-solution</t>
  </si>
  <si>
    <t>https://www.restsolution.co/</t>
  </si>
  <si>
    <t>Resumego</t>
  </si>
  <si>
    <t>https://www.resumego.net/</t>
  </si>
  <si>
    <t>RetailMatch</t>
  </si>
  <si>
    <t>https://www.crunchbase.com/organization/retailmatch</t>
  </si>
  <si>
    <t>https://www.retailmatch.io/</t>
  </si>
  <si>
    <t>Reterro</t>
  </si>
  <si>
    <t>https://www.crunchbase.com/organization/reterro-inc-</t>
  </si>
  <si>
    <t>http://www.reterro.com/</t>
  </si>
  <si>
    <t>ReThink CRM</t>
  </si>
  <si>
    <t>https://angel.co/rethinkcrm</t>
  </si>
  <si>
    <t>https://www.crunchbase.com/organization/rethink-real-estate-crm</t>
  </si>
  <si>
    <t>www.REthinkCRM.com</t>
  </si>
  <si>
    <t>5323 Levander Loop</t>
  </si>
  <si>
    <t>Rethink Solutions Inc.</t>
  </si>
  <si>
    <t>https://www.crunchbase.com/organization/rethink-solutions</t>
  </si>
  <si>
    <t>https://www.rethinksolutions.com/</t>
  </si>
  <si>
    <t>Retransform</t>
  </si>
  <si>
    <t>https://www.crunchbase.com/organization/retransform</t>
  </si>
  <si>
    <t>https://retransform.com/</t>
  </si>
  <si>
    <t>Rettex</t>
  </si>
  <si>
    <t>https://angel.co/company/rettex</t>
  </si>
  <si>
    <t>https://www.crunchbase.com/organization/rettex</t>
  </si>
  <si>
    <t>https://www.rettex.com/home</t>
  </si>
  <si>
    <t>ReviewPush</t>
  </si>
  <si>
    <t>https://angel.co/company/reviewpush</t>
  </si>
  <si>
    <t>https://www.crunchbase.com/organization/reviewpush</t>
  </si>
  <si>
    <t>https://www.reviewpush.com/</t>
  </si>
  <si>
    <t>REVIVRR</t>
  </si>
  <si>
    <t>https://revivrr.com/home/</t>
  </si>
  <si>
    <t>8350 N Central Expy</t>
  </si>
  <si>
    <t>75206</t>
  </si>
  <si>
    <t>RevPart</t>
  </si>
  <si>
    <t>https://angel.co/company/revpart</t>
  </si>
  <si>
    <t>https://www.crunchbase.com/organization/revpart</t>
  </si>
  <si>
    <t>https://revpart.com/services/molding-services/</t>
  </si>
  <si>
    <t>RICOH Tours</t>
  </si>
  <si>
    <t>https://www.ricohtours.com/es/</t>
  </si>
  <si>
    <t>10050 N Wolfe Rd</t>
  </si>
  <si>
    <t>95014</t>
  </si>
  <si>
    <t>Rise Buildings</t>
  </si>
  <si>
    <t>https://angel.co/company/rise-software-1</t>
  </si>
  <si>
    <t>https://www.crunchbase.com/organization/rise-buildings</t>
  </si>
  <si>
    <t>www.risebuildings.com</t>
  </si>
  <si>
    <t>312 N. May St.</t>
  </si>
  <si>
    <t>Riseio Inc.</t>
  </si>
  <si>
    <t>https://angel.co/company/riseio</t>
  </si>
  <si>
    <t>https://www.crunchbase.com/organization/riseio</t>
  </si>
  <si>
    <t>https://www.riseio.com/</t>
  </si>
  <si>
    <t>1161 Mission Street</t>
  </si>
  <si>
    <t>Rivur</t>
  </si>
  <si>
    <t>https://angel.co/company/rivur</t>
  </si>
  <si>
    <t>https://www.crunchbase.com/organization/rivur</t>
  </si>
  <si>
    <t>www.rivur.com/</t>
  </si>
  <si>
    <t>6085 Barfield Road; Suite 200</t>
  </si>
  <si>
    <t>Rockport VAL, LLC</t>
  </si>
  <si>
    <t>https://www.crunchbase.com/organization/rockport-val-llc</t>
  </si>
  <si>
    <t>https://www.rockportval.com/</t>
  </si>
  <si>
    <t>Roofscapes</t>
  </si>
  <si>
    <t>Tree Roofs</t>
  </si>
  <si>
    <t>https://www.roofscapes.studio</t>
  </si>
  <si>
    <t>Room Estate</t>
  </si>
  <si>
    <t>https://roomestate.com/</t>
  </si>
  <si>
    <t>71 Katzenbachstrasse</t>
  </si>
  <si>
    <t>Zürich</t>
  </si>
  <si>
    <t>Roomored</t>
  </si>
  <si>
    <t>https://angel.co/company/roomored</t>
  </si>
  <si>
    <t>https://www.crunchbase.com/organization/roomored</t>
  </si>
  <si>
    <t>https://roomored.com/</t>
  </si>
  <si>
    <t>RoundHound</t>
  </si>
  <si>
    <t>https://www.roundhound.com/</t>
  </si>
  <si>
    <t>37203</t>
  </si>
  <si>
    <t>RS Technologies</t>
  </si>
  <si>
    <t>https://www.crunchbase.com/organization/rs-technologies</t>
  </si>
  <si>
    <t>https://www.rs-tec.jp/</t>
  </si>
  <si>
    <t>rSquared CRE</t>
  </si>
  <si>
    <t>https://www.crunchbase.com/organization/rsquared-cre</t>
  </si>
  <si>
    <t>https://rsquaredcre.com/</t>
  </si>
  <si>
    <t>230 W Monroe St</t>
  </si>
  <si>
    <t>SaaSTrax</t>
  </si>
  <si>
    <t>https://www.saastrax.com/</t>
  </si>
  <si>
    <t>9101 Kings Parade Blvd</t>
  </si>
  <si>
    <t>28273</t>
  </si>
  <si>
    <t>Sage Greenlife</t>
  </si>
  <si>
    <t>Green Building</t>
  </si>
  <si>
    <t>https://www.crunchbase.com/organization/sagegreenlife</t>
  </si>
  <si>
    <t>http://www.sagegreenlife.com/</t>
  </si>
  <si>
    <t>730 W Randolph</t>
  </si>
  <si>
    <t>SalesLeads</t>
  </si>
  <si>
    <t>https://www.crunchbase.com/organization/salesleads</t>
  </si>
  <si>
    <t>https://www.salesleadsinc.com/</t>
  </si>
  <si>
    <t>Schedule My Rent</t>
  </si>
  <si>
    <t>https://www.crunchbase.com/organization/schedulemyrent</t>
  </si>
  <si>
    <t>https://www.schedulemyrent.com/</t>
  </si>
  <si>
    <t>Albuquerque</t>
  </si>
  <si>
    <t>New Mexico</t>
  </si>
  <si>
    <t>Seasia Infotech</t>
  </si>
  <si>
    <t>https://angel.co/company/seasia-infotech</t>
  </si>
  <si>
    <t>https://www.crunchbase.com/organization/seasia-infotech</t>
  </si>
  <si>
    <t>https://www.seasiainfotech.com/</t>
  </si>
  <si>
    <t>Selectabroker</t>
  </si>
  <si>
    <t>https://www.selectamortgagebroker.com.au/</t>
  </si>
  <si>
    <t>10 Tassone Crt</t>
  </si>
  <si>
    <t>SelectLeaders, LLC</t>
  </si>
  <si>
    <t>https://www.crunchbase.com/organization/select-leaders</t>
  </si>
  <si>
    <t>https://www.selectleaders.com/</t>
  </si>
  <si>
    <t>Sensing Labs</t>
  </si>
  <si>
    <t>https://www.crunchbase.com/organization/sensing-labs#section-overview</t>
  </si>
  <si>
    <t>sensing-labs.com/</t>
  </si>
  <si>
    <t>Montpellier</t>
  </si>
  <si>
    <t>Sentient Buildings</t>
  </si>
  <si>
    <t>https://angel.co/company/sentient-buildings/people</t>
  </si>
  <si>
    <t>http://www.sentientbuildings.com/about-us/</t>
  </si>
  <si>
    <t>33 Saw Mill River Road</t>
  </si>
  <si>
    <t>Hasting-on-Hudson</t>
  </si>
  <si>
    <t>10706</t>
  </si>
  <si>
    <t>Serfy</t>
  </si>
  <si>
    <t>https://angel.co/company/serfy</t>
  </si>
  <si>
    <t>https://www.crunchbase.com/organization/serfy</t>
  </si>
  <si>
    <t>https://serfy.io/</t>
  </si>
  <si>
    <t>Service Trade</t>
  </si>
  <si>
    <t>https://www.crunchbase.com/organization/servicetrade</t>
  </si>
  <si>
    <t>https://servicetrade.com/</t>
  </si>
  <si>
    <t>Sesame Access</t>
  </si>
  <si>
    <t>https://angel.co/u/sesame-access</t>
  </si>
  <si>
    <t>https://www.sesameaccess.com/</t>
  </si>
  <si>
    <t>SharedSpace</t>
  </si>
  <si>
    <t>https://angel.co/company/sharedspace</t>
  </si>
  <si>
    <t>https://www.crunchbase.com/organization/sharedspace</t>
  </si>
  <si>
    <t>https://sharedspace.work/</t>
  </si>
  <si>
    <t>Smyrna</t>
  </si>
  <si>
    <t>Shomer</t>
  </si>
  <si>
    <t>https://angel.co/company/shomer</t>
  </si>
  <si>
    <t>https://www.crunchbase.com/organization/shomer</t>
  </si>
  <si>
    <t>https://www.shomerapp.com/</t>
  </si>
  <si>
    <t>Shuftipro</t>
  </si>
  <si>
    <t>https://angel.co/company/shuftiproltd</t>
  </si>
  <si>
    <t>https://www.crunchbase.com/organization/shufti-pro</t>
  </si>
  <si>
    <t>https://shuftipro.com/</t>
  </si>
  <si>
    <t>Shutters WA</t>
  </si>
  <si>
    <t>https://shutterswa.com.au/</t>
  </si>
  <si>
    <t>SIG / Sands Investment Group</t>
  </si>
  <si>
    <t>https://angel.co/u/sandsinvestment</t>
  </si>
  <si>
    <t>https://signnn.com/</t>
  </si>
  <si>
    <t>SightPlan</t>
  </si>
  <si>
    <t>https://angel.co/company/sightplan</t>
  </si>
  <si>
    <t>https://www.crunchbase.com/organization/sightplan</t>
  </si>
  <si>
    <t>https://www.sightplan.com</t>
  </si>
  <si>
    <t>618 E South St #620</t>
  </si>
  <si>
    <t>32801</t>
  </si>
  <si>
    <t>Signal Compliance</t>
  </si>
  <si>
    <t>https://www.signalcompliance.com/</t>
  </si>
  <si>
    <t>182 Summer Street, Building 6-240</t>
  </si>
  <si>
    <t>Kingston</t>
  </si>
  <si>
    <t>02364</t>
  </si>
  <si>
    <t>Silvertrac Software</t>
  </si>
  <si>
    <t>https://angel.co/u/silvertracsoftware</t>
  </si>
  <si>
    <t>https://www.crunchbase.com/organization/silvertrac</t>
  </si>
  <si>
    <t>https://www.silvertracsoftware.com/</t>
  </si>
  <si>
    <t>Simuwatt, INC / Buildee</t>
  </si>
  <si>
    <t>https://www.crunchbase.com/organization/buildee</t>
  </si>
  <si>
    <t>https://buildee.com/</t>
  </si>
  <si>
    <t>Sine</t>
  </si>
  <si>
    <t>https://angel.co/company/sine-1</t>
  </si>
  <si>
    <t>https://www.crunchbase.com/organization/sine-group</t>
  </si>
  <si>
    <t>https://www.sine.co/</t>
  </si>
  <si>
    <t>Australia Plains</t>
  </si>
  <si>
    <t>SITE Technologies</t>
  </si>
  <si>
    <t>https://angel.co/company/site-technologies</t>
  </si>
  <si>
    <t>https://www.crunchbase.com/organization/site-technologies</t>
  </si>
  <si>
    <t>https://www.sitetechnologies.io/</t>
  </si>
  <si>
    <t>SiteCompli</t>
  </si>
  <si>
    <t>https://angel.co/company/sitecompli-2</t>
  </si>
  <si>
    <t>https://www.crunchbase.com/organization/sitecompli</t>
  </si>
  <si>
    <t>https://sitecompli.com/</t>
  </si>
  <si>
    <t>SiteStuff</t>
  </si>
  <si>
    <t>Procurement</t>
  </si>
  <si>
    <t>https://angel.co/sitestuff</t>
  </si>
  <si>
    <t>https://www.crunchbase.com/organization/sitestuff</t>
  </si>
  <si>
    <t>www.sitestuff.com</t>
  </si>
  <si>
    <t>12401 Research Blvd., Bldg., I, Suite 250</t>
  </si>
  <si>
    <t>78759</t>
  </si>
  <si>
    <t>Skanska</t>
  </si>
  <si>
    <t>https://www.crunchbase.com/organization/skanska</t>
  </si>
  <si>
    <t>www.skanska.com</t>
  </si>
  <si>
    <t>25 Warfvinges väg</t>
  </si>
  <si>
    <t>Stockholms län</t>
  </si>
  <si>
    <t>SkillSignal</t>
  </si>
  <si>
    <t>https://angel.co/company/skillsignal</t>
  </si>
  <si>
    <t>https://www.crunchbase.com/organization/skillsignal</t>
  </si>
  <si>
    <t>https://www.skillsignal.com/</t>
  </si>
  <si>
    <t>Princeton</t>
  </si>
  <si>
    <t>Sky Foundry</t>
  </si>
  <si>
    <t>https://angel.co/sky-foundry</t>
  </si>
  <si>
    <t>https://www.crunchbase.com/organization/skyfoundry</t>
  </si>
  <si>
    <t>skyfoundry.com</t>
  </si>
  <si>
    <t>PO Box 1749</t>
  </si>
  <si>
    <t>Glen Allen</t>
  </si>
  <si>
    <t xml:space="preserve">VA </t>
  </si>
  <si>
    <t>Skyfii</t>
  </si>
  <si>
    <t xml:space="preserve">https://www.crunchbase.com/organization/skyfii-limited
</t>
  </si>
  <si>
    <t>https://skyfii.io/</t>
  </si>
  <si>
    <t>Woollomooloo</t>
  </si>
  <si>
    <t>SmartCSM</t>
  </si>
  <si>
    <t>https://angel.co/company/smartcsm</t>
  </si>
  <si>
    <t>https://www.crunchbase.com/organization/smart-csm</t>
  </si>
  <si>
    <t>https://smartcsm.com/</t>
  </si>
  <si>
    <t>Smartengine wtec</t>
  </si>
  <si>
    <t>https://www.crunchbase.com/organization/smartengine-wtec</t>
  </si>
  <si>
    <t>https://wtec.io/technology</t>
  </si>
  <si>
    <t>Bad Homburg</t>
  </si>
  <si>
    <t>SmarterListings</t>
  </si>
  <si>
    <t>https://www.crunchbase.com/organization/smart-listing</t>
  </si>
  <si>
    <t>http://www.smarterlistings.com/</t>
  </si>
  <si>
    <t>Smartgallery</t>
  </si>
  <si>
    <t>https://www.crunchbase.com/organization/smartgallery-io</t>
  </si>
  <si>
    <t>http://smartgallery.io/</t>
  </si>
  <si>
    <t>SmartPoint Micro-Location Solutions</t>
  </si>
  <si>
    <t>https://www.smartpoint.co/</t>
  </si>
  <si>
    <t>Pretoria</t>
  </si>
  <si>
    <t>SmartProperty</t>
  </si>
  <si>
    <t>https://angel.co/company/smartproperty</t>
  </si>
  <si>
    <t>https://www.crunchbase.com/organization/smartproperty</t>
  </si>
  <si>
    <t>https://smartproperty.com/</t>
  </si>
  <si>
    <t>SMS Assist</t>
  </si>
  <si>
    <t>https://www.crunchbase.com/organization/sms-assist</t>
  </si>
  <si>
    <t>https://smsassist.com/</t>
  </si>
  <si>
    <t>SOFT4</t>
  </si>
  <si>
    <t>https://www.crunchbase.com/organization/soft4-realestate</t>
  </si>
  <si>
    <t>https://soft4realestate.com/</t>
  </si>
  <si>
    <t>Kaunas</t>
  </si>
  <si>
    <t>Lithuania</t>
  </si>
  <si>
    <t>SoldByAir</t>
  </si>
  <si>
    <t>Real Estate Drone Photography</t>
  </si>
  <si>
    <t>https://www.soldbyair.com/</t>
  </si>
  <si>
    <t>211 Delaware Cir</t>
  </si>
  <si>
    <t>Avondale</t>
  </si>
  <si>
    <t>19348</t>
  </si>
  <si>
    <t>Soteria Intelligence</t>
  </si>
  <si>
    <t>Social Media</t>
  </si>
  <si>
    <t>https://angel.co/company/soteria-intelligence</t>
  </si>
  <si>
    <t>https://www.crunchbase.com/organization/soteria-intelligence</t>
  </si>
  <si>
    <t>https://www.soteriaintelligence.com/</t>
  </si>
  <si>
    <t>Beverlly Hills</t>
  </si>
  <si>
    <t>Space Logik</t>
  </si>
  <si>
    <t>Space Planning</t>
  </si>
  <si>
    <t>https://www.crunchbase.com/organization/spacelogik</t>
  </si>
  <si>
    <t>http://www.spacelogik.com</t>
  </si>
  <si>
    <t>350 West Hubbard</t>
  </si>
  <si>
    <t>Space-O Technologies Canada</t>
  </si>
  <si>
    <t>https://angel.co/u/space-o-canada</t>
  </si>
  <si>
    <t>https://www.crunchbase.com/organization/space-o-technologies-canada</t>
  </si>
  <si>
    <t>https://www.spaceo.ca/</t>
  </si>
  <si>
    <t>Spacelist</t>
  </si>
  <si>
    <t>https://angel.co/company/spacelist</t>
  </si>
  <si>
    <t>https://www.crunchbase.com/organization/spacelist</t>
  </si>
  <si>
    <t>https://www.spacelist.co/</t>
  </si>
  <si>
    <t>SpaceOS</t>
  </si>
  <si>
    <t>https://angel.co/company/spaceos</t>
  </si>
  <si>
    <t>https://www.crunchbase.com/organization/spaceos</t>
  </si>
  <si>
    <t>https://spaceos.io</t>
  </si>
  <si>
    <t>Galway</t>
  </si>
  <si>
    <t>Spaces</t>
  </si>
  <si>
    <t>https://angel.co/company/spaces-6</t>
  </si>
  <si>
    <t>https://www.crunchbase.com/organization/spaces-works</t>
  </si>
  <si>
    <t>www.spacesworks.com/</t>
  </si>
  <si>
    <t>Mr. Treublaan 7</t>
  </si>
  <si>
    <t>1097</t>
  </si>
  <si>
    <t>SpaceShare</t>
  </si>
  <si>
    <t>https://angel.co/company/spaceshare-3</t>
  </si>
  <si>
    <t>www.spaceshare.vn</t>
  </si>
  <si>
    <t>Đường Trung Văn</t>
  </si>
  <si>
    <t>Hanoi</t>
  </si>
  <si>
    <t>Vietnam</t>
  </si>
  <si>
    <t>Space Us</t>
  </si>
  <si>
    <t>Utilization</t>
  </si>
  <si>
    <t>https://spaceus.co</t>
  </si>
  <si>
    <t>Spacie</t>
  </si>
  <si>
    <t>https://www.crunchbase.com/organization/spacie</t>
  </si>
  <si>
    <t>https://www.spacie.ca/</t>
  </si>
  <si>
    <t>SpareRoom</t>
  </si>
  <si>
    <t>https://www.crunchbase.com/organization/spareroom</t>
  </si>
  <si>
    <t>https://www.spareroom.com/</t>
  </si>
  <si>
    <t>Sparkline, Inc.</t>
  </si>
  <si>
    <t>https://angel.co/company/sparkline-2</t>
  </si>
  <si>
    <t>https://www.crunchbase.com/organization/sparkline-inc</t>
  </si>
  <si>
    <t>https://www.sparkline.ai/</t>
  </si>
  <si>
    <t>Sparkoffice</t>
  </si>
  <si>
    <t>https://www.crunchbase.com/organization/sparkoffer</t>
  </si>
  <si>
    <t>https://sparkoffer.com/</t>
  </si>
  <si>
    <t>470 Atlantic Ave</t>
  </si>
  <si>
    <t>SpatialFirst</t>
  </si>
  <si>
    <t>https://angel.co/company/spatial-first</t>
  </si>
  <si>
    <t>https://www.crunchbase.com/organization/spatialfirst</t>
  </si>
  <si>
    <t>https://www.spatialfirst.com/</t>
  </si>
  <si>
    <t>Spatio Metrics</t>
  </si>
  <si>
    <t>https://www.spatiometrics.com</t>
  </si>
  <si>
    <t>SpillFix</t>
  </si>
  <si>
    <t>https://angel.co/u/spillfix</t>
  </si>
  <si>
    <t>https://spillfix.com/</t>
  </si>
  <si>
    <t>Springboard</t>
  </si>
  <si>
    <t>https://www.crunchbase.com/organization/springboard-research-ltd</t>
  </si>
  <si>
    <t>https://www.spring-board.info/</t>
  </si>
  <si>
    <t>Noble House, Capital Drive</t>
  </si>
  <si>
    <t>Milton Keynes</t>
  </si>
  <si>
    <t>MK14 6QP</t>
  </si>
  <si>
    <t>Starry</t>
  </si>
  <si>
    <t>https://angel.co/company/starry</t>
  </si>
  <si>
    <t>https://www.crunchbase.com/organization/starry-2</t>
  </si>
  <si>
    <t>gostarry.com/</t>
  </si>
  <si>
    <t>Stealthforce</t>
  </si>
  <si>
    <t>https://angel.co/stealthforce</t>
  </si>
  <si>
    <t>https://www.crunchbase.com/organization/stealthforce</t>
  </si>
  <si>
    <t>www.StealthForce.com</t>
  </si>
  <si>
    <t>79 Madison Ave</t>
  </si>
  <si>
    <t>StemLending.com</t>
  </si>
  <si>
    <t>https://angel.co/company/stem-lending</t>
  </si>
  <si>
    <t>https://www.crunchbase.com/organization/stem-lending</t>
  </si>
  <si>
    <t>https://www.stemlending.com/</t>
  </si>
  <si>
    <t>Jersey City</t>
  </si>
  <si>
    <t>Stessa</t>
  </si>
  <si>
    <t>https://angel.co/company/stessa</t>
  </si>
  <si>
    <t>https://www.crunchbase.com/organization/stessa</t>
  </si>
  <si>
    <t>www.stessa.com/</t>
  </si>
  <si>
    <t>4 Embarcadero Center, Suite 1500</t>
  </si>
  <si>
    <t>JLL</t>
  </si>
  <si>
    <t>Straight North</t>
  </si>
  <si>
    <t>https://www.crunchbase.com/organization/straight-north</t>
  </si>
  <si>
    <t>https://www.straightnorth.com/</t>
  </si>
  <si>
    <t>Downers Grove</t>
  </si>
  <si>
    <t>Stratafolio</t>
  </si>
  <si>
    <t>Portfolio Management</t>
  </si>
  <si>
    <t>https://www.crunchbase.com/organization/stratafolio</t>
  </si>
  <si>
    <t>https://stratafolio.com/</t>
  </si>
  <si>
    <t>415 12th Ave SE</t>
  </si>
  <si>
    <t>Cedar Rapids</t>
  </si>
  <si>
    <t xml:space="preserve">IA </t>
  </si>
  <si>
    <t>52401</t>
  </si>
  <si>
    <t>Stratafy Connect</t>
  </si>
  <si>
    <t>https://www.crunchbase.com/organization/stratafy</t>
  </si>
  <si>
    <t>https://stratafyconnect.com/</t>
  </si>
  <si>
    <t>STRATIS</t>
  </si>
  <si>
    <t>https://angel.co/company/stratis-ems</t>
  </si>
  <si>
    <t>https://www.crunchbase.com/organization/stratis</t>
  </si>
  <si>
    <t>stratisiot.com/</t>
  </si>
  <si>
    <t>3721 Midvale Ave</t>
  </si>
  <si>
    <t>19129</t>
  </si>
  <si>
    <t>StratoDem Analytics</t>
  </si>
  <si>
    <t>https://angel.co/company/stratodem-analytics</t>
  </si>
  <si>
    <t>https://stratodem.com/</t>
  </si>
  <si>
    <t>Studio11</t>
  </si>
  <si>
    <t>Residential, Other</t>
  </si>
  <si>
    <t>http://en.studio11.by/</t>
  </si>
  <si>
    <t>220123 Republic of Belarus</t>
  </si>
  <si>
    <t>Minsk</t>
  </si>
  <si>
    <t>Republic of Belarus</t>
  </si>
  <si>
    <t>Studio Graphene</t>
  </si>
  <si>
    <t>https://www.crunchbase.com/organization/studio-graphene</t>
  </si>
  <si>
    <t>SuiteSpot Technology</t>
  </si>
  <si>
    <t>https://angel.co/company/suitespot</t>
  </si>
  <si>
    <t>https://www.crunchbase.com/organization/suitespot-technology</t>
  </si>
  <si>
    <t>https://www.suitespottechnology.com/</t>
  </si>
  <si>
    <t>Suffolk Construction</t>
  </si>
  <si>
    <t>https://www.crunchbase.com/organization/suffolk-construction</t>
  </si>
  <si>
    <t>www.suffolk.com</t>
  </si>
  <si>
    <t>65 Allerton St</t>
  </si>
  <si>
    <t>02119</t>
  </si>
  <si>
    <t>SwingSpace, LLC</t>
  </si>
  <si>
    <t>https://angel.co/company/swingspace</t>
  </si>
  <si>
    <t>swingspace.com</t>
  </si>
  <si>
    <t>21 Dupont Cir NW #750</t>
  </si>
  <si>
    <t>SyndicationPro</t>
  </si>
  <si>
    <t>Office, Multifamily, Retail, Industrial</t>
  </si>
  <si>
    <t>https://www.crunchbase.com/organization/syndicationpro-com</t>
  </si>
  <si>
    <t>https://syndicationpro.com/</t>
  </si>
  <si>
    <t>Synlio - RFP Automation</t>
  </si>
  <si>
    <t>https://angel.co/company/synlio</t>
  </si>
  <si>
    <t>https://www.crunchbase.com/organization/synlio</t>
  </si>
  <si>
    <t>www.synlio.com/</t>
  </si>
  <si>
    <t>Greater Phoenix Area</t>
  </si>
  <si>
    <t>Tangible</t>
  </si>
  <si>
    <t>https://www.tangibledata.io/#/</t>
  </si>
  <si>
    <t>Tango</t>
  </si>
  <si>
    <t>https://www.crunchbase.com/organization/tango-analytics</t>
  </si>
  <si>
    <t>https://tangoanalytics.com/</t>
  </si>
  <si>
    <t>Coppell</t>
  </si>
  <si>
    <t>Tap Report</t>
  </si>
  <si>
    <t>https://www.crunchbase.com/organization/tap-report</t>
  </si>
  <si>
    <t>https://tapreport.io/home/</t>
  </si>
  <si>
    <t>Tapa</t>
  </si>
  <si>
    <t>https://www.tapa.cc/</t>
  </si>
  <si>
    <t>503 Carlisle Dr</t>
  </si>
  <si>
    <t>Herdon</t>
  </si>
  <si>
    <t>20170</t>
  </si>
  <si>
    <t>TapCap</t>
  </si>
  <si>
    <t>https://www.crunchbase.com/organization/tapcap</t>
  </si>
  <si>
    <t>https://hello.tapcap.co/</t>
  </si>
  <si>
    <t>Tayloright</t>
  </si>
  <si>
    <t>https://angel.co/company/tayloright-1</t>
  </si>
  <si>
    <t>TBI, Inc.</t>
  </si>
  <si>
    <t>https://www.tbicom.com/</t>
  </si>
  <si>
    <t>Techmenity</t>
  </si>
  <si>
    <t>https://www.crunchbase.com/organization/techmenity</t>
  </si>
  <si>
    <t>https://www.techdad.com/techmenity</t>
  </si>
  <si>
    <t>119 West 23rd Street Suite 404</t>
  </si>
  <si>
    <t>TEKsystems Global Services</t>
  </si>
  <si>
    <t>https://angel.co/company/teksystems</t>
  </si>
  <si>
    <t>https://www.crunchbase.com/organization/teksystems</t>
  </si>
  <si>
    <t>https://www.teksystems.com/</t>
  </si>
  <si>
    <t>Hanover</t>
  </si>
  <si>
    <t>Temboo</t>
  </si>
  <si>
    <t>https://www.crunchbase.com/organization/temboo</t>
  </si>
  <si>
    <t>https://temboo.com/</t>
  </si>
  <si>
    <t>Tenant Tracker</t>
  </si>
  <si>
    <t>https://angel.co/company/tenant-tracker</t>
  </si>
  <si>
    <t>https://www.crunchbase.com/organization/tenant-tracker</t>
  </si>
  <si>
    <t>http://www.tenanttracker.net/</t>
  </si>
  <si>
    <t>5255 Winthrop Ave</t>
  </si>
  <si>
    <t>46220</t>
  </si>
  <si>
    <t>TenantSee</t>
  </si>
  <si>
    <t>https://www.crunchbase.com/organization/tenantsee</t>
  </si>
  <si>
    <t>https://www.tenantsee.co/</t>
  </si>
  <si>
    <t>95 Plantation Dr</t>
  </si>
  <si>
    <t>East Finchley</t>
  </si>
  <si>
    <t>N2 9ED</t>
  </si>
  <si>
    <t>TermSheet</t>
  </si>
  <si>
    <t>https://angel.co/company/gotermsheet</t>
  </si>
  <si>
    <t>https://www.crunchbase.com/organization/termsheet</t>
  </si>
  <si>
    <t>https://www.termsheet.com</t>
  </si>
  <si>
    <t>Kansas</t>
  </si>
  <si>
    <t>Terraquanta</t>
  </si>
  <si>
    <t>https://www.crunchbase.com/organization/terraquanta</t>
  </si>
  <si>
    <t>http://terraquanta.io</t>
  </si>
  <si>
    <t>89 Cuihua Road, A2008</t>
  </si>
  <si>
    <t>Chengdu</t>
  </si>
  <si>
    <t xml:space="preserve">Sichuan </t>
  </si>
  <si>
    <t>610000</t>
  </si>
  <si>
    <t>The Brighthouse</t>
  </si>
  <si>
    <t>https://angel.co/company/brighthouse</t>
  </si>
  <si>
    <t>https://thebrighthouse.us/</t>
  </si>
  <si>
    <t>BRANNAN STREET UNIT 673</t>
  </si>
  <si>
    <t>The Broker List</t>
  </si>
  <si>
    <t>https://www.crunchbase.com/organization/the-broker-list</t>
  </si>
  <si>
    <t>https://thebrokerlist.com/</t>
  </si>
  <si>
    <t>The Collective</t>
  </si>
  <si>
    <t>https://angel.co/company/the-collective-living</t>
  </si>
  <si>
    <t>https://www.thecollective.com/</t>
  </si>
  <si>
    <t>The CXApp</t>
  </si>
  <si>
    <t>https://www.crunchbase.com/organization/the-cxapp</t>
  </si>
  <si>
    <t>https://thecxapp.com/</t>
  </si>
  <si>
    <t>309 Ray St.</t>
  </si>
  <si>
    <t>The Detection Group</t>
  </si>
  <si>
    <t>https://angel.co/company/the-detection-group</t>
  </si>
  <si>
    <t>https://www.crunchbase.com/organization/the-detection-group</t>
  </si>
  <si>
    <t xml:space="preserve">www.thedetectiongroup.com/
</t>
  </si>
  <si>
    <t>440 N Wolfe Rd. E211</t>
  </si>
  <si>
    <t xml:space="preserve">94085 </t>
  </si>
  <si>
    <t>The News Funnel</t>
  </si>
  <si>
    <t>https://angel.co/company/the-news-funnel</t>
  </si>
  <si>
    <t>https://www.crunchbase.com/organization/the-news-funnel</t>
  </si>
  <si>
    <t>https://www.thenewsfunnel.com/</t>
  </si>
  <si>
    <t>Bernadsville</t>
  </si>
  <si>
    <t>The Nexus Workspaces</t>
  </si>
  <si>
    <t>https://angel.co/company/espace-nexus-nexus-workspace-shared-office-and-coworking-space</t>
  </si>
  <si>
    <t>https://nexusworkspaces.com/</t>
  </si>
  <si>
    <t>TheExchangeusa.com</t>
  </si>
  <si>
    <t>https://theexchangeusa.com/?view=desktop</t>
  </si>
  <si>
    <t>TheHouseMonk</t>
  </si>
  <si>
    <t>https://angel.co/company/thehousemonk</t>
  </si>
  <si>
    <t>https://www.crunchbase.com/organization/thehousemonk</t>
  </si>
  <si>
    <t>https://thehousemonk.com/</t>
  </si>
  <si>
    <t>ThePro3DStudio</t>
  </si>
  <si>
    <t>https://angel.co/company/thepro3dstudio</t>
  </si>
  <si>
    <t>https://www.crunchbase.com/organization/thepro3dstudio</t>
  </si>
  <si>
    <t>https://professional3dservices.com/</t>
  </si>
  <si>
    <t>Thermtest</t>
  </si>
  <si>
    <t>https://www.crunchbase.com/organization/thermtest-europe</t>
  </si>
  <si>
    <t>https://thermtest.com/</t>
  </si>
  <si>
    <t>Veddige</t>
  </si>
  <si>
    <t>TheSmarterPlace</t>
  </si>
  <si>
    <t>https://www.crunchbase.com/organization/thesmarterplace</t>
  </si>
  <si>
    <t>https://www.thesmarterplace.com/en/</t>
  </si>
  <si>
    <t>Herrlibergh</t>
  </si>
  <si>
    <t>Thomson Data</t>
  </si>
  <si>
    <t>https://angel.co/company/thomsondata</t>
  </si>
  <si>
    <t>https://www.crunchbase.com/organization/thomson-data-08ae</t>
  </si>
  <si>
    <t>https://www.thomsondata.com/</t>
  </si>
  <si>
    <t>Tomedes</t>
  </si>
  <si>
    <t>https://angel.co/u/tomedes-translation</t>
  </si>
  <si>
    <t>https://www.crunchbase.com/organization/tomedes-translation-localization-service</t>
  </si>
  <si>
    <t>https://www.tomedes.com/</t>
  </si>
  <si>
    <t>Toolbox Group / mallcomm</t>
  </si>
  <si>
    <t>https://www.mallcommapp.com/</t>
  </si>
  <si>
    <t>Suffolk</t>
  </si>
  <si>
    <t>TopHap, Inc.</t>
  </si>
  <si>
    <t>https://www.crunchbase.com/organization/tophap</t>
  </si>
  <si>
    <t>https://www.tophap.com/</t>
  </si>
  <si>
    <t>San Ramón</t>
  </si>
  <si>
    <t>TopUp Consultants</t>
  </si>
  <si>
    <t>https://angel.co/company/topup-consultants</t>
  </si>
  <si>
    <t>https://www.crunchbase.com/organization/topup-consultants#section-overview</t>
  </si>
  <si>
    <t>https://www.topupconsultants.com/</t>
  </si>
  <si>
    <t>17 Cavendish Square</t>
  </si>
  <si>
    <t>W1G 0PH</t>
  </si>
  <si>
    <t>TouchSource</t>
  </si>
  <si>
    <t>https://angel.co/company/touchsource/</t>
  </si>
  <si>
    <t>https://www.crunchbase.com/organization/touchsource</t>
  </si>
  <si>
    <t>https://www.touchsource.com/</t>
  </si>
  <si>
    <t xml:space="preserve">1370 Miners Dr #103
</t>
  </si>
  <si>
    <t>80026</t>
  </si>
  <si>
    <t>Tower 360</t>
  </si>
  <si>
    <t>https://www.crunchbase.com/organization/tower360</t>
  </si>
  <si>
    <t>https://www.tower360.co/en/</t>
  </si>
  <si>
    <t>Rödingsmarkt 9</t>
  </si>
  <si>
    <t>20459</t>
  </si>
  <si>
    <t>TrainACE</t>
  </si>
  <si>
    <t>https://angel.co/company/trainace</t>
  </si>
  <si>
    <t>https://www.crunchbase.com/organization/academy-of-computer-education</t>
  </si>
  <si>
    <t>http://www.trainace.com/</t>
  </si>
  <si>
    <t>7833 Walker Drive, Suite 520</t>
  </si>
  <si>
    <t>Greenbelt</t>
  </si>
  <si>
    <t>20770</t>
  </si>
  <si>
    <t>Transactency</t>
  </si>
  <si>
    <t>https://angel.co/company/transactency</t>
  </si>
  <si>
    <t>https://www.crunchbase.com/organization/transactency</t>
  </si>
  <si>
    <t>https://www.transactency.com/</t>
  </si>
  <si>
    <t>515 North State</t>
  </si>
  <si>
    <t xml:space="preserve">TransparentCity
</t>
  </si>
  <si>
    <t>https://angel.co/company/transparentcity</t>
  </si>
  <si>
    <t>https://www.crunchbase.com/organization/transparentcity-co</t>
  </si>
  <si>
    <t>https://www.transparentcity.co/</t>
  </si>
  <si>
    <t>175 Varick St,</t>
  </si>
  <si>
    <t>10014</t>
  </si>
  <si>
    <t>Trepp</t>
  </si>
  <si>
    <t>https://angel.co/company/trepp-1</t>
  </si>
  <si>
    <t>https://www.crunchbase.com/organization/trepp</t>
  </si>
  <si>
    <t xml:space="preserve">www.trepp.com/
</t>
  </si>
  <si>
    <t>600 5th Ave</t>
  </si>
  <si>
    <t>10020</t>
  </si>
  <si>
    <t>Triax Technologies</t>
  </si>
  <si>
    <t>https://www.crunchbase.com/organization/triax-technologies-inc</t>
  </si>
  <si>
    <t>https://www.triaxtec.com/</t>
  </si>
  <si>
    <t>Trimble (Manhattan Real Estate Software)</t>
  </si>
  <si>
    <t>https://angel.co/company/trimble-navigation</t>
  </si>
  <si>
    <t>https://www.crunchbase.com/organization/trimble</t>
  </si>
  <si>
    <t>https://realestate.trimble.com/</t>
  </si>
  <si>
    <t>935 Stewart Drive</t>
  </si>
  <si>
    <t>Trova</t>
  </si>
  <si>
    <t>https://angel.co/company/trova-io</t>
  </si>
  <si>
    <t>https://www.trova.io/</t>
  </si>
  <si>
    <t>Trrend</t>
  </si>
  <si>
    <t>https://angel.co/company/trrend</t>
  </si>
  <si>
    <t>https://www.crunchbase.com/organization/trrend</t>
  </si>
  <si>
    <t xml:space="preserve">www.trrend.com/
</t>
  </si>
  <si>
    <t>The Mill, Newtown Link Road</t>
  </si>
  <si>
    <t>Greenhills Drogheda</t>
  </si>
  <si>
    <t>A92 CD3D</t>
  </si>
  <si>
    <t>Turner Freeman</t>
  </si>
  <si>
    <t>https://angel.co/company/turner-freeman-lawyers</t>
  </si>
  <si>
    <t>www.turnerfreeman.com.au</t>
  </si>
  <si>
    <t>12/160 Sussex St</t>
  </si>
  <si>
    <t>Tvisha Technologies</t>
  </si>
  <si>
    <t>https://www.crunchbase.com/organization/tvisha-technologies-inc</t>
  </si>
  <si>
    <t>https://www.tvisha.com/services/mobile-app-development-company-maintenance-support-android-ios.html</t>
  </si>
  <si>
    <t>Edison</t>
  </si>
  <si>
    <t>Two Stay</t>
  </si>
  <si>
    <t>https://www.crunchbase.com/organization/twostay</t>
  </si>
  <si>
    <t>https://twostay.work/</t>
  </si>
  <si>
    <t>20 Oskar-von-Miller-Ring</t>
  </si>
  <si>
    <t>Unico Properties LLC</t>
  </si>
  <si>
    <t>https://www.crunchbase.com/organization/unico-properties-llc</t>
  </si>
  <si>
    <t>https://unicoprop.com/</t>
  </si>
  <si>
    <t>1215 Fourth Avenue, Suite 600</t>
  </si>
  <si>
    <t>Unifi Labs, Inc.</t>
  </si>
  <si>
    <t>https://angel.co/company/unifi-labs-1</t>
  </si>
  <si>
    <t>https://www.crunchbase.com/organization/unifi-labs-inc</t>
  </si>
  <si>
    <t>https://unifilabs.com/</t>
  </si>
  <si>
    <t xml:space="preserve">NE </t>
  </si>
  <si>
    <t>Upside Realty</t>
  </si>
  <si>
    <t>https://angel.co/company/upside-realty</t>
  </si>
  <si>
    <t>https://www.crunchbase.com/organization/upside-realty-pty-ltd</t>
  </si>
  <si>
    <t>upside.com.au/</t>
  </si>
  <si>
    <t>Level 50/120 Collins St</t>
  </si>
  <si>
    <t>VIC 3186</t>
  </si>
  <si>
    <t>Up&amp;Up</t>
  </si>
  <si>
    <t>https://angel.co/company/upandup</t>
  </si>
  <si>
    <t>https://www.crunchbase.com/organization/homevest</t>
  </si>
  <si>
    <t>https://upandup.co/</t>
  </si>
  <si>
    <t>UrbanRISKLab</t>
  </si>
  <si>
    <t>https://urbanrisklab.org/work#/prephub/</t>
  </si>
  <si>
    <t>US Mortgages</t>
  </si>
  <si>
    <t>https://angel.co/company/us-mortgages</t>
  </si>
  <si>
    <t>https://www.crunchbase.com/organization/us-mortgage-corporation</t>
  </si>
  <si>
    <t>https://www.usmortgages.com/</t>
  </si>
  <si>
    <t>6855 S Havana St Ste 500</t>
  </si>
  <si>
    <t>80112</t>
  </si>
  <si>
    <t>ValueRequest</t>
  </si>
  <si>
    <t>https://valuerequest.com/</t>
  </si>
  <si>
    <t>Velis Real Estate Tech</t>
  </si>
  <si>
    <t>https://angel.co/company/velis-real-estate-tech</t>
  </si>
  <si>
    <t>https://www.crunchbase.com/organization/velis-real-estate-tech</t>
  </si>
  <si>
    <t>http://velistech.com/</t>
  </si>
  <si>
    <t>Podole 60, 30-394</t>
  </si>
  <si>
    <t>Kraków</t>
  </si>
  <si>
    <t>VENTURE.co Holdings, Inc</t>
  </si>
  <si>
    <t>https://www.crunchbase.com/organization/venture-co-holdings-inc</t>
  </si>
  <si>
    <t>https://venture.co/</t>
  </si>
  <si>
    <t>171 Battery Street</t>
  </si>
  <si>
    <t>Burlington</t>
  </si>
  <si>
    <t>Vermont</t>
  </si>
  <si>
    <t>05401</t>
  </si>
  <si>
    <t>VerticalRent</t>
  </si>
  <si>
    <t>https://angel.co/company/verticalrent</t>
  </si>
  <si>
    <t>https://www.crunchbase.com/organization/verticalrent</t>
  </si>
  <si>
    <t>https://www.verticalrent.com/</t>
  </si>
  <si>
    <t>Erie</t>
  </si>
  <si>
    <t>Vertify Analytics</t>
  </si>
  <si>
    <t>https://www.vertifyanalytics.com</t>
  </si>
  <si>
    <t>VideoComm Technologies</t>
  </si>
  <si>
    <t>https://angel.co/company/videocomm-technologies</t>
  </si>
  <si>
    <t>https://www.elevatorvideosystems.com/</t>
  </si>
  <si>
    <t>Videoms</t>
  </si>
  <si>
    <t>https://angel.co/company/dream-videoms</t>
  </si>
  <si>
    <t>https://www.crunchbase.com/organization/videoms-com</t>
  </si>
  <si>
    <t>videoms.com</t>
  </si>
  <si>
    <t>1253 Vine St</t>
  </si>
  <si>
    <t>90038</t>
  </si>
  <si>
    <t>VIEW Promotion GmbH</t>
  </si>
  <si>
    <t>Multifamily, Office, Hospitality, Other</t>
  </si>
  <si>
    <t>https://www.crunchbase.com/organization/view-promotion-gmbh</t>
  </si>
  <si>
    <t>view-elevator.com/</t>
  </si>
  <si>
    <t>Frauscherberg 8 5211</t>
  </si>
  <si>
    <t>Friedburg</t>
  </si>
  <si>
    <t>Virtual APT</t>
  </si>
  <si>
    <t>https://angel.co/virtualapt</t>
  </si>
  <si>
    <t>https://www.crunchbase.com/organization/virtualapt#section-overview</t>
  </si>
  <si>
    <t>www.virtualapt.com/</t>
  </si>
  <si>
    <t>45 Main St, STE 613</t>
  </si>
  <si>
    <t>Virtually Staging Properties</t>
  </si>
  <si>
    <t>https://virtuallystagingproperties.com/</t>
  </si>
  <si>
    <t>3402 Oakcliff Rd</t>
  </si>
  <si>
    <t>30340</t>
  </si>
  <si>
    <t>Visual Lease</t>
  </si>
  <si>
    <t>https://angel.co/company/visual-lease</t>
  </si>
  <si>
    <t>https://www.crunchbase.com/organization/visual-lease</t>
  </si>
  <si>
    <t>https://visuallease.com/</t>
  </si>
  <si>
    <t>Woodbrigde</t>
  </si>
  <si>
    <t>VivoAquatics Inc</t>
  </si>
  <si>
    <t>https://angel.co/company/vivoaquatics</t>
  </si>
  <si>
    <t>https://www.crunchbase.com/organization/vivoaquatics</t>
  </si>
  <si>
    <t>www.vivoaquatics.com</t>
  </si>
  <si>
    <t>Monrovia</t>
  </si>
  <si>
    <t>Volum</t>
  </si>
  <si>
    <t>https://www.crunchbase.com/organization/kowffice/company_financials</t>
  </si>
  <si>
    <t>https://volum.co/</t>
  </si>
  <si>
    <t>Voxel</t>
  </si>
  <si>
    <t>https://www.crunchbase.com/organization/voxel-6c36</t>
  </si>
  <si>
    <t>https://www.3dvoxel.xyz/</t>
  </si>
  <si>
    <t>Voyanta</t>
  </si>
  <si>
    <t>https://angel.co/company/voyanta</t>
  </si>
  <si>
    <t>https://www.crunchbase.com/organization/voyanta</t>
  </si>
  <si>
    <t>voyanta.com</t>
  </si>
  <si>
    <t xml:space="preserve">Kings Court, 1st Floor, 2675, </t>
  </si>
  <si>
    <t>Birmingham</t>
  </si>
  <si>
    <t>B37 7YE</t>
  </si>
  <si>
    <t>VU City</t>
  </si>
  <si>
    <t>https://www.crunchbase.com/organization/vu-city</t>
  </si>
  <si>
    <t>VU.CITY </t>
  </si>
  <si>
    <t xml:space="preserve">The Whitehouse, Belvedere Road
</t>
  </si>
  <si>
    <t xml:space="preserve"> SE1 8GA</t>
  </si>
  <si>
    <t>WarmlyYours</t>
  </si>
  <si>
    <t>https://angel.co/company/warmlyyours</t>
  </si>
  <si>
    <t>https://www.crunchbase.com/organization/warmlyyours</t>
  </si>
  <si>
    <t>warmlyyours.com/en-US</t>
  </si>
  <si>
    <t xml:space="preserve">590 Telser Rd </t>
  </si>
  <si>
    <t>Lake Zurich</t>
  </si>
  <si>
    <t>60047</t>
  </si>
  <si>
    <t>WastePlace</t>
  </si>
  <si>
    <t>https://angel.co/company/wasteplace</t>
  </si>
  <si>
    <t>https://www.crunchbase.com/organization/wasteplace</t>
  </si>
  <si>
    <t>http://www.wasteplace.com</t>
  </si>
  <si>
    <t>Waypoint</t>
  </si>
  <si>
    <t>https://angel.co/company/waypoint-building</t>
  </si>
  <si>
    <t>https://www.crunchbase.com/organization/waypoint-building-group</t>
  </si>
  <si>
    <t>https://waypointbuilding.com/index.html</t>
  </si>
  <si>
    <t>847 Sansome Street, Suite 300</t>
  </si>
  <si>
    <t>Westfalia Technologies</t>
  </si>
  <si>
    <t>https://angel.co/company/westfalia-technologies</t>
  </si>
  <si>
    <t>https://www.crunchbase.com/organization/westfalia-technologies-inc</t>
  </si>
  <si>
    <t>https://www.westfaliausa.com/</t>
  </si>
  <si>
    <t>3655 Sandhurst Drive</t>
  </si>
  <si>
    <t>York</t>
  </si>
  <si>
    <t>17406</t>
  </si>
  <si>
    <t>WHATFLOOR</t>
  </si>
  <si>
    <t>https://angel.co/company/whatfloor</t>
  </si>
  <si>
    <t>what-floor.com</t>
  </si>
  <si>
    <t>1001 Bayhill Dr suite 200</t>
  </si>
  <si>
    <t>San Bruno</t>
  </si>
  <si>
    <t>94066</t>
  </si>
  <si>
    <t>WhereIPark</t>
  </si>
  <si>
    <t>https://angel.co/company/whereipark</t>
  </si>
  <si>
    <t>https://www.crunchbase.com/organization/whereipark</t>
  </si>
  <si>
    <t>https://www.whereipark.com/</t>
  </si>
  <si>
    <t>Elliott Ave and Wall St.</t>
  </si>
  <si>
    <t>SEATTLE</t>
  </si>
  <si>
    <t>Whitney Technology, Inc</t>
  </si>
  <si>
    <t>https://angel.co/company/whitney-technology</t>
  </si>
  <si>
    <t>https://www.crunchbase.com/organization/whitney-technology</t>
  </si>
  <si>
    <t>https://whitneytechnology.com/</t>
  </si>
  <si>
    <t>202 Bicknell Avenue</t>
  </si>
  <si>
    <t>Wifi Waiter</t>
  </si>
  <si>
    <t>https://angel.co/company/torchfi</t>
  </si>
  <si>
    <t>https://www.crunchbase.com/organization/wifi-waiter</t>
  </si>
  <si>
    <t>https://www.wifiwaiter.net/</t>
  </si>
  <si>
    <t>Wishkarma.com</t>
  </si>
  <si>
    <t>https://angel.co/company/wishkarma-media-works</t>
  </si>
  <si>
    <t>https://www.crunchbase.com/organization/wishkarma-media-works</t>
  </si>
  <si>
    <t>www.wishkarma.com/</t>
  </si>
  <si>
    <t>Wise Agent CRM</t>
  </si>
  <si>
    <t>https://www.crunchbase.com/organization/wise-agent</t>
  </si>
  <si>
    <t>https://wiseagent.com/</t>
  </si>
  <si>
    <t>Funtain Hills</t>
  </si>
  <si>
    <t>Woodstacker</t>
  </si>
  <si>
    <t>https://www.crunchbase.com/organization/woodstacker</t>
  </si>
  <si>
    <t>www.woodstacker.com/</t>
  </si>
  <si>
    <t>Woosper Infotech</t>
  </si>
  <si>
    <t>https://angel.co/u/woosper-infotech</t>
  </si>
  <si>
    <t>https://www.crunchbase.com/organization/woosper-infotech</t>
  </si>
  <si>
    <t>http://www.woosper.com/</t>
  </si>
  <si>
    <t>Asia-Pacific (APAC)</t>
  </si>
  <si>
    <t>work.shop</t>
  </si>
  <si>
    <t>https://www.crunchbase.com/organization/work-shop</t>
  </si>
  <si>
    <t>http://workshop-mg.com/</t>
  </si>
  <si>
    <t>Workorder</t>
  </si>
  <si>
    <t>https://angel.co/company/workorder-es-1</t>
  </si>
  <si>
    <t>https://www.crunchbase.com/organization/workorder-es#section-overview</t>
  </si>
  <si>
    <t>https://www.workorder.es/</t>
  </si>
  <si>
    <t>WorkSpace</t>
  </si>
  <si>
    <t>https://www.goworkspace.com/</t>
  </si>
  <si>
    <t>520 Newport Center Drive</t>
  </si>
  <si>
    <t>WREX (World Real Estate Xchange)</t>
  </si>
  <si>
    <t>https://angel.co/company/wrex</t>
  </si>
  <si>
    <t>https://www.crunchbase.com/organization/wrex</t>
  </si>
  <si>
    <t>https://www.wrex.co/</t>
  </si>
  <si>
    <t>WTC Next, Inc.</t>
  </si>
  <si>
    <t>https://www.crunchbase.com/organization/wtc-next</t>
  </si>
  <si>
    <t>www.wtcnext.com</t>
  </si>
  <si>
    <t>50 South Main Street</t>
  </si>
  <si>
    <t>60540</t>
  </si>
  <si>
    <t>XBOSoft</t>
  </si>
  <si>
    <t>https://angel.co/company/xbosoft</t>
  </si>
  <si>
    <t>https://www.crunchbase.com/organization/xbosoft</t>
  </si>
  <si>
    <t>http://www.xbosoft.com/</t>
  </si>
  <si>
    <t>12110 Sunset Hills RdSuite 600</t>
  </si>
  <si>
    <t>Xpressdocs</t>
  </si>
  <si>
    <t>https://angel.co/company/xpressdocs</t>
  </si>
  <si>
    <t>https://www.crunchbase.com/organization/xpressdocs</t>
  </si>
  <si>
    <t>https://www.xpressdocs.com/</t>
  </si>
  <si>
    <t>4901 N Beach Street</t>
  </si>
  <si>
    <t>Fort Worth</t>
  </si>
  <si>
    <t>76137</t>
  </si>
  <si>
    <t>Yardi</t>
  </si>
  <si>
    <t>https://angel.co/yardi-systems</t>
  </si>
  <si>
    <t>https://www.crunchbase.com/organization/yardi-systems#section-overview</t>
  </si>
  <si>
    <t>https://www.yardi.com/</t>
  </si>
  <si>
    <t>430 South Fairview Avenue</t>
  </si>
  <si>
    <t>Younity</t>
  </si>
  <si>
    <t>https://angel.co/company/younity-2</t>
  </si>
  <si>
    <t>https://www.crunchbase.com/organization/younity</t>
  </si>
  <si>
    <t>http://www.younity.io/</t>
  </si>
  <si>
    <t>Zaclab Technologies</t>
  </si>
  <si>
    <t>https://www.crunchbase.com/organization/zaclab-technologies-pvt-ltd</t>
  </si>
  <si>
    <t>https://zaclab.com/</t>
  </si>
  <si>
    <t>I-23, Nehru Colony 1st Floor Shiva Tower</t>
  </si>
  <si>
    <t>Dehradun</t>
  </si>
  <si>
    <t>Uttarakhand</t>
  </si>
  <si>
    <t>ZenBit</t>
  </si>
  <si>
    <t>App</t>
  </si>
  <si>
    <t>https://angel.co/company/zenbit-1</t>
  </si>
  <si>
    <t>https://www.crunchbase.com/organization/zenbit</t>
  </si>
  <si>
    <t xml:space="preserve">zenbit.tech/
</t>
  </si>
  <si>
    <t xml:space="preserve">46 St. Leonards Road </t>
  </si>
  <si>
    <t>Northampton</t>
  </si>
  <si>
    <t>NN4 8DP</t>
  </si>
  <si>
    <t>Zigg Capital</t>
  </si>
  <si>
    <t>https://www.crunchbase.com/organization/zigg-capital</t>
  </si>
  <si>
    <t>http://ziggcap.com/</t>
  </si>
  <si>
    <t>15 West 53rd Street 12 East</t>
  </si>
  <si>
    <t>10019</t>
  </si>
  <si>
    <t>Zilper Trenchless</t>
  </si>
  <si>
    <t>https://www.zilpertrenchless.com</t>
  </si>
  <si>
    <t>Agilitas Energy</t>
  </si>
  <si>
    <t xml:space="preserve">Other </t>
  </si>
  <si>
    <t>https://www.crunchbase.com/organization/agilitas-energy</t>
  </si>
  <si>
    <t>https://agilitasenergy.com/</t>
  </si>
  <si>
    <t>Wakefield</t>
  </si>
  <si>
    <t>01880</t>
  </si>
  <si>
    <t>Animated Insights</t>
  </si>
  <si>
    <t>https://www.crunchbase.com/organization/animated-insights</t>
  </si>
  <si>
    <t>https://www.animated-insights.com/</t>
  </si>
  <si>
    <t>Areal</t>
  </si>
  <si>
    <t>Circa</t>
  </si>
  <si>
    <t>https://www.crunchbase.com/organization/circa-7a83</t>
  </si>
  <si>
    <t>https://www.wearecirca.com/</t>
  </si>
  <si>
    <t>ME</t>
  </si>
  <si>
    <t>Common Energy</t>
  </si>
  <si>
    <t>https://angel.co/company/common-energy-1</t>
  </si>
  <si>
    <t>https://www.crunchbase.com/organization/common-energy</t>
  </si>
  <si>
    <t>https://www.commonenergy.us/</t>
  </si>
  <si>
    <t>ConstructSecure</t>
  </si>
  <si>
    <t>SaaS</t>
  </si>
  <si>
    <t>https://angel.co/company/constructsecure</t>
  </si>
  <si>
    <t>https://www.crunchbase.com/organization/constructsecure</t>
  </si>
  <si>
    <t>https://www.constructsecure.com/</t>
  </si>
  <si>
    <t>Lexington</t>
  </si>
  <si>
    <t>Erste Hausverwaltung</t>
  </si>
  <si>
    <t>https://www.crunchbase.com/organization/erste-hausverwaltung-gmbh</t>
  </si>
  <si>
    <t>https://erste-hausverwaltung.de/</t>
  </si>
  <si>
    <t>Fello</t>
  </si>
  <si>
    <t>https://www.crunchbase.com/organization/flashhouse</t>
  </si>
  <si>
    <t>https://hifello.com/</t>
  </si>
  <si>
    <t>FirstClose</t>
  </si>
  <si>
    <t>https://www.crunchbase.com/organization/firstclose</t>
  </si>
  <si>
    <t>https://firstclose.com/</t>
  </si>
  <si>
    <t>Flyway</t>
  </si>
  <si>
    <t>https://angel.co/company/flyway_homes</t>
  </si>
  <si>
    <t>https://www.crunchbase.com/organization/flyway-e121</t>
  </si>
  <si>
    <t>https://flyway.app/</t>
  </si>
  <si>
    <t>Foresite</t>
  </si>
  <si>
    <t>https://www.crunchbase.com/organization/foresite-ebb2</t>
  </si>
  <si>
    <t>https://www.foresite.tech/</t>
  </si>
  <si>
    <t>Giatec</t>
  </si>
  <si>
    <t>https://angel.co/company/giatec-scientific</t>
  </si>
  <si>
    <t>https://www.crunchbase.com/organization/giatec-scientific</t>
  </si>
  <si>
    <t>https://www.giatecscientific.com/</t>
  </si>
  <si>
    <t>245 Menten Place, Suite 300</t>
  </si>
  <si>
    <t>K2H 9E8</t>
  </si>
  <si>
    <t>Hammock</t>
  </si>
  <si>
    <t>https://angel.co/company/hammock-3</t>
  </si>
  <si>
    <t>https://www.crunchbase.com/organization/hammock-4a65</t>
  </si>
  <si>
    <t>https://www.usehammock.com/</t>
  </si>
  <si>
    <t>Northcliffe House, Young St.</t>
  </si>
  <si>
    <t xml:space="preserve"> W8 5EH</t>
  </si>
  <si>
    <t>Haus.me</t>
  </si>
  <si>
    <t>https://angel.co/company/haus_me</t>
  </si>
  <si>
    <t>https://www.crunchbase.com/organization/haus-me</t>
  </si>
  <si>
    <t>https://haus.me/</t>
  </si>
  <si>
    <t>Houza</t>
  </si>
  <si>
    <t>Residential, Multifamily, Hospitality, Commercial</t>
  </si>
  <si>
    <t>https://www.crunchbase.com/organization/houza</t>
  </si>
  <si>
    <t>https://houza.com/en/</t>
  </si>
  <si>
    <t>Kterio</t>
  </si>
  <si>
    <t>https://www.crunchbase.com/organization/kterio</t>
  </si>
  <si>
    <t>https://kterio.com/</t>
  </si>
  <si>
    <t>Warrington</t>
  </si>
  <si>
    <t>LivingCities</t>
  </si>
  <si>
    <t>Metaverse, ALL</t>
  </si>
  <si>
    <t>https://www.crunchbase.com/organization/living-cities</t>
  </si>
  <si>
    <t>https://livingcities.xyz/</t>
  </si>
  <si>
    <t>Nexii</t>
  </si>
  <si>
    <t>https://angel.co/company/nexii</t>
  </si>
  <si>
    <t>https://www.crunchbase.com/organization/nexii</t>
  </si>
  <si>
    <t>https://www.nexii.com/</t>
  </si>
  <si>
    <t>OfficeSpace Software</t>
  </si>
  <si>
    <t>Software</t>
  </si>
  <si>
    <t>https://angel.co/company/officespace-software-1</t>
  </si>
  <si>
    <t>https://www.crunchbase.com/organization/officespace-software</t>
  </si>
  <si>
    <t>https://www.officespacesoftware.com/</t>
  </si>
  <si>
    <t>Alpheretta</t>
  </si>
  <si>
    <t>Pretto</t>
  </si>
  <si>
    <t>https://angel.co/company/pretto</t>
  </si>
  <si>
    <t>https://www.crunchbase.com/organization/pretto</t>
  </si>
  <si>
    <t>https://www.pretto.fr/</t>
  </si>
  <si>
    <t>Safely</t>
  </si>
  <si>
    <t>https://www.crunchbase.com/organization/safelystay</t>
  </si>
  <si>
    <t>https://safely.com/</t>
  </si>
  <si>
    <t>Second Avenue</t>
  </si>
  <si>
    <t>SFR</t>
  </si>
  <si>
    <t>https://www.crunchbase.com/organization/second-avenue-group</t>
  </si>
  <si>
    <t>https://www.secondavenue.com/</t>
  </si>
  <si>
    <t>Shubham</t>
  </si>
  <si>
    <t>https://angel.co/company/shubham-housing-2</t>
  </si>
  <si>
    <t>https://www.crunchbase.com/organization/shubham-housing-development-finance-company</t>
  </si>
  <si>
    <t>https://shubham.co/</t>
  </si>
  <si>
    <t>Haryana</t>
  </si>
  <si>
    <t>Spectral</t>
  </si>
  <si>
    <t>https://angel.co/company/spectral-finance</t>
  </si>
  <si>
    <t>https://www.crunchbase.com/organization/spectral-a8c9</t>
  </si>
  <si>
    <t>https://www.spectral.finance/</t>
  </si>
  <si>
    <t>Volpi</t>
  </si>
  <si>
    <t>https://www.crunchbase.com/organization/volpi-7a9d</t>
  </si>
  <si>
    <t>https://volpi.tech/</t>
  </si>
  <si>
    <t>Wayleadr</t>
  </si>
  <si>
    <t>https://www.crunchbase.com/organization/wayleadr</t>
  </si>
  <si>
    <t>https://www.wayleadr.com/</t>
  </si>
  <si>
    <t>Airlite</t>
  </si>
  <si>
    <t>http://www.airlitegroup.com.au/</t>
  </si>
  <si>
    <t>52 Roberts Street</t>
  </si>
  <si>
    <t>Osborne Park</t>
  </si>
  <si>
    <t>6017</t>
  </si>
  <si>
    <t>Allmyhomes</t>
  </si>
  <si>
    <t>https://angel.co/company/allmyhomes-1</t>
  </si>
  <si>
    <t>https://www.crunchbase.com/organization/allmyhomes</t>
  </si>
  <si>
    <t>https://www.allmyhomes.com/de/</t>
  </si>
  <si>
    <t>Schreiberhauer Str. 30</t>
  </si>
  <si>
    <t>10317</t>
  </si>
  <si>
    <t>BeyondHQ</t>
  </si>
  <si>
    <t>https://angel.co/company/beyondhq</t>
  </si>
  <si>
    <t>https://www.crunchbase.com/organization/beyondhq</t>
  </si>
  <si>
    <t>http://www.beyondhq.co/</t>
  </si>
  <si>
    <t>251 Rhode Island Street 
Suite 107</t>
  </si>
  <si>
    <t>Bode</t>
  </si>
  <si>
    <t>https://www.crunchbase.com/organization/bode-ca23</t>
  </si>
  <si>
    <t>http://www.bode.co/</t>
  </si>
  <si>
    <t>401 President Ronald Reagan Way</t>
  </si>
  <si>
    <t>Tennessee</t>
  </si>
  <si>
    <t>37201</t>
  </si>
  <si>
    <t>Bot Built</t>
  </si>
  <si>
    <t>http://www.botbuilt.com/</t>
  </si>
  <si>
    <t>4511 Hillsborough Rd Suite 303</t>
  </si>
  <si>
    <t>New Charlotte</t>
  </si>
  <si>
    <t>Carbon Title</t>
  </si>
  <si>
    <t>http://www.carbontitle.com/</t>
  </si>
  <si>
    <t>525 3rd Street, Suite 200</t>
  </si>
  <si>
    <t>Lake Oswego</t>
  </si>
  <si>
    <t>97034</t>
  </si>
  <si>
    <t>CleanAir.Ai</t>
  </si>
  <si>
    <t>http://www.cleanairsafetysystem.com/</t>
  </si>
  <si>
    <t>510 Coronation Drive 
Scarborough</t>
  </si>
  <si>
    <t>M1E 4X6</t>
  </si>
  <si>
    <t>Concrete Sensors</t>
  </si>
  <si>
    <t>http://www.concretesensors.com/</t>
  </si>
  <si>
    <t>110 Chauncy Street</t>
  </si>
  <si>
    <t>2111</t>
  </si>
  <si>
    <t>Connect Homes</t>
  </si>
  <si>
    <t>http://www.connect-homes.com/</t>
  </si>
  <si>
    <t>706 South Hill Street 
Suite 1060</t>
  </si>
  <si>
    <t>90014</t>
  </si>
  <si>
    <t>Constructn.ai</t>
  </si>
  <si>
    <t>http://www.constructn.ai/</t>
  </si>
  <si>
    <t>Vindhya C4, Third Floor, AIC-IIITH Foundation 
IIT-H Campus, Survey number</t>
  </si>
  <si>
    <t>Critical Asset</t>
  </si>
  <si>
    <t>https://www.criticalasset.com/</t>
  </si>
  <si>
    <t>2655 Campus Drive 
Suite 250</t>
  </si>
  <si>
    <t>Dwelo</t>
  </si>
  <si>
    <t>http://www.dwelo.com/</t>
  </si>
  <si>
    <t>67 West 13490 South 
Suite 140</t>
  </si>
  <si>
    <t>Draper</t>
  </si>
  <si>
    <t>84020</t>
  </si>
  <si>
    <t>Ecobot</t>
  </si>
  <si>
    <t>http://ecobot.com/</t>
  </si>
  <si>
    <t>1 Haywood Street 
Suite 401</t>
  </si>
  <si>
    <t>28801</t>
  </si>
  <si>
    <t>Ecolibrium</t>
  </si>
  <si>
    <t>http://www.ecolibrium.io/</t>
  </si>
  <si>
    <t>Titanium city center corporate offices, 100 Feet Anand Nagar Rd</t>
  </si>
  <si>
    <t>Elevate Rooms</t>
  </si>
  <si>
    <t>http://www.elevaterooms.com/</t>
  </si>
  <si>
    <t>Enkasa</t>
  </si>
  <si>
    <t>http://www.enkasahomes.com/</t>
  </si>
  <si>
    <t>1009 Oak Hill Rd</t>
  </si>
  <si>
    <t>Estateintel</t>
  </si>
  <si>
    <t>http://www.estateintel.com/</t>
  </si>
  <si>
    <t>7a Olushola Agbaje Street 
Lekki Phase 1</t>
  </si>
  <si>
    <t>106104</t>
  </si>
  <si>
    <t>Factory</t>
  </si>
  <si>
    <t>http://factory.co/</t>
  </si>
  <si>
    <t>2425 East Magnesium Road</t>
  </si>
  <si>
    <t>99217</t>
  </si>
  <si>
    <t>flex</t>
  </si>
  <si>
    <t>https://getflex.com/</t>
  </si>
  <si>
    <t>228 Park Ave S # 75995</t>
  </si>
  <si>
    <t>Flo</t>
  </si>
  <si>
    <t>https://www.flotechnologies.com/</t>
  </si>
  <si>
    <t>3750 S Robertson Blvd Suite #202</t>
  </si>
  <si>
    <t>Culver</t>
  </si>
  <si>
    <t>Flower Turbines</t>
  </si>
  <si>
    <t>http://www.flowerturbines.com/</t>
  </si>
  <si>
    <t>670 Long Beach Boulevard 
Suite 201</t>
  </si>
  <si>
    <t>Long Beach</t>
  </si>
  <si>
    <t>11561</t>
  </si>
  <si>
    <t>Furnishr</t>
  </si>
  <si>
    <t>http://www.furnishr.com/</t>
  </si>
  <si>
    <t>20 Richmond Street East 
Suite 600</t>
  </si>
  <si>
    <t>M5C 2R9</t>
  </si>
  <si>
    <t>Goodleap</t>
  </si>
  <si>
    <t>http://www.goodleap.com/</t>
  </si>
  <si>
    <t>8781 Sierra College Boulevard 
Suite 200</t>
  </si>
  <si>
    <t>Roseville</t>
  </si>
  <si>
    <t>95661</t>
  </si>
  <si>
    <t>Havenly</t>
  </si>
  <si>
    <t>http://www.havenly.com/</t>
  </si>
  <si>
    <t>3501 Wazee Street 
Suite 201</t>
  </si>
  <si>
    <t>80216</t>
  </si>
  <si>
    <t>Hello Alfred</t>
  </si>
  <si>
    <t>http://www.helloalfred.com/</t>
  </si>
  <si>
    <t>61 Broadway 
33rd Floor</t>
  </si>
  <si>
    <t>HelloTech</t>
  </si>
  <si>
    <t>http://www.hellotech.com/</t>
  </si>
  <si>
    <t>900 Hilgard Avenue</t>
  </si>
  <si>
    <t>Hoozip</t>
  </si>
  <si>
    <t>http://www.hoozip.com/</t>
  </si>
  <si>
    <t>1020 Elden Street</t>
  </si>
  <si>
    <t>Herndon</t>
  </si>
  <si>
    <t>House Canary</t>
  </si>
  <si>
    <t>http://www.housecanary.com/</t>
  </si>
  <si>
    <t>201 Spear Street 
Suite 1400</t>
  </si>
  <si>
    <t>Hummingbird</t>
  </si>
  <si>
    <t>http://www.hummingbirdkinetics.com/</t>
  </si>
  <si>
    <t>51 Madison Avenue</t>
  </si>
  <si>
    <t>Hypar</t>
  </si>
  <si>
    <t>http://www.hypar.io/</t>
  </si>
  <si>
    <t>11061 Barman Avenue</t>
  </si>
  <si>
    <t>Igloohome</t>
  </si>
  <si>
    <t>http://www.igloocompany.co/</t>
  </si>
  <si>
    <t>67 Ayer Rajah Crescent 
Suite 06-14/21</t>
  </si>
  <si>
    <t>139950</t>
  </si>
  <si>
    <t>INFROGRID</t>
  </si>
  <si>
    <t>http://www.infogrid.io/</t>
  </si>
  <si>
    <t>WeWork 
10 York Road Road</t>
  </si>
  <si>
    <t>SE1 7ND</t>
  </si>
  <si>
    <t>Jet Build</t>
  </si>
  <si>
    <t>http://www.jet.build/</t>
  </si>
  <si>
    <t>50 Lexington Avenue</t>
  </si>
  <si>
    <t>Kadence</t>
  </si>
  <si>
    <t>http://www.kadence.co/</t>
  </si>
  <si>
    <t>7 York Road 
Woking</t>
  </si>
  <si>
    <t>GU22 7XH</t>
  </si>
  <si>
    <t>KettleSpace</t>
  </si>
  <si>
    <t>http://www.kettleos.com/</t>
  </si>
  <si>
    <t>211 West Broadway</t>
  </si>
  <si>
    <t>Konstru</t>
  </si>
  <si>
    <t>http://www.konstru.com/</t>
  </si>
  <si>
    <t>120 Broadway, 16 floor</t>
  </si>
  <si>
    <t>10271</t>
  </si>
  <si>
    <t>Least</t>
  </si>
  <si>
    <t>http://www.getleast.com/</t>
  </si>
  <si>
    <t>33 Broadwick Street 
Soho</t>
  </si>
  <si>
    <t>W1F 0DQ</t>
  </si>
  <si>
    <t>Lighthouse.io</t>
  </si>
  <si>
    <t>www.lighthouse.io</t>
  </si>
  <si>
    <t>Level 5 555 12th Street Oakland, CA 94607
United States</t>
  </si>
  <si>
    <t>94607</t>
  </si>
  <si>
    <t>LoftSmart</t>
  </si>
  <si>
    <t>www.table22.com</t>
  </si>
  <si>
    <t>524 Broadway New York, NY 10013 United States</t>
  </si>
  <si>
    <t>myComply</t>
  </si>
  <si>
    <t>www.mycomply.net</t>
  </si>
  <si>
    <t>219 2 Avenue South Saskatoon,  Saskatchewan Canada</t>
  </si>
  <si>
    <t>Saskatchewan</t>
  </si>
  <si>
    <t>Newmetrix</t>
  </si>
  <si>
    <t>www.newmetrix.com</t>
  </si>
  <si>
    <t>245 Main Street 2nd Floor Cambridge, MA 02142 United States</t>
  </si>
  <si>
    <t>2142</t>
  </si>
  <si>
    <t>Nophin</t>
  </si>
  <si>
    <t>www.nophin.com</t>
  </si>
  <si>
    <t>228 Park Avenue South Private MailBox 46744 New York, NY 10003-1502</t>
  </si>
  <si>
    <t>46744</t>
  </si>
  <si>
    <t>Occuspace</t>
  </si>
  <si>
    <t>www.occuspace.io</t>
  </si>
  <si>
    <t>302 Washington Street Suite 315 San Diego, CA 92103 United States</t>
  </si>
  <si>
    <t>92103</t>
  </si>
  <si>
    <t>OpenSensors</t>
  </si>
  <si>
    <t>www.opensensors.com</t>
  </si>
  <si>
    <t>106 Harpenden Road London E12 5HN England, United Kingdom</t>
  </si>
  <si>
    <t>Optii</t>
  </si>
  <si>
    <t>www.optiisolutions.com</t>
  </si>
  <si>
    <t>6101 West Courtyard Drive Suite 400
Austin, TX 78730 United States</t>
  </si>
  <si>
    <t>78730</t>
  </si>
  <si>
    <t>Orro</t>
  </si>
  <si>
    <t>www.getorro.com</t>
  </si>
  <si>
    <t>1875 South Grant Street Suite 620
San Mateo, CA 94402 United States</t>
  </si>
  <si>
    <t>Paintzen</t>
  </si>
  <si>
    <t>www.paintzen.com</t>
  </si>
  <si>
    <t>242 West 30th Street Suite 500 New York, NY 10003 United States</t>
  </si>
  <si>
    <t>Peek</t>
  </si>
  <si>
    <t>www.peek.us</t>
  </si>
  <si>
    <t>New York, NY United States</t>
  </si>
  <si>
    <t>Perq</t>
  </si>
  <si>
    <t>www.perq.com</t>
  </si>
  <si>
    <t>7225 Georgetown Road Indianapolis, IN 46268 United States</t>
  </si>
  <si>
    <t>46268</t>
  </si>
  <si>
    <t>Plentify</t>
  </si>
  <si>
    <t>www.plentify.io</t>
  </si>
  <si>
    <t>Radar Dad Building, 17 Queens Park Ave, Salt River, Cape Town, 7925, South Africa</t>
  </si>
  <si>
    <t>7925</t>
  </si>
  <si>
    <t>Porch (IPO PRCH)</t>
  </si>
  <si>
    <t>www.porch.com</t>
  </si>
  <si>
    <t>2200 1st Ave S Ste 400 Seattle WA 98134</t>
  </si>
  <si>
    <t>98134</t>
  </si>
  <si>
    <t>Preclose</t>
  </si>
  <si>
    <t>www.preclose.com</t>
  </si>
  <si>
    <t>145 Williman Street Charleston, SC 29403 United States</t>
  </si>
  <si>
    <t>29403</t>
  </si>
  <si>
    <t>Qdesq</t>
  </si>
  <si>
    <t>www.qdesq.com</t>
  </si>
  <si>
    <t>321 Tower B4, Spaze Itech Park, Sohna Road Bhondsi, Sector 49 Gurugram, Haryana 122018 India</t>
  </si>
  <si>
    <t>122018</t>
  </si>
  <si>
    <t>Raxar</t>
  </si>
  <si>
    <t>www.raxar.com</t>
  </si>
  <si>
    <t>P.O. Box 320635 Tampa, FL 33679 United States</t>
  </si>
  <si>
    <t>33679</t>
  </si>
  <si>
    <t>RealtyMogul</t>
  </si>
  <si>
    <t>www.realtymogul.com</t>
  </si>
  <si>
    <t>10573 West Pico Boulevard Suite 603
Los Angeles, CA 90064 United States</t>
  </si>
  <si>
    <t>Realyse</t>
  </si>
  <si>
    <t>www.realyse.com</t>
  </si>
  <si>
    <t>95 Aldwych London WC2B 4JF England, United Kingdom</t>
  </si>
  <si>
    <t>Renoviso</t>
  </si>
  <si>
    <t>www.renoviso.com</t>
  </si>
  <si>
    <t>85 Devonshire Street 5th Floor Boston, MA 02109 United States</t>
  </si>
  <si>
    <t>2109</t>
  </si>
  <si>
    <t>Revolution</t>
  </si>
  <si>
    <t>www.revolutionre.com</t>
  </si>
  <si>
    <t>221 East Indianola Avenue Phoenix, AZ 85012 United States</t>
  </si>
  <si>
    <t>85012</t>
  </si>
  <si>
    <t>Ruckit</t>
  </si>
  <si>
    <t>www.goruckit.com</t>
  </si>
  <si>
    <t>1005 East Saint Elmo Building 1 Austin, TX 78745 United States</t>
  </si>
  <si>
    <t>78745</t>
  </si>
  <si>
    <t>Second Nature</t>
  </si>
  <si>
    <t>www.secondnature.com</t>
  </si>
  <si>
    <t>333 Fayetteville Street Suite 600 Raleigh, NC 27601 United States</t>
  </si>
  <si>
    <t>27601</t>
  </si>
  <si>
    <t>Serraview</t>
  </si>
  <si>
    <t>www.serraview.com</t>
  </si>
  <si>
    <t>2 Wall Street 10th Floor New York, NY 10005 United States</t>
  </si>
  <si>
    <t>10005</t>
  </si>
  <si>
    <t>Showdigs</t>
  </si>
  <si>
    <t>www.showdigs.com</t>
  </si>
  <si>
    <t>4111 East Madison Street Suite 128 Seattle, WA 98112 United States</t>
  </si>
  <si>
    <t>98112</t>
  </si>
  <si>
    <t>Sisu</t>
  </si>
  <si>
    <t>www.sisu.co</t>
  </si>
  <si>
    <t>562 North Kays Drive Suite 200 Kaysville, UT 84037 United States</t>
  </si>
  <si>
    <t>84037</t>
  </si>
  <si>
    <t>Smart Barrel</t>
  </si>
  <si>
    <t>www.smartbarrel.io</t>
  </si>
  <si>
    <t>7390 Northeast 4th Court Suite 107 Miami, FL 33138 United States</t>
  </si>
  <si>
    <t>33138</t>
  </si>
  <si>
    <t>Streetdots</t>
  </si>
  <si>
    <t>www.streetdots.co.uk</t>
  </si>
  <si>
    <t>Hop Exchange Southwark Street London SE1 1TY England, United Kingdom</t>
  </si>
  <si>
    <t>Streetwire</t>
  </si>
  <si>
    <t>www.streetwire.net</t>
  </si>
  <si>
    <t>Suburban Jungle</t>
  </si>
  <si>
    <t>www.suburbanjunglegroup.com</t>
  </si>
  <si>
    <t>135 East 57th Street 14th Floor New York, NY 10022 United States</t>
  </si>
  <si>
    <t>Suiteness</t>
  </si>
  <si>
    <t>www.suiteness.com</t>
  </si>
  <si>
    <t>340 South Lemon Avenue Suite 2359 Walnut, CA 91789 United States</t>
  </si>
  <si>
    <t>Sweeten</t>
  </si>
  <si>
    <t>www.sweeten.com</t>
  </si>
  <si>
    <t>PO Box 3414 New York, NY 10008 United States</t>
  </si>
  <si>
    <t>10008</t>
  </si>
  <si>
    <t>Tailorbird</t>
  </si>
  <si>
    <t>www.tailorbird.us</t>
  </si>
  <si>
    <t>213 Nassau Street Princeton, NJ 08542 United States</t>
  </si>
  <si>
    <t>8542</t>
  </si>
  <si>
    <t>Taskeasy</t>
  </si>
  <si>
    <t>www.taskeasy.com</t>
  </si>
  <si>
    <t>669 South West Temple Suite 300 Salt Lake City, UT 84101 United States</t>
  </si>
  <si>
    <t>TRAXyL</t>
  </si>
  <si>
    <t>www.traxyl.com</t>
  </si>
  <si>
    <t>7669 Limestone Drive Suite 115 Gainesville, VA 20155 United States</t>
  </si>
  <si>
    <t>20155</t>
  </si>
  <si>
    <t>Truehold</t>
  </si>
  <si>
    <t>www.truehold.com</t>
  </si>
  <si>
    <t>4720 Center Boulevard Apartment 2605, Long Island City New York, NY 11109 United States</t>
  </si>
  <si>
    <t>Truliv</t>
  </si>
  <si>
    <t>www.trulivco.com</t>
  </si>
  <si>
    <t>848 Lincoln Boulevard Apartment A Santa Monica, CA 90403 United States</t>
  </si>
  <si>
    <t>90403</t>
  </si>
  <si>
    <t>Turntide</t>
  </si>
  <si>
    <t>www.turntide.com</t>
  </si>
  <si>
    <t>1295 Forgewood Avenue Sunnyvale, CA 94089 United States</t>
  </si>
  <si>
    <t>Unety</t>
  </si>
  <si>
    <t>www.unety.io</t>
  </si>
  <si>
    <t>29 Norman Avenue Brooklyn, NY 11222 United States</t>
  </si>
  <si>
    <t>Unilodgers</t>
  </si>
  <si>
    <t>www.unilodgers.com</t>
  </si>
  <si>
    <t>64 Molino Avenue Mill Valley, CA 94941 United States</t>
  </si>
  <si>
    <t>94941</t>
  </si>
  <si>
    <t>Valon Mortgage</t>
  </si>
  <si>
    <t>www.valon.com</t>
  </si>
  <si>
    <t>146 West 57th Street Apartment 34AA New York, NY 10019 United States</t>
  </si>
  <si>
    <t>Wattbuy</t>
  </si>
  <si>
    <t>www.wattbuy.com</t>
  </si>
  <si>
    <t>227 Bellevue Way NorthEast Suite 871 Bellevue, WA 98004 United States</t>
  </si>
  <si>
    <t>Workbox</t>
  </si>
  <si>
    <t>www.workboxcompany.com</t>
  </si>
  <si>
    <t>420 Wabash Avenue Suite 500 Chicago, IL 60611 United States</t>
  </si>
  <si>
    <t>WorkOf</t>
  </si>
  <si>
    <t>www.workof.com</t>
  </si>
  <si>
    <t>187 Lafayette Street Floor 8 New York, NY 10013 United States</t>
  </si>
  <si>
    <t>Wunderflats</t>
  </si>
  <si>
    <t>www.wunderflats.com</t>
  </si>
  <si>
    <t>Alexanderstrasse 1-3 10178 Berlin Germany</t>
  </si>
  <si>
    <t>Zentility</t>
  </si>
  <si>
    <t>www.zentility.com</t>
  </si>
  <si>
    <t>1831 Forrest Drive Annapolis, MD 21401 United States</t>
  </si>
  <si>
    <t>21401</t>
  </si>
  <si>
    <t>Synavision</t>
  </si>
  <si>
    <t>https://www.crunchbase.com/organization/synavision</t>
  </si>
  <si>
    <t>https://www.synavision.de/en/</t>
  </si>
  <si>
    <t>Bielefeld</t>
  </si>
  <si>
    <t>DOSS</t>
  </si>
  <si>
    <t>https://angel.co/company/doss-1</t>
  </si>
  <si>
    <t>https://www.crunchbase.com/organization/doss</t>
  </si>
  <si>
    <t>http://www.askdoss.com/</t>
  </si>
  <si>
    <t>Houzy</t>
  </si>
  <si>
    <t>https://angel.co/company/houzy</t>
  </si>
  <si>
    <t>https://www.crunchbase.com/organization/houzy</t>
  </si>
  <si>
    <t>http://houzy.ch/</t>
  </si>
  <si>
    <t>CasaPerks</t>
  </si>
  <si>
    <t>https://www.crunchbase.com/organization/casaperks</t>
  </si>
  <si>
    <t>http://casaperks.com/</t>
  </si>
  <si>
    <t>CloseSimple</t>
  </si>
  <si>
    <t>https://www.crunchbase.com/organization/closesimple</t>
  </si>
  <si>
    <t>https://www.closesimple.com/</t>
  </si>
  <si>
    <t>KoreLock</t>
  </si>
  <si>
    <t>https://www.crunchbase.com/organization/korelock</t>
  </si>
  <si>
    <t>https://www.korelock.com/</t>
  </si>
  <si>
    <t>Complete Solaria</t>
  </si>
  <si>
    <t>https://www.crunchbase.com/organization/complete-solaria</t>
  </si>
  <si>
    <t>https://www.completesolaria.com/</t>
  </si>
  <si>
    <t>CFEX</t>
  </si>
  <si>
    <t>https://www.crunchbase.com/organization/carbon-free-energy-cloud</t>
  </si>
  <si>
    <t>https://cfexcloud.com/</t>
  </si>
  <si>
    <t>Asumma</t>
  </si>
  <si>
    <t>https://www.crunchbase.com/organization/asumma-homes</t>
  </si>
  <si>
    <t>https://asummahomes.com/en</t>
  </si>
  <si>
    <t>Lampinsaari</t>
  </si>
  <si>
    <t>XNRGY</t>
  </si>
  <si>
    <t>https://www.crunchbase.com/organization/xnrgy-climate-systems</t>
  </si>
  <si>
    <t>https://www.xnrgy.com/</t>
  </si>
  <si>
    <t>Saint-hubert</t>
  </si>
  <si>
    <t>Payscore</t>
  </si>
  <si>
    <t>https://www.crunchbase.com/organization/the-closing-docs</t>
  </si>
  <si>
    <t>https://www.payscore.com/</t>
  </si>
  <si>
    <t xml:space="preserve">
HeatTransformers</t>
  </si>
  <si>
    <t>https://www.crunchbase.com/organization/heattransformers</t>
  </si>
  <si>
    <t>https://heattransformers.com/</t>
  </si>
  <si>
    <t>Woerdense Verlaat</t>
  </si>
  <si>
    <t>Acre</t>
  </si>
  <si>
    <t>https://wellfound.com/company/acre-software</t>
  </si>
  <si>
    <t>https://www.crunchbase.com/organization/acre</t>
  </si>
  <si>
    <t>https://www.acresoftware.com/</t>
  </si>
  <si>
    <t>Metr</t>
  </si>
  <si>
    <t>https://www.crunchbase.com/organization/metr</t>
  </si>
  <si>
    <t>https://metr.systems/</t>
  </si>
  <si>
    <t>Field Materials</t>
  </si>
  <si>
    <t>https://wellfound.com/company/field-materials</t>
  </si>
  <si>
    <t>https://www.crunchbase.com/organization/field-materials-inc</t>
  </si>
  <si>
    <t>https://fieldmaterials.com/</t>
  </si>
  <si>
    <t>RealSage</t>
  </si>
  <si>
    <t>https://wellfound.com/company/soulroomstoronto</t>
  </si>
  <si>
    <t>https://www.crunchbase.com/organization/realsage</t>
  </si>
  <si>
    <t>https://realsage.com/</t>
  </si>
  <si>
    <t>Hometree</t>
  </si>
  <si>
    <t>https://wellfound.com/company/hometree-4</t>
  </si>
  <si>
    <t>https://www.crunchbase.com/organization/hometree-2</t>
  </si>
  <si>
    <t>https://www.hometree.co.uk/group/</t>
  </si>
  <si>
    <t>Myenergi</t>
  </si>
  <si>
    <t>https://www.crunchbase.com/organization/myenergi</t>
  </si>
  <si>
    <t>https://myenergi.com/</t>
  </si>
  <si>
    <t>Market Rasen</t>
  </si>
  <si>
    <t>Thynk</t>
  </si>
  <si>
    <t>https://www.crunchbase.com/organization/thynk-cloud</t>
  </si>
  <si>
    <t>https://www.thynk.cloud/</t>
  </si>
  <si>
    <t>Graneet</t>
  </si>
  <si>
    <t>https://www.crunchbase.com/organization/graneet</t>
  </si>
  <si>
    <t>https://graneet.fr/</t>
  </si>
  <si>
    <t>Renew</t>
  </si>
  <si>
    <t>https://wellfound.com/company/renew-real-estate</t>
  </si>
  <si>
    <t>https://www.crunchbase.com/organization/renew-residential</t>
  </si>
  <si>
    <t>https://heyrenew.com/</t>
  </si>
  <si>
    <t>Pro Platforms</t>
  </si>
  <si>
    <t>Residential. Construction</t>
  </si>
  <si>
    <t>https://www.crunchbase.com/organization/pro-platforms</t>
  </si>
  <si>
    <t>https://www.proplatforms.com/</t>
  </si>
  <si>
    <t>Haven Energy</t>
  </si>
  <si>
    <t>https://www.crunchbase.com/organization/haven-energy</t>
  </si>
  <si>
    <t>https://havenenergy.com/</t>
  </si>
  <si>
    <t>TablePointer</t>
  </si>
  <si>
    <t>https://www.crunchbase.com/organization/tablepointer</t>
  </si>
  <si>
    <t>https://www.tablepointer.com/</t>
  </si>
  <si>
    <t>Proprli</t>
  </si>
  <si>
    <t>https://wellfound.com/company/proprli</t>
  </si>
  <si>
    <t>https://www.crunchbase.com/organization/proprli</t>
  </si>
  <si>
    <t>https://proprli.com/</t>
  </si>
  <si>
    <t>Travelio</t>
  </si>
  <si>
    <t>https://www.crunchbase.com/organization/travelio</t>
  </si>
  <si>
    <t>https://www.travelio.com/</t>
  </si>
  <si>
    <t>Missafir</t>
  </si>
  <si>
    <t>https://www.crunchbase.com/organization/missafir</t>
  </si>
  <si>
    <t>https://www.missafir.com/</t>
  </si>
  <si>
    <t>Houzr</t>
  </si>
  <si>
    <t>https://www.crunchbase.com/organization/houzr</t>
  </si>
  <si>
    <t>https://houzr.nl/</t>
  </si>
  <si>
    <t>Sunvigo</t>
  </si>
  <si>
    <t>https://www.crunchbase.com/organization/sunvigo</t>
  </si>
  <si>
    <t>https://www.sunvigo.de/</t>
  </si>
  <si>
    <t>Enter (fka Baupal)</t>
  </si>
  <si>
    <t>https://www.crunchbase.com/organization/baupal</t>
  </si>
  <si>
    <t>http://www.enter.de/</t>
  </si>
  <si>
    <t>CrowdProperty</t>
  </si>
  <si>
    <t>https://www.crunchbase.com/organization/crowdproperty</t>
  </si>
  <si>
    <t>https://www.crowdproperty.com/</t>
  </si>
  <si>
    <t>Edgbaston</t>
  </si>
  <si>
    <t>Safeguard</t>
  </si>
  <si>
    <t>https://www.crunchbase.com/organization/safeguard-applied-innovation</t>
  </si>
  <si>
    <t>http://www.safeguard.co.il/</t>
  </si>
  <si>
    <t>Jerusalem</t>
  </si>
  <si>
    <t>Standby Deposits</t>
  </si>
  <si>
    <t>https://www.crunchbase.com/organization/standby-deposits</t>
  </si>
  <si>
    <t>https://www.standby.io/</t>
  </si>
  <si>
    <t>REALbasis</t>
  </si>
  <si>
    <t>https://www.crunchbase.com/organization/realbasis</t>
  </si>
  <si>
    <t>https://realbasisinc.com/</t>
  </si>
  <si>
    <t>Alexandria</t>
  </si>
  <si>
    <t>Cognecto</t>
  </si>
  <si>
    <t>https://www.crunchbase.com/organization/cognecto</t>
  </si>
  <si>
    <t>https://www.cognecto.com/</t>
  </si>
  <si>
    <t>TopHat</t>
  </si>
  <si>
    <t>https://www.crunchbase.com/organization/tophat-io</t>
  </si>
  <si>
    <t>https://tophat.io/</t>
  </si>
  <si>
    <t>Woodoo</t>
  </si>
  <si>
    <t>https://www.crunchbase.com/organization/woodoo</t>
  </si>
  <si>
    <t>http://woodoo.com/</t>
  </si>
  <si>
    <t>Haltian</t>
  </si>
  <si>
    <t>https://www.crunchbase.com/organization/haltian</t>
  </si>
  <si>
    <t>http://www.haltian.com/</t>
  </si>
  <si>
    <t>Zanecon</t>
  </si>
  <si>
    <t>https://www.crunchbase.com/organization/zhucheng-technology</t>
  </si>
  <si>
    <t>http://zanecon.cn/</t>
  </si>
  <si>
    <t>Plotify</t>
  </si>
  <si>
    <t>https://wellfound.com/company/plotify</t>
  </si>
  <si>
    <t>https://www.crunchbase.com/organization/plotify</t>
  </si>
  <si>
    <t>https://www.plotify.co.uk/</t>
  </si>
  <si>
    <t>Cuby Technologies</t>
  </si>
  <si>
    <t>https://www.crunchbase.com/organization/cuby-technologies-inc</t>
  </si>
  <si>
    <t>https://www.cubytechnologies.com/</t>
  </si>
  <si>
    <t>Tembo Money</t>
  </si>
  <si>
    <t>https://www.crunchbase.com/organization/tembo-money</t>
  </si>
  <si>
    <t>https://www.tembomoney.com/</t>
  </si>
  <si>
    <t>UniAcco</t>
  </si>
  <si>
    <t>https://wellfound.com/company/uniacco</t>
  </si>
  <si>
    <t>https://www.crunchbase.com/organization/uniacco</t>
  </si>
  <si>
    <t>https://uniacco.com/</t>
  </si>
  <si>
    <t>Skarlett</t>
  </si>
  <si>
    <t>https://www.crunchbase.com/organization/skarlett</t>
  </si>
  <si>
    <t>https://skarlett.fr/</t>
  </si>
  <si>
    <t>DevX</t>
  </si>
  <si>
    <t>https://wellfound.com/company/dev-accelerator-pvt-ltd</t>
  </si>
  <si>
    <t>https://www.crunchbase.com/organization/dev-accelerator-private-limited</t>
  </si>
  <si>
    <t>https://devx.work/</t>
  </si>
  <si>
    <t>Car Space</t>
  </si>
  <si>
    <t>https://www.crunchbase.com/organization/car-space</t>
  </si>
  <si>
    <t>https://carspaceinc.com/</t>
  </si>
  <si>
    <t>GliderTech</t>
  </si>
  <si>
    <t>https://www.crunchbase.com/organization/glidertech</t>
  </si>
  <si>
    <t>https://glidertech.com/</t>
  </si>
  <si>
    <t>Clitheroe</t>
  </si>
  <si>
    <t>Noventa Energy</t>
  </si>
  <si>
    <t>https://www.crunchbase.com/organization/noventa-energy-partners</t>
  </si>
  <si>
    <t>https://www.noventaenergy.com/</t>
  </si>
  <si>
    <t>Partanna</t>
  </si>
  <si>
    <t>https://www.crunchbase.com/organization/partanna</t>
  </si>
  <si>
    <t>https://www.partanna.com/</t>
  </si>
  <si>
    <t>Nassau</t>
  </si>
  <si>
    <t>Bahamas</t>
  </si>
  <si>
    <t>MadeComfy</t>
  </si>
  <si>
    <t>https://www.crunchbase.com/organization/madecomfy</t>
  </si>
  <si>
    <t>https://madecomfy.com.au/</t>
  </si>
  <si>
    <t>Ultimo</t>
  </si>
  <si>
    <t>Frontline Wildfire Defense</t>
  </si>
  <si>
    <t>https://www.crunchbase.com/organization/frontline-wildfire-defense</t>
  </si>
  <si>
    <t>https://www.frontlinewildfire.com/</t>
  </si>
  <si>
    <t>San Fracisco</t>
  </si>
  <si>
    <t>eSUB</t>
  </si>
  <si>
    <t>https://wellfound.com/company/esub-construction-software</t>
  </si>
  <si>
    <t>https://www.crunchbase.com/organization/esub-construction-software</t>
  </si>
  <si>
    <t>https://esub.com/</t>
  </si>
  <si>
    <t>Pluria</t>
  </si>
  <si>
    <t>https://www.crunchbase.com/organization/pluria</t>
  </si>
  <si>
    <t>https://pluria.co/</t>
  </si>
  <si>
    <t>Dover</t>
  </si>
  <si>
    <t>Skyx</t>
  </si>
  <si>
    <t>https://www.crunchbase.com/organization/sky-technologies-2</t>
  </si>
  <si>
    <t>https://skyxplug.com/</t>
  </si>
  <si>
    <t>Pompano Beach</t>
  </si>
  <si>
    <t>Landslo</t>
  </si>
  <si>
    <t>https://wellfound.com/company/landslo</t>
  </si>
  <si>
    <t>https://www.crunchbase.com/organization/landslo</t>
  </si>
  <si>
    <t>https://landslo.com/</t>
  </si>
  <si>
    <t>Shipshape</t>
  </si>
  <si>
    <t>https://www.crunchbase.com/organization/shipshape</t>
  </si>
  <si>
    <t>https://www.shipshape.ai/</t>
  </si>
  <si>
    <t>Zapkey</t>
  </si>
  <si>
    <t>https://wellfound.com/company/zapkey</t>
  </si>
  <si>
    <t>https://www.crunchbase.com/organization/zapkey</t>
  </si>
  <si>
    <t>https://www.zapkey.com/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</si>
</sst>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d&quot; &quot;mmm&quot; &quot;yyyy"/>
    <numFmt numFmtId="165" formatCode="&quot;$&quot;#,##0"/>
    <numFmt numFmtId="166" formatCode="mmmm&quot; &quot;d&quot;, &quot;yyyy"/>
    <numFmt numFmtId="167" formatCode="_(&quot;$&quot;* #,##0_);_(&quot;$&quot;* \(#,##0\);_(&quot;$&quot;* &quot;-&quot;??_);_(@_)"/>
    <numFmt numFmtId="168" formatCode="mmmm d, yyyy"/>
    <numFmt numFmtId="169" formatCode="_(&quot;$&quot;* #,##0.0_);_(&quot;$&quot;* \(#,##0.0\);_(&quot;$&quot;* &quot;-&quot;??_);_(@_)"/>
    <numFmt numFmtId="170" formatCode="mmm d, yyyy"/>
    <numFmt numFmtId="171" formatCode="&quot;$&quot;#,##0.0000"/>
    <numFmt numFmtId="172" formatCode="&quot;$&quot;#,##0.00"/>
    <numFmt numFmtId="173" formatCode="_(&quot;$&quot;* #,##0.00_);_(&quot;$&quot;* \(#,##0.00\);_(&quot;$&quot;* &quot;-&quot;??_);_(@_)"/>
    <numFmt numFmtId="174" formatCode="yyyy-mm-dd"/>
    <numFmt numFmtId="175" formatCode="[$€]#,##0.00"/>
    <numFmt numFmtId="176" formatCode="m/d/yyyy"/>
    <numFmt numFmtId="177" formatCode="[$€]#,##0"/>
    <numFmt numFmtId="178" formatCode="mmm&quot; &quot;d&quot;, &quot;yyyy"/>
    <numFmt numFmtId="179" formatCode="[$$]#,##0"/>
    <numFmt numFmtId="180" formatCode="[$£]#,##0.00"/>
    <numFmt numFmtId="181" formatCode="[$$]#,##0.00"/>
    <numFmt numFmtId="182" formatCode="mmm d. yyyy"/>
    <numFmt numFmtId="183" formatCode="[$₹]#,##0"/>
    <numFmt numFmtId="184" formatCode="[$₹]#,##0.00"/>
  </numFmts>
  <fonts count="70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rgb="FF000000"/>
      <name val="Calibri"/>
    </font>
    <font>
      <u/>
      <color rgb="FF0000FF"/>
    </font>
    <font>
      <u/>
      <color rgb="FF0097A7"/>
    </font>
    <font>
      <u/>
      <color rgb="FF0000FF"/>
    </font>
    <font>
      <sz val="11.0"/>
      <color rgb="FF000000"/>
      <name val="Inconsolata"/>
    </font>
    <font>
      <color rgb="FF000000"/>
      <name val="Arial"/>
      <scheme val="minor"/>
    </font>
    <font>
      <u/>
      <sz val="11.0"/>
      <color rgb="FF1155CC"/>
      <name val="Roboto"/>
    </font>
    <font>
      <u/>
      <sz val="12.0"/>
      <color rgb="FF000000"/>
      <name val="Calibri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sz val="9.0"/>
      <color rgb="FFF7981D"/>
      <name val="&quot;Google Sans Mono&quot;"/>
    </font>
    <font>
      <u/>
      <sz val="12.0"/>
      <color rgb="FF0000FF"/>
      <name val="Calibri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sz val="11.0"/>
      <color rgb="FF0000FF"/>
      <name val="Roboto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theme="1"/>
      <name val="Arial"/>
    </font>
    <font>
      <u/>
      <sz val="12.0"/>
      <color rgb="FF1155CC"/>
      <name val="Arial"/>
    </font>
    <font>
      <u/>
      <sz val="12.0"/>
      <color rgb="FF1155CC"/>
      <name val="Calibri"/>
    </font>
    <font>
      <sz val="11.0"/>
      <color theme="1"/>
      <name val="Arial"/>
    </font>
    <font>
      <u/>
      <sz val="12.0"/>
      <color rgb="FF0097A7"/>
      <name val="Calibri"/>
    </font>
    <font>
      <u/>
      <sz val="11.0"/>
      <color rgb="FF0000FF"/>
      <name val="Roboto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color rgb="FF0000FF"/>
    </font>
    <font>
      <u/>
      <sz val="11.0"/>
      <color rgb="FF0097A7"/>
      <name val="Roboto"/>
    </font>
    <font>
      <u/>
      <sz val="12.0"/>
      <color rgb="FF0097A7"/>
      <name val="Calibri"/>
    </font>
    <font>
      <u/>
      <sz val="12.0"/>
      <color rgb="FF0097A7"/>
      <name val="Calibri"/>
    </font>
    <font>
      <u/>
      <sz val="12.0"/>
      <color rgb="FF0097A7"/>
      <name val="Arial"/>
    </font>
    <font>
      <u/>
      <sz val="12.0"/>
      <color rgb="FF1155CC"/>
      <name val="Calibri"/>
    </font>
    <font>
      <u/>
      <color rgb="FF0097A7"/>
    </font>
    <font>
      <sz val="12.0"/>
      <color rgb="FF2D2D2D"/>
      <name val="Calibri"/>
    </font>
    <font>
      <u/>
      <sz val="12.0"/>
      <color rgb="FF0000FF"/>
      <name val="Arial"/>
    </font>
    <font>
      <u/>
      <sz val="12.0"/>
      <color rgb="FF0097A7"/>
      <name val="Arial"/>
    </font>
    <font>
      <u/>
      <sz val="12.0"/>
      <color rgb="FF0097A7"/>
      <name val="Arial"/>
    </font>
    <font>
      <u/>
      <sz val="12.0"/>
      <color rgb="FF0097A7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1155CC"/>
      <name val="Calibri"/>
    </font>
    <font>
      <u/>
      <sz val="12.0"/>
      <color rgb="FF0097A7"/>
      <name val="Calibri"/>
    </font>
    <font>
      <u/>
      <color rgb="FF000000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sz val="11.0"/>
      <color rgb="FF000000"/>
      <name val="Roboto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color rgb="FF0000FF"/>
    </font>
    <font>
      <sz val="11.0"/>
      <color theme="1"/>
      <name val="Roboto"/>
    </font>
    <font>
      <u/>
      <sz val="12.0"/>
      <color rgb="FF1155CC"/>
      <name val="Calibri"/>
    </font>
    <font>
      <u/>
      <sz val="12.0"/>
      <color rgb="FF0097A7"/>
      <name val="Calibri"/>
    </font>
    <font>
      <u/>
      <sz val="11.0"/>
      <color rgb="FF000000"/>
      <name val="Roboto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97A7"/>
      <name val="Arial"/>
    </font>
    <font>
      <u/>
      <sz val="11.0"/>
      <color rgb="FF282828"/>
      <name val="Roboto"/>
    </font>
    <font>
      <sz val="11.0"/>
      <color rgb="FF282828"/>
      <name val="Roboto"/>
    </font>
    <font>
      <u/>
      <sz val="12.0"/>
      <color rgb="FF0097A7"/>
      <name val="Calibri"/>
    </font>
    <font>
      <u/>
      <color rgb="FF0000FF"/>
    </font>
    <font>
      <u/>
      <color rgb="FF0000FF"/>
    </font>
    <font>
      <u/>
      <sz val="12.0"/>
      <color rgb="FF1155CC"/>
      <name val="Calibri"/>
    </font>
    <font>
      <u/>
      <color rgb="FF1155CC"/>
    </font>
    <font>
      <u/>
      <sz val="12.0"/>
      <color rgb="FF0000FF"/>
      <name val="Calibri"/>
    </font>
    <font>
      <u/>
      <sz val="12.0"/>
      <color rgb="FF0097A7"/>
      <name val="Arial"/>
    </font>
    <font>
      <b/>
      <u/>
      <color rgb="FF1155CC"/>
    </font>
    <font>
      <u/>
      <color rgb="FF0000FF"/>
    </font>
    <font>
      <u/>
      <sz val="11.0"/>
      <color rgb="FF0000FF"/>
      <name val="Roboto"/>
    </font>
    <font>
      <u/>
      <sz val="12.0"/>
      <color rgb="FF0097A7"/>
      <name val="Arial"/>
    </font>
    <font>
      <b/>
      <sz val="11.0"/>
      <color theme="1"/>
      <name val="Arial"/>
      <scheme val="minor"/>
    </font>
    <font>
      <u/>
      <sz val="12.0"/>
      <color rgb="FF0000FF"/>
      <name val="Calibri"/>
    </font>
    <font>
      <u/>
      <sz val="11.0"/>
      <color rgb="FF1155CC"/>
      <name val="Roboto"/>
    </font>
    <font>
      <sz val="12.0"/>
      <color rgb="FF000000"/>
      <name val="Docs-Calibri"/>
    </font>
    <font>
      <u/>
      <sz val="11.0"/>
      <color rgb="FF1155CC"/>
      <name val="Roboto"/>
    </font>
    <font>
      <u/>
      <sz val="12.0"/>
      <color rgb="FF000000"/>
      <name val="Calibri"/>
    </font>
    <font>
      <u/>
      <sz val="12.0"/>
      <color rgb="FF1155CC"/>
      <name val="Calibri"/>
    </font>
    <font>
      <u/>
      <sz val="11.0"/>
      <color rgb="FF282828"/>
      <name val="Roboto"/>
    </font>
    <font>
      <u/>
      <color rgb="FF0000FF"/>
    </font>
    <font>
      <u/>
      <sz val="11.0"/>
      <color rgb="FF1155CC"/>
      <name val="Roboto"/>
    </font>
    <font>
      <u/>
      <sz val="12.0"/>
      <color rgb="FF000000"/>
      <name val="Calibri"/>
    </font>
    <font>
      <u/>
      <sz val="12.0"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00"/>
    </font>
    <font>
      <u/>
      <sz val="12.0"/>
      <color rgb="FF000000"/>
      <name val="Calibri"/>
    </font>
    <font>
      <u/>
      <sz val="11.0"/>
      <color rgb="FF000000"/>
      <name val="Roboto"/>
    </font>
    <font>
      <u/>
      <color rgb="FF1155CC"/>
      <name val="Arial"/>
      <scheme val="minor"/>
    </font>
    <font>
      <u/>
      <color rgb="FF1155CC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97A7"/>
      <name val="Calibri"/>
    </font>
    <font>
      <u/>
      <sz val="12.0"/>
      <color rgb="FF0000FF"/>
      <name val="Arial"/>
    </font>
    <font>
      <u/>
      <sz val="12.0"/>
      <color rgb="FF0000FF"/>
      <name val="Calibri"/>
    </font>
    <font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97A7"/>
    </font>
    <font>
      <u/>
      <sz val="12.0"/>
      <color rgb="FF0000FF"/>
      <name val="Calibri"/>
    </font>
    <font>
      <u/>
      <sz val="11.0"/>
      <color rgb="FF1155CC"/>
      <name val="Roboto"/>
    </font>
    <font>
      <u/>
      <sz val="12.0"/>
      <color rgb="FF0000FF"/>
      <name val="Arial"/>
    </font>
    <font>
      <u/>
      <color rgb="FF000000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97A7"/>
      <name val="Arial"/>
    </font>
    <font>
      <color rgb="FF1155CC"/>
      <name val="Arial"/>
      <scheme val="minor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color rgb="FF1155CC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97A7"/>
      <name val="Calibri"/>
    </font>
    <font>
      <u/>
      <sz val="12.0"/>
      <color rgb="FF0000FF"/>
      <name val="Calibri"/>
    </font>
    <font>
      <u/>
      <sz val="12.0"/>
      <color rgb="FF0097A7"/>
      <name val="Calibri"/>
    </font>
    <font>
      <u/>
      <sz val="12.0"/>
      <color rgb="FF0000FF"/>
      <name val="Arial"/>
    </font>
    <font>
      <u/>
      <color rgb="FF0000FF"/>
    </font>
    <font>
      <u/>
      <sz val="11.0"/>
      <color rgb="FF0000FF"/>
      <name val="Roboto"/>
    </font>
    <font>
      <u/>
      <color rgb="FF1155CC"/>
    </font>
    <font>
      <u/>
      <color rgb="FF1155CC"/>
    </font>
    <font>
      <u/>
      <sz val="12.0"/>
      <color rgb="FF1155CC"/>
      <name val="Calibri"/>
    </font>
    <font>
      <u/>
      <sz val="12.0"/>
      <color rgb="FF0097A7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97A7"/>
      <name val="Calibri"/>
    </font>
    <font>
      <u/>
      <sz val="12.0"/>
      <color rgb="FF0097A7"/>
      <name val="Arial"/>
    </font>
    <font>
      <u/>
      <color rgb="FF1155CC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b/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97A7"/>
    </font>
    <font>
      <u/>
      <sz val="12.0"/>
      <color rgb="FF0000FF"/>
      <name val="Arial"/>
    </font>
    <font>
      <u/>
      <sz val="12.0"/>
      <color rgb="FF1155CC"/>
      <name val="Calibri"/>
    </font>
    <font>
      <u/>
      <sz val="11.0"/>
      <color rgb="FF0000FF"/>
      <name val="Roboto"/>
    </font>
    <font>
      <u/>
      <sz val="12.0"/>
      <color rgb="FF0000FF"/>
      <name val="Calibri"/>
    </font>
    <font>
      <u/>
      <color rgb="FF0000FF"/>
    </font>
    <font>
      <u/>
      <sz val="12.0"/>
      <color rgb="FF0000FF"/>
      <name val="Calibri"/>
    </font>
    <font>
      <u/>
      <color rgb="FF0000FF"/>
    </font>
    <font>
      <u/>
      <sz val="11.0"/>
      <color rgb="FF0000FF"/>
      <name val="Roboto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97A7"/>
      <name val="Arial"/>
    </font>
    <font>
      <u/>
      <sz val="12.0"/>
      <color rgb="FF0097A7"/>
      <name val="Arial"/>
    </font>
    <font>
      <u/>
      <sz val="11.0"/>
      <color rgb="FF1155CC"/>
      <name val="Roboto"/>
    </font>
    <font>
      <u/>
      <sz val="12.0"/>
      <color rgb="FF000000"/>
      <name val="Calibri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Calibri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97A7"/>
      <name val="Arial"/>
    </font>
    <font>
      <u/>
      <sz val="12.0"/>
      <color rgb="FF0097A7"/>
      <name val="Calibri"/>
    </font>
    <font>
      <u/>
      <sz val="12.0"/>
      <color rgb="FF0097A7"/>
      <name val="Arial"/>
    </font>
    <font>
      <u/>
      <color rgb="FF1155CC"/>
    </font>
    <font>
      <u/>
      <sz val="12.0"/>
      <color rgb="FF0097A7"/>
      <name val="Arial"/>
    </font>
    <font>
      <u/>
      <sz val="12.0"/>
      <color rgb="FF0000FF"/>
      <name val="Calibri"/>
    </font>
    <font>
      <u/>
      <color rgb="FF0000FF"/>
    </font>
    <font>
      <u/>
      <sz val="12.0"/>
      <color rgb="FF0097A7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1.0"/>
      <color rgb="FF0097A7"/>
      <name val="Roboto"/>
    </font>
    <font>
      <u/>
      <sz val="12.0"/>
      <color rgb="FF0000FF"/>
      <name val="Calibri"/>
    </font>
    <font>
      <u/>
      <color rgb="FF0000FF"/>
    </font>
    <font>
      <u/>
      <sz val="11.0"/>
      <color rgb="FF1155CC"/>
      <name val="Roboto"/>
    </font>
    <font>
      <u/>
      <sz val="12.0"/>
      <color rgb="FF000000"/>
      <name val="Calibri"/>
    </font>
    <font>
      <u/>
      <color rgb="FF000000"/>
    </font>
    <font>
      <u/>
      <sz val="12.0"/>
      <color rgb="FF000000"/>
      <name val="Calibri"/>
    </font>
    <font>
      <u/>
      <sz val="12.0"/>
      <color rgb="FF0000FF"/>
      <name val="Calibri"/>
    </font>
    <font>
      <u/>
      <color rgb="FF000000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97A7"/>
      <name val="Arial"/>
    </font>
    <font>
      <u/>
      <sz val="12.0"/>
      <color rgb="FF1155CC"/>
      <name val="Calibri"/>
    </font>
    <font>
      <u/>
      <sz val="12.0"/>
      <color rgb="FF0097A7"/>
      <name val="Arial"/>
    </font>
    <font>
      <u/>
      <color rgb="FF1155CC"/>
    </font>
    <font>
      <u/>
      <sz val="12.0"/>
      <color rgb="FF1155CC"/>
      <name val="Calibri"/>
    </font>
    <font>
      <sz val="12.0"/>
      <color rgb="FF222222"/>
      <name val="Calibri"/>
    </font>
    <font>
      <u/>
      <sz val="12.0"/>
      <color rgb="FF0097A7"/>
      <name val="Calibri"/>
    </font>
    <font>
      <u/>
      <sz val="12.0"/>
      <color rgb="FF0097A7"/>
      <name val="Calibri"/>
    </font>
    <font>
      <u/>
      <sz val="12.0"/>
      <color rgb="FF0097A7"/>
      <name val="Arial"/>
    </font>
    <font>
      <u/>
      <sz val="12.0"/>
      <color rgb="FF0000FF"/>
      <name val="Arial"/>
    </font>
    <font>
      <u/>
      <sz val="12.0"/>
      <color rgb="FF0097A7"/>
      <name val="Arial"/>
    </font>
    <font>
      <u/>
      <sz val="12.0"/>
      <color rgb="FF0097A7"/>
      <name val="Calibri"/>
    </font>
    <font>
      <sz val="11.0"/>
      <color rgb="FF222222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1.0"/>
      <color rgb="FF183444"/>
      <name val="Roboto"/>
    </font>
    <font>
      <u/>
      <sz val="12.0"/>
      <color rgb="FF0000FF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Arial"/>
    </font>
    <font>
      <u/>
      <sz val="11.0"/>
      <color rgb="FF282828"/>
      <name val="Roboto"/>
    </font>
    <font>
      <u/>
      <sz val="12.0"/>
      <color rgb="FF0097A7"/>
      <name val="Arial"/>
    </font>
    <font>
      <u/>
      <sz val="12.0"/>
      <color rgb="FF0097A7"/>
      <name val="Calibri"/>
    </font>
    <font>
      <u/>
      <sz val="12.0"/>
      <color rgb="FF1155CC"/>
      <name val="Calibri"/>
    </font>
    <font>
      <u/>
      <sz val="11.0"/>
      <color rgb="FF000000"/>
      <name val="Roboto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color rgb="FF0000FF"/>
    </font>
    <font>
      <u/>
      <sz val="12.0"/>
      <color rgb="FF1155CC"/>
      <name val="Calibri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97A7"/>
      <name val="Arial"/>
    </font>
    <font>
      <u/>
      <sz val="12.0"/>
      <color rgb="FF1155CC"/>
      <name val="Calibri"/>
    </font>
    <font>
      <u/>
      <sz val="11.0"/>
      <color rgb="FF1155CC"/>
      <name val="Roboto"/>
    </font>
    <font>
      <u/>
      <sz val="12.0"/>
      <color rgb="FF1155CC"/>
      <name val="Calibri"/>
    </font>
    <font>
      <u/>
      <sz val="12.0"/>
      <color rgb="FF0000FF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97A7"/>
      <name val="Arial"/>
    </font>
    <font>
      <u/>
      <sz val="12.0"/>
      <color rgb="FF0097A7"/>
      <name val="Arial"/>
    </font>
    <font>
      <u/>
      <sz val="11.0"/>
      <color rgb="FF1155CC"/>
      <name val="Roboto"/>
    </font>
    <font>
      <u/>
      <sz val="11.0"/>
      <color rgb="FF0000FF"/>
      <name val="Roboto"/>
    </font>
    <font>
      <u/>
      <sz val="11.0"/>
      <color rgb="FF0000FF"/>
      <name val="Roboto"/>
    </font>
    <font>
      <u/>
      <sz val="11.0"/>
      <color rgb="FF0000FF"/>
      <name val="Roboto"/>
    </font>
    <font>
      <u/>
      <sz val="11.0"/>
      <color rgb="FF0563C1"/>
      <name val="Roboto"/>
    </font>
    <font>
      <u/>
      <sz val="12.0"/>
      <color rgb="FF0097A7"/>
      <name val="Calibri"/>
    </font>
    <font>
      <u/>
      <sz val="12.0"/>
      <color rgb="FF0097A7"/>
      <name val="Calibri"/>
    </font>
    <font>
      <u/>
      <sz val="11.0"/>
      <color rgb="FF0097A7"/>
      <name val="Roboto"/>
    </font>
    <font>
      <u/>
      <sz val="12.0"/>
      <color theme="1"/>
      <name val="Calibri"/>
    </font>
    <font>
      <u/>
      <sz val="12.0"/>
      <color rgb="FF0097A7"/>
      <name val="Arial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97A7"/>
      <name val="Arial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2.0"/>
      <color rgb="FF0097A7"/>
      <name val="Calibri"/>
    </font>
    <font>
      <u/>
      <sz val="12.0"/>
      <color theme="1"/>
      <name val="Calibri"/>
    </font>
    <font>
      <u/>
      <sz val="12.0"/>
      <color rgb="FF0097A7"/>
      <name val="Calibri"/>
    </font>
    <font>
      <u/>
      <sz val="11.0"/>
      <color rgb="FF282828"/>
      <name val="Roboto"/>
    </font>
    <font>
      <u/>
      <sz val="12.0"/>
      <color rgb="FF0097A7"/>
      <name val="Calibri"/>
    </font>
    <font>
      <u/>
      <sz val="12.0"/>
      <color rgb="FF0000FF"/>
      <name val="Calibri"/>
    </font>
    <font>
      <sz val="11.0"/>
      <color rgb="FF000000"/>
      <name val="Lato"/>
    </font>
    <font>
      <sz val="11.0"/>
      <color rgb="FF000000"/>
      <name val="Arial"/>
    </font>
    <font>
      <u/>
      <sz val="11.0"/>
      <color rgb="FF0000FF"/>
      <name val="Roboto"/>
    </font>
    <font>
      <u/>
      <sz val="12.0"/>
      <color rgb="FF0000FF"/>
      <name val="Arial"/>
    </font>
    <font>
      <color rgb="FF1155CC"/>
    </font>
    <font>
      <u/>
      <sz val="12.0"/>
      <color rgb="FF0000FF"/>
      <name val="Calibri"/>
    </font>
    <font>
      <u/>
      <color rgb="FF0000FF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rgb="FF0097A7"/>
      <name val="Arial"/>
    </font>
    <font>
      <u/>
      <sz val="12.0"/>
      <color rgb="FF0097A7"/>
      <name val="Calibri"/>
    </font>
    <font>
      <u/>
      <sz val="11.0"/>
      <color rgb="FF0097A7"/>
      <name val="Roboto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00"/>
      <name val="Calibri"/>
    </font>
    <font>
      <u/>
      <color rgb="FF0000FF"/>
    </font>
    <font>
      <u/>
      <sz val="12.0"/>
      <color rgb="FF1155CC"/>
      <name val="Calibri"/>
    </font>
    <font>
      <u/>
      <color rgb="FF1155CC"/>
      <name val="Arial"/>
      <scheme val="minor"/>
    </font>
    <font>
      <u/>
      <sz val="11.0"/>
      <color rgb="FF1155CC"/>
      <name val="Roboto"/>
    </font>
    <font>
      <u/>
      <sz val="11.0"/>
      <color rgb="FF1155CC"/>
      <name val="Roboto"/>
    </font>
    <font>
      <u/>
      <color rgb="FF0000FF"/>
    </font>
    <font>
      <u/>
      <color rgb="FF0000FF"/>
    </font>
    <font>
      <sz val="12.0"/>
      <color rgb="FF1B2027"/>
      <name val="&quot;Open Sans&quot;"/>
    </font>
    <font>
      <u/>
      <sz val="12.0"/>
      <color rgb="FF0097A7"/>
      <name val="Arial"/>
    </font>
    <font>
      <u/>
      <sz val="12.0"/>
      <color rgb="FF0097A7"/>
      <name val="Calibri"/>
    </font>
    <font>
      <u/>
      <sz val="12.0"/>
      <color rgb="FF0097A7"/>
      <name val="Calibri"/>
    </font>
    <font>
      <u/>
      <sz val="11.0"/>
      <color rgb="FF0097A7"/>
      <name val="Roboto"/>
    </font>
    <font>
      <u/>
      <sz val="11.0"/>
      <color rgb="FF0563C1"/>
      <name val="Roboto"/>
    </font>
    <font>
      <u/>
      <sz val="12.0"/>
      <color rgb="FF000000"/>
      <name val="Calibri"/>
    </font>
    <font>
      <u/>
      <color rgb="FF0000FF"/>
    </font>
    <font>
      <u/>
      <sz val="12.0"/>
      <color rgb="FF0097A7"/>
      <name val="Arial"/>
    </font>
    <font>
      <u/>
      <sz val="11.0"/>
      <color rgb="FF282828"/>
      <name val="Roboto"/>
    </font>
    <font>
      <u/>
      <color rgb="FF0000FF"/>
    </font>
    <font>
      <u/>
      <sz val="12.0"/>
      <color rgb="FF000000"/>
      <name val="Calibri"/>
    </font>
    <font>
      <u/>
      <sz val="11.0"/>
      <color rgb="FF000000"/>
      <name val="Roboto"/>
    </font>
    <font>
      <u/>
      <color rgb="FF0000FF"/>
    </font>
    <font>
      <u/>
      <sz val="11.0"/>
      <color rgb="FF1155CC"/>
      <name val="Roboto"/>
    </font>
    <font>
      <u/>
      <sz val="12.0"/>
      <color rgb="FF0097A7"/>
      <name val="Arial"/>
    </font>
    <font>
      <u/>
      <color rgb="FF1155CC"/>
    </font>
    <font>
      <u/>
      <color rgb="FF1155CC"/>
    </font>
    <font>
      <u/>
      <sz val="12.0"/>
      <color rgb="FF1155CC"/>
      <name val="Calibri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00FF"/>
    </font>
    <font>
      <u/>
      <color rgb="FF0000FF"/>
    </font>
    <font>
      <u/>
      <sz val="11.0"/>
      <color rgb="FF1155CC"/>
      <name val="Roboto"/>
    </font>
    <font>
      <u/>
      <color rgb="FF000000"/>
    </font>
    <font>
      <u/>
      <sz val="12.0"/>
      <color rgb="FF000000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1.0"/>
      <color rgb="FF0000FF"/>
      <name val="Roboto"/>
    </font>
    <font>
      <u/>
      <sz val="12.0"/>
      <color rgb="FF000000"/>
      <name val="Docs-Calibri"/>
    </font>
    <font>
      <u/>
      <sz val="11.0"/>
      <color rgb="FF0563C1"/>
      <name val="Roboto"/>
    </font>
    <font>
      <u/>
      <sz val="12.0"/>
      <color rgb="FF000000"/>
      <name val="Calibri"/>
    </font>
    <font>
      <u/>
      <color rgb="FF1155CC"/>
    </font>
    <font>
      <u/>
      <sz val="12.0"/>
      <color rgb="FF1155CC"/>
      <name val="Calibri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1.0"/>
      <color rgb="FF000000"/>
      <name val="Roboto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1.0"/>
      <color rgb="FF000000"/>
      <name val="Roboto"/>
    </font>
    <font>
      <u/>
      <color rgb="FF0097A7"/>
    </font>
    <font>
      <u/>
      <color rgb="FF000000"/>
    </font>
    <font>
      <u/>
      <sz val="12.0"/>
      <color rgb="FF0000FF"/>
      <name val="Calibri"/>
    </font>
    <font>
      <u/>
      <color rgb="FF0000FF"/>
    </font>
    <font>
      <u/>
      <sz val="12.0"/>
      <color rgb="FF0000FF"/>
      <name val="Calibri"/>
    </font>
    <font>
      <u/>
      <sz val="12.0"/>
      <color rgb="FF000000"/>
      <name val="Calibri"/>
    </font>
    <font>
      <u/>
      <color rgb="FF0000FF"/>
    </font>
    <font>
      <u/>
      <sz val="11.0"/>
      <color rgb="FF1155CC"/>
      <name val="Roboto"/>
    </font>
    <font>
      <u/>
      <sz val="12.0"/>
      <color rgb="FF000000"/>
      <name val="Calibri"/>
    </font>
    <font>
      <u/>
      <color rgb="FF1155CC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1.0"/>
      <color rgb="FF000000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color rgb="FF0000FF"/>
    </font>
    <font>
      <sz val="12.0"/>
      <color rgb="FF1C1E21"/>
      <name val="Calibri"/>
    </font>
    <font>
      <sz val="11.0"/>
      <color rgb="FF1C1E21"/>
      <name val="Helvetica"/>
    </font>
    <font>
      <u/>
      <sz val="11.0"/>
      <color rgb="FF1155CC"/>
      <name val="Roboto"/>
    </font>
    <font>
      <u/>
      <sz val="11.0"/>
      <color rgb="FF000000"/>
      <name val="Roboto"/>
    </font>
    <font>
      <u/>
      <sz val="11.0"/>
      <color rgb="FF000000"/>
      <name val="Roboto"/>
    </font>
    <font>
      <u/>
      <color rgb="FF000000"/>
    </font>
    <font>
      <u/>
      <color rgb="FF1155CC"/>
    </font>
    <font>
      <u/>
      <sz val="11.0"/>
      <color rgb="FF000000"/>
      <name val="Roboto"/>
    </font>
    <font>
      <u/>
      <sz val="12.0"/>
      <color rgb="FF1155CC"/>
      <name val="Calibri"/>
    </font>
    <font>
      <u/>
      <sz val="12.0"/>
      <color rgb="FF000000"/>
      <name val="Calibri"/>
    </font>
    <font>
      <u/>
      <sz val="11.0"/>
      <color rgb="FF000000"/>
      <name val="Roboto"/>
    </font>
    <font>
      <u/>
      <sz val="11.0"/>
      <color rgb="FF000000"/>
      <name val="Roboto"/>
    </font>
    <font>
      <u/>
      <sz val="11.0"/>
      <color rgb="FF1155CC"/>
      <name val="Roboto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sz val="11.0"/>
      <color theme="1"/>
      <name val="Arial"/>
      <scheme val="minor"/>
    </font>
    <font>
      <u/>
      <sz val="12.0"/>
      <color rgb="FF1155CC"/>
      <name val="Calibri"/>
    </font>
    <font>
      <u/>
      <color rgb="FF0000FF"/>
    </font>
    <font>
      <u/>
      <sz val="12.0"/>
      <color rgb="FF1155CC"/>
      <name val="Calibri"/>
    </font>
    <font>
      <u/>
      <sz val="11.0"/>
      <color rgb="FF000000"/>
      <name val="Roboto"/>
    </font>
    <font>
      <sz val="10.0"/>
      <color rgb="FF000000"/>
      <name val="Lato"/>
    </font>
    <font>
      <u/>
      <sz val="11.0"/>
      <color rgb="FF000000"/>
      <name val="Roboto"/>
    </font>
    <font>
      <u/>
      <sz val="11.0"/>
      <color rgb="FF000000"/>
      <name val="Roboto"/>
    </font>
    <font>
      <u/>
      <sz val="11.0"/>
      <color rgb="FF1155CC"/>
      <name val="Roboto"/>
    </font>
    <font>
      <u/>
      <sz val="11.0"/>
      <color rgb="FF000000"/>
      <name val="Roboto"/>
    </font>
    <font>
      <sz val="11.0"/>
      <color rgb="FF000000"/>
      <name val="Calibri"/>
    </font>
    <font>
      <u/>
      <sz val="11.0"/>
      <color rgb="FF282828"/>
      <name val="Roboto"/>
    </font>
    <font>
      <u/>
      <color rgb="FF0000FF"/>
    </font>
    <font>
      <u/>
      <color rgb="FF0000FF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1155CC"/>
    </font>
    <font>
      <u/>
      <color rgb="FF0000FF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sz val="12.0"/>
      <color rgb="FF1155CC"/>
      <name val="Calibri"/>
    </font>
    <font>
      <u/>
      <color rgb="FF1155CC"/>
    </font>
    <font>
      <u/>
      <color rgb="FF1155CC"/>
    </font>
    <font>
      <u/>
      <color rgb="FF1155CC"/>
    </font>
    <font>
      <u/>
      <sz val="11.0"/>
      <color rgb="FF1155CC"/>
      <name val="Roboto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1.0"/>
      <color rgb="FF000000"/>
      <name val="Roboto"/>
    </font>
    <font>
      <u/>
      <color rgb="FF1155CC"/>
    </font>
    <font>
      <u/>
      <sz val="12.0"/>
      <color rgb="FF1155CC"/>
      <name val="Calibri"/>
    </font>
    <font>
      <u/>
      <color rgb="FF1155CC"/>
    </font>
    <font>
      <u/>
      <sz val="12.0"/>
      <color rgb="FF000000"/>
      <name val="Docs-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1155CC"/>
    </font>
    <font>
      <u/>
      <sz val="11.0"/>
      <color rgb="FF0000FF"/>
      <name val="Roboto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sz val="11.0"/>
      <color rgb="FF183444"/>
      <name val="Roboto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00"/>
    </font>
    <font>
      <u/>
      <sz val="11.0"/>
      <color rgb="FF000000"/>
      <name val="Calibri"/>
    </font>
    <font>
      <u/>
      <color rgb="FF0000FF"/>
    </font>
    <font>
      <sz val="12.0"/>
      <color rgb="FF2B2E3B"/>
      <name val="Calibri"/>
    </font>
    <font>
      <u/>
      <color rgb="FF0000FF"/>
    </font>
    <font>
      <u/>
      <sz val="11.0"/>
      <color rgb="FF0000FF"/>
      <name val="Roboto"/>
    </font>
    <font>
      <color rgb="FF222222"/>
      <name val="Arial"/>
    </font>
    <font>
      <u/>
      <sz val="12.0"/>
      <color rgb="FF0000FF"/>
      <name val="Calibri"/>
    </font>
    <font>
      <u/>
      <color rgb="FF000000"/>
    </font>
    <font>
      <u/>
      <color rgb="FF1155CC"/>
    </font>
    <font>
      <u/>
      <sz val="12.0"/>
      <color rgb="FF1155CC"/>
      <name val="Calibri"/>
    </font>
    <font>
      <u/>
      <color rgb="FF1155CC"/>
    </font>
    <font>
      <u/>
      <sz val="11.0"/>
      <color rgb="FF1155CC"/>
      <name val="Roboto"/>
    </font>
    <font>
      <u/>
      <color rgb="FF000000"/>
      <name val="Arial"/>
      <scheme val="minor"/>
    </font>
    <font>
      <u/>
      <color rgb="FF0000FF"/>
    </font>
    <font>
      <u/>
      <sz val="12.0"/>
      <color rgb="FF1155CC"/>
      <name val="Calibri"/>
    </font>
    <font>
      <u/>
      <color rgb="FF1155CC"/>
    </font>
    <font>
      <u/>
      <sz val="12.0"/>
      <color rgb="FF000000"/>
      <name val="Calibri"/>
    </font>
    <font>
      <u/>
      <sz val="12.0"/>
      <color rgb="FF1155CC"/>
      <name val="Calibri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00"/>
      <name val="Calibri"/>
    </font>
    <font>
      <u/>
      <color rgb="FF000000"/>
    </font>
    <font>
      <u/>
      <sz val="12.0"/>
      <color rgb="FF000000"/>
      <name val="Calibri"/>
    </font>
    <font>
      <u/>
      <color rgb="FF1155CC"/>
    </font>
    <font>
      <u/>
      <sz val="11.0"/>
      <color rgb="FF1155CC"/>
      <name val="Roboto"/>
    </font>
    <font>
      <sz val="12.0"/>
      <color rgb="FF000000"/>
      <name val="'docs-Calibri'"/>
    </font>
    <font>
      <u/>
      <sz val="11.0"/>
      <color rgb="FF000000"/>
      <name val="Roboto"/>
    </font>
    <font>
      <color rgb="FF000000"/>
      <name val="Calibri"/>
    </font>
    <font>
      <u/>
      <sz val="12.0"/>
      <color rgb="FF1155CC"/>
      <name val="Calibri"/>
    </font>
    <font>
      <u/>
      <color rgb="FF0000FF"/>
    </font>
    <font>
      <u/>
      <color rgb="FF0097A7"/>
    </font>
    <font>
      <u/>
      <sz val="12.0"/>
      <color rgb="FF000000"/>
      <name val="Calibri"/>
    </font>
    <font>
      <sz val="10.0"/>
      <color rgb="FF000000"/>
      <name val="Arial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sz val="11.0"/>
      <color rgb="FF1155CC"/>
      <name val="Roboto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sz val="12.0"/>
      <color rgb="FF333333"/>
      <name val="Calibri"/>
    </font>
    <font>
      <u/>
      <sz val="11.0"/>
      <color rgb="FF000000"/>
      <name val="Roboto"/>
    </font>
    <font>
      <sz val="11.0"/>
      <color rgb="FF1155CC"/>
      <name val="Roboto"/>
    </font>
    <font>
      <u/>
      <sz val="11.0"/>
      <color rgb="FF0000FF"/>
      <name val="Roboto"/>
    </font>
    <font>
      <u/>
      <sz val="11.0"/>
      <color rgb="FF1155CC"/>
      <name val="Roboto"/>
    </font>
    <font>
      <u/>
      <sz val="12.0"/>
      <color rgb="FF1155CC"/>
      <name val="Calibri"/>
    </font>
    <font>
      <u/>
      <sz val="12.0"/>
      <color rgb="FF1155CC"/>
      <name val="Calibri"/>
    </font>
    <font>
      <u/>
      <color rgb="FF0000FF"/>
    </font>
    <font>
      <u/>
      <sz val="12.0"/>
      <color rgb="FF0000FF"/>
      <name val="Calibri"/>
    </font>
    <font>
      <sz val="11.0"/>
      <color theme="1"/>
      <name val="Lato"/>
    </font>
    <font>
      <u/>
      <sz val="12.0"/>
      <color rgb="FF1155CC"/>
      <name val="Calibri"/>
    </font>
    <font>
      <sz val="12.0"/>
      <color rgb="FF051033"/>
      <name val="Calibri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2.0"/>
      <color rgb="FF0000FF"/>
      <name val="Calibri"/>
    </font>
    <font>
      <u/>
      <color rgb="FF0000FF"/>
    </font>
    <font>
      <u/>
      <sz val="12.0"/>
      <color rgb="FF1155CC"/>
      <name val="Calibri"/>
    </font>
    <font>
      <u/>
      <sz val="12.0"/>
      <color rgb="FF1155CC"/>
      <name val="Calibri"/>
    </font>
    <font>
      <u/>
      <color rgb="FF000000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1.0"/>
      <color rgb="FF000000"/>
      <name val="Roboto"/>
    </font>
    <font>
      <u/>
      <sz val="11.0"/>
      <color rgb="FF282828"/>
      <name val="Roboto"/>
    </font>
    <font>
      <sz val="12.0"/>
      <color theme="1"/>
      <name val="Arial"/>
      <scheme val="minor"/>
    </font>
    <font>
      <u/>
      <sz val="11.0"/>
      <color rgb="FF282828"/>
      <name val="Roboto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color rgb="FF0000FF"/>
    </font>
    <font>
      <u/>
      <color rgb="FF1155CC"/>
    </font>
    <font>
      <u/>
      <color rgb="FF0000FF"/>
    </font>
    <font>
      <u/>
      <color rgb="FF000000"/>
    </font>
    <font>
      <u/>
      <color rgb="FF1155CC"/>
      <name val="Arial"/>
      <scheme val="minor"/>
    </font>
    <font>
      <u/>
      <color rgb="FF0000FF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00"/>
      <name val="Calibri"/>
    </font>
    <font>
      <u/>
      <color rgb="FF1155CC"/>
      <name val="Arial"/>
      <scheme val="minor"/>
    </font>
    <font>
      <sz val="11.0"/>
      <color theme="1"/>
      <name val="Calibri"/>
    </font>
    <font>
      <u/>
      <sz val="12.0"/>
      <color rgb="FF000000"/>
      <name val="Calibri"/>
    </font>
    <font>
      <u/>
      <color rgb="FF1155CC"/>
    </font>
    <font>
      <u/>
      <sz val="12.0"/>
      <color rgb="FF0000FF"/>
      <name val="Calibri"/>
    </font>
    <font>
      <u/>
      <color rgb="FF0097A7"/>
    </font>
    <font>
      <u/>
      <sz val="12.0"/>
      <color rgb="FF1155CC"/>
      <name val="Calibri"/>
    </font>
    <font>
      <u/>
      <sz val="12.0"/>
      <color rgb="FF1155CC"/>
      <name val="Calibri"/>
    </font>
    <font>
      <color rgb="FF000000"/>
    </font>
    <font>
      <u/>
      <sz val="11.0"/>
      <color rgb="FF282828"/>
      <name val="Roboto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sz val="12.0"/>
      <color rgb="FF000000"/>
      <name val="Calibri"/>
    </font>
    <font>
      <u/>
      <color rgb="FF0000FF"/>
    </font>
    <font>
      <u/>
      <sz val="11.0"/>
      <color rgb="FF183444"/>
      <name val="Roboto"/>
    </font>
    <font>
      <u/>
      <color rgb="FF000000"/>
      <name val="Arial"/>
      <scheme val="minor"/>
    </font>
    <font>
      <u/>
      <color rgb="FF1155CC"/>
    </font>
    <font>
      <u/>
      <sz val="12.0"/>
      <color rgb="FF0097A7"/>
      <name val="Calibri"/>
    </font>
    <font>
      <u/>
      <sz val="12.0"/>
      <color rgb="FF0000FF"/>
      <name val="Calibri"/>
    </font>
    <font>
      <u/>
      <sz val="12.0"/>
      <color rgb="FF1155CC"/>
    </font>
    <font>
      <u/>
      <sz val="12.0"/>
      <color rgb="FF0000FF"/>
    </font>
    <font>
      <u/>
      <sz val="12.0"/>
      <color rgb="FF0000FF"/>
    </font>
    <font>
      <u/>
      <sz val="11.0"/>
      <color rgb="FF0000FF"/>
    </font>
    <font>
      <u/>
      <sz val="12.0"/>
      <color rgb="FF1155CC"/>
      <name val="Calibri"/>
    </font>
    <font>
      <u/>
      <color rgb="FF1155CC"/>
    </font>
    <font>
      <u/>
      <color rgb="FF1155CC"/>
    </font>
    <font>
      <u/>
      <sz val="11.0"/>
      <color rgb="FF000000"/>
      <name val="Roboto"/>
    </font>
    <font>
      <u/>
      <sz val="12.0"/>
      <color rgb="FF000000"/>
      <name val="Calibri"/>
    </font>
    <font>
      <u/>
      <sz val="12.0"/>
      <color rgb="FF1155CC"/>
      <name val="Calibri"/>
    </font>
    <font>
      <sz val="12.0"/>
      <color rgb="FF212529"/>
      <name val="Calibri"/>
    </font>
    <font>
      <u/>
      <color rgb="FF0000FF"/>
    </font>
    <font>
      <u/>
      <sz val="11.0"/>
      <color rgb="FF1155CC"/>
      <name val="Roboto"/>
    </font>
    <font>
      <u/>
      <sz val="12.0"/>
      <color rgb="FF1155CC"/>
      <name val="Calibri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sz val="12.0"/>
      <color rgb="FF1155CC"/>
      <name val="Calibri"/>
    </font>
    <font>
      <u/>
      <color rgb="FF1155CC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color rgb="FF0000FF"/>
    </font>
    <font>
      <u/>
      <sz val="11.0"/>
      <color rgb="FF1155CC"/>
      <name val="Roboto"/>
    </font>
    <font>
      <sz val="13.0"/>
      <color rgb="FF3B3A3A"/>
      <name val="Helvetica-w01-light"/>
    </font>
    <font>
      <u/>
      <sz val="11.0"/>
      <color rgb="FF0000FF"/>
      <name val="Roboto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97A7"/>
    </font>
    <font>
      <u/>
      <color rgb="FF0000FF"/>
    </font>
    <font>
      <u/>
      <sz val="12.0"/>
      <color rgb="FF1155CC"/>
      <name val="Calibri"/>
    </font>
    <font>
      <u/>
      <sz val="12.0"/>
      <color rgb="FF0000FF"/>
      <name val="Calibri"/>
    </font>
    <font>
      <u/>
      <color rgb="FF0000FF"/>
    </font>
    <font>
      <u/>
      <sz val="12.0"/>
      <color rgb="FF0000FF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1.0"/>
      <color rgb="FF000000"/>
      <name val="Roboto"/>
    </font>
    <font>
      <u/>
      <sz val="11.0"/>
      <color rgb="FF0000FF"/>
    </font>
    <font>
      <u/>
      <sz val="12.0"/>
      <color rgb="FF1155CC"/>
      <name val="Calibri"/>
    </font>
    <font>
      <u/>
      <color rgb="FF000000"/>
      <name val="Arial"/>
      <scheme val="minor"/>
    </font>
    <font>
      <u/>
      <color rgb="FF1155CC"/>
    </font>
    <font>
      <u/>
      <color rgb="FF000000"/>
    </font>
    <font>
      <u/>
      <color rgb="FF0000FF"/>
    </font>
    <font>
      <u/>
      <color rgb="FF000000"/>
      <name val="Arial"/>
      <scheme val="minor"/>
    </font>
    <font>
      <u/>
      <sz val="12.0"/>
      <color rgb="FF1155CC"/>
      <name val="Calibri"/>
    </font>
    <font>
      <sz val="12.0"/>
      <color rgb="FF333333"/>
      <name val="Interstate"/>
    </font>
    <font>
      <u/>
      <color rgb="FF0097A7"/>
    </font>
    <font>
      <u/>
      <sz val="11.0"/>
      <color rgb="FF1155CC"/>
      <name val="Roboto"/>
    </font>
    <font>
      <u/>
      <color rgb="FF1155CC"/>
    </font>
    <font>
      <u/>
      <sz val="12.0"/>
      <color rgb="FF1155CC"/>
      <name val="Calibri"/>
    </font>
    <font>
      <u/>
      <sz val="12.0"/>
      <color rgb="FF000000"/>
      <name val="Calibri"/>
    </font>
    <font>
      <color rgb="FF000000"/>
      <name val="Arial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color rgb="FF000000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color rgb="FF000000"/>
    </font>
    <font>
      <u/>
      <color rgb="FF0000FF"/>
    </font>
    <font>
      <u/>
      <color rgb="FF0000FF"/>
    </font>
    <font>
      <u/>
      <color rgb="FF0000FF"/>
    </font>
    <font>
      <u/>
      <sz val="11.0"/>
      <color rgb="FF1155CC"/>
      <name val="Roboto"/>
    </font>
    <font>
      <u/>
      <sz val="12.0"/>
      <color rgb="FF1155CC"/>
      <name val="Calibri"/>
    </font>
    <font>
      <u/>
      <sz val="12.0"/>
      <color rgb="FF000000"/>
      <name val="Calibri"/>
    </font>
    <font>
      <u/>
      <color rgb="FF1155CC"/>
    </font>
    <font>
      <u/>
      <color rgb="FF0000FF"/>
    </font>
    <font>
      <u/>
      <color rgb="FF0000FF"/>
    </font>
    <font>
      <sz val="12.0"/>
      <color rgb="FF000000"/>
      <name val="&quot;Helvetica neue&quot;"/>
    </font>
    <font>
      <u/>
      <color rgb="FF0000FF"/>
    </font>
    <font>
      <u/>
      <color rgb="FF0000FF"/>
    </font>
    <font>
      <u/>
      <color rgb="FF0000FF"/>
    </font>
    <font>
      <u/>
      <sz val="11.0"/>
      <color rgb="FF0563C1"/>
      <name val="Roboto"/>
    </font>
    <font>
      <u/>
      <color rgb="FF0000FF"/>
    </font>
    <font>
      <u/>
      <color rgb="FF1155CC"/>
    </font>
    <font>
      <sz val="12.0"/>
      <color rgb="FF1F1F1F"/>
      <name val="Europa"/>
    </font>
    <font>
      <u/>
      <color rgb="FF1155CC"/>
    </font>
    <font>
      <u/>
      <color rgb="FF1155CC"/>
    </font>
    <font>
      <u/>
      <sz val="12.0"/>
      <color rgb="FF1155CC"/>
      <name val="Calibri"/>
    </font>
    <font>
      <sz val="12.0"/>
      <color rgb="FF333333"/>
      <name val="&quot;Helvetica Neue&quot;"/>
    </font>
    <font>
      <u/>
      <color rgb="FF1155CC"/>
    </font>
    <font>
      <sz val="11.0"/>
      <color rgb="FF000000"/>
      <name val="BWHaasGrotesk-55Roman-Web"/>
    </font>
    <font>
      <u/>
      <sz val="12.0"/>
      <color rgb="FF1155CC"/>
      <name val="Calibri"/>
    </font>
    <font>
      <u/>
      <sz val="11.0"/>
      <color rgb="FF1155CC"/>
      <name val="Roboto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sz val="11.0"/>
      <color rgb="FF3C78D8"/>
      <name val="Roboto"/>
    </font>
    <font>
      <u/>
      <color rgb="FF1155CC"/>
      <name val="Arial"/>
      <scheme val="minor"/>
    </font>
    <font>
      <u/>
      <color rgb="FF0000FF"/>
    </font>
    <font>
      <u/>
      <color rgb="FF000000"/>
    </font>
    <font>
      <u/>
      <color rgb="FF0000FF"/>
    </font>
    <font>
      <u/>
      <color rgb="FF0000FF"/>
    </font>
    <font>
      <u/>
      <sz val="12.0"/>
      <color rgb="FF1155CC"/>
      <name val="Calibri"/>
    </font>
    <font>
      <u/>
      <color rgb="FF0000FF"/>
    </font>
    <font>
      <u/>
      <color rgb="FF0000FF"/>
    </font>
    <font>
      <u/>
      <sz val="11.0"/>
      <color rgb="FF1155CC"/>
      <name val="Roboto"/>
    </font>
    <font>
      <color theme="1"/>
      <name val="Avenir-lt-w01_35-light1475496"/>
    </font>
    <font>
      <u/>
      <sz val="11.0"/>
      <color rgb="FF000000"/>
      <name val="Roboto"/>
    </font>
    <font>
      <u/>
      <sz val="11.0"/>
      <color rgb="FF1155CC"/>
      <name val="Roboto"/>
    </font>
    <font>
      <u/>
      <sz val="12.0"/>
      <color rgb="FF1155CC"/>
      <name val="Calibri"/>
    </font>
    <font>
      <u/>
      <color rgb="FF1155CC"/>
    </font>
    <font>
      <u/>
      <color rgb="FF1155CC"/>
    </font>
    <font>
      <u/>
      <sz val="12.0"/>
      <color rgb="FF1155CC"/>
      <name val="Calibri"/>
    </font>
    <font>
      <u/>
      <color rgb="FF0000FF"/>
    </font>
    <font>
      <u/>
      <sz val="12.0"/>
      <color rgb="FF1155CC"/>
      <name val="Calibri"/>
    </font>
    <font>
      <u/>
      <color rgb="FF1155CC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color rgb="FF0000FF"/>
    </font>
    <font>
      <u/>
      <color rgb="FF1155CC"/>
    </font>
    <font>
      <u/>
      <color rgb="FF0000FF"/>
    </font>
    <font>
      <sz val="11.0"/>
      <color rgb="FF000000"/>
      <name val="&quot;Helvetica Neue&quot;"/>
    </font>
    <font>
      <u/>
      <color rgb="FF0000FF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1.0"/>
      <color rgb="FF1155CC"/>
      <name val="Roboto"/>
    </font>
    <font>
      <u/>
      <sz val="12.0"/>
      <color rgb="FF1155CC"/>
      <name val="Calibri"/>
    </font>
    <font>
      <u/>
      <color rgb="FF000000"/>
    </font>
    <font>
      <u/>
      <sz val="12.0"/>
      <color rgb="FF000000"/>
      <name val="Calibri"/>
    </font>
    <font>
      <u/>
      <color rgb="FF0000FF"/>
    </font>
    <font>
      <sz val="11.0"/>
      <color rgb="FF333333"/>
      <name val="&quot;Helvetica Neue&quot;"/>
    </font>
    <font>
      <sz val="12.0"/>
      <color rgb="FF222222"/>
      <name val="Arial"/>
    </font>
    <font>
      <u/>
      <sz val="12.0"/>
      <color rgb="FF0563C1"/>
      <name val="Calibri"/>
    </font>
    <font>
      <u/>
      <sz val="11.0"/>
      <color rgb="FF1155CC"/>
      <name val="Roboto"/>
    </font>
    <font>
      <u/>
      <color rgb="FF0000FF"/>
    </font>
    <font>
      <u/>
      <color rgb="FF0097A7"/>
    </font>
    <font>
      <u/>
      <sz val="12.0"/>
      <color rgb="FF0000FF"/>
      <name val="Calibri"/>
    </font>
    <font>
      <u/>
      <sz val="12.0"/>
      <color rgb="FF0000FF"/>
      <name val="Calibri"/>
    </font>
    <font>
      <sz val="11.0"/>
      <color rgb="FF0563C1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1F2"/>
        <bgColor rgb="FFD9E1F2"/>
      </patternFill>
    </fill>
    <fill>
      <patternFill patternType="solid">
        <fgColor rgb="FF00FF00"/>
        <bgColor rgb="FF00FF00"/>
      </patternFill>
    </fill>
    <fill>
      <patternFill patternType="solid">
        <fgColor rgb="FFBDBDBD"/>
        <bgColor rgb="FFBDBDBD"/>
      </patternFill>
    </fill>
  </fills>
  <borders count="16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right style="thin">
        <color rgb="FFD9D9D9"/>
      </right>
    </border>
    <border>
      <left style="thin">
        <color rgb="FFD9D9D9"/>
      </left>
      <top style="thin">
        <color rgb="FFD9D9D9"/>
      </top>
    </border>
    <border>
      <top style="thin">
        <color rgb="FFD9D9D9"/>
      </top>
    </border>
    <border>
      <left style="thin">
        <color rgb="FFD9D9D9"/>
      </left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bottom style="thin">
        <color rgb="FFF3F3F3"/>
      </bottom>
    </border>
    <border>
      <left style="thin">
        <color rgb="FFF3F3F3"/>
      </left>
      <bottom style="thin">
        <color rgb="FFF3F3F3"/>
      </bottom>
    </border>
  </borders>
  <cellStyleXfs count="1">
    <xf borderId="0" fillId="0" fontId="0" numFmtId="0" applyAlignment="1" applyFont="1"/>
  </cellStyleXfs>
  <cellXfs count="19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right" readingOrder="0" shrinkToFit="0" vertical="center" wrapText="1"/>
    </xf>
    <xf borderId="1" fillId="2" fontId="1" numFmtId="49" xfId="0" applyAlignment="1" applyBorder="1" applyFont="1" applyNumberFormat="1">
      <alignment horizontal="right" readingOrder="0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bottom" wrapText="1"/>
    </xf>
    <xf borderId="2" fillId="0" fontId="3" numFmtId="165" xfId="0" applyAlignment="1" applyBorder="1" applyFont="1" applyNumberFormat="1">
      <alignment horizontal="center" shrinkToFit="0" vertical="bottom" wrapText="1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1" fillId="3" fontId="8" numFmtId="0" xfId="0" applyAlignment="1" applyBorder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1" fillId="3" fontId="5" numFmtId="0" xfId="0" applyAlignment="1" applyBorder="1" applyFont="1">
      <alignment horizontal="left" readingOrder="0"/>
    </xf>
    <xf borderId="1" fillId="3" fontId="5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9" numFmtId="0" xfId="0" applyFont="1"/>
    <xf borderId="1" fillId="3" fontId="5" numFmtId="0" xfId="0" applyBorder="1" applyFont="1"/>
    <xf borderId="1" fillId="3" fontId="5" numFmtId="165" xfId="0" applyBorder="1" applyFont="1" applyNumberFormat="1"/>
    <xf borderId="1" fillId="2" fontId="5" numFmtId="165" xfId="0" applyAlignment="1" applyBorder="1" applyFont="1" applyNumberFormat="1">
      <alignment horizontal="left"/>
    </xf>
    <xf borderId="1" fillId="2" fontId="5" numFmtId="165" xfId="0" applyAlignment="1" applyBorder="1" applyFont="1" applyNumberFormat="1">
      <alignment horizontal="left" readingOrder="0"/>
    </xf>
    <xf borderId="1" fillId="3" fontId="2" numFmtId="10" xfId="0" applyAlignment="1" applyBorder="1" applyFont="1" applyNumberFormat="1">
      <alignment horizontal="left"/>
    </xf>
    <xf borderId="1" fillId="3" fontId="5" numFmtId="10" xfId="0" applyAlignment="1" applyBorder="1" applyFont="1" applyNumberFormat="1">
      <alignment horizontal="left" readingOrder="0"/>
    </xf>
    <xf borderId="1" fillId="2" fontId="2" numFmtId="165" xfId="0" applyAlignment="1" applyBorder="1" applyFont="1" applyNumberFormat="1">
      <alignment horizontal="right" vertical="bottom"/>
    </xf>
    <xf borderId="1" fillId="2" fontId="2" numFmtId="49" xfId="0" applyAlignment="1" applyBorder="1" applyFont="1" applyNumberFormat="1">
      <alignment horizontal="right" vertical="bottom"/>
    </xf>
    <xf borderId="1" fillId="3" fontId="5" numFmtId="0" xfId="0" applyAlignment="1" applyBorder="1" applyFont="1">
      <alignment horizontal="left"/>
    </xf>
    <xf borderId="1" fillId="3" fontId="5" numFmtId="166" xfId="0" applyAlignment="1" applyBorder="1" applyFont="1" applyNumberFormat="1">
      <alignment horizontal="left" readingOrder="0"/>
    </xf>
    <xf borderId="1" fillId="3" fontId="5" numFmtId="167" xfId="0" applyAlignment="1" applyBorder="1" applyFont="1" applyNumberFormat="1">
      <alignment horizontal="left" readingOrder="0"/>
    </xf>
    <xf borderId="1" fillId="3" fontId="10" numFmtId="166" xfId="0" applyBorder="1" applyFont="1" applyNumberFormat="1"/>
    <xf borderId="1" fillId="3" fontId="5" numFmtId="168" xfId="0" applyAlignment="1" applyBorder="1" applyFont="1" applyNumberFormat="1">
      <alignment horizontal="left" readingOrder="0"/>
    </xf>
    <xf borderId="1" fillId="3" fontId="5" numFmtId="169" xfId="0" applyAlignment="1" applyBorder="1" applyFont="1" applyNumberFormat="1">
      <alignment horizontal="left" readingOrder="0"/>
    </xf>
    <xf borderId="1" fillId="3" fontId="11" numFmtId="166" xfId="0" applyAlignment="1" applyBorder="1" applyFont="1" applyNumberFormat="1">
      <alignment horizontal="left" readingOrder="0"/>
    </xf>
    <xf borderId="1" fillId="3" fontId="12" numFmtId="166" xfId="0" applyAlignment="1" applyBorder="1" applyFont="1" applyNumberFormat="1">
      <alignment horizontal="left"/>
    </xf>
    <xf borderId="1" fillId="3" fontId="5" numFmtId="166" xfId="0" applyAlignment="1" applyBorder="1" applyFont="1" applyNumberFormat="1">
      <alignment horizontal="left"/>
    </xf>
    <xf borderId="1" fillId="3" fontId="5" numFmtId="165" xfId="0" applyAlignment="1" applyBorder="1" applyFont="1" applyNumberFormat="1">
      <alignment horizontal="left"/>
    </xf>
    <xf borderId="1" fillId="3" fontId="5" numFmtId="167" xfId="0" applyAlignment="1" applyBorder="1" applyFont="1" applyNumberFormat="1">
      <alignment horizontal="left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 shrinkToFit="0" wrapText="0"/>
    </xf>
    <xf borderId="0" fillId="0" fontId="13" numFmtId="0" xfId="0" applyAlignment="1" applyFont="1">
      <alignment shrinkToFit="0" wrapText="1"/>
    </xf>
    <xf borderId="1" fillId="0" fontId="13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/>
    </xf>
    <xf borderId="1" fillId="0" fontId="13" numFmtId="0" xfId="0" applyBorder="1" applyFont="1"/>
    <xf borderId="1" fillId="0" fontId="2" numFmtId="0" xfId="0" applyAlignment="1" applyBorder="1" applyFont="1">
      <alignment readingOrder="0"/>
    </xf>
    <xf borderId="0" fillId="0" fontId="17" numFmtId="0" xfId="0" applyFont="1"/>
    <xf borderId="1" fillId="0" fontId="13" numFmtId="10" xfId="0" applyBorder="1" applyFont="1" applyNumberFormat="1"/>
    <xf borderId="1" fillId="2" fontId="5" numFmtId="165" xfId="0" applyAlignment="1" applyBorder="1" applyFont="1" applyNumberFormat="1">
      <alignment horizontal="right" readingOrder="0"/>
    </xf>
    <xf borderId="1" fillId="2" fontId="18" numFmtId="49" xfId="0" applyAlignment="1" applyBorder="1" applyFont="1" applyNumberFormat="1">
      <alignment horizontal="right" readingOrder="0"/>
    </xf>
    <xf borderId="0" fillId="0" fontId="13" numFmtId="170" xfId="0" applyAlignment="1" applyFont="1" applyNumberFormat="1">
      <alignment readingOrder="0"/>
    </xf>
    <xf borderId="1" fillId="0" fontId="19" numFmtId="170" xfId="0" applyAlignment="1" applyBorder="1" applyFont="1" applyNumberFormat="1">
      <alignment readingOrder="0"/>
    </xf>
    <xf borderId="1" fillId="0" fontId="20" numFmtId="168" xfId="0" applyAlignment="1" applyBorder="1" applyFont="1" applyNumberFormat="1">
      <alignment readingOrder="0"/>
    </xf>
    <xf borderId="1" fillId="0" fontId="21" numFmtId="170" xfId="0" applyAlignment="1" applyBorder="1" applyFont="1" applyNumberFormat="1">
      <alignment readingOrder="0"/>
    </xf>
    <xf borderId="1" fillId="3" fontId="22" numFmtId="170" xfId="0" applyAlignment="1" applyBorder="1" applyFont="1" applyNumberFormat="1">
      <alignment horizontal="left" readingOrder="0"/>
    </xf>
    <xf borderId="0" fillId="4" fontId="5" numFmtId="0" xfId="0" applyAlignment="1" applyFill="1" applyFont="1">
      <alignment horizontal="left"/>
    </xf>
    <xf borderId="0" fillId="0" fontId="4" numFmtId="0" xfId="0" applyAlignment="1" applyFont="1">
      <alignment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left" readingOrder="0"/>
    </xf>
    <xf borderId="1" fillId="0" fontId="23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 shrinkToFit="0" wrapText="1"/>
    </xf>
    <xf borderId="1" fillId="3" fontId="2" numFmtId="49" xfId="0" applyAlignment="1" applyBorder="1" applyFont="1" applyNumberFormat="1">
      <alignment horizontal="left" readingOrder="0"/>
    </xf>
    <xf borderId="1" fillId="3" fontId="2" numFmtId="10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/>
    </xf>
    <xf borderId="1" fillId="3" fontId="24" numFmtId="166" xfId="0" applyAlignment="1" applyBorder="1" applyFont="1" applyNumberFormat="1">
      <alignment horizontal="left" readingOrder="0"/>
    </xf>
    <xf borderId="1" fillId="3" fontId="2" numFmtId="167" xfId="0" applyAlignment="1" applyBorder="1" applyFont="1" applyNumberFormat="1">
      <alignment horizontal="left" readingOrder="0"/>
    </xf>
    <xf borderId="1" fillId="3" fontId="2" numFmtId="14" xfId="0" applyAlignment="1" applyBorder="1" applyFont="1" applyNumberFormat="1">
      <alignment horizontal="left"/>
    </xf>
    <xf borderId="1" fillId="3" fontId="2" numFmtId="169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165" xfId="0" applyAlignment="1" applyBorder="1" applyFont="1" applyNumberFormat="1">
      <alignment horizontal="left"/>
    </xf>
    <xf borderId="0" fillId="3" fontId="2" numFmtId="166" xfId="0" applyAlignment="1" applyFont="1" applyNumberFormat="1">
      <alignment horizontal="left"/>
    </xf>
    <xf borderId="1" fillId="3" fontId="25" numFmtId="166" xfId="0" applyAlignment="1" applyBorder="1" applyFont="1" applyNumberFormat="1">
      <alignment horizontal="right" readingOrder="0"/>
    </xf>
    <xf borderId="1" fillId="3" fontId="2" numFmtId="165" xfId="0" applyAlignment="1" applyBorder="1" applyFont="1" applyNumberFormat="1">
      <alignment horizontal="left" readingOrder="0"/>
    </xf>
    <xf borderId="1" fillId="3" fontId="2" numFmtId="167" xfId="0" applyAlignment="1" applyBorder="1" applyFont="1" applyNumberFormat="1">
      <alignment horizontal="left"/>
    </xf>
    <xf borderId="0" fillId="3" fontId="3" numFmtId="0" xfId="0" applyAlignment="1" applyFont="1">
      <alignment shrinkToFit="0" vertical="bottom" wrapText="1"/>
    </xf>
    <xf borderId="0" fillId="3" fontId="26" numFmtId="0" xfId="0" applyAlignment="1" applyFont="1">
      <alignment vertical="bottom"/>
    </xf>
    <xf borderId="0" fillId="3" fontId="26" numFmtId="0" xfId="0" applyAlignment="1" applyFont="1">
      <alignment vertical="bottom"/>
    </xf>
    <xf borderId="0" fillId="3" fontId="27" numFmtId="0" xfId="0" applyAlignment="1" applyFont="1">
      <alignment vertical="bottom"/>
    </xf>
    <xf borderId="1" fillId="3" fontId="28" numFmtId="0" xfId="0" applyAlignment="1" applyBorder="1" applyFont="1">
      <alignment vertical="bottom"/>
    </xf>
    <xf borderId="1" fillId="0" fontId="29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3" fontId="26" numFmtId="49" xfId="0" applyAlignment="1" applyBorder="1" applyFont="1" applyNumberFormat="1">
      <alignment vertical="bottom"/>
    </xf>
    <xf borderId="1" fillId="3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horizontal="right" vertical="bottom"/>
    </xf>
    <xf borderId="1" fillId="3" fontId="2" numFmtId="165" xfId="0" applyAlignment="1" applyBorder="1" applyFont="1" applyNumberFormat="1">
      <alignment horizontal="right" vertical="bottom"/>
    </xf>
    <xf borderId="1" fillId="3" fontId="2" numFmtId="171" xfId="0" applyAlignment="1" applyBorder="1" applyFont="1" applyNumberFormat="1">
      <alignment horizontal="right" vertical="bottom"/>
    </xf>
    <xf borderId="1" fillId="2" fontId="2" numFmtId="165" xfId="0" applyAlignment="1" applyBorder="1" applyFont="1" applyNumberFormat="1">
      <alignment horizontal="left" vertical="bottom"/>
    </xf>
    <xf borderId="1" fillId="2" fontId="2" numFmtId="172" xfId="0" applyAlignment="1" applyBorder="1" applyFont="1" applyNumberFormat="1">
      <alignment horizontal="left" readingOrder="0" vertical="bottom"/>
    </xf>
    <xf borderId="1" fillId="3" fontId="2" numFmtId="10" xfId="0" applyAlignment="1" applyBorder="1" applyFont="1" applyNumberFormat="1">
      <alignment horizontal="right" vertical="bottom"/>
    </xf>
    <xf borderId="1" fillId="3" fontId="26" numFmtId="0" xfId="0" applyAlignment="1" applyBorder="1" applyFont="1">
      <alignment vertical="bottom"/>
    </xf>
    <xf borderId="0" fillId="3" fontId="26" numFmtId="166" xfId="0" applyAlignment="1" applyFont="1" applyNumberFormat="1">
      <alignment vertical="bottom"/>
    </xf>
    <xf borderId="0" fillId="3" fontId="26" numFmtId="167" xfId="0" applyAlignment="1" applyFont="1" applyNumberFormat="1">
      <alignment vertical="bottom"/>
    </xf>
    <xf borderId="1" fillId="3" fontId="26" numFmtId="166" xfId="0" applyAlignment="1" applyBorder="1" applyFont="1" applyNumberFormat="1">
      <alignment vertical="bottom"/>
    </xf>
    <xf borderId="1" fillId="3" fontId="26" numFmtId="167" xfId="0" applyAlignment="1" applyBorder="1" applyFont="1" applyNumberFormat="1">
      <alignment vertical="bottom"/>
    </xf>
    <xf borderId="1" fillId="3" fontId="26" numFmtId="169" xfId="0" applyAlignment="1" applyBorder="1" applyFont="1" applyNumberFormat="1">
      <alignment vertical="bottom"/>
    </xf>
    <xf borderId="1" fillId="3" fontId="30" numFmtId="166" xfId="0" applyAlignment="1" applyBorder="1" applyFont="1" applyNumberFormat="1">
      <alignment vertical="bottom"/>
    </xf>
    <xf borderId="1" fillId="3" fontId="2" numFmtId="167" xfId="0" applyAlignment="1" applyBorder="1" applyFont="1" applyNumberFormat="1">
      <alignment horizontal="right" vertical="bottom"/>
    </xf>
    <xf borderId="1" fillId="3" fontId="26" numFmtId="166" xfId="0" applyAlignment="1" applyBorder="1" applyFont="1" applyNumberFormat="1">
      <alignment vertical="bottom"/>
    </xf>
    <xf borderId="1" fillId="3" fontId="26" numFmtId="165" xfId="0" applyAlignment="1" applyBorder="1" applyFont="1" applyNumberFormat="1">
      <alignment vertical="bottom"/>
    </xf>
    <xf borderId="1" fillId="3" fontId="31" numFmtId="166" xfId="0" applyAlignment="1" applyBorder="1" applyFont="1" applyNumberFormat="1">
      <alignment horizontal="right" readingOrder="0"/>
    </xf>
    <xf borderId="1" fillId="3" fontId="26" numFmtId="165" xfId="0" applyAlignment="1" applyBorder="1" applyFont="1" applyNumberFormat="1">
      <alignment readingOrder="0"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readingOrder="0" shrinkToFit="0" wrapText="0"/>
    </xf>
    <xf borderId="1" fillId="0" fontId="33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left" readingOrder="0"/>
    </xf>
    <xf borderId="1" fillId="2" fontId="2" numFmtId="165" xfId="0" applyAlignment="1" applyBorder="1" applyFont="1" applyNumberFormat="1">
      <alignment horizontal="right" readingOrder="0" vertical="bottom"/>
    </xf>
    <xf borderId="1" fillId="2" fontId="34" numFmtId="49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left"/>
    </xf>
    <xf borderId="1" fillId="0" fontId="2" numFmtId="166" xfId="0" applyAlignment="1" applyBorder="1" applyFont="1" applyNumberFormat="1">
      <alignment horizontal="left"/>
    </xf>
    <xf borderId="1" fillId="0" fontId="2" numFmtId="167" xfId="0" applyAlignment="1" applyBorder="1" applyFont="1" applyNumberFormat="1">
      <alignment horizontal="left"/>
    </xf>
    <xf borderId="1" fillId="0" fontId="35" numFmtId="166" xfId="0" applyBorder="1" applyFont="1" applyNumberFormat="1"/>
    <xf borderId="1" fillId="0" fontId="2" numFmtId="167" xfId="0" applyAlignment="1" applyBorder="1" applyFont="1" applyNumberFormat="1">
      <alignment horizontal="left" readingOrder="0"/>
    </xf>
    <xf borderId="1" fillId="0" fontId="2" numFmtId="169" xfId="0" applyAlignment="1" applyBorder="1" applyFont="1" applyNumberFormat="1">
      <alignment horizontal="left"/>
    </xf>
    <xf borderId="1" fillId="3" fontId="36" numFmtId="166" xfId="0" applyAlignment="1" applyBorder="1" applyFont="1" applyNumberFormat="1">
      <alignment vertical="bottom"/>
    </xf>
    <xf borderId="1" fillId="0" fontId="2" numFmtId="167" xfId="0" applyAlignment="1" applyBorder="1" applyFont="1" applyNumberFormat="1">
      <alignment horizontal="right" vertical="bottom"/>
    </xf>
    <xf borderId="1" fillId="0" fontId="37" numFmtId="166" xfId="0" applyAlignment="1" applyBorder="1" applyFont="1" applyNumberFormat="1">
      <alignment horizontal="right" vertical="bottom"/>
    </xf>
    <xf borderId="1" fillId="0" fontId="38" numFmtId="166" xfId="0" applyAlignment="1" applyBorder="1" applyFont="1" applyNumberFormat="1">
      <alignment vertical="bottom"/>
    </xf>
    <xf borderId="1" fillId="0" fontId="26" numFmtId="166" xfId="0" applyAlignment="1" applyBorder="1" applyFont="1" applyNumberFormat="1">
      <alignment vertical="bottom"/>
    </xf>
    <xf borderId="1" fillId="0" fontId="26" numFmtId="165" xfId="0" applyAlignment="1" applyBorder="1" applyFont="1" applyNumberFormat="1">
      <alignment vertical="bottom"/>
    </xf>
    <xf borderId="1" fillId="0" fontId="39" numFmtId="166" xfId="0" applyAlignment="1" applyBorder="1" applyFont="1" applyNumberFormat="1">
      <alignment horizontal="right" vertical="bottom"/>
    </xf>
    <xf borderId="1" fillId="0" fontId="26" numFmtId="165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left"/>
    </xf>
    <xf borderId="0" fillId="3" fontId="40" numFmtId="0" xfId="0" applyAlignment="1" applyFont="1">
      <alignment horizontal="left" readingOrder="0" shrinkToFit="0" wrapText="1"/>
    </xf>
    <xf borderId="0" fillId="0" fontId="41" numFmtId="0" xfId="0" applyAlignment="1" applyFont="1">
      <alignment readingOrder="0"/>
    </xf>
    <xf borderId="1" fillId="3" fontId="2" numFmtId="0" xfId="0" applyAlignment="1" applyBorder="1" applyFont="1">
      <alignment horizontal="left" readingOrder="0" shrinkToFit="0" wrapText="1"/>
    </xf>
    <xf borderId="1" fillId="3" fontId="42" numFmtId="49" xfId="0" applyAlignment="1" applyBorder="1" applyFont="1" applyNumberFormat="1">
      <alignment horizontal="left" readingOrder="0"/>
    </xf>
    <xf borderId="1" fillId="3" fontId="5" numFmtId="0" xfId="0" applyAlignment="1" applyBorder="1" applyFont="1">
      <alignment horizontal="left" readingOrder="0"/>
    </xf>
    <xf borderId="1" fillId="2" fontId="43" numFmtId="165" xfId="0" applyAlignment="1" applyBorder="1" applyFont="1" applyNumberFormat="1">
      <alignment horizontal="right" readingOrder="0" vertical="bottom"/>
    </xf>
    <xf borderId="1" fillId="2" fontId="26" numFmtId="49" xfId="0" applyAlignment="1" applyBorder="1" applyFont="1" applyNumberFormat="1">
      <alignment horizontal="right" readingOrder="0" vertical="bottom"/>
    </xf>
    <xf borderId="1" fillId="3" fontId="44" numFmtId="170" xfId="0" applyAlignment="1" applyBorder="1" applyFont="1" applyNumberFormat="1">
      <alignment horizontal="right" vertical="bottom"/>
    </xf>
    <xf borderId="1" fillId="3" fontId="45" numFmtId="166" xfId="0" applyAlignment="1" applyBorder="1" applyFont="1" applyNumberFormat="1">
      <alignment horizontal="right" vertical="bottom"/>
    </xf>
    <xf borderId="1" fillId="3" fontId="46" numFmtId="166" xfId="0" applyAlignment="1" applyBorder="1" applyFont="1" applyNumberFormat="1">
      <alignment horizontal="right" vertical="bottom"/>
    </xf>
    <xf borderId="1" fillId="3" fontId="26" numFmtId="167" xfId="0" applyAlignment="1" applyBorder="1" applyFont="1" applyNumberFormat="1">
      <alignment horizontal="right" vertical="bottom"/>
    </xf>
    <xf borderId="1" fillId="3" fontId="47" numFmtId="166" xfId="0" applyAlignment="1" applyBorder="1" applyFont="1" applyNumberFormat="1">
      <alignment readingOrder="0" vertical="bottom"/>
    </xf>
    <xf borderId="1" fillId="3" fontId="26" numFmtId="167" xfId="0" applyAlignment="1" applyBorder="1" applyFont="1" applyNumberFormat="1">
      <alignment readingOrder="0" vertical="bottom"/>
    </xf>
    <xf borderId="1" fillId="0" fontId="48" numFmtId="170" xfId="0" applyAlignment="1" applyBorder="1" applyFont="1" applyNumberFormat="1">
      <alignment horizontal="right" readingOrder="0" vertical="bottom"/>
    </xf>
    <xf borderId="1" fillId="3" fontId="2" numFmtId="167" xfId="0" applyAlignment="1" applyBorder="1" applyFont="1" applyNumberFormat="1">
      <alignment horizontal="right" readingOrder="0" vertical="bottom"/>
    </xf>
    <xf borderId="0" fillId="3" fontId="1" numFmtId="0" xfId="0" applyAlignment="1" applyFont="1">
      <alignment horizontal="left" readingOrder="0" shrinkToFit="0" wrapText="1"/>
    </xf>
    <xf borderId="1" fillId="3" fontId="49" numFmtId="0" xfId="0" applyAlignment="1" applyBorder="1" applyFont="1">
      <alignment readingOrder="0" shrinkToFit="0" wrapText="1"/>
    </xf>
    <xf borderId="1" fillId="3" fontId="2" numFmtId="49" xfId="0" applyAlignment="1" applyBorder="1" applyFont="1" applyNumberFormat="1">
      <alignment horizontal="left"/>
    </xf>
    <xf borderId="1" fillId="2" fontId="50" numFmtId="165" xfId="0" applyAlignment="1" applyBorder="1" applyFont="1" applyNumberFormat="1">
      <alignment horizontal="right" readingOrder="0"/>
    </xf>
    <xf borderId="1" fillId="2" fontId="5" numFmtId="49" xfId="0" applyAlignment="1" applyBorder="1" applyFont="1" applyNumberFormat="1">
      <alignment horizontal="right" readingOrder="0"/>
    </xf>
    <xf borderId="1" fillId="3" fontId="51" numFmtId="166" xfId="0" applyBorder="1" applyFont="1" applyNumberFormat="1"/>
    <xf borderId="1" fillId="3" fontId="5" numFmtId="169" xfId="0" applyAlignment="1" applyBorder="1" applyFont="1" applyNumberFormat="1">
      <alignment horizontal="left"/>
    </xf>
    <xf borderId="0" fillId="0" fontId="1" numFmtId="0" xfId="0" applyAlignment="1" applyFont="1">
      <alignment horizontal="left" readingOrder="0" shrinkToFit="0" wrapText="1"/>
    </xf>
    <xf borderId="0" fillId="0" fontId="52" numFmtId="0" xfId="0" applyAlignment="1" applyFont="1">
      <alignment horizontal="left" readingOrder="0" shrinkToFit="0" wrapText="1"/>
    </xf>
    <xf borderId="0" fillId="0" fontId="53" numFmtId="0" xfId="0" applyAlignment="1" applyFont="1">
      <alignment horizontal="left" readingOrder="0" shrinkToFit="0" wrapText="1"/>
    </xf>
    <xf borderId="1" fillId="0" fontId="54" numFmtId="0" xfId="0" applyAlignment="1" applyBorder="1" applyFont="1">
      <alignment horizontal="left" readingOrder="0" shrinkToFit="0" wrapText="1"/>
    </xf>
    <xf borderId="1" fillId="3" fontId="55" numFmtId="166" xfId="0" applyAlignment="1" applyBorder="1" applyFont="1" applyNumberFormat="1">
      <alignment horizontal="left" readingOrder="0" shrinkToFit="0" wrapText="0"/>
    </xf>
    <xf borderId="1" fillId="0" fontId="2" numFmtId="167" xfId="0" applyAlignment="1" applyBorder="1" applyFont="1" applyNumberFormat="1">
      <alignment horizontal="left" readingOrder="0"/>
    </xf>
    <xf borderId="1" fillId="0" fontId="13" numFmtId="166" xfId="0" applyBorder="1" applyFont="1" applyNumberFormat="1"/>
    <xf borderId="1" fillId="0" fontId="56" numFmtId="166" xfId="0" applyAlignment="1" applyBorder="1" applyFont="1" applyNumberFormat="1">
      <alignment horizontal="left" readingOrder="0"/>
    </xf>
    <xf borderId="1" fillId="3" fontId="55" numFmtId="167" xfId="0" applyAlignment="1" applyBorder="1" applyFont="1" applyNumberFormat="1">
      <alignment readingOrder="0" shrinkToFit="0" wrapText="0"/>
    </xf>
    <xf borderId="1" fillId="0" fontId="2" numFmtId="166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1" fillId="0" fontId="57" numFmtId="166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58" numFmtId="0" xfId="0" applyAlignment="1" applyBorder="1" applyFont="1">
      <alignment horizontal="left" readingOrder="0" shrinkToFit="0" wrapText="1"/>
    </xf>
    <xf borderId="0" fillId="3" fontId="2" numFmtId="0" xfId="0" applyAlignment="1" applyFont="1">
      <alignment horizontal="left" shrinkToFit="0" wrapText="1"/>
    </xf>
    <xf borderId="1" fillId="3" fontId="59" numFmtId="166" xfId="0" applyBorder="1" applyFont="1" applyNumberFormat="1"/>
    <xf borderId="1" fillId="3" fontId="60" numFmtId="167" xfId="0" applyAlignment="1" applyBorder="1" applyFont="1" applyNumberFormat="1">
      <alignment horizontal="right" vertical="bottom"/>
    </xf>
    <xf borderId="1" fillId="3" fontId="61" numFmtId="0" xfId="0" applyAlignment="1" applyBorder="1" applyFont="1">
      <alignment horizontal="left" readingOrder="0" shrinkToFit="0" wrapText="1"/>
    </xf>
    <xf borderId="1" fillId="0" fontId="13" numFmtId="49" xfId="0" applyAlignment="1" applyBorder="1" applyFont="1" applyNumberFormat="1">
      <alignment readingOrder="0"/>
    </xf>
    <xf borderId="1" fillId="2" fontId="62" numFmtId="49" xfId="0" applyAlignment="1" applyBorder="1" applyFont="1" applyNumberFormat="1">
      <alignment horizontal="right" vertical="bottom"/>
    </xf>
    <xf borderId="1" fillId="3" fontId="63" numFmtId="166" xfId="0" applyAlignment="1" applyBorder="1" applyFont="1" applyNumberFormat="1">
      <alignment horizontal="left" readingOrder="0" shrinkToFit="0" wrapText="0"/>
    </xf>
    <xf borderId="1" fillId="3" fontId="64" numFmtId="166" xfId="0" applyAlignment="1" applyBorder="1" applyFont="1" applyNumberFormat="1">
      <alignment horizontal="left"/>
    </xf>
    <xf borderId="1" fillId="3" fontId="2" numFmtId="165" xfId="0" applyAlignment="1" applyBorder="1" applyFont="1" applyNumberFormat="1">
      <alignment horizontal="right" readingOrder="0"/>
    </xf>
    <xf borderId="0" fillId="3" fontId="1" numFmtId="0" xfId="0" applyAlignment="1" applyFont="1">
      <alignment horizontal="left" shrinkToFit="0" wrapText="1"/>
    </xf>
    <xf borderId="0" fillId="3" fontId="65" numFmtId="0" xfId="0" applyAlignment="1" applyFont="1">
      <alignment horizontal="left" shrinkToFit="0" wrapText="1"/>
    </xf>
    <xf borderId="1" fillId="3" fontId="6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 shrinkToFit="0" wrapText="1"/>
    </xf>
    <xf borderId="2" fillId="2" fontId="67" numFmtId="49" xfId="0" applyAlignment="1" applyBorder="1" applyFont="1" applyNumberFormat="1">
      <alignment horizontal="right" readingOrder="0" vertical="bottom"/>
    </xf>
    <xf borderId="1" fillId="3" fontId="68" numFmtId="166" xfId="0" applyAlignment="1" applyBorder="1" applyFont="1" applyNumberFormat="1">
      <alignment vertical="bottom"/>
    </xf>
    <xf borderId="1" fillId="3" fontId="69" numFmtId="166" xfId="0" applyAlignment="1" applyBorder="1" applyFont="1" applyNumberFormat="1">
      <alignment vertical="top"/>
    </xf>
    <xf borderId="1" fillId="3" fontId="70" numFmtId="167" xfId="0" applyAlignment="1" applyBorder="1" applyFont="1" applyNumberFormat="1">
      <alignment horizontal="right" vertical="top"/>
    </xf>
    <xf borderId="1" fillId="3" fontId="71" numFmtId="166" xfId="0" applyAlignment="1" applyBorder="1" applyFont="1" applyNumberFormat="1">
      <alignment horizontal="right" vertical="bottom"/>
    </xf>
    <xf borderId="0" fillId="0" fontId="72" numFmtId="0" xfId="0" applyAlignment="1" applyFont="1">
      <alignment readingOrder="0"/>
    </xf>
    <xf borderId="1" fillId="3" fontId="5" numFmtId="0" xfId="0" applyAlignment="1" applyBorder="1" applyFont="1">
      <alignment readingOrder="0"/>
    </xf>
    <xf borderId="1" fillId="0" fontId="73" numFmtId="166" xfId="0" applyAlignment="1" applyBorder="1" applyFont="1" applyNumberFormat="1">
      <alignment readingOrder="0"/>
    </xf>
    <xf borderId="1" fillId="0" fontId="74" numFmtId="166" xfId="0" applyAlignment="1" applyBorder="1" applyFont="1" applyNumberFormat="1">
      <alignment vertical="bottom"/>
    </xf>
    <xf borderId="1" fillId="0" fontId="2" numFmtId="167" xfId="0" applyAlignment="1" applyBorder="1" applyFont="1" applyNumberFormat="1">
      <alignment readingOrder="0" vertical="bottom"/>
    </xf>
    <xf borderId="1" fillId="0" fontId="2" numFmtId="165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horizontal="left"/>
    </xf>
    <xf borderId="2" fillId="0" fontId="2" numFmtId="165" xfId="0" applyAlignment="1" applyBorder="1" applyFont="1" applyNumberFormat="1">
      <alignment horizontal="left"/>
    </xf>
    <xf borderId="0" fillId="3" fontId="75" numFmtId="0" xfId="0" applyAlignment="1" applyFont="1">
      <alignment readingOrder="0"/>
    </xf>
    <xf borderId="2" fillId="3" fontId="2" numFmtId="167" xfId="0" applyAlignment="1" applyBorder="1" applyFont="1" applyNumberFormat="1">
      <alignment horizontal="left"/>
    </xf>
    <xf borderId="2" fillId="3" fontId="13" numFmtId="166" xfId="0" applyBorder="1" applyFont="1" applyNumberFormat="1"/>
    <xf borderId="2" fillId="3" fontId="2" numFmtId="0" xfId="0" applyAlignment="1" applyBorder="1" applyFont="1">
      <alignment horizontal="left"/>
    </xf>
    <xf borderId="2" fillId="3" fontId="2" numFmtId="169" xfId="0" applyAlignment="1" applyBorder="1" applyFont="1" applyNumberFormat="1">
      <alignment horizontal="left"/>
    </xf>
    <xf borderId="2" fillId="3" fontId="76" numFmtId="166" xfId="0" applyAlignment="1" applyBorder="1" applyFont="1" applyNumberFormat="1">
      <alignment horizontal="left"/>
    </xf>
    <xf borderId="2" fillId="3" fontId="2" numFmtId="167" xfId="0" applyAlignment="1" applyBorder="1" applyFont="1" applyNumberFormat="1">
      <alignment horizontal="left" readingOrder="0"/>
    </xf>
    <xf borderId="2" fillId="3" fontId="2" numFmtId="166" xfId="0" applyAlignment="1" applyBorder="1" applyFont="1" applyNumberFormat="1">
      <alignment horizontal="left"/>
    </xf>
    <xf borderId="2" fillId="3" fontId="2" numFmtId="165" xfId="0" applyAlignment="1" applyBorder="1" applyFont="1" applyNumberFormat="1">
      <alignment horizontal="left"/>
    </xf>
    <xf borderId="2" fillId="3" fontId="77" numFmtId="166" xfId="0" applyAlignment="1" applyBorder="1" applyFont="1" applyNumberFormat="1">
      <alignment horizontal="right" vertical="bottom"/>
    </xf>
    <xf borderId="2" fillId="3" fontId="2" numFmtId="165" xfId="0" applyAlignment="1" applyBorder="1" applyFont="1" applyNumberFormat="1">
      <alignment horizontal="right" vertical="bottom"/>
    </xf>
    <xf borderId="0" fillId="0" fontId="78" numFmtId="0" xfId="0" applyAlignment="1" applyFont="1">
      <alignment readingOrder="0" shrinkToFit="0" wrapText="1"/>
    </xf>
    <xf borderId="1" fillId="5" fontId="5" numFmtId="165" xfId="0" applyAlignment="1" applyBorder="1" applyFill="1" applyFont="1" applyNumberFormat="1">
      <alignment horizontal="right" readingOrder="0"/>
    </xf>
    <xf borderId="2" fillId="5" fontId="5" numFmtId="49" xfId="0" applyAlignment="1" applyBorder="1" applyFont="1" applyNumberFormat="1">
      <alignment horizontal="right" readingOrder="0"/>
    </xf>
    <xf borderId="2" fillId="3" fontId="79" numFmtId="166" xfId="0" applyBorder="1" applyFont="1" applyNumberFormat="1"/>
    <xf borderId="2" fillId="3" fontId="2" numFmtId="166" xfId="0" applyAlignment="1" applyBorder="1" applyFont="1" applyNumberFormat="1">
      <alignment horizontal="left" readingOrder="0"/>
    </xf>
    <xf borderId="2" fillId="3" fontId="2" numFmtId="167" xfId="0" applyAlignment="1" applyBorder="1" applyFont="1" applyNumberFormat="1">
      <alignment horizontal="left" readingOrder="0"/>
    </xf>
    <xf borderId="2" fillId="3" fontId="2" numFmtId="166" xfId="0" applyAlignment="1" applyBorder="1" applyFont="1" applyNumberFormat="1">
      <alignment horizontal="right"/>
    </xf>
    <xf borderId="2" fillId="3" fontId="80" numFmtId="166" xfId="0" applyAlignment="1" applyBorder="1" applyFont="1" applyNumberFormat="1">
      <alignment horizontal="left" readingOrder="0"/>
    </xf>
    <xf borderId="2" fillId="3" fontId="2" numFmtId="165" xfId="0" applyAlignment="1" applyBorder="1" applyFont="1" applyNumberFormat="1">
      <alignment horizontal="right" readingOrder="0" vertical="bottom"/>
    </xf>
    <xf borderId="2" fillId="3" fontId="81" numFmtId="170" xfId="0" applyAlignment="1" applyBorder="1" applyFont="1" applyNumberFormat="1">
      <alignment horizontal="right" vertical="bottom"/>
    </xf>
    <xf borderId="0" fillId="3" fontId="82" numFmtId="0" xfId="0" applyAlignment="1" applyFont="1">
      <alignment readingOrder="0" shrinkToFit="0" wrapText="1"/>
    </xf>
    <xf borderId="1" fillId="0" fontId="5" numFmtId="0" xfId="0" applyAlignment="1" applyBorder="1" applyFont="1">
      <alignment horizontal="left" readingOrder="0"/>
    </xf>
    <xf borderId="3" fillId="2" fontId="83" numFmtId="165" xfId="0" applyAlignment="1" applyBorder="1" applyFont="1" applyNumberFormat="1">
      <alignment horizontal="right" readingOrder="0"/>
    </xf>
    <xf borderId="4" fillId="2" fontId="5" numFmtId="49" xfId="0" applyAlignment="1" applyBorder="1" applyFont="1" applyNumberFormat="1">
      <alignment horizontal="right" readingOrder="0"/>
    </xf>
    <xf borderId="1" fillId="3" fontId="84" numFmtId="166" xfId="0" applyAlignment="1" applyBorder="1" applyFont="1" applyNumberFormat="1">
      <alignment horizontal="left" readingOrder="0"/>
    </xf>
    <xf borderId="1" fillId="3" fontId="85" numFmtId="170" xfId="0" applyAlignment="1" applyBorder="1" applyFont="1" applyNumberFormat="1">
      <alignment horizontal="left" readingOrder="0"/>
    </xf>
    <xf borderId="1" fillId="3" fontId="86" numFmtId="166" xfId="0" applyAlignment="1" applyBorder="1" applyFont="1" applyNumberFormat="1">
      <alignment horizontal="left" readingOrder="0" shrinkToFit="0" wrapText="0"/>
    </xf>
    <xf borderId="1" fillId="3" fontId="87" numFmtId="166" xfId="0" applyAlignment="1" applyBorder="1" applyFont="1" applyNumberFormat="1">
      <alignment horizontal="left" readingOrder="0"/>
    </xf>
    <xf borderId="1" fillId="3" fontId="5" numFmtId="165" xfId="0" applyAlignment="1" applyBorder="1" applyFont="1" applyNumberFormat="1">
      <alignment horizontal="left" readingOrder="0"/>
    </xf>
    <xf borderId="2" fillId="3" fontId="5" numFmtId="165" xfId="0" applyAlignment="1" applyBorder="1" applyFont="1" applyNumberFormat="1">
      <alignment horizontal="left" readingOrder="0"/>
    </xf>
    <xf borderId="0" fillId="3" fontId="88" numFmtId="0" xfId="0" applyAlignment="1" applyFont="1">
      <alignment horizontal="left" readingOrder="0" shrinkToFit="0" wrapText="1"/>
    </xf>
    <xf borderId="1" fillId="3" fontId="89" numFmtId="166" xfId="0" applyBorder="1" applyFont="1" applyNumberFormat="1"/>
    <xf borderId="2" fillId="3" fontId="2" numFmtId="167" xfId="0" applyAlignment="1" applyBorder="1" applyFont="1" applyNumberFormat="1">
      <alignment vertical="bottom"/>
    </xf>
    <xf borderId="2" fillId="3" fontId="5" numFmtId="167" xfId="0" applyAlignment="1" applyBorder="1" applyFont="1" applyNumberFormat="1">
      <alignment horizontal="left" readingOrder="0"/>
    </xf>
    <xf borderId="0" fillId="3" fontId="4" numFmtId="0" xfId="0" applyAlignment="1" applyFont="1">
      <alignment readingOrder="0" shrinkToFit="0" wrapText="1"/>
    </xf>
    <xf borderId="0" fillId="3" fontId="90" numFmtId="0" xfId="0" applyAlignment="1" applyFont="1">
      <alignment readingOrder="0"/>
    </xf>
    <xf borderId="1" fillId="3" fontId="5" numFmtId="49" xfId="0" applyAlignment="1" applyBorder="1" applyFont="1" applyNumberFormat="1">
      <alignment horizontal="left"/>
    </xf>
    <xf borderId="2" fillId="3" fontId="5" numFmtId="167" xfId="0" applyAlignment="1" applyBorder="1" applyFont="1" applyNumberFormat="1">
      <alignment horizontal="left"/>
    </xf>
    <xf borderId="2" fillId="3" fontId="91" numFmtId="166" xfId="0" applyAlignment="1" applyBorder="1" applyFont="1" applyNumberFormat="1">
      <alignment horizontal="left" readingOrder="0" shrinkToFit="0" wrapText="0"/>
    </xf>
    <xf borderId="2" fillId="3" fontId="5" numFmtId="169" xfId="0" applyAlignment="1" applyBorder="1" applyFont="1" applyNumberFormat="1">
      <alignment horizontal="left"/>
    </xf>
    <xf borderId="2" fillId="3" fontId="92" numFmtId="166" xfId="0" applyAlignment="1" applyBorder="1" applyFont="1" applyNumberFormat="1">
      <alignment horizontal="left"/>
    </xf>
    <xf borderId="2" fillId="3" fontId="5" numFmtId="166" xfId="0" applyAlignment="1" applyBorder="1" applyFont="1" applyNumberFormat="1">
      <alignment horizontal="left"/>
    </xf>
    <xf borderId="2" fillId="3" fontId="5" numFmtId="165" xfId="0" applyAlignment="1" applyBorder="1" applyFont="1" applyNumberFormat="1">
      <alignment horizontal="left"/>
    </xf>
    <xf borderId="2" fillId="3" fontId="93" numFmtId="166" xfId="0" applyAlignment="1" applyBorder="1" applyFont="1" applyNumberFormat="1">
      <alignment horizontal="right" readingOrder="0" vertical="bottom"/>
    </xf>
    <xf borderId="0" fillId="3" fontId="13" numFmtId="0" xfId="0" applyAlignment="1" applyFont="1">
      <alignment readingOrder="0"/>
    </xf>
    <xf borderId="5" fillId="3" fontId="94" numFmtId="0" xfId="0" applyAlignment="1" applyBorder="1" applyFont="1">
      <alignment readingOrder="0"/>
    </xf>
    <xf borderId="2" fillId="3" fontId="95" numFmtId="0" xfId="0" applyAlignment="1" applyBorder="1" applyFont="1">
      <alignment readingOrder="0"/>
    </xf>
    <xf borderId="4" fillId="3" fontId="5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left" readingOrder="0"/>
    </xf>
    <xf borderId="2" fillId="3" fontId="5" numFmtId="49" xfId="0" applyAlignment="1" applyBorder="1" applyFont="1" applyNumberFormat="1">
      <alignment horizontal="left"/>
    </xf>
    <xf borderId="2" fillId="0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2" fillId="3" fontId="5" numFmtId="0" xfId="0" applyBorder="1" applyFont="1"/>
    <xf borderId="2" fillId="2" fontId="5" numFmtId="165" xfId="0" applyAlignment="1" applyBorder="1" applyFont="1" applyNumberFormat="1">
      <alignment horizontal="left"/>
    </xf>
    <xf borderId="2" fillId="2" fontId="5" numFmtId="165" xfId="0" applyAlignment="1" applyBorder="1" applyFont="1" applyNumberFormat="1">
      <alignment horizontal="left" readingOrder="0"/>
    </xf>
    <xf borderId="2" fillId="3" fontId="2" numFmtId="10" xfId="0" applyAlignment="1" applyBorder="1" applyFont="1" applyNumberFormat="1">
      <alignment horizontal="left"/>
    </xf>
    <xf borderId="2" fillId="3" fontId="5" numFmtId="10" xfId="0" applyAlignment="1" applyBorder="1" applyFont="1" applyNumberFormat="1">
      <alignment horizontal="left" readingOrder="0"/>
    </xf>
    <xf borderId="2" fillId="2" fontId="13" numFmtId="165" xfId="0" applyAlignment="1" applyBorder="1" applyFont="1" applyNumberFormat="1">
      <alignment horizontal="right" readingOrder="0"/>
    </xf>
    <xf borderId="2" fillId="2" fontId="96" numFmtId="0" xfId="0" applyAlignment="1" applyBorder="1" applyFont="1">
      <alignment horizontal="right" readingOrder="0"/>
    </xf>
    <xf borderId="2" fillId="0" fontId="13" numFmtId="0" xfId="0" applyBorder="1" applyFont="1"/>
    <xf borderId="2" fillId="0" fontId="97" numFmtId="170" xfId="0" applyAlignment="1" applyBorder="1" applyFont="1" applyNumberFormat="1">
      <alignment readingOrder="0"/>
    </xf>
    <xf borderId="2" fillId="3" fontId="26" numFmtId="167" xfId="0" applyAlignment="1" applyBorder="1" applyFont="1" applyNumberFormat="1">
      <alignment vertical="bottom"/>
    </xf>
    <xf borderId="2" fillId="3" fontId="5" numFmtId="0" xfId="0" applyAlignment="1" applyBorder="1" applyFont="1">
      <alignment horizontal="left"/>
    </xf>
    <xf borderId="2" fillId="3" fontId="98" numFmtId="166" xfId="0" applyBorder="1" applyFont="1" applyNumberFormat="1"/>
    <xf borderId="2" fillId="3" fontId="55" numFmtId="167" xfId="0" applyAlignment="1" applyBorder="1" applyFont="1" applyNumberFormat="1">
      <alignment readingOrder="0" shrinkToFit="0" vertical="top" wrapText="0"/>
    </xf>
    <xf borderId="2" fillId="3" fontId="99" numFmtId="166" xfId="0" applyAlignment="1" applyBorder="1" applyFont="1" applyNumberFormat="1">
      <alignment horizontal="left" readingOrder="0"/>
    </xf>
    <xf borderId="2" fillId="3" fontId="100" numFmtId="167" xfId="0" applyAlignment="1" applyBorder="1" applyFont="1" applyNumberFormat="1">
      <alignment readingOrder="0" shrinkToFit="0" vertical="top" wrapText="0"/>
    </xf>
    <xf borderId="0" fillId="3" fontId="101" numFmtId="0" xfId="0" applyAlignment="1" applyFont="1">
      <alignment readingOrder="0"/>
    </xf>
    <xf borderId="0" fillId="3" fontId="102" numFmtId="0" xfId="0" applyAlignment="1" applyFont="1">
      <alignment readingOrder="0"/>
    </xf>
    <xf borderId="1" fillId="3" fontId="103" numFmtId="0" xfId="0" applyAlignment="1" applyBorder="1" applyFont="1">
      <alignment readingOrder="0"/>
    </xf>
    <xf borderId="1" fillId="0" fontId="13" numFmtId="0" xfId="0" applyAlignment="1" applyBorder="1" applyFont="1">
      <alignment horizontal="left" readingOrder="0"/>
    </xf>
    <xf borderId="1" fillId="3" fontId="13" numFmtId="0" xfId="0" applyBorder="1" applyFont="1"/>
    <xf borderId="2" fillId="3" fontId="13" numFmtId="166" xfId="0" applyAlignment="1" applyBorder="1" applyFont="1" applyNumberFormat="1">
      <alignment readingOrder="0"/>
    </xf>
    <xf borderId="2" fillId="3" fontId="104" numFmtId="166" xfId="0" applyAlignment="1" applyBorder="1" applyFont="1" applyNumberFormat="1">
      <alignment horizontal="left" readingOrder="0"/>
    </xf>
    <xf borderId="2" fillId="3" fontId="105" numFmtId="165" xfId="0" applyAlignment="1" applyBorder="1" applyFont="1" applyNumberFormat="1">
      <alignment horizontal="right" readingOrder="0"/>
    </xf>
    <xf borderId="2" fillId="3" fontId="106" numFmtId="166" xfId="0" applyAlignment="1" applyBorder="1" applyFont="1" applyNumberFormat="1">
      <alignment horizontal="left" readingOrder="0"/>
    </xf>
    <xf borderId="2" fillId="3" fontId="2" numFmtId="165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2" fillId="3" fontId="107" numFmtId="166" xfId="0" applyAlignment="1" applyBorder="1" applyFont="1" applyNumberFormat="1">
      <alignment vertical="bottom"/>
    </xf>
    <xf borderId="2" fillId="3" fontId="2" numFmtId="167" xfId="0" applyAlignment="1" applyBorder="1" applyFont="1" applyNumberFormat="1">
      <alignment horizontal="right" vertical="bottom"/>
    </xf>
    <xf borderId="2" fillId="3" fontId="26" numFmtId="166" xfId="0" applyAlignment="1" applyBorder="1" applyFont="1" applyNumberFormat="1">
      <alignment vertical="bottom"/>
    </xf>
    <xf borderId="2" fillId="3" fontId="26" numFmtId="165" xfId="0" applyAlignment="1" applyBorder="1" applyFont="1" applyNumberFormat="1">
      <alignment vertical="bottom"/>
    </xf>
    <xf borderId="2" fillId="3" fontId="108" numFmtId="166" xfId="0" applyAlignment="1" applyBorder="1" applyFont="1" applyNumberFormat="1">
      <alignment readingOrder="0" vertical="bottom"/>
    </xf>
    <xf borderId="2" fillId="3" fontId="26" numFmtId="165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left" shrinkToFit="0" wrapText="1"/>
    </xf>
    <xf borderId="1" fillId="0" fontId="2" numFmtId="49" xfId="0" applyAlignment="1" applyBorder="1" applyFont="1" applyNumberFormat="1">
      <alignment horizontal="left"/>
    </xf>
    <xf borderId="1" fillId="2" fontId="109" numFmtId="165" xfId="0" applyAlignment="1" applyBorder="1" applyFont="1" applyNumberFormat="1">
      <alignment horizontal="right" readingOrder="0"/>
    </xf>
    <xf borderId="2" fillId="2" fontId="5" numFmtId="49" xfId="0" applyAlignment="1" applyBorder="1" applyFont="1" applyNumberFormat="1">
      <alignment horizontal="right" readingOrder="0"/>
    </xf>
    <xf borderId="0" fillId="6" fontId="5" numFmtId="0" xfId="0" applyAlignment="1" applyFill="1" applyFont="1">
      <alignment horizontal="left" readingOrder="0" shrinkToFit="0" wrapText="1"/>
    </xf>
    <xf borderId="0" fillId="6" fontId="2" numFmtId="0" xfId="0" applyAlignment="1" applyFont="1">
      <alignment horizontal="left"/>
    </xf>
    <xf borderId="0" fillId="6" fontId="2" numFmtId="0" xfId="0" applyAlignment="1" applyFont="1">
      <alignment horizontal="left" readingOrder="0"/>
    </xf>
    <xf borderId="0" fillId="6" fontId="110" numFmtId="0" xfId="0" applyAlignment="1" applyFont="1">
      <alignment horizontal="left" readingOrder="0" shrinkToFit="0" wrapText="1"/>
    </xf>
    <xf borderId="0" fillId="6" fontId="111" numFmtId="0" xfId="0" applyAlignment="1" applyFont="1">
      <alignment horizontal="left" readingOrder="0" shrinkToFit="0" wrapText="1"/>
    </xf>
    <xf borderId="1" fillId="6" fontId="112" numFmtId="0" xfId="0" applyAlignment="1" applyBorder="1" applyFont="1">
      <alignment horizontal="left" readingOrder="0" shrinkToFit="0" wrapText="1"/>
    </xf>
    <xf borderId="1" fillId="6" fontId="2" numFmtId="0" xfId="0" applyAlignment="1" applyBorder="1" applyFont="1">
      <alignment horizontal="left" shrinkToFit="0" wrapText="1"/>
    </xf>
    <xf borderId="1" fillId="6" fontId="2" numFmtId="0" xfId="0" applyAlignment="1" applyBorder="1" applyFont="1">
      <alignment horizontal="left" readingOrder="0" shrinkToFit="0" wrapText="1"/>
    </xf>
    <xf borderId="1" fillId="6" fontId="2" numFmtId="0" xfId="0" applyAlignment="1" applyBorder="1" applyFont="1">
      <alignment horizontal="left" readingOrder="0"/>
    </xf>
    <xf borderId="1" fillId="6" fontId="2" numFmtId="49" xfId="0" applyAlignment="1" applyBorder="1" applyFont="1" applyNumberFormat="1">
      <alignment horizontal="left"/>
    </xf>
    <xf borderId="1" fillId="6" fontId="13" numFmtId="0" xfId="0" applyBorder="1" applyFont="1"/>
    <xf borderId="1" fillId="6" fontId="5" numFmtId="165" xfId="0" applyAlignment="1" applyBorder="1" applyFont="1" applyNumberFormat="1">
      <alignment horizontal="left"/>
    </xf>
    <xf borderId="1" fillId="6" fontId="5" numFmtId="165" xfId="0" applyAlignment="1" applyBorder="1" applyFont="1" applyNumberFormat="1">
      <alignment horizontal="left" readingOrder="0"/>
    </xf>
    <xf borderId="1" fillId="6" fontId="2" numFmtId="10" xfId="0" applyAlignment="1" applyBorder="1" applyFont="1" applyNumberFormat="1">
      <alignment horizontal="left"/>
    </xf>
    <xf borderId="1" fillId="6" fontId="5" numFmtId="165" xfId="0" applyAlignment="1" applyBorder="1" applyFont="1" applyNumberFormat="1">
      <alignment horizontal="right" readingOrder="0"/>
    </xf>
    <xf borderId="2" fillId="6" fontId="113" numFmtId="49" xfId="0" applyAlignment="1" applyBorder="1" applyFont="1" applyNumberFormat="1">
      <alignment horizontal="right" readingOrder="0"/>
    </xf>
    <xf borderId="1" fillId="6" fontId="2" numFmtId="0" xfId="0" applyAlignment="1" applyBorder="1" applyFont="1">
      <alignment horizontal="left"/>
    </xf>
    <xf borderId="1" fillId="6" fontId="13" numFmtId="170" xfId="0" applyAlignment="1" applyBorder="1" applyFont="1" applyNumberFormat="1">
      <alignment readingOrder="0"/>
    </xf>
    <xf borderId="1" fillId="6" fontId="5" numFmtId="167" xfId="0" applyAlignment="1" applyBorder="1" applyFont="1" applyNumberFormat="1">
      <alignment horizontal="left" readingOrder="0"/>
    </xf>
    <xf borderId="1" fillId="6" fontId="2" numFmtId="170" xfId="0" applyAlignment="1" applyBorder="1" applyFont="1" applyNumberFormat="1">
      <alignment horizontal="left" readingOrder="0"/>
    </xf>
    <xf borderId="1" fillId="6" fontId="114" numFmtId="170" xfId="0" applyAlignment="1" applyBorder="1" applyFont="1" applyNumberFormat="1">
      <alignment horizontal="left" readingOrder="0"/>
    </xf>
    <xf borderId="1" fillId="6" fontId="2" numFmtId="167" xfId="0" applyAlignment="1" applyBorder="1" applyFont="1" applyNumberFormat="1">
      <alignment horizontal="left" readingOrder="0"/>
    </xf>
    <xf borderId="2" fillId="6" fontId="2" numFmtId="170" xfId="0" applyAlignment="1" applyBorder="1" applyFont="1" applyNumberFormat="1">
      <alignment horizontal="left" readingOrder="0"/>
    </xf>
    <xf borderId="1" fillId="6" fontId="2" numFmtId="165" xfId="0" applyAlignment="1" applyBorder="1" applyFont="1" applyNumberFormat="1">
      <alignment horizontal="left"/>
    </xf>
    <xf borderId="2" fillId="6" fontId="2" numFmtId="0" xfId="0" applyAlignment="1" applyBorder="1" applyFont="1">
      <alignment horizontal="left"/>
    </xf>
    <xf borderId="2" fillId="6" fontId="2" numFmtId="165" xfId="0" applyAlignment="1" applyBorder="1" applyFont="1" applyNumberFormat="1">
      <alignment horizontal="left" readingOrder="0"/>
    </xf>
    <xf borderId="1" fillId="3" fontId="11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horizontal="left" shrinkToFit="0" wrapText="1"/>
    </xf>
    <xf borderId="6" fillId="2" fontId="5" numFmtId="165" xfId="0" applyAlignment="1" applyBorder="1" applyFont="1" applyNumberFormat="1">
      <alignment horizontal="right" readingOrder="0"/>
    </xf>
    <xf borderId="7" fillId="2" fontId="116" numFmtId="49" xfId="0" applyAlignment="1" applyBorder="1" applyFont="1" applyNumberFormat="1">
      <alignment horizontal="right" readingOrder="0"/>
    </xf>
    <xf borderId="1" fillId="3" fontId="117" numFmtId="166" xfId="0" applyAlignment="1" applyBorder="1" applyFont="1" applyNumberFormat="1">
      <alignment horizontal="left" readingOrder="0" shrinkToFit="0" wrapText="0"/>
    </xf>
    <xf borderId="7" fillId="2" fontId="118" numFmtId="49" xfId="0" applyAlignment="1" applyBorder="1" applyFont="1" applyNumberFormat="1">
      <alignment horizontal="right" readingOrder="0" vertical="bottom"/>
    </xf>
    <xf borderId="1" fillId="0" fontId="5" numFmtId="166" xfId="0" applyAlignment="1" applyBorder="1" applyFont="1" applyNumberFormat="1">
      <alignment horizontal="left"/>
    </xf>
    <xf borderId="1" fillId="0" fontId="5" numFmtId="167" xfId="0" applyAlignment="1" applyBorder="1" applyFont="1" applyNumberFormat="1">
      <alignment horizontal="left"/>
    </xf>
    <xf borderId="1" fillId="0" fontId="119" numFmtId="166" xfId="0" applyBorder="1" applyFont="1" applyNumberFormat="1"/>
    <xf borderId="1" fillId="0" fontId="5" numFmtId="167" xfId="0" applyAlignment="1" applyBorder="1" applyFont="1" applyNumberFormat="1">
      <alignment horizontal="left" readingOrder="0"/>
    </xf>
    <xf borderId="1" fillId="0" fontId="5" numFmtId="0" xfId="0" applyAlignment="1" applyBorder="1" applyFont="1">
      <alignment horizontal="left"/>
    </xf>
    <xf borderId="1" fillId="0" fontId="5" numFmtId="169" xfId="0" applyAlignment="1" applyBorder="1" applyFont="1" applyNumberFormat="1">
      <alignment horizontal="left"/>
    </xf>
    <xf borderId="1" fillId="0" fontId="120" numFmtId="166" xfId="0" applyAlignment="1" applyBorder="1" applyFont="1" applyNumberFormat="1">
      <alignment horizontal="left"/>
    </xf>
    <xf borderId="2" fillId="0" fontId="5" numFmtId="167" xfId="0" applyAlignment="1" applyBorder="1" applyFont="1" applyNumberFormat="1">
      <alignment horizontal="left" readingOrder="0"/>
    </xf>
    <xf borderId="2" fillId="0" fontId="121" numFmtId="166" xfId="0" applyAlignment="1" applyBorder="1" applyFont="1" applyNumberFormat="1">
      <alignment horizontal="left"/>
    </xf>
    <xf borderId="2" fillId="0" fontId="5" numFmtId="166" xfId="0" applyAlignment="1" applyBorder="1" applyFont="1" applyNumberFormat="1">
      <alignment horizontal="left"/>
    </xf>
    <xf borderId="2" fillId="0" fontId="5" numFmtId="165" xfId="0" applyAlignment="1" applyBorder="1" applyFont="1" applyNumberFormat="1">
      <alignment horizontal="left"/>
    </xf>
    <xf borderId="2" fillId="0" fontId="122" numFmtId="166" xfId="0" applyAlignment="1" applyBorder="1" applyFont="1" applyNumberFormat="1">
      <alignment horizontal="right" vertical="bottom"/>
    </xf>
    <xf borderId="2" fillId="0" fontId="26" numFmtId="165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horizontal="left"/>
    </xf>
    <xf borderId="0" fillId="6" fontId="5" numFmtId="0" xfId="0" applyAlignment="1" applyFont="1">
      <alignment horizontal="left"/>
    </xf>
    <xf borderId="0" fillId="3" fontId="110" numFmtId="0" xfId="0" applyAlignment="1" applyFont="1">
      <alignment horizontal="left" shrinkToFit="0" wrapText="1"/>
    </xf>
    <xf borderId="1" fillId="3" fontId="13" numFmtId="166" xfId="0" applyBorder="1" applyFont="1" applyNumberFormat="1"/>
    <xf borderId="0" fillId="6" fontId="13" numFmtId="0" xfId="0" applyAlignment="1" applyFont="1">
      <alignment readingOrder="0" shrinkToFit="0" wrapText="1"/>
    </xf>
    <xf borderId="0" fillId="6" fontId="13" numFmtId="0" xfId="0" applyFont="1"/>
    <xf borderId="0" fillId="6" fontId="13" numFmtId="0" xfId="0" applyAlignment="1" applyFont="1">
      <alignment readingOrder="0"/>
    </xf>
    <xf borderId="0" fillId="6" fontId="123" numFmtId="0" xfId="0" applyAlignment="1" applyFont="1">
      <alignment shrinkToFit="0" wrapText="0"/>
    </xf>
    <xf borderId="0" fillId="6" fontId="124" numFmtId="0" xfId="0" applyAlignment="1" applyFont="1">
      <alignment readingOrder="0" shrinkToFit="0" wrapText="0"/>
    </xf>
    <xf borderId="1" fillId="6" fontId="125" numFmtId="0" xfId="0" applyAlignment="1" applyBorder="1" applyFont="1">
      <alignment readingOrder="0" shrinkToFit="0" wrapText="0"/>
    </xf>
    <xf borderId="1" fillId="6" fontId="13" numFmtId="0" xfId="0" applyAlignment="1" applyBorder="1" applyFont="1">
      <alignment shrinkToFit="0" wrapText="1"/>
    </xf>
    <xf borderId="1" fillId="6" fontId="13" numFmtId="0" xfId="0" applyAlignment="1" applyBorder="1" applyFont="1">
      <alignment readingOrder="0" shrinkToFit="0" wrapText="1"/>
    </xf>
    <xf borderId="1" fillId="6" fontId="13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6" fontId="13" numFmtId="10" xfId="0" applyBorder="1" applyFont="1" applyNumberFormat="1"/>
    <xf borderId="1" fillId="6" fontId="5" numFmtId="0" xfId="0" applyBorder="1" applyFont="1"/>
    <xf borderId="0" fillId="0" fontId="123" numFmtId="0" xfId="0" applyAlignment="1" applyFont="1">
      <alignment shrinkToFit="0" wrapText="0"/>
    </xf>
    <xf borderId="1" fillId="0" fontId="126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shrinkToFit="0" wrapText="1"/>
    </xf>
    <xf borderId="2" fillId="2" fontId="127" numFmtId="49" xfId="0" applyAlignment="1" applyBorder="1" applyFont="1" applyNumberFormat="1">
      <alignment horizontal="right" readingOrder="0"/>
    </xf>
    <xf borderId="1" fillId="0" fontId="13" numFmtId="170" xfId="0" applyAlignment="1" applyBorder="1" applyFont="1" applyNumberFormat="1">
      <alignment readingOrder="0"/>
    </xf>
    <xf borderId="1" fillId="0" fontId="5" numFmtId="0" xfId="0" applyBorder="1" applyFont="1"/>
    <xf borderId="0" fillId="6" fontId="1" numFmtId="0" xfId="0" applyAlignment="1" applyFont="1">
      <alignment horizontal="left" readingOrder="0" shrinkToFit="0" wrapText="1"/>
    </xf>
    <xf borderId="0" fillId="6" fontId="123" numFmtId="0" xfId="0" applyAlignment="1" applyFont="1">
      <alignment readingOrder="0"/>
    </xf>
    <xf borderId="0" fillId="6" fontId="128" numFmtId="0" xfId="0" applyAlignment="1" applyFont="1">
      <alignment readingOrder="0"/>
    </xf>
    <xf borderId="1" fillId="6" fontId="129" numFmtId="0" xfId="0" applyAlignment="1" applyBorder="1" applyFont="1">
      <alignment readingOrder="0" shrinkToFit="0" wrapText="1"/>
    </xf>
    <xf borderId="1" fillId="6" fontId="2" numFmtId="49" xfId="0" applyAlignment="1" applyBorder="1" applyFont="1" applyNumberFormat="1">
      <alignment horizontal="left" readingOrder="0"/>
    </xf>
    <xf borderId="1" fillId="6" fontId="5" numFmtId="10" xfId="0" applyAlignment="1" applyBorder="1" applyFont="1" applyNumberFormat="1">
      <alignment horizontal="left" readingOrder="0"/>
    </xf>
    <xf borderId="1" fillId="6" fontId="2" numFmtId="165" xfId="0" applyAlignment="1" applyBorder="1" applyFont="1" applyNumberFormat="1">
      <alignment horizontal="right" readingOrder="0" vertical="bottom"/>
    </xf>
    <xf borderId="2" fillId="6" fontId="130" numFmtId="49" xfId="0" applyAlignment="1" applyBorder="1" applyFont="1" applyNumberFormat="1">
      <alignment horizontal="right" readingOrder="0" vertical="bottom"/>
    </xf>
    <xf borderId="1" fillId="6" fontId="131" numFmtId="166" xfId="0" applyAlignment="1" applyBorder="1" applyFont="1" applyNumberFormat="1">
      <alignment vertical="bottom"/>
    </xf>
    <xf borderId="1" fillId="6" fontId="2" numFmtId="167" xfId="0" applyAlignment="1" applyBorder="1" applyFont="1" applyNumberFormat="1">
      <alignment horizontal="right" vertical="bottom"/>
    </xf>
    <xf borderId="1" fillId="6" fontId="26" numFmtId="166" xfId="0" applyAlignment="1" applyBorder="1" applyFont="1" applyNumberFormat="1">
      <alignment vertical="bottom"/>
    </xf>
    <xf borderId="1" fillId="6" fontId="26" numFmtId="173" xfId="0" applyAlignment="1" applyBorder="1" applyFont="1" applyNumberFormat="1">
      <alignment vertical="bottom"/>
    </xf>
    <xf borderId="1" fillId="6" fontId="26" numFmtId="0" xfId="0" applyAlignment="1" applyBorder="1" applyFont="1">
      <alignment vertical="bottom"/>
    </xf>
    <xf borderId="1" fillId="6" fontId="26" numFmtId="169" xfId="0" applyAlignment="1" applyBorder="1" applyFont="1" applyNumberFormat="1">
      <alignment vertical="bottom"/>
    </xf>
    <xf borderId="1" fillId="6" fontId="132" numFmtId="166" xfId="0" applyAlignment="1" applyBorder="1" applyFont="1" applyNumberFormat="1">
      <alignment readingOrder="0" vertical="bottom"/>
    </xf>
    <xf borderId="1" fillId="6" fontId="2" numFmtId="167" xfId="0" applyAlignment="1" applyBorder="1" applyFont="1" applyNumberFormat="1">
      <alignment horizontal="right" readingOrder="0" vertical="bottom"/>
    </xf>
    <xf borderId="1" fillId="6" fontId="26" numFmtId="166" xfId="0" applyAlignment="1" applyBorder="1" applyFont="1" applyNumberFormat="1">
      <alignment vertical="bottom"/>
    </xf>
    <xf borderId="1" fillId="6" fontId="26" numFmtId="167" xfId="0" applyAlignment="1" applyBorder="1" applyFont="1" applyNumberFormat="1">
      <alignment vertical="bottom"/>
    </xf>
    <xf borderId="1" fillId="6" fontId="26" numFmtId="165" xfId="0" applyAlignment="1" applyBorder="1" applyFont="1" applyNumberFormat="1">
      <alignment vertical="bottom"/>
    </xf>
    <xf borderId="1" fillId="6" fontId="26" numFmtId="166" xfId="0" applyAlignment="1" applyBorder="1" applyFont="1" applyNumberFormat="1">
      <alignment horizontal="right" readingOrder="0" vertical="bottom"/>
    </xf>
    <xf borderId="2" fillId="6" fontId="2" numFmtId="165" xfId="0" applyAlignment="1" applyBorder="1" applyFont="1" applyNumberFormat="1">
      <alignment horizontal="right" readingOrder="0" vertical="bottom"/>
    </xf>
    <xf borderId="1" fillId="6" fontId="2" numFmtId="166" xfId="0" applyAlignment="1" applyBorder="1" applyFont="1" applyNumberFormat="1">
      <alignment horizontal="left"/>
    </xf>
    <xf borderId="1" fillId="6" fontId="2" numFmtId="167" xfId="0" applyAlignment="1" applyBorder="1" applyFont="1" applyNumberFormat="1">
      <alignment horizontal="left"/>
    </xf>
    <xf borderId="0" fillId="3" fontId="123" numFmtId="0" xfId="0" applyAlignment="1" applyFont="1">
      <alignment readingOrder="0"/>
    </xf>
    <xf borderId="1" fillId="2" fontId="133" numFmtId="49" xfId="0" applyAlignment="1" applyBorder="1" applyFont="1" applyNumberFormat="1">
      <alignment horizontal="right" readingOrder="0" vertical="bottom"/>
    </xf>
    <xf borderId="1" fillId="3" fontId="26" numFmtId="173" xfId="0" applyAlignment="1" applyBorder="1" applyFont="1" applyNumberFormat="1">
      <alignment vertical="bottom"/>
    </xf>
    <xf borderId="1" fillId="3" fontId="134" numFmtId="166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110" numFmtId="0" xfId="0" applyAlignment="1" applyFont="1">
      <alignment horizontal="left" readingOrder="0" shrinkToFit="0" wrapText="1"/>
    </xf>
    <xf borderId="1" fillId="0" fontId="135" numFmtId="0" xfId="0" applyAlignment="1" applyBorder="1" applyFont="1">
      <alignment readingOrder="0" shrinkToFit="0" wrapText="1"/>
    </xf>
    <xf borderId="1" fillId="3" fontId="136" numFmtId="166" xfId="0" applyAlignment="1" applyBorder="1" applyFont="1" applyNumberFormat="1">
      <alignment horizontal="left" readingOrder="0"/>
    </xf>
    <xf borderId="0" fillId="0" fontId="137" numFmtId="0" xfId="0" applyAlignment="1" applyFont="1">
      <alignment readingOrder="0"/>
    </xf>
    <xf borderId="1" fillId="0" fontId="138" numFmtId="0" xfId="0" applyAlignment="1" applyBorder="1" applyFont="1">
      <alignment readingOrder="0"/>
    </xf>
    <xf borderId="1" fillId="3" fontId="2" numFmtId="166" xfId="0" applyAlignment="1" applyBorder="1" applyFont="1" applyNumberFormat="1">
      <alignment horizontal="left" readingOrder="0"/>
    </xf>
    <xf borderId="1" fillId="3" fontId="139" numFmtId="166" xfId="0" applyAlignment="1" applyBorder="1" applyFont="1" applyNumberFormat="1">
      <alignment horizontal="left" readingOrder="0"/>
    </xf>
    <xf borderId="1" fillId="0" fontId="26" numFmtId="167" xfId="0" applyAlignment="1" applyBorder="1" applyFont="1" applyNumberFormat="1">
      <alignment vertical="bottom"/>
    </xf>
    <xf borderId="1" fillId="0" fontId="26" numFmtId="166" xfId="0" applyAlignment="1" applyBorder="1" applyFont="1" applyNumberFormat="1">
      <alignment vertical="bottom"/>
    </xf>
    <xf borderId="1" fillId="0" fontId="26" numFmtId="0" xfId="0" applyAlignment="1" applyBorder="1" applyFont="1">
      <alignment vertical="bottom"/>
    </xf>
    <xf borderId="1" fillId="0" fontId="26" numFmtId="169" xfId="0" applyAlignment="1" applyBorder="1" applyFont="1" applyNumberFormat="1">
      <alignment vertical="bottom"/>
    </xf>
    <xf borderId="2" fillId="0" fontId="2" numFmtId="167" xfId="0" applyAlignment="1" applyBorder="1" applyFont="1" applyNumberFormat="1">
      <alignment horizontal="right" vertical="bottom"/>
    </xf>
    <xf borderId="2" fillId="0" fontId="140" numFmtId="166" xfId="0" applyAlignment="1" applyBorder="1" applyFont="1" applyNumberFormat="1">
      <alignment vertical="bottom"/>
    </xf>
    <xf borderId="2" fillId="0" fontId="26" numFmtId="166" xfId="0" applyAlignment="1" applyBorder="1" applyFont="1" applyNumberFormat="1">
      <alignment vertical="bottom"/>
    </xf>
    <xf borderId="2" fillId="0" fontId="26" numFmtId="165" xfId="0" applyAlignment="1" applyBorder="1" applyFont="1" applyNumberFormat="1">
      <alignment vertical="bottom"/>
    </xf>
    <xf borderId="0" fillId="0" fontId="5" numFmtId="0" xfId="0" applyAlignment="1" applyFont="1">
      <alignment horizontal="left" readingOrder="0" shrinkToFit="0" wrapText="1"/>
    </xf>
    <xf borderId="0" fillId="0" fontId="141" numFmtId="0" xfId="0" applyAlignment="1" applyFont="1">
      <alignment horizontal="left" readingOrder="0" shrinkToFit="0" wrapText="1"/>
    </xf>
    <xf borderId="1" fillId="0" fontId="142" numFmtId="0" xfId="0" applyAlignment="1" applyBorder="1" applyFont="1">
      <alignment horizontal="left" readingOrder="0" shrinkToFit="0" wrapText="1"/>
    </xf>
    <xf borderId="1" fillId="0" fontId="2" numFmtId="10" xfId="0" applyAlignment="1" applyBorder="1" applyFont="1" applyNumberFormat="1">
      <alignment horizontal="left"/>
    </xf>
    <xf borderId="1" fillId="0" fontId="143" numFmtId="170" xfId="0" applyAlignment="1" applyBorder="1" applyFont="1" applyNumberFormat="1">
      <alignment horizontal="left" readingOrder="0"/>
    </xf>
    <xf borderId="2" fillId="0" fontId="144" numFmtId="170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/>
    </xf>
    <xf borderId="0" fillId="3" fontId="2" numFmtId="0" xfId="0" applyAlignment="1" applyFont="1">
      <alignment horizontal="left" readingOrder="0" shrinkToFit="0" wrapText="1"/>
    </xf>
    <xf borderId="1" fillId="5" fontId="26" numFmtId="165" xfId="0" applyAlignment="1" applyBorder="1" applyFont="1" applyNumberFormat="1">
      <alignment horizontal="right" vertical="bottom"/>
    </xf>
    <xf borderId="1" fillId="5" fontId="26" numFmtId="165" xfId="0" applyAlignment="1" applyBorder="1" applyFont="1" applyNumberFormat="1">
      <alignment horizontal="right" readingOrder="0" vertical="bottom"/>
    </xf>
    <xf borderId="2" fillId="3" fontId="26" numFmtId="0" xfId="0" applyAlignment="1" applyBorder="1" applyFont="1">
      <alignment vertical="bottom"/>
    </xf>
    <xf borderId="2" fillId="3" fontId="26" numFmtId="169" xfId="0" applyAlignment="1" applyBorder="1" applyFont="1" applyNumberFormat="1">
      <alignment vertical="bottom"/>
    </xf>
    <xf borderId="0" fillId="3" fontId="145" numFmtId="166" xfId="0" applyAlignment="1" applyFont="1" applyNumberFormat="1">
      <alignment vertical="bottom"/>
    </xf>
    <xf borderId="2" fillId="3" fontId="2" numFmtId="173" xfId="0" applyAlignment="1" applyBorder="1" applyFont="1" applyNumberFormat="1">
      <alignment horizontal="right" vertical="bottom"/>
    </xf>
    <xf borderId="2" fillId="0" fontId="146" numFmtId="168" xfId="0" applyAlignment="1" applyBorder="1" applyFont="1" applyNumberFormat="1">
      <alignment horizontal="right" vertical="bottom"/>
    </xf>
    <xf borderId="4" fillId="3" fontId="2" numFmtId="167" xfId="0" applyAlignment="1" applyBorder="1" applyFont="1" applyNumberFormat="1">
      <alignment horizontal="right" vertical="bottom"/>
    </xf>
    <xf borderId="0" fillId="3" fontId="147" numFmtId="0" xfId="0" applyAlignment="1" applyFont="1">
      <alignment readingOrder="0" shrinkToFit="0" wrapText="1"/>
    </xf>
    <xf borderId="1" fillId="3" fontId="148" numFmtId="0" xfId="0" applyAlignment="1" applyBorder="1" applyFont="1">
      <alignment shrinkToFit="0" wrapText="1"/>
    </xf>
    <xf borderId="8" fillId="2" fontId="2" numFmtId="165" xfId="0" applyAlignment="1" applyBorder="1" applyFont="1" applyNumberFormat="1">
      <alignment horizontal="right" vertical="bottom"/>
    </xf>
    <xf borderId="0" fillId="2" fontId="149" numFmtId="49" xfId="0" applyAlignment="1" applyFont="1" applyNumberFormat="1">
      <alignment horizontal="right" readingOrder="0" vertical="bottom"/>
    </xf>
    <xf borderId="2" fillId="3" fontId="26" numFmtId="167" xfId="0" applyAlignment="1" applyBorder="1" applyFont="1" applyNumberFormat="1">
      <alignment horizontal="right" vertical="bottom"/>
    </xf>
    <xf borderId="2" fillId="3" fontId="150" numFmtId="166" xfId="0" applyAlignment="1" applyBorder="1" applyFont="1" applyNumberFormat="1">
      <alignment horizontal="right" vertical="bottom"/>
    </xf>
    <xf borderId="2" fillId="3" fontId="151" numFmtId="0" xfId="0" applyAlignment="1" applyBorder="1" applyFont="1">
      <alignment vertical="bottom"/>
    </xf>
    <xf borderId="0" fillId="3" fontId="152" numFmtId="0" xfId="0" applyAlignment="1" applyFont="1">
      <alignment horizontal="left" readingOrder="0" shrinkToFit="0" wrapText="1"/>
    </xf>
    <xf borderId="0" fillId="3" fontId="153" numFmtId="0" xfId="0" applyAlignment="1" applyFont="1">
      <alignment readingOrder="0" shrinkToFit="0" wrapText="1"/>
    </xf>
    <xf borderId="1" fillId="3" fontId="154" numFmtId="0" xfId="0" applyAlignment="1" applyBorder="1" applyFont="1">
      <alignment readingOrder="0" shrinkToFit="0" wrapText="1"/>
    </xf>
    <xf borderId="1" fillId="3" fontId="155" numFmtId="166" xfId="0" applyAlignment="1" applyBorder="1" applyFont="1" applyNumberFormat="1">
      <alignment horizontal="left" readingOrder="0"/>
    </xf>
    <xf borderId="1" fillId="3" fontId="2" numFmtId="173" xfId="0" applyAlignment="1" applyBorder="1" applyFont="1" applyNumberFormat="1">
      <alignment horizontal="left" readingOrder="0"/>
    </xf>
    <xf borderId="1" fillId="0" fontId="156" numFmtId="0" xfId="0" applyAlignment="1" applyBorder="1" applyFont="1">
      <alignment readingOrder="0"/>
    </xf>
    <xf borderId="1" fillId="2" fontId="26" numFmtId="165" xfId="0" applyAlignment="1" applyBorder="1" applyFont="1" applyNumberFormat="1">
      <alignment horizontal="right" vertical="bottom"/>
    </xf>
    <xf borderId="1" fillId="2" fontId="157" numFmtId="49" xfId="0" applyAlignment="1" applyBorder="1" applyFont="1" applyNumberFormat="1">
      <alignment horizontal="right" readingOrder="0" vertical="bottom"/>
    </xf>
    <xf borderId="1" fillId="3" fontId="158" numFmtId="166" xfId="0" applyAlignment="1" applyBorder="1" applyFont="1" applyNumberFormat="1">
      <alignment horizontal="right" vertical="bottom"/>
    </xf>
    <xf borderId="6" fillId="2" fontId="26" numFmtId="165" xfId="0" applyAlignment="1" applyBorder="1" applyFont="1" applyNumberFormat="1">
      <alignment horizontal="right" vertical="bottom"/>
    </xf>
    <xf borderId="0" fillId="0" fontId="26" numFmtId="166" xfId="0" applyAlignment="1" applyFont="1" applyNumberFormat="1">
      <alignment vertical="bottom"/>
    </xf>
    <xf borderId="1" fillId="3" fontId="2" numFmtId="170" xfId="0" applyAlignment="1" applyBorder="1" applyFont="1" applyNumberFormat="1">
      <alignment horizontal="left" readingOrder="0"/>
    </xf>
    <xf borderId="1" fillId="3" fontId="2" numFmtId="169" xfId="0" applyAlignment="1" applyBorder="1" applyFont="1" applyNumberFormat="1">
      <alignment horizontal="left" readingOrder="0"/>
    </xf>
    <xf borderId="1" fillId="3" fontId="159" numFmtId="166" xfId="0" applyAlignment="1" applyBorder="1" applyFont="1" applyNumberFormat="1">
      <alignment readingOrder="0" shrinkToFit="0" wrapText="0"/>
    </xf>
    <xf borderId="1" fillId="6" fontId="13" numFmtId="0" xfId="0" applyAlignment="1" applyBorder="1" applyFont="1">
      <alignment horizontal="left" readingOrder="0"/>
    </xf>
    <xf borderId="0" fillId="6" fontId="9" numFmtId="0" xfId="0" applyFont="1"/>
    <xf borderId="1" fillId="6" fontId="160" numFmtId="49" xfId="0" applyAlignment="1" applyBorder="1" applyFont="1" applyNumberFormat="1">
      <alignment horizontal="right" readingOrder="0"/>
    </xf>
    <xf borderId="1" fillId="6" fontId="161" numFmtId="168" xfId="0" applyAlignment="1" applyBorder="1" applyFont="1" applyNumberFormat="1">
      <alignment readingOrder="0"/>
    </xf>
    <xf borderId="2" fillId="6" fontId="5" numFmtId="167" xfId="0" applyAlignment="1" applyBorder="1" applyFont="1" applyNumberFormat="1">
      <alignment horizontal="left" readingOrder="0"/>
    </xf>
    <xf borderId="0" fillId="3" fontId="5" numFmtId="0" xfId="0" applyAlignment="1" applyFont="1">
      <alignment horizontal="left" shrinkToFit="0" wrapText="1"/>
    </xf>
    <xf borderId="0" fillId="3" fontId="162" numFmtId="0" xfId="0" applyAlignment="1" applyFont="1">
      <alignment horizontal="left" readingOrder="0"/>
    </xf>
    <xf borderId="1" fillId="3" fontId="2" numFmtId="0" xfId="0" applyBorder="1" applyFont="1"/>
    <xf borderId="2" fillId="2" fontId="5" numFmtId="49" xfId="0" applyAlignment="1" applyBorder="1" applyFont="1" applyNumberFormat="1">
      <alignment horizontal="right" readingOrder="0"/>
    </xf>
    <xf borderId="2" fillId="0" fontId="163" numFmtId="170" xfId="0" applyAlignment="1" applyBorder="1" applyFont="1" applyNumberFormat="1">
      <alignment horizontal="left" readingOrder="0"/>
    </xf>
    <xf borderId="2" fillId="0" fontId="13" numFmtId="170" xfId="0" applyAlignment="1" applyBorder="1" applyFont="1" applyNumberFormat="1">
      <alignment readingOrder="0"/>
    </xf>
    <xf borderId="2" fillId="3" fontId="164" numFmtId="166" xfId="0" applyAlignment="1" applyBorder="1" applyFont="1" applyNumberFormat="1">
      <alignment horizontal="left" readingOrder="0"/>
    </xf>
    <xf borderId="0" fillId="0" fontId="110" numFmtId="0" xfId="0" applyAlignment="1" applyFont="1">
      <alignment horizontal="left" shrinkToFit="0" wrapText="1"/>
    </xf>
    <xf borderId="8" fillId="5" fontId="5" numFmtId="165" xfId="0" applyAlignment="1" applyBorder="1" applyFont="1" applyNumberFormat="1">
      <alignment horizontal="right" readingOrder="0"/>
    </xf>
    <xf borderId="0" fillId="5" fontId="165" numFmtId="49" xfId="0" applyAlignment="1" applyFont="1" applyNumberFormat="1">
      <alignment horizontal="right" readingOrder="0"/>
    </xf>
    <xf borderId="1" fillId="0" fontId="2" numFmtId="170" xfId="0" applyAlignment="1" applyBorder="1" applyFont="1" applyNumberFormat="1">
      <alignment horizontal="left" readingOrder="0"/>
    </xf>
    <xf borderId="1" fillId="0" fontId="13" numFmtId="164" xfId="0" applyBorder="1" applyFont="1" applyNumberFormat="1"/>
    <xf borderId="0" fillId="0" fontId="4" numFmtId="174" xfId="0" applyAlignment="1" applyFont="1" applyNumberFormat="1">
      <alignment readingOrder="0"/>
    </xf>
    <xf borderId="1" fillId="0" fontId="166" numFmtId="166" xfId="0" applyAlignment="1" applyBorder="1" applyFont="1" applyNumberFormat="1">
      <alignment horizontal="left"/>
    </xf>
    <xf borderId="0" fillId="3" fontId="5" numFmtId="167" xfId="0" applyAlignment="1" applyFont="1" applyNumberFormat="1">
      <alignment horizontal="left"/>
    </xf>
    <xf borderId="1" fillId="5" fontId="26" numFmtId="49" xfId="0" applyAlignment="1" applyBorder="1" applyFont="1" applyNumberFormat="1">
      <alignment horizontal="right" vertical="bottom"/>
    </xf>
    <xf borderId="2" fillId="3" fontId="167" numFmtId="166" xfId="0" applyAlignment="1" applyBorder="1" applyFont="1" applyNumberFormat="1">
      <alignment vertical="bottom"/>
    </xf>
    <xf borderId="2" fillId="3" fontId="2" numFmtId="167" xfId="0" applyAlignment="1" applyBorder="1" applyFont="1" applyNumberFormat="1">
      <alignment horizontal="right" readingOrder="0" vertical="bottom"/>
    </xf>
    <xf borderId="7" fillId="0" fontId="26" numFmtId="166" xfId="0" applyAlignment="1" applyBorder="1" applyFont="1" applyNumberFormat="1">
      <alignment vertical="bottom"/>
    </xf>
    <xf borderId="7" fillId="0" fontId="168" numFmtId="170" xfId="0" applyAlignment="1" applyBorder="1" applyFont="1" applyNumberFormat="1">
      <alignment horizontal="right" vertical="bottom"/>
    </xf>
    <xf borderId="0" fillId="3" fontId="13" numFmtId="0" xfId="0" applyAlignment="1" applyFont="1">
      <alignment readingOrder="0" shrinkToFit="0" wrapText="1"/>
    </xf>
    <xf borderId="0" fillId="0" fontId="17" numFmtId="0" xfId="0" applyFont="1"/>
    <xf borderId="1" fillId="3" fontId="10" numFmtId="0" xfId="0" applyBorder="1" applyFont="1"/>
    <xf borderId="3" fillId="3" fontId="5" numFmtId="166" xfId="0" applyAlignment="1" applyBorder="1" applyFont="1" applyNumberFormat="1">
      <alignment horizontal="left"/>
    </xf>
    <xf borderId="4" fillId="3" fontId="5" numFmtId="167" xfId="0" applyAlignment="1" applyBorder="1" applyFont="1" applyNumberFormat="1">
      <alignment horizontal="left"/>
    </xf>
    <xf borderId="4" fillId="3" fontId="169" numFmtId="166" xfId="0" applyAlignment="1" applyBorder="1" applyFont="1" applyNumberFormat="1">
      <alignment horizontal="left" readingOrder="0" shrinkToFit="0" wrapText="0"/>
    </xf>
    <xf borderId="4" fillId="3" fontId="5" numFmtId="167" xfId="0" applyAlignment="1" applyBorder="1" applyFont="1" applyNumberFormat="1">
      <alignment horizontal="left" readingOrder="0"/>
    </xf>
    <xf borderId="4" fillId="3" fontId="5" numFmtId="169" xfId="0" applyAlignment="1" applyBorder="1" applyFont="1" applyNumberFormat="1">
      <alignment horizontal="left"/>
    </xf>
    <xf borderId="4" fillId="3" fontId="170" numFmtId="166" xfId="0" applyAlignment="1" applyBorder="1" applyFont="1" applyNumberFormat="1">
      <alignment horizontal="left"/>
    </xf>
    <xf borderId="4" fillId="3" fontId="5" numFmtId="166" xfId="0" applyAlignment="1" applyBorder="1" applyFont="1" applyNumberFormat="1">
      <alignment horizontal="left"/>
    </xf>
    <xf borderId="4" fillId="3" fontId="5" numFmtId="165" xfId="0" applyAlignment="1" applyBorder="1" applyFont="1" applyNumberFormat="1">
      <alignment horizontal="left"/>
    </xf>
    <xf borderId="0" fillId="3" fontId="5" numFmtId="166" xfId="0" applyAlignment="1" applyFont="1" applyNumberFormat="1">
      <alignment horizontal="left"/>
    </xf>
    <xf borderId="1" fillId="2" fontId="26" numFmtId="165" xfId="0" applyAlignment="1" applyBorder="1" applyFont="1" applyNumberFormat="1">
      <alignment horizontal="right" readingOrder="0" vertical="bottom"/>
    </xf>
    <xf borderId="2" fillId="2" fontId="171" numFmtId="49" xfId="0" applyAlignment="1" applyBorder="1" applyFont="1" applyNumberFormat="1">
      <alignment horizontal="right" readingOrder="0" vertical="bottom"/>
    </xf>
    <xf borderId="3" fillId="3" fontId="26" numFmtId="166" xfId="0" applyAlignment="1" applyBorder="1" applyFont="1" applyNumberFormat="1">
      <alignment vertical="bottom"/>
    </xf>
    <xf borderId="4" fillId="3" fontId="26" numFmtId="167" xfId="0" applyAlignment="1" applyBorder="1" applyFont="1" applyNumberFormat="1">
      <alignment readingOrder="0" vertical="bottom"/>
    </xf>
    <xf borderId="4" fillId="3" fontId="172" numFmtId="166" xfId="0" applyAlignment="1" applyBorder="1" applyFont="1" applyNumberFormat="1">
      <alignment readingOrder="0" vertical="bottom"/>
    </xf>
    <xf borderId="4" fillId="3" fontId="2" numFmtId="167" xfId="0" applyAlignment="1" applyBorder="1" applyFont="1" applyNumberFormat="1">
      <alignment horizontal="right" readingOrder="0" vertical="bottom"/>
    </xf>
    <xf borderId="4" fillId="3" fontId="26" numFmtId="0" xfId="0" applyAlignment="1" applyBorder="1" applyFont="1">
      <alignment vertical="bottom"/>
    </xf>
    <xf borderId="4" fillId="3" fontId="26" numFmtId="169" xfId="0" applyAlignment="1" applyBorder="1" applyFont="1" applyNumberFormat="1">
      <alignment vertical="bottom"/>
    </xf>
    <xf borderId="4" fillId="3" fontId="173" numFmtId="166" xfId="0" applyAlignment="1" applyBorder="1" applyFont="1" applyNumberFormat="1">
      <alignment readingOrder="0" vertical="bottom"/>
    </xf>
    <xf borderId="4" fillId="3" fontId="174" numFmtId="166" xfId="0" applyAlignment="1" applyBorder="1" applyFont="1" applyNumberFormat="1">
      <alignment readingOrder="0" vertical="bottom"/>
    </xf>
    <xf borderId="4" fillId="3" fontId="26" numFmtId="166" xfId="0" applyAlignment="1" applyBorder="1" applyFont="1" applyNumberFormat="1">
      <alignment vertical="bottom"/>
    </xf>
    <xf borderId="4" fillId="3" fontId="26" numFmtId="167" xfId="0" applyAlignment="1" applyBorder="1" applyFont="1" applyNumberFormat="1">
      <alignment vertical="bottom"/>
    </xf>
    <xf borderId="4" fillId="3" fontId="26" numFmtId="165" xfId="0" applyAlignment="1" applyBorder="1" applyFont="1" applyNumberFormat="1">
      <alignment vertical="bottom"/>
    </xf>
    <xf borderId="0" fillId="0" fontId="175" numFmtId="166" xfId="0" applyAlignment="1" applyFont="1" applyNumberFormat="1">
      <alignment readingOrder="0" vertical="bottom"/>
    </xf>
    <xf borderId="0" fillId="0" fontId="176" numFmtId="168" xfId="0" applyAlignment="1" applyFont="1" applyNumberFormat="1">
      <alignment horizontal="right" readingOrder="0" vertical="bottom"/>
    </xf>
    <xf borderId="4" fillId="3" fontId="177" numFmtId="166" xfId="0" applyAlignment="1" applyBorder="1" applyFont="1" applyNumberFormat="1">
      <alignment vertical="bottom"/>
    </xf>
    <xf borderId="4" fillId="3" fontId="178" numFmtId="166" xfId="0" applyAlignment="1" applyBorder="1" applyFont="1" applyNumberFormat="1">
      <alignment vertical="bottom"/>
    </xf>
    <xf borderId="0" fillId="0" fontId="179" numFmtId="168" xfId="0" applyAlignment="1" applyFont="1" applyNumberFormat="1">
      <alignment horizontal="right" vertical="bottom"/>
    </xf>
    <xf borderId="0" fillId="3" fontId="180" numFmtId="0" xfId="0" applyAlignment="1" applyFont="1">
      <alignment readingOrder="0" shrinkToFit="0" wrapText="1"/>
    </xf>
    <xf borderId="1" fillId="3" fontId="13" numFmtId="0" xfId="0" applyAlignment="1" applyBorder="1" applyFont="1">
      <alignment readingOrder="0" shrinkToFit="0" wrapText="1"/>
    </xf>
    <xf borderId="1" fillId="3" fontId="13" numFmtId="49" xfId="0" applyAlignment="1" applyBorder="1" applyFont="1" applyNumberFormat="1">
      <alignment readingOrder="0"/>
    </xf>
    <xf borderId="0" fillId="3" fontId="181" numFmtId="166" xfId="0" applyAlignment="1" applyFont="1" applyNumberFormat="1">
      <alignment horizontal="right" vertical="bottom"/>
    </xf>
    <xf borderId="4" fillId="3" fontId="182" numFmtId="165" xfId="0" applyAlignment="1" applyBorder="1" applyFont="1" applyNumberFormat="1">
      <alignment horizontal="right" vertical="bottom"/>
    </xf>
    <xf borderId="3" fillId="3" fontId="2" numFmtId="166" xfId="0" applyAlignment="1" applyBorder="1" applyFont="1" applyNumberFormat="1">
      <alignment horizontal="left"/>
    </xf>
    <xf borderId="4" fillId="3" fontId="2" numFmtId="167" xfId="0" applyAlignment="1" applyBorder="1" applyFont="1" applyNumberFormat="1">
      <alignment horizontal="left"/>
    </xf>
    <xf borderId="4" fillId="3" fontId="183" numFmtId="166" xfId="0" applyBorder="1" applyFont="1" applyNumberFormat="1"/>
    <xf borderId="4" fillId="3" fontId="2" numFmtId="167" xfId="0" applyAlignment="1" applyBorder="1" applyFont="1" applyNumberFormat="1">
      <alignment horizontal="left" readingOrder="0"/>
    </xf>
    <xf borderId="4" fillId="3" fontId="2" numFmtId="14" xfId="0" applyAlignment="1" applyBorder="1" applyFont="1" applyNumberFormat="1">
      <alignment horizontal="left"/>
    </xf>
    <xf borderId="4" fillId="3" fontId="2" numFmtId="169" xfId="0" applyAlignment="1" applyBorder="1" applyFont="1" applyNumberFormat="1">
      <alignment horizontal="left"/>
    </xf>
    <xf borderId="4" fillId="3" fontId="184" numFmtId="166" xfId="0" applyAlignment="1" applyBorder="1" applyFont="1" applyNumberFormat="1">
      <alignment horizontal="right" vertical="bottom"/>
    </xf>
    <xf borderId="4" fillId="3" fontId="185" numFmtId="166" xfId="0" applyAlignment="1" applyBorder="1" applyFont="1" applyNumberFormat="1">
      <alignment horizontal="left"/>
    </xf>
    <xf borderId="4" fillId="3" fontId="2" numFmtId="166" xfId="0" applyAlignment="1" applyBorder="1" applyFont="1" applyNumberFormat="1">
      <alignment horizontal="left"/>
    </xf>
    <xf borderId="4" fillId="3" fontId="2" numFmtId="165" xfId="0" applyAlignment="1" applyBorder="1" applyFont="1" applyNumberFormat="1">
      <alignment horizontal="left"/>
    </xf>
    <xf borderId="0" fillId="3" fontId="186" numFmtId="166" xfId="0" applyAlignment="1" applyFont="1" applyNumberFormat="1">
      <alignment horizontal="left" readingOrder="0"/>
    </xf>
    <xf borderId="4" fillId="3" fontId="2" numFmtId="165" xfId="0" applyAlignment="1" applyBorder="1" applyFont="1" applyNumberFormat="1">
      <alignment horizontal="left" readingOrder="0"/>
    </xf>
    <xf borderId="0" fillId="3" fontId="5" numFmtId="49" xfId="0" applyAlignment="1" applyFont="1" applyNumberFormat="1">
      <alignment horizontal="left"/>
    </xf>
    <xf borderId="4" fillId="3" fontId="26" numFmtId="166" xfId="0" applyAlignment="1" applyBorder="1" applyFont="1" applyNumberFormat="1">
      <alignment vertical="bottom"/>
    </xf>
    <xf borderId="4" fillId="3" fontId="26" numFmtId="167" xfId="0" applyAlignment="1" applyBorder="1" applyFont="1" applyNumberFormat="1">
      <alignment horizontal="right" vertical="bottom"/>
    </xf>
    <xf borderId="4" fillId="3" fontId="187" numFmtId="166" xfId="0" applyAlignment="1" applyBorder="1" applyFont="1" applyNumberFormat="1">
      <alignment vertical="top"/>
    </xf>
    <xf borderId="4" fillId="3" fontId="60" numFmtId="167" xfId="0" applyAlignment="1" applyBorder="1" applyFont="1" applyNumberFormat="1">
      <alignment horizontal="right" vertical="top"/>
    </xf>
    <xf borderId="0" fillId="3" fontId="2" numFmtId="49" xfId="0" applyAlignment="1" applyFont="1" applyNumberFormat="1">
      <alignment horizontal="left"/>
    </xf>
    <xf borderId="1" fillId="2" fontId="188" numFmtId="165" xfId="0" applyAlignment="1" applyBorder="1" applyFont="1" applyNumberFormat="1">
      <alignment horizontal="right" readingOrder="0" vertical="bottom"/>
    </xf>
    <xf borderId="4" fillId="3" fontId="189" numFmtId="166" xfId="0" applyAlignment="1" applyBorder="1" applyFont="1" applyNumberFormat="1">
      <alignment readingOrder="0"/>
    </xf>
    <xf borderId="4" fillId="3" fontId="2" numFmtId="0" xfId="0" applyAlignment="1" applyBorder="1" applyFont="1">
      <alignment horizontal="left"/>
    </xf>
    <xf borderId="4" fillId="3" fontId="190" numFmtId="166" xfId="0" applyAlignment="1" applyBorder="1" applyFont="1" applyNumberFormat="1">
      <alignment horizontal="left" readingOrder="0" shrinkToFit="0" wrapText="0"/>
    </xf>
    <xf borderId="2" fillId="2" fontId="2" numFmtId="49" xfId="0" applyAlignment="1" applyBorder="1" applyFont="1" applyNumberFormat="1">
      <alignment horizontal="right" readingOrder="0" vertical="bottom"/>
    </xf>
    <xf borderId="3" fillId="3" fontId="191" numFmtId="166" xfId="0" applyAlignment="1" applyBorder="1" applyFont="1" applyNumberFormat="1">
      <alignment horizontal="left" readingOrder="0"/>
    </xf>
    <xf borderId="4" fillId="3" fontId="5" numFmtId="168" xfId="0" applyAlignment="1" applyBorder="1" applyFont="1" applyNumberFormat="1">
      <alignment horizontal="left" readingOrder="0"/>
    </xf>
    <xf borderId="4" fillId="3" fontId="192" numFmtId="166" xfId="0" applyAlignment="1" applyBorder="1" applyFont="1" applyNumberFormat="1">
      <alignment readingOrder="0"/>
    </xf>
    <xf borderId="4" fillId="3" fontId="5" numFmtId="14" xfId="0" applyAlignment="1" applyBorder="1" applyFont="1" applyNumberFormat="1">
      <alignment horizontal="left"/>
    </xf>
    <xf borderId="4" fillId="3" fontId="193" numFmtId="166" xfId="0" applyAlignment="1" applyBorder="1" applyFont="1" applyNumberFormat="1">
      <alignment horizontal="left" readingOrder="0"/>
    </xf>
    <xf borderId="4" fillId="3" fontId="194" numFmtId="166" xfId="0" applyAlignment="1" applyBorder="1" applyFont="1" applyNumberFormat="1">
      <alignment horizontal="left" readingOrder="0"/>
    </xf>
    <xf borderId="4" fillId="3" fontId="2" numFmtId="165" xfId="0" applyAlignment="1" applyBorder="1" applyFont="1" applyNumberFormat="1">
      <alignment horizontal="right" vertical="bottom"/>
    </xf>
    <xf borderId="0" fillId="3" fontId="5" numFmtId="49" xfId="0" applyAlignment="1" applyFont="1" applyNumberFormat="1">
      <alignment horizontal="left" readingOrder="0"/>
    </xf>
    <xf borderId="9" fillId="5" fontId="5" numFmtId="165" xfId="0" applyAlignment="1" applyBorder="1" applyFont="1" applyNumberFormat="1">
      <alignment horizontal="right" readingOrder="0"/>
    </xf>
    <xf borderId="10" fillId="5" fontId="5" numFmtId="49" xfId="0" applyAlignment="1" applyBorder="1" applyFont="1" applyNumberFormat="1">
      <alignment horizontal="right" readingOrder="0"/>
    </xf>
    <xf borderId="4" fillId="3" fontId="195" numFmtId="166" xfId="0" applyBorder="1" applyFont="1" applyNumberFormat="1"/>
    <xf borderId="4" fillId="0" fontId="13" numFmtId="0" xfId="0" applyBorder="1" applyFont="1"/>
    <xf borderId="0" fillId="3" fontId="196" numFmtId="170" xfId="0" applyAlignment="1" applyFont="1" applyNumberFormat="1">
      <alignment horizontal="left" readingOrder="0"/>
    </xf>
    <xf borderId="4" fillId="3" fontId="5" numFmtId="169" xfId="0" applyAlignment="1" applyBorder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3" fontId="197" numFmtId="0" xfId="0" applyAlignment="1" applyFont="1">
      <alignment horizontal="left" readingOrder="0" shrinkToFit="0" wrapText="1"/>
    </xf>
    <xf borderId="1" fillId="2" fontId="26" numFmtId="49" xfId="0" applyAlignment="1" applyBorder="1" applyFont="1" applyNumberFormat="1">
      <alignment horizontal="right" vertical="bottom"/>
    </xf>
    <xf borderId="4" fillId="3" fontId="198" numFmtId="166" xfId="0" applyAlignment="1" applyBorder="1" applyFont="1" applyNumberFormat="1">
      <alignment horizontal="right" vertical="bottom"/>
    </xf>
    <xf borderId="4" fillId="3" fontId="199" numFmtId="166" xfId="0" applyAlignment="1" applyBorder="1" applyFont="1" applyNumberFormat="1">
      <alignment horizontal="right" vertical="bottom"/>
    </xf>
    <xf borderId="0" fillId="0" fontId="200" numFmtId="170" xfId="0" applyAlignment="1" applyFont="1" applyNumberFormat="1">
      <alignment horizontal="right" vertical="bottom"/>
    </xf>
    <xf borderId="0" fillId="0" fontId="201" numFmtId="0" xfId="0" applyAlignment="1" applyFont="1">
      <alignment readingOrder="0"/>
    </xf>
    <xf borderId="1" fillId="0" fontId="202" numFmtId="0" xfId="0" applyAlignment="1" applyBorder="1" applyFont="1">
      <alignment readingOrder="0" shrinkToFit="0" wrapText="1"/>
    </xf>
    <xf borderId="0" fillId="3" fontId="203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1" fillId="2" fontId="2" numFmtId="49" xfId="0" applyAlignment="1" applyBorder="1" applyFont="1" applyNumberFormat="1">
      <alignment horizontal="right" readingOrder="0" vertical="bottom"/>
    </xf>
    <xf borderId="3" fillId="0" fontId="26" numFmtId="166" xfId="0" applyAlignment="1" applyBorder="1" applyFont="1" applyNumberFormat="1">
      <alignment vertical="bottom"/>
    </xf>
    <xf borderId="4" fillId="0" fontId="26" numFmtId="167" xfId="0" applyAlignment="1" applyBorder="1" applyFont="1" applyNumberFormat="1">
      <alignment vertical="bottom"/>
    </xf>
    <xf borderId="4" fillId="0" fontId="26" numFmtId="166" xfId="0" applyAlignment="1" applyBorder="1" applyFont="1" applyNumberFormat="1">
      <alignment vertical="bottom"/>
    </xf>
    <xf borderId="0" fillId="0" fontId="26" numFmtId="0" xfId="0" applyAlignment="1" applyFont="1">
      <alignment vertical="bottom"/>
    </xf>
    <xf borderId="4" fillId="0" fontId="26" numFmtId="169" xfId="0" applyAlignment="1" applyBorder="1" applyFont="1" applyNumberFormat="1">
      <alignment vertical="bottom"/>
    </xf>
    <xf borderId="4" fillId="0" fontId="26" numFmtId="166" xfId="0" applyAlignment="1" applyBorder="1" applyFont="1" applyNumberFormat="1">
      <alignment vertical="bottom"/>
    </xf>
    <xf borderId="4" fillId="0" fontId="204" numFmtId="166" xfId="0" applyAlignment="1" applyBorder="1" applyFont="1" applyNumberFormat="1">
      <alignment vertical="bottom"/>
    </xf>
    <xf borderId="4" fillId="0" fontId="2" numFmtId="167" xfId="0" applyAlignment="1" applyBorder="1" applyFont="1" applyNumberFormat="1">
      <alignment horizontal="right" vertical="bottom"/>
    </xf>
    <xf borderId="0" fillId="0" fontId="205" numFmtId="166" xfId="0" applyAlignment="1" applyFont="1" applyNumberFormat="1">
      <alignment vertical="bottom"/>
    </xf>
    <xf borderId="4" fillId="0" fontId="26" numFmtId="165" xfId="0" applyAlignment="1" applyBorder="1" applyFont="1" applyNumberFormat="1">
      <alignment vertical="bottom"/>
    </xf>
    <xf borderId="0" fillId="0" fontId="206" numFmtId="166" xfId="0" applyAlignment="1" applyFont="1" applyNumberFormat="1">
      <alignment horizontal="right" vertical="bottom"/>
    </xf>
    <xf borderId="4" fillId="0" fontId="207" numFmtId="165" xfId="0" applyAlignment="1" applyBorder="1" applyFont="1" applyNumberFormat="1">
      <alignment horizontal="right" vertical="bottom"/>
    </xf>
    <xf borderId="3" fillId="3" fontId="5" numFmtId="166" xfId="0" applyAlignment="1" applyBorder="1" applyFont="1" applyNumberFormat="1">
      <alignment horizontal="left" readingOrder="0"/>
    </xf>
    <xf borderId="4" fillId="0" fontId="208" numFmtId="170" xfId="0" applyAlignment="1" applyBorder="1" applyFont="1" applyNumberFormat="1">
      <alignment horizontal="right" vertical="bottom"/>
    </xf>
    <xf borderId="4" fillId="3" fontId="26" numFmtId="169" xfId="0" applyAlignment="1" applyBorder="1" applyFont="1" applyNumberFormat="1">
      <alignment horizontal="right" vertical="bottom"/>
    </xf>
    <xf borderId="4" fillId="3" fontId="5" numFmtId="173" xfId="0" applyAlignment="1" applyBorder="1" applyFont="1" applyNumberFormat="1">
      <alignment horizontal="left" readingOrder="0"/>
    </xf>
    <xf borderId="4" fillId="3" fontId="209" numFmtId="166" xfId="0" applyAlignment="1" applyBorder="1" applyFont="1" applyNumberFormat="1">
      <alignment horizontal="right" vertical="bottom"/>
    </xf>
    <xf borderId="1" fillId="3" fontId="210" numFmtId="0" xfId="0" applyAlignment="1" applyBorder="1" applyFont="1">
      <alignment horizontal="left" readingOrder="0"/>
    </xf>
    <xf borderId="1" fillId="5" fontId="26" numFmtId="49" xfId="0" applyAlignment="1" applyBorder="1" applyFont="1" applyNumberFormat="1">
      <alignment horizontal="right" readingOrder="0" vertical="bottom"/>
    </xf>
    <xf borderId="4" fillId="3" fontId="2" numFmtId="166" xfId="0" applyAlignment="1" applyBorder="1" applyFont="1" applyNumberFormat="1">
      <alignment horizontal="right" vertical="bottom"/>
    </xf>
    <xf borderId="1" fillId="3" fontId="211" numFmtId="0" xfId="0" applyAlignment="1" applyBorder="1" applyFont="1">
      <alignment horizontal="left" readingOrder="0" shrinkToFit="0" wrapText="1"/>
    </xf>
    <xf borderId="6" fillId="2" fontId="212" numFmtId="165" xfId="0" applyAlignment="1" applyBorder="1" applyFont="1" applyNumberFormat="1">
      <alignment horizontal="right" readingOrder="0" vertical="bottom"/>
    </xf>
    <xf borderId="4" fillId="3" fontId="10" numFmtId="166" xfId="0" applyBorder="1" applyFont="1" applyNumberFormat="1"/>
    <xf borderId="4" fillId="3" fontId="5" numFmtId="0" xfId="0" applyAlignment="1" applyBorder="1" applyFont="1">
      <alignment horizontal="left"/>
    </xf>
    <xf borderId="1" fillId="5" fontId="2" numFmtId="165" xfId="0" applyAlignment="1" applyBorder="1" applyFont="1" applyNumberFormat="1">
      <alignment horizontal="right" vertical="bottom"/>
    </xf>
    <xf borderId="3" fillId="0" fontId="2" numFmtId="166" xfId="0" applyAlignment="1" applyBorder="1" applyFont="1" applyNumberFormat="1">
      <alignment horizontal="left"/>
    </xf>
    <xf borderId="4" fillId="0" fontId="2" numFmtId="167" xfId="0" applyAlignment="1" applyBorder="1" applyFont="1" applyNumberFormat="1">
      <alignment horizontal="left"/>
    </xf>
    <xf borderId="4" fillId="0" fontId="213" numFmtId="166" xfId="0" applyBorder="1" applyFont="1" applyNumberFormat="1"/>
    <xf borderId="4" fillId="0" fontId="2" numFmtId="167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/>
    </xf>
    <xf borderId="4" fillId="0" fontId="2" numFmtId="169" xfId="0" applyAlignment="1" applyBorder="1" applyFont="1" applyNumberFormat="1">
      <alignment horizontal="left"/>
    </xf>
    <xf borderId="4" fillId="0" fontId="214" numFmtId="166" xfId="0" applyAlignment="1" applyBorder="1" applyFont="1" applyNumberFormat="1">
      <alignment horizontal="left"/>
    </xf>
    <xf borderId="4" fillId="3" fontId="70" numFmtId="167" xfId="0" applyAlignment="1" applyBorder="1" applyFont="1" applyNumberFormat="1">
      <alignment readingOrder="0"/>
    </xf>
    <xf borderId="4" fillId="0" fontId="215" numFmtId="166" xfId="0" applyAlignment="1" applyBorder="1" applyFont="1" applyNumberFormat="1">
      <alignment horizontal="left" readingOrder="0"/>
    </xf>
    <xf borderId="4" fillId="0" fontId="2" numFmtId="166" xfId="0" applyAlignment="1" applyBorder="1" applyFont="1" applyNumberFormat="1">
      <alignment horizontal="left"/>
    </xf>
    <xf borderId="4" fillId="0" fontId="2" numFmtId="165" xfId="0" applyAlignment="1" applyBorder="1" applyFont="1" applyNumberFormat="1">
      <alignment horizontal="left"/>
    </xf>
    <xf borderId="4" fillId="0" fontId="26" numFmtId="165" xfId="0" applyAlignment="1" applyBorder="1" applyFont="1" applyNumberFormat="1">
      <alignment horizontal="right" vertical="bottom"/>
    </xf>
    <xf borderId="0" fillId="7" fontId="2" numFmtId="0" xfId="0" applyAlignment="1" applyFill="1" applyFont="1">
      <alignment horizontal="left"/>
    </xf>
    <xf borderId="1" fillId="3" fontId="216" numFmtId="0" xfId="0" applyAlignment="1" applyBorder="1" applyFont="1">
      <alignment readingOrder="0"/>
    </xf>
    <xf borderId="1" fillId="5" fontId="217" numFmtId="49" xfId="0" applyAlignment="1" applyBorder="1" applyFont="1" applyNumberFormat="1">
      <alignment horizontal="right" readingOrder="0" vertical="bottom"/>
    </xf>
    <xf borderId="3" fillId="0" fontId="13" numFmtId="0" xfId="0" applyBorder="1" applyFont="1"/>
    <xf borderId="4" fillId="0" fontId="218" numFmtId="164" xfId="0" applyAlignment="1" applyBorder="1" applyFont="1" applyNumberFormat="1">
      <alignment horizontal="left" readingOrder="0"/>
    </xf>
    <xf borderId="4" fillId="0" fontId="219" numFmtId="170" xfId="0" applyAlignment="1" applyBorder="1" applyFont="1" applyNumberFormat="1">
      <alignment horizontal="left" readingOrder="0"/>
    </xf>
    <xf borderId="4" fillId="0" fontId="2" numFmtId="14" xfId="0" applyAlignment="1" applyBorder="1" applyFont="1" applyNumberFormat="1">
      <alignment horizontal="left"/>
    </xf>
    <xf borderId="0" fillId="0" fontId="220" numFmtId="170" xfId="0" applyAlignment="1" applyFont="1" applyNumberFormat="1">
      <alignment horizontal="left" readingOrder="0"/>
    </xf>
    <xf borderId="4" fillId="0" fontId="2" numFmtId="165" xfId="0" applyAlignment="1" applyBorder="1" applyFont="1" applyNumberFormat="1">
      <alignment horizontal="left" readingOrder="0"/>
    </xf>
    <xf borderId="0" fillId="0" fontId="4" numFmtId="0" xfId="0" applyFont="1"/>
    <xf borderId="0" fillId="0" fontId="13" numFmtId="0" xfId="0" applyFont="1"/>
    <xf borderId="0" fillId="0" fontId="221" numFmtId="0" xfId="0" applyAlignment="1" applyFont="1">
      <alignment horizontal="center" readingOrder="0"/>
    </xf>
    <xf borderId="1" fillId="0" fontId="222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0" fontId="2" numFmtId="49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left" readingOrder="0"/>
    </xf>
    <xf borderId="4" fillId="2" fontId="2" numFmtId="165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left"/>
    </xf>
    <xf borderId="4" fillId="0" fontId="13" numFmtId="164" xfId="0" applyBorder="1" applyFont="1" applyNumberFormat="1"/>
    <xf borderId="1" fillId="2" fontId="223" numFmtId="0" xfId="0" applyAlignment="1" applyBorder="1" applyFont="1">
      <alignment horizontal="right" readingOrder="0" vertical="bottom"/>
    </xf>
    <xf borderId="4" fillId="3" fontId="224" numFmtId="166" xfId="0" applyBorder="1" applyFont="1" applyNumberFormat="1"/>
    <xf borderId="4" fillId="3" fontId="2" numFmtId="166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4" fillId="0" fontId="225" numFmtId="166" xfId="0" applyAlignment="1" applyBorder="1" applyFont="1" applyNumberFormat="1">
      <alignment horizontal="right" vertical="bottom"/>
    </xf>
    <xf borderId="4" fillId="0" fontId="26" numFmtId="0" xfId="0" applyAlignment="1" applyBorder="1" applyFont="1">
      <alignment vertical="bottom"/>
    </xf>
    <xf borderId="4" fillId="0" fontId="226" numFmtId="166" xfId="0" applyAlignment="1" applyBorder="1" applyFont="1" applyNumberFormat="1">
      <alignment horizontal="right" vertical="bottom"/>
    </xf>
    <xf borderId="4" fillId="0" fontId="227" numFmtId="166" xfId="0" applyAlignment="1" applyBorder="1" applyFont="1" applyNumberFormat="1">
      <alignment horizontal="right" vertical="bottom"/>
    </xf>
    <xf borderId="1" fillId="5" fontId="5" numFmtId="49" xfId="0" applyAlignment="1" applyBorder="1" applyFont="1" applyNumberFormat="1">
      <alignment horizontal="right" readingOrder="0"/>
    </xf>
    <xf borderId="4" fillId="3" fontId="26" numFmtId="170" xfId="0" applyAlignment="1" applyBorder="1" applyFont="1" applyNumberFormat="1">
      <alignment vertical="bottom"/>
    </xf>
    <xf borderId="4" fillId="3" fontId="2" numFmtId="169" xfId="0" applyAlignment="1" applyBorder="1" applyFont="1" applyNumberFormat="1">
      <alignment horizontal="right" vertical="bottom"/>
    </xf>
    <xf borderId="4" fillId="3" fontId="26" numFmtId="165" xfId="0" applyAlignment="1" applyBorder="1" applyFont="1" applyNumberFormat="1">
      <alignment horizontal="right" vertical="bottom"/>
    </xf>
    <xf borderId="4" fillId="3" fontId="13" numFmtId="166" xfId="0" applyAlignment="1" applyBorder="1" applyFont="1" applyNumberFormat="1">
      <alignment readingOrder="0"/>
    </xf>
    <xf borderId="4" fillId="3" fontId="55" numFmtId="167" xfId="0" applyAlignment="1" applyBorder="1" applyFont="1" applyNumberFormat="1">
      <alignment readingOrder="0" shrinkToFit="0" vertical="top" wrapText="0"/>
    </xf>
    <xf borderId="4" fillId="3" fontId="5" numFmtId="166" xfId="0" applyAlignment="1" applyBorder="1" applyFont="1" applyNumberFormat="1">
      <alignment horizontal="left" readingOrder="0"/>
    </xf>
    <xf borderId="4" fillId="3" fontId="228" numFmtId="167" xfId="0" applyAlignment="1" applyBorder="1" applyFont="1" applyNumberFormat="1">
      <alignment readingOrder="0" shrinkToFit="0" vertical="top" wrapText="0"/>
    </xf>
    <xf borderId="0" fillId="0" fontId="229" numFmtId="0" xfId="0" applyAlignment="1" applyFont="1">
      <alignment readingOrder="0" shrinkToFit="0" wrapText="0"/>
    </xf>
    <xf borderId="3" fillId="0" fontId="13" numFmtId="164" xfId="0" applyBorder="1" applyFont="1" applyNumberFormat="1"/>
    <xf borderId="4" fillId="0" fontId="13" numFmtId="170" xfId="0" applyAlignment="1" applyBorder="1" applyFont="1" applyNumberFormat="1">
      <alignment readingOrder="0"/>
    </xf>
    <xf borderId="4" fillId="0" fontId="230" numFmtId="170" xfId="0" applyAlignment="1" applyBorder="1" applyFont="1" applyNumberFormat="1">
      <alignment readingOrder="0"/>
    </xf>
    <xf borderId="4" fillId="0" fontId="231" numFmtId="170" xfId="0" applyAlignment="1" applyBorder="1" applyFont="1" applyNumberFormat="1">
      <alignment readingOrder="0"/>
    </xf>
    <xf borderId="4" fillId="0" fontId="13" numFmtId="165" xfId="0" applyAlignment="1" applyBorder="1" applyFont="1" applyNumberFormat="1">
      <alignment readingOrder="0"/>
    </xf>
    <xf borderId="0" fillId="0" fontId="232" numFmtId="170" xfId="0" applyAlignment="1" applyFont="1" applyNumberFormat="1">
      <alignment readingOrder="0"/>
    </xf>
    <xf borderId="4" fillId="0" fontId="13" numFmtId="165" xfId="0" applyBorder="1" applyFont="1" applyNumberFormat="1"/>
    <xf borderId="3" fillId="3" fontId="233" numFmtId="166" xfId="0" applyAlignment="1" applyBorder="1" applyFont="1" applyNumberFormat="1">
      <alignment horizontal="left" readingOrder="0"/>
    </xf>
    <xf borderId="4" fillId="3" fontId="70" numFmtId="167" xfId="0" applyAlignment="1" applyBorder="1" applyFont="1" applyNumberFormat="1">
      <alignment readingOrder="0" shrinkToFit="0" vertical="top" wrapText="0"/>
    </xf>
    <xf borderId="4" fillId="3" fontId="234" numFmtId="166" xfId="0" applyAlignment="1" applyBorder="1" applyFont="1" applyNumberFormat="1">
      <alignment readingOrder="0"/>
    </xf>
    <xf borderId="4" fillId="3" fontId="235" numFmtId="170" xfId="0" applyAlignment="1" applyBorder="1" applyFont="1" applyNumberFormat="1">
      <alignment horizontal="left" readingOrder="0"/>
    </xf>
    <xf borderId="4" fillId="3" fontId="236" numFmtId="166" xfId="0" applyAlignment="1" applyBorder="1" applyFont="1" applyNumberFormat="1">
      <alignment horizontal="left" readingOrder="0"/>
    </xf>
    <xf borderId="4" fillId="3" fontId="5" numFmtId="165" xfId="0" applyAlignment="1" applyBorder="1" applyFont="1" applyNumberFormat="1">
      <alignment horizontal="left" readingOrder="0"/>
    </xf>
    <xf borderId="9" fillId="2" fontId="5" numFmtId="165" xfId="0" applyAlignment="1" applyBorder="1" applyFont="1" applyNumberFormat="1">
      <alignment horizontal="right" readingOrder="0"/>
    </xf>
    <xf borderId="10" fillId="2" fontId="237" numFmtId="49" xfId="0" applyAlignment="1" applyBorder="1" applyFont="1" applyNumberFormat="1">
      <alignment horizontal="right" readingOrder="0"/>
    </xf>
    <xf borderId="4" fillId="0" fontId="238" numFmtId="166" xfId="0" applyAlignment="1" applyBorder="1" applyFont="1" applyNumberFormat="1">
      <alignment vertical="bottom"/>
    </xf>
    <xf borderId="4" fillId="0" fontId="26" numFmtId="167" xfId="0" applyAlignment="1" applyBorder="1" applyFont="1" applyNumberFormat="1">
      <alignment horizontal="right" vertical="bottom"/>
    </xf>
    <xf borderId="4" fillId="3" fontId="60" numFmtId="167" xfId="0" applyAlignment="1" applyBorder="1" applyFont="1" applyNumberFormat="1">
      <alignment horizontal="right" vertical="bottom"/>
    </xf>
    <xf borderId="3" fillId="0" fontId="239" numFmtId="166" xfId="0" applyAlignment="1" applyBorder="1" applyFont="1" applyNumberFormat="1">
      <alignment horizontal="right" vertical="bottom"/>
    </xf>
    <xf borderId="4" fillId="3" fontId="240" numFmtId="166" xfId="0" applyAlignment="1" applyBorder="1" applyFont="1" applyNumberFormat="1">
      <alignment horizontal="right" vertical="bottom"/>
    </xf>
    <xf borderId="4" fillId="0" fontId="241" numFmtId="166" xfId="0" applyAlignment="1" applyBorder="1" applyFont="1" applyNumberFormat="1">
      <alignment vertical="bottom"/>
    </xf>
    <xf borderId="4" fillId="0" fontId="242" numFmtId="166" xfId="0" applyAlignment="1" applyBorder="1" applyFont="1" applyNumberFormat="1">
      <alignment readingOrder="0" vertical="bottom"/>
    </xf>
    <xf borderId="4" fillId="0" fontId="26" numFmtId="167" xfId="0" applyAlignment="1" applyBorder="1" applyFont="1" applyNumberFormat="1">
      <alignment readingOrder="0" vertical="bottom"/>
    </xf>
    <xf borderId="4" fillId="0" fontId="13" numFmtId="166" xfId="0" applyAlignment="1" applyBorder="1" applyFont="1" applyNumberFormat="1">
      <alignment readingOrder="0"/>
    </xf>
    <xf borderId="4" fillId="0" fontId="243" numFmtId="166" xfId="0" applyAlignment="1" applyBorder="1" applyFont="1" applyNumberFormat="1">
      <alignment readingOrder="0" vertical="bottom"/>
    </xf>
    <xf borderId="4" fillId="0" fontId="2" numFmtId="167" xfId="0" applyAlignment="1" applyBorder="1" applyFont="1" applyNumberFormat="1">
      <alignment readingOrder="0" vertical="bottom"/>
    </xf>
    <xf borderId="4" fillId="0" fontId="2" numFmtId="167" xfId="0" applyAlignment="1" applyBorder="1" applyFont="1" applyNumberFormat="1">
      <alignment vertical="bottom"/>
    </xf>
    <xf borderId="4" fillId="0" fontId="2" numFmtId="165" xfId="0" applyAlignment="1" applyBorder="1" applyFont="1" applyNumberFormat="1">
      <alignment horizontal="right" vertical="bottom"/>
    </xf>
    <xf borderId="0" fillId="0" fontId="244" numFmtId="166" xfId="0" applyAlignment="1" applyFont="1" applyNumberFormat="1">
      <alignment horizontal="left" readingOrder="0"/>
    </xf>
    <xf borderId="0" fillId="0" fontId="245" numFmtId="166" xfId="0" applyAlignment="1" applyFont="1" applyNumberFormat="1">
      <alignment vertical="bottom"/>
    </xf>
    <xf borderId="1" fillId="0" fontId="26" numFmtId="0" xfId="0" applyAlignment="1" applyBorder="1" applyFont="1">
      <alignment vertical="bottom"/>
    </xf>
    <xf borderId="7" fillId="3" fontId="246" numFmtId="166" xfId="0" applyAlignment="1" applyBorder="1" applyFont="1" applyNumberFormat="1">
      <alignment vertical="bottom"/>
    </xf>
    <xf borderId="2" fillId="3" fontId="247" numFmtId="166" xfId="0" applyAlignment="1" applyBorder="1" applyFont="1" applyNumberFormat="1">
      <alignment horizontal="right" vertical="bottom"/>
    </xf>
    <xf borderId="2" fillId="3" fontId="26" numFmtId="165" xfId="0" applyAlignment="1" applyBorder="1" applyFont="1" applyNumberFormat="1">
      <alignment horizontal="right" vertical="bottom"/>
    </xf>
    <xf borderId="1" fillId="3" fontId="110" numFmtId="0" xfId="0" applyAlignment="1" applyBorder="1" applyFont="1">
      <alignment horizontal="left" shrinkToFit="0" wrapText="1"/>
    </xf>
    <xf borderId="8" fillId="5" fontId="2" numFmtId="165" xfId="0" applyAlignment="1" applyBorder="1" applyFont="1" applyNumberFormat="1">
      <alignment horizontal="right" vertical="bottom"/>
    </xf>
    <xf borderId="0" fillId="5" fontId="26" numFmtId="165" xfId="0" applyAlignment="1" applyFont="1" applyNumberFormat="1">
      <alignment horizontal="right" readingOrder="0" vertical="bottom"/>
    </xf>
    <xf borderId="4" fillId="3" fontId="55" numFmtId="167" xfId="0" applyAlignment="1" applyBorder="1" applyFont="1" applyNumberFormat="1">
      <alignment readingOrder="0"/>
    </xf>
    <xf borderId="4" fillId="3" fontId="248" numFmtId="166" xfId="0" applyAlignment="1" applyBorder="1" applyFont="1" applyNumberFormat="1">
      <alignment horizontal="left" readingOrder="0"/>
    </xf>
    <xf borderId="0" fillId="3" fontId="249" numFmtId="166" xfId="0" applyAlignment="1" applyFont="1" applyNumberFormat="1">
      <alignment horizontal="left" readingOrder="0"/>
    </xf>
    <xf borderId="4" fillId="3" fontId="250" numFmtId="166" xfId="0" applyAlignment="1" applyBorder="1" applyFont="1" applyNumberFormat="1">
      <alignment horizontal="left" readingOrder="0"/>
    </xf>
    <xf borderId="1" fillId="3" fontId="251" numFmtId="0" xfId="0" applyAlignment="1" applyBorder="1" applyFont="1">
      <alignment readingOrder="0"/>
    </xf>
    <xf borderId="3" fillId="3" fontId="252" numFmtId="166" xfId="0" applyAlignment="1" applyBorder="1" applyFont="1" applyNumberFormat="1">
      <alignment horizontal="right" vertical="bottom"/>
    </xf>
    <xf borderId="4" fillId="3" fontId="253" numFmtId="170" xfId="0" applyAlignment="1" applyBorder="1" applyFont="1" applyNumberFormat="1">
      <alignment horizontal="right" vertical="bottom"/>
    </xf>
    <xf borderId="4" fillId="3" fontId="254" numFmtId="166" xfId="0" applyAlignment="1" applyBorder="1" applyFont="1" applyNumberFormat="1">
      <alignment horizontal="right" vertical="bottom"/>
    </xf>
    <xf borderId="4" fillId="3" fontId="255" numFmtId="167" xfId="0" applyAlignment="1" applyBorder="1" applyFont="1" applyNumberFormat="1">
      <alignment horizontal="right" vertical="bottom"/>
    </xf>
    <xf borderId="4" fillId="0" fontId="256" numFmtId="168" xfId="0" applyAlignment="1" applyBorder="1" applyFont="1" applyNumberFormat="1">
      <alignment horizontal="right" vertical="bottom"/>
    </xf>
    <xf borderId="1" fillId="2" fontId="5" numFmtId="49" xfId="0" applyAlignment="1" applyBorder="1" applyFont="1" applyNumberFormat="1">
      <alignment horizontal="right"/>
    </xf>
    <xf borderId="0" fillId="0" fontId="5" numFmtId="0" xfId="0" applyAlignment="1" applyFont="1">
      <alignment horizontal="left" shrinkToFit="0" wrapText="1"/>
    </xf>
    <xf borderId="0" fillId="0" fontId="257" numFmtId="0" xfId="0" applyAlignment="1" applyFont="1">
      <alignment horizontal="left" shrinkToFit="0" wrapText="1"/>
    </xf>
    <xf borderId="1" fillId="0" fontId="258" numFmtId="0" xfId="0" applyAlignment="1" applyBorder="1" applyFont="1">
      <alignment horizontal="left" shrinkToFit="0" wrapText="1"/>
    </xf>
    <xf borderId="2" fillId="0" fontId="26" numFmtId="167" xfId="0" applyAlignment="1" applyBorder="1" applyFont="1" applyNumberFormat="1">
      <alignment vertical="bottom"/>
    </xf>
    <xf borderId="2" fillId="0" fontId="26" numFmtId="166" xfId="0" applyAlignment="1" applyBorder="1" applyFont="1" applyNumberFormat="1">
      <alignment vertical="bottom"/>
    </xf>
    <xf borderId="2" fillId="0" fontId="26" numFmtId="0" xfId="0" applyAlignment="1" applyBorder="1" applyFont="1">
      <alignment vertical="bottom"/>
    </xf>
    <xf borderId="2" fillId="0" fontId="26" numFmtId="169" xfId="0" applyAlignment="1" applyBorder="1" applyFont="1" applyNumberFormat="1">
      <alignment vertical="bottom"/>
    </xf>
    <xf borderId="2" fillId="0" fontId="26" numFmtId="167" xfId="0" applyAlignment="1" applyBorder="1" applyFont="1" applyNumberFormat="1">
      <alignment horizontal="right" vertical="bottom"/>
    </xf>
    <xf borderId="1" fillId="0" fontId="259" numFmtId="170" xfId="0" applyAlignment="1" applyBorder="1" applyFont="1" applyNumberFormat="1">
      <alignment horizontal="right" vertical="bottom"/>
    </xf>
    <xf borderId="1" fillId="3" fontId="260" numFmtId="166" xfId="0" applyAlignment="1" applyBorder="1" applyFont="1" applyNumberFormat="1">
      <alignment horizontal="right" vertical="bottom"/>
    </xf>
    <xf borderId="1" fillId="3" fontId="26" numFmtId="170" xfId="0" applyAlignment="1" applyBorder="1" applyFont="1" applyNumberFormat="1">
      <alignment vertical="bottom"/>
    </xf>
    <xf borderId="1" fillId="3" fontId="261" numFmtId="166" xfId="0" applyAlignment="1" applyBorder="1" applyFont="1" applyNumberFormat="1">
      <alignment horizontal="right" vertical="bottom"/>
    </xf>
    <xf borderId="1" fillId="3" fontId="26" numFmtId="165" xfId="0" applyAlignment="1" applyBorder="1" applyFont="1" applyNumberFormat="1">
      <alignment horizontal="right" vertical="bottom"/>
    </xf>
    <xf borderId="1" fillId="3" fontId="5" numFmtId="0" xfId="0" applyAlignment="1" applyBorder="1" applyFont="1">
      <alignment horizontal="left" readingOrder="0" shrinkToFit="0" wrapText="1"/>
    </xf>
    <xf borderId="2" fillId="3" fontId="26" numFmtId="166" xfId="0" applyAlignment="1" applyBorder="1" applyFont="1" applyNumberFormat="1">
      <alignment vertical="bottom"/>
    </xf>
    <xf borderId="2" fillId="3" fontId="26" numFmtId="167" xfId="0" applyAlignment="1" applyBorder="1" applyFont="1" applyNumberFormat="1">
      <alignment vertical="top"/>
    </xf>
    <xf borderId="2" fillId="3" fontId="262" numFmtId="166" xfId="0" applyAlignment="1" applyBorder="1" applyFont="1" applyNumberFormat="1">
      <alignment horizontal="right" vertical="bottom"/>
    </xf>
    <xf borderId="7" fillId="2" fontId="26" numFmtId="49" xfId="0" applyAlignment="1" applyBorder="1" applyFont="1" applyNumberFormat="1">
      <alignment horizontal="right" vertical="bottom"/>
    </xf>
    <xf borderId="1" fillId="3" fontId="26" numFmtId="14" xfId="0" applyAlignment="1" applyBorder="1" applyFont="1" applyNumberFormat="1">
      <alignment vertical="bottom"/>
    </xf>
    <xf borderId="1" fillId="3" fontId="263" numFmtId="167" xfId="0" applyAlignment="1" applyBorder="1" applyFont="1" applyNumberFormat="1">
      <alignment horizontal="right" vertical="bottom"/>
    </xf>
    <xf borderId="0" fillId="3" fontId="5" numFmtId="0" xfId="0" applyAlignment="1" applyFont="1">
      <alignment horizontal="left" readingOrder="0" shrinkToFit="0" wrapText="1"/>
    </xf>
    <xf borderId="2" fillId="3" fontId="264" numFmtId="14" xfId="0" applyAlignment="1" applyBorder="1" applyFont="1" applyNumberFormat="1">
      <alignment vertical="bottom"/>
    </xf>
    <xf borderId="2" fillId="3" fontId="2" numFmtId="169" xfId="0" applyAlignment="1" applyBorder="1" applyFont="1" applyNumberFormat="1">
      <alignment horizontal="right" vertical="bottom"/>
    </xf>
    <xf borderId="1" fillId="0" fontId="110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0" fontId="5" numFmtId="49" xfId="0" applyAlignment="1" applyBorder="1" applyFont="1" applyNumberFormat="1">
      <alignment horizontal="left"/>
    </xf>
    <xf borderId="1" fillId="2" fontId="5" numFmtId="165" xfId="0" applyAlignment="1" applyBorder="1" applyFont="1" applyNumberFormat="1">
      <alignment horizontal="right"/>
    </xf>
    <xf borderId="1" fillId="2" fontId="13" numFmtId="49" xfId="0" applyAlignment="1" applyBorder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8" fillId="2" fontId="5" numFmtId="165" xfId="0" applyAlignment="1" applyBorder="1" applyFont="1" applyNumberFormat="1">
      <alignment horizontal="right"/>
    </xf>
    <xf borderId="0" fillId="2" fontId="5" numFmtId="49" xfId="0" applyAlignment="1" applyFont="1" applyNumberFormat="1">
      <alignment horizontal="right"/>
    </xf>
    <xf borderId="3" fillId="8" fontId="26" numFmtId="166" xfId="0" applyAlignment="1" applyBorder="1" applyFill="1" applyFont="1" applyNumberFormat="1">
      <alignment vertical="bottom"/>
    </xf>
    <xf borderId="4" fillId="8" fontId="26" numFmtId="175" xfId="0" applyAlignment="1" applyBorder="1" applyFont="1" applyNumberFormat="1">
      <alignment vertical="bottom"/>
    </xf>
    <xf borderId="4" fillId="8" fontId="26" numFmtId="166" xfId="0" applyAlignment="1" applyBorder="1" applyFont="1" applyNumberFormat="1">
      <alignment vertical="bottom"/>
    </xf>
    <xf borderId="4" fillId="8" fontId="26" numFmtId="167" xfId="0" applyAlignment="1" applyBorder="1" applyFont="1" applyNumberFormat="1">
      <alignment vertical="bottom"/>
    </xf>
    <xf borderId="4" fillId="8" fontId="26" numFmtId="164" xfId="0" applyAlignment="1" applyBorder="1" applyFont="1" applyNumberFormat="1">
      <alignment vertical="bottom"/>
    </xf>
    <xf borderId="4" fillId="8" fontId="265" numFmtId="166" xfId="0" applyAlignment="1" applyBorder="1" applyFont="1" applyNumberFormat="1">
      <alignment vertical="top"/>
    </xf>
    <xf borderId="4" fillId="8" fontId="70" numFmtId="167" xfId="0" applyAlignment="1" applyBorder="1" applyFont="1" applyNumberFormat="1">
      <alignment horizontal="right" vertical="top"/>
    </xf>
    <xf borderId="4" fillId="8" fontId="266" numFmtId="166" xfId="0" applyAlignment="1" applyBorder="1" applyFont="1" applyNumberFormat="1">
      <alignment vertical="bottom"/>
    </xf>
    <xf borderId="4" fillId="8" fontId="26" numFmtId="167" xfId="0" applyAlignment="1" applyBorder="1" applyFont="1" applyNumberFormat="1">
      <alignment horizontal="right" vertical="bottom"/>
    </xf>
    <xf borderId="4" fillId="8" fontId="26" numFmtId="166" xfId="0" applyAlignment="1" applyBorder="1" applyFont="1" applyNumberFormat="1">
      <alignment vertical="bottom"/>
    </xf>
    <xf borderId="4" fillId="8" fontId="26" numFmtId="165" xfId="0" applyAlignment="1" applyBorder="1" applyFont="1" applyNumberFormat="1">
      <alignment vertical="bottom"/>
    </xf>
    <xf borderId="1" fillId="0" fontId="267" numFmtId="0" xfId="0" applyAlignment="1" applyBorder="1" applyFont="1">
      <alignment horizontal="left" readingOrder="0" shrinkToFit="0" wrapText="1"/>
    </xf>
    <xf borderId="1" fillId="3" fontId="268" numFmtId="0" xfId="0" applyAlignment="1" applyBorder="1" applyFont="1">
      <alignment readingOrder="0" shrinkToFit="0" wrapText="0"/>
    </xf>
    <xf borderId="1" fillId="3" fontId="269" numFmtId="0" xfId="0" applyAlignment="1" applyBorder="1" applyFont="1">
      <alignment readingOrder="0"/>
    </xf>
    <xf borderId="1" fillId="3" fontId="268" numFmtId="49" xfId="0" applyAlignment="1" applyBorder="1" applyFont="1" applyNumberFormat="1">
      <alignment readingOrder="0"/>
    </xf>
    <xf borderId="1" fillId="3" fontId="70" numFmtId="0" xfId="0" applyAlignment="1" applyBorder="1" applyFont="1">
      <alignment horizontal="left" readingOrder="0"/>
    </xf>
    <xf borderId="1" fillId="3" fontId="55" numFmtId="170" xfId="0" applyAlignment="1" applyBorder="1" applyFont="1" applyNumberFormat="1">
      <alignment horizontal="left" readingOrder="0" shrinkToFit="0" wrapText="0"/>
    </xf>
    <xf borderId="1" fillId="3" fontId="270" numFmtId="166" xfId="0" applyAlignment="1" applyBorder="1" applyFont="1" applyNumberFormat="1">
      <alignment readingOrder="0" shrinkToFit="0" wrapText="0"/>
    </xf>
    <xf borderId="1" fillId="3" fontId="5" numFmtId="167" xfId="0" applyAlignment="1" applyBorder="1" applyFont="1" applyNumberFormat="1">
      <alignment horizontal="left" readingOrder="0"/>
    </xf>
    <xf borderId="1" fillId="0" fontId="271" numFmtId="166" xfId="0" applyAlignment="1" applyBorder="1" applyFont="1" applyNumberFormat="1">
      <alignment readingOrder="0" vertical="bottom"/>
    </xf>
    <xf borderId="1" fillId="0" fontId="2" numFmtId="164" xfId="0" applyAlignment="1" applyBorder="1" applyFont="1" applyNumberFormat="1">
      <alignment horizontal="left"/>
    </xf>
    <xf borderId="0" fillId="3" fontId="2" numFmtId="49" xfId="0" applyAlignment="1" applyFont="1" applyNumberFormat="1">
      <alignment horizontal="left" readingOrder="0"/>
    </xf>
    <xf borderId="1" fillId="3" fontId="272" numFmtId="176" xfId="0" applyAlignment="1" applyBorder="1" applyFont="1" applyNumberFormat="1">
      <alignment readingOrder="0"/>
    </xf>
    <xf borderId="0" fillId="0" fontId="2" numFmtId="0" xfId="0" applyAlignment="1" applyFont="1">
      <alignment horizontal="left" readingOrder="0" shrinkToFit="0" wrapText="1"/>
    </xf>
    <xf borderId="1" fillId="0" fontId="13" numFmtId="166" xfId="0" applyAlignment="1" applyBorder="1" applyFont="1" applyNumberFormat="1">
      <alignment readingOrder="0"/>
    </xf>
    <xf borderId="1" fillId="0" fontId="13" numFmtId="165" xfId="0" applyBorder="1" applyFont="1" applyNumberFormat="1"/>
    <xf borderId="0" fillId="2" fontId="2" numFmtId="0" xfId="0" applyAlignment="1" applyFont="1">
      <alignment horizontal="left"/>
    </xf>
    <xf borderId="1" fillId="0" fontId="273" numFmtId="168" xfId="0" applyAlignment="1" applyBorder="1" applyFont="1" applyNumberFormat="1">
      <alignment horizontal="left" readingOrder="0"/>
    </xf>
    <xf borderId="0" fillId="9" fontId="13" numFmtId="0" xfId="0" applyAlignment="1" applyFill="1" applyFont="1">
      <alignment readingOrder="0" shrinkToFit="0" wrapText="1"/>
    </xf>
    <xf borderId="1" fillId="3" fontId="274" numFmtId="166" xfId="0" applyAlignment="1" applyBorder="1" applyFont="1" applyNumberFormat="1">
      <alignment readingOrder="0"/>
    </xf>
    <xf borderId="1" fillId="0" fontId="275" numFmtId="166" xfId="0" applyBorder="1" applyFont="1" applyNumberFormat="1"/>
    <xf borderId="1" fillId="0" fontId="276" numFmtId="166" xfId="0" applyAlignment="1" applyBorder="1" applyFont="1" applyNumberFormat="1">
      <alignment readingOrder="0"/>
    </xf>
    <xf borderId="1" fillId="0" fontId="277" numFmtId="166" xfId="0" applyAlignment="1" applyBorder="1" applyFont="1" applyNumberFormat="1">
      <alignment readingOrder="0" vertical="bottom"/>
    </xf>
    <xf borderId="1" fillId="0" fontId="2" numFmtId="167" xfId="0" applyAlignment="1" applyBorder="1" applyFont="1" applyNumberFormat="1">
      <alignment vertical="bottom"/>
    </xf>
    <xf borderId="0" fillId="0" fontId="110" numFmtId="0" xfId="0" applyAlignment="1" applyFont="1">
      <alignment horizontal="left" readingOrder="0" shrinkToFit="0" wrapText="1"/>
    </xf>
    <xf borderId="1" fillId="0" fontId="278" numFmtId="166" xfId="0" applyAlignment="1" applyBorder="1" applyFont="1" applyNumberFormat="1">
      <alignment horizontal="left" readingOrder="0"/>
    </xf>
    <xf borderId="1" fillId="0" fontId="5" numFmtId="167" xfId="0" applyAlignment="1" applyBorder="1" applyFont="1" applyNumberFormat="1">
      <alignment horizontal="left" readingOrder="0"/>
    </xf>
    <xf borderId="1" fillId="8" fontId="26" numFmtId="166" xfId="0" applyAlignment="1" applyBorder="1" applyFont="1" applyNumberFormat="1">
      <alignment vertical="bottom"/>
    </xf>
    <xf borderId="1" fillId="8" fontId="26" numFmtId="167" xfId="0" applyAlignment="1" applyBorder="1" applyFont="1" applyNumberFormat="1">
      <alignment vertical="bottom"/>
    </xf>
    <xf borderId="1" fillId="8" fontId="279" numFmtId="166" xfId="0" applyAlignment="1" applyBorder="1" applyFont="1" applyNumberFormat="1">
      <alignment vertical="bottom"/>
    </xf>
    <xf borderId="1" fillId="8" fontId="26" numFmtId="0" xfId="0" applyAlignment="1" applyBorder="1" applyFont="1">
      <alignment vertical="bottom"/>
    </xf>
    <xf borderId="1" fillId="8" fontId="26" numFmtId="169" xfId="0" applyAlignment="1" applyBorder="1" applyFont="1" applyNumberFormat="1">
      <alignment vertical="bottom"/>
    </xf>
    <xf borderId="1" fillId="8" fontId="280" numFmtId="166" xfId="0" applyAlignment="1" applyBorder="1" applyFont="1" applyNumberFormat="1">
      <alignment vertical="bottom"/>
    </xf>
    <xf borderId="1" fillId="8" fontId="26" numFmtId="167" xfId="0" applyAlignment="1" applyBorder="1" applyFont="1" applyNumberFormat="1">
      <alignment horizontal="right" vertical="bottom"/>
    </xf>
    <xf borderId="1" fillId="8" fontId="281" numFmtId="166" xfId="0" applyAlignment="1" applyBorder="1" applyFont="1" applyNumberFormat="1">
      <alignment vertical="bottom"/>
    </xf>
    <xf borderId="1" fillId="8" fontId="26" numFmtId="165" xfId="0" applyAlignment="1" applyBorder="1" applyFont="1" applyNumberFormat="1">
      <alignment vertical="bottom"/>
    </xf>
    <xf borderId="1" fillId="0" fontId="13" numFmtId="165" xfId="0" applyAlignment="1" applyBorder="1" applyFont="1" applyNumberFormat="1">
      <alignment readingOrder="0"/>
    </xf>
    <xf borderId="1" fillId="0" fontId="282" numFmtId="0" xfId="0" applyAlignment="1" applyBorder="1" applyFont="1">
      <alignment readingOrder="0" shrinkToFit="0" wrapText="1"/>
    </xf>
    <xf borderId="1" fillId="8" fontId="2" numFmtId="167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1"/>
    </xf>
    <xf borderId="1" fillId="3" fontId="2" numFmtId="173" xfId="0" applyAlignment="1" applyBorder="1" applyFont="1" applyNumberFormat="1">
      <alignment horizontal="right" vertical="bottom"/>
    </xf>
    <xf borderId="1" fillId="0" fontId="283" numFmtId="0" xfId="0" applyAlignment="1" applyBorder="1" applyFont="1">
      <alignment readingOrder="0" shrinkToFit="0" wrapText="0"/>
    </xf>
    <xf borderId="0" fillId="3" fontId="284" numFmtId="0" xfId="0" applyAlignment="1" applyFont="1">
      <alignment horizontal="left" readingOrder="0"/>
    </xf>
    <xf borderId="1" fillId="3" fontId="2" numFmtId="0" xfId="0" applyAlignment="1" applyBorder="1" applyFont="1">
      <alignment readingOrder="0" shrinkToFit="0" wrapText="1"/>
    </xf>
    <xf borderId="2" fillId="2" fontId="5" numFmtId="165" xfId="0" applyAlignment="1" applyBorder="1" applyFont="1" applyNumberFormat="1">
      <alignment horizontal="right"/>
    </xf>
    <xf borderId="2" fillId="2" fontId="5" numFmtId="49" xfId="0" applyAlignment="1" applyBorder="1" applyFont="1" applyNumberFormat="1">
      <alignment horizontal="right"/>
    </xf>
    <xf borderId="0" fillId="3" fontId="10" numFmtId="166" xfId="0" applyAlignment="1" applyFont="1" applyNumberFormat="1">
      <alignment readingOrder="0"/>
    </xf>
    <xf borderId="0" fillId="3" fontId="285" numFmtId="166" xfId="0" applyAlignment="1" applyFont="1" applyNumberFormat="1">
      <alignment horizontal="left"/>
    </xf>
    <xf borderId="1" fillId="0" fontId="286" numFmtId="0" xfId="0" applyAlignment="1" applyBorder="1" applyFont="1">
      <alignment readingOrder="0" shrinkToFit="0" wrapText="0"/>
    </xf>
    <xf borderId="1" fillId="3" fontId="287" numFmtId="0" xfId="0" applyAlignment="1" applyBorder="1" applyFont="1">
      <alignment readingOrder="0" shrinkToFit="0" wrapText="1"/>
    </xf>
    <xf borderId="1" fillId="0" fontId="288" numFmtId="170" xfId="0" applyAlignment="1" applyBorder="1" applyFont="1" applyNumberFormat="1">
      <alignment horizontal="left" readingOrder="0"/>
    </xf>
    <xf borderId="1" fillId="0" fontId="2" numFmtId="169" xfId="0" applyAlignment="1" applyBorder="1" applyFont="1" applyNumberFormat="1">
      <alignment horizontal="left" readingOrder="0"/>
    </xf>
    <xf borderId="0" fillId="10" fontId="2" numFmtId="0" xfId="0" applyAlignment="1" applyFill="1" applyFont="1">
      <alignment horizontal="left"/>
    </xf>
    <xf borderId="1" fillId="3" fontId="210" numFmtId="49" xfId="0" applyAlignment="1" applyBorder="1" applyFont="1" applyNumberFormat="1">
      <alignment horizontal="left" readingOrder="0"/>
    </xf>
    <xf borderId="1" fillId="8" fontId="289" numFmtId="166" xfId="0" applyAlignment="1" applyBorder="1" applyFont="1" applyNumberFormat="1">
      <alignment horizontal="right" vertical="bottom"/>
    </xf>
    <xf borderId="1" fillId="8" fontId="26" numFmtId="14" xfId="0" applyAlignment="1" applyBorder="1" applyFont="1" applyNumberFormat="1">
      <alignment vertical="bottom"/>
    </xf>
    <xf borderId="1" fillId="8" fontId="290" numFmtId="166" xfId="0" applyAlignment="1" applyBorder="1" applyFont="1" applyNumberFormat="1">
      <alignment horizontal="right" vertical="bottom"/>
    </xf>
    <xf borderId="0" fillId="2" fontId="5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91" numFmtId="0" xfId="0" applyAlignment="1" applyFont="1">
      <alignment readingOrder="0"/>
    </xf>
    <xf borderId="1" fillId="2" fontId="292" numFmtId="0" xfId="0" applyAlignment="1" applyBorder="1" applyFont="1">
      <alignment readingOrder="0" shrinkToFit="0" wrapText="0"/>
    </xf>
    <xf borderId="1" fillId="2" fontId="29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/>
    </xf>
    <xf borderId="1" fillId="2" fontId="2" numFmtId="49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6" numFmtId="166" xfId="0" applyAlignment="1" applyBorder="1" applyFont="1" applyNumberFormat="1">
      <alignment vertical="bottom"/>
    </xf>
    <xf borderId="1" fillId="2" fontId="26" numFmtId="167" xfId="0" applyAlignment="1" applyBorder="1" applyFont="1" applyNumberFormat="1">
      <alignment vertical="bottom"/>
    </xf>
    <xf borderId="1" fillId="2" fontId="294" numFmtId="166" xfId="0" applyAlignment="1" applyBorder="1" applyFont="1" applyNumberFormat="1">
      <alignment vertical="bottom"/>
    </xf>
    <xf borderId="1" fillId="2" fontId="2" numFmtId="173" xfId="0" applyAlignment="1" applyBorder="1" applyFont="1" applyNumberFormat="1">
      <alignment horizontal="right" vertical="bottom"/>
    </xf>
    <xf borderId="1" fillId="2" fontId="26" numFmtId="170" xfId="0" applyAlignment="1" applyBorder="1" applyFont="1" applyNumberFormat="1">
      <alignment vertical="bottom"/>
    </xf>
    <xf borderId="1" fillId="2" fontId="26" numFmtId="169" xfId="0" applyAlignment="1" applyBorder="1" applyFont="1" applyNumberFormat="1">
      <alignment vertical="bottom"/>
    </xf>
    <xf borderId="1" fillId="2" fontId="295" numFmtId="166" xfId="0" applyAlignment="1" applyBorder="1" applyFont="1" applyNumberFormat="1">
      <alignment vertical="bottom"/>
    </xf>
    <xf borderId="1" fillId="2" fontId="2" numFmtId="167" xfId="0" applyAlignment="1" applyBorder="1" applyFont="1" applyNumberFormat="1">
      <alignment horizontal="right" vertical="bottom"/>
    </xf>
    <xf borderId="1" fillId="2" fontId="296" numFmtId="0" xfId="0" applyAlignment="1" applyBorder="1" applyFont="1">
      <alignment vertical="bottom"/>
    </xf>
    <xf borderId="1" fillId="2" fontId="26" numFmtId="165" xfId="0" applyAlignment="1" applyBorder="1" applyFont="1" applyNumberFormat="1">
      <alignment vertical="bottom"/>
    </xf>
    <xf borderId="1" fillId="2" fontId="2" numFmtId="166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0" fillId="8" fontId="26" numFmtId="0" xfId="0" applyAlignment="1" applyFont="1">
      <alignment vertical="bottom"/>
    </xf>
    <xf borderId="0" fillId="8" fontId="26" numFmtId="169" xfId="0" applyAlignment="1" applyFont="1" applyNumberFormat="1">
      <alignment vertical="bottom"/>
    </xf>
    <xf borderId="0" fillId="3" fontId="297" numFmtId="166" xfId="0" applyAlignment="1" applyFont="1" applyNumberFormat="1">
      <alignment horizontal="right" vertical="bottom"/>
    </xf>
    <xf borderId="1" fillId="0" fontId="26" numFmtId="167" xfId="0" applyAlignment="1" applyBorder="1" applyFont="1" applyNumberFormat="1">
      <alignment horizontal="right" vertical="bottom"/>
    </xf>
    <xf borderId="0" fillId="0" fontId="26" numFmtId="169" xfId="0" applyAlignment="1" applyFont="1" applyNumberFormat="1">
      <alignment vertical="bottom"/>
    </xf>
    <xf borderId="0" fillId="3" fontId="298" numFmtId="0" xfId="0" applyAlignment="1" applyFont="1">
      <alignment readingOrder="0"/>
    </xf>
    <xf borderId="0" fillId="3" fontId="13" numFmtId="166" xfId="0" applyFont="1" applyNumberFormat="1"/>
    <xf borderId="1" fillId="0" fontId="269" numFmtId="177" xfId="0" applyAlignment="1" applyBorder="1" applyFont="1" applyNumberFormat="1">
      <alignment readingOrder="0"/>
    </xf>
    <xf borderId="1" fillId="3" fontId="299" numFmtId="177" xfId="0" applyAlignment="1" applyBorder="1" applyFont="1" applyNumberFormat="1">
      <alignment horizontal="left" readingOrder="0"/>
    </xf>
    <xf borderId="1" fillId="3" fontId="2" numFmtId="177" xfId="0" applyAlignment="1" applyBorder="1" applyFont="1" applyNumberFormat="1">
      <alignment horizontal="left" readingOrder="0"/>
    </xf>
    <xf borderId="0" fillId="3" fontId="300" numFmtId="0" xfId="0" applyAlignment="1" applyFont="1">
      <alignment readingOrder="0"/>
    </xf>
    <xf borderId="1" fillId="8" fontId="26" numFmtId="166" xfId="0" applyAlignment="1" applyBorder="1" applyFont="1" applyNumberFormat="1">
      <alignment vertical="bottom"/>
    </xf>
    <xf borderId="1" fillId="0" fontId="301" numFmtId="166" xfId="0" applyAlignment="1" applyBorder="1" applyFont="1" applyNumberFormat="1">
      <alignment vertical="bottom"/>
    </xf>
    <xf borderId="1" fillId="0" fontId="2" numFmtId="11" xfId="0" applyAlignment="1" applyBorder="1" applyFont="1" applyNumberFormat="1">
      <alignment horizontal="left" readingOrder="0"/>
    </xf>
    <xf borderId="1" fillId="0" fontId="26" numFmtId="167" xfId="0" applyAlignment="1" applyBorder="1" applyFont="1" applyNumberFormat="1">
      <alignment readingOrder="0" vertical="bottom"/>
    </xf>
    <xf borderId="1" fillId="8" fontId="302" numFmtId="166" xfId="0" applyAlignment="1" applyBorder="1" applyFont="1" applyNumberFormat="1">
      <alignment vertical="top"/>
    </xf>
    <xf borderId="1" fillId="8" fontId="70" numFmtId="167" xfId="0" applyAlignment="1" applyBorder="1" applyFont="1" applyNumberFormat="1">
      <alignment horizontal="right" vertical="top"/>
    </xf>
    <xf borderId="1" fillId="3" fontId="303" numFmtId="0" xfId="0" applyAlignment="1" applyBorder="1" applyFont="1">
      <alignment readingOrder="0"/>
    </xf>
    <xf borderId="1" fillId="3" fontId="304" numFmtId="166" xfId="0" applyAlignment="1" applyBorder="1" applyFont="1" applyNumberFormat="1">
      <alignment horizontal="left" readingOrder="0" shrinkToFit="0" wrapText="0"/>
    </xf>
    <xf borderId="1" fillId="3" fontId="55" numFmtId="167" xfId="0" applyAlignment="1" applyBorder="1" applyFont="1" applyNumberFormat="1">
      <alignment readingOrder="0" vertical="top"/>
    </xf>
    <xf borderId="1" fillId="3" fontId="305" numFmtId="166" xfId="0" applyAlignment="1" applyBorder="1" applyFont="1" applyNumberFormat="1">
      <alignment horizontal="left" readingOrder="0" shrinkToFit="0" vertical="top" wrapText="0"/>
    </xf>
    <xf borderId="1" fillId="3" fontId="55" numFmtId="167" xfId="0" applyBorder="1" applyFont="1" applyNumberFormat="1"/>
    <xf borderId="1" fillId="3" fontId="55" numFmtId="166" xfId="0" applyAlignment="1" applyBorder="1" applyFont="1" applyNumberFormat="1">
      <alignment horizontal="left"/>
    </xf>
    <xf borderId="1" fillId="3" fontId="55" numFmtId="165" xfId="0" applyAlignment="1" applyBorder="1" applyFont="1" applyNumberFormat="1">
      <alignment horizontal="left"/>
    </xf>
    <xf borderId="1" fillId="3" fontId="13" numFmtId="0" xfId="0" applyAlignment="1" applyBorder="1" applyFont="1">
      <alignment readingOrder="0"/>
    </xf>
    <xf borderId="1" fillId="3" fontId="5" numFmtId="175" xfId="0" applyAlignment="1" applyBorder="1" applyFont="1" applyNumberFormat="1">
      <alignment horizontal="right" readingOrder="0"/>
    </xf>
    <xf borderId="2" fillId="0" fontId="306" numFmtId="0" xfId="0" applyAlignment="1" applyBorder="1" applyFont="1">
      <alignment readingOrder="0"/>
    </xf>
    <xf borderId="1" fillId="3" fontId="307" numFmtId="166" xfId="0" applyAlignment="1" applyBorder="1" applyFont="1" applyNumberFormat="1">
      <alignment vertical="bottom"/>
    </xf>
    <xf borderId="1" fillId="3" fontId="308" numFmtId="166" xfId="0" applyAlignment="1" applyBorder="1" applyFont="1" applyNumberFormat="1">
      <alignment vertical="bottom"/>
    </xf>
    <xf borderId="1" fillId="3" fontId="309" numFmtId="0" xfId="0" applyAlignment="1" applyBorder="1" applyFont="1">
      <alignment readingOrder="0" shrinkToFit="0" wrapText="1"/>
    </xf>
    <xf borderId="1" fillId="3" fontId="310" numFmtId="0" xfId="0" applyAlignment="1" applyBorder="1" applyFont="1">
      <alignment readingOrder="0"/>
    </xf>
    <xf borderId="2" fillId="3" fontId="311" numFmtId="0" xfId="0" applyAlignment="1" applyBorder="1" applyFont="1">
      <alignment horizontal="left" readingOrder="0" shrinkToFit="0" wrapText="1"/>
    </xf>
    <xf borderId="2" fillId="0" fontId="312" numFmtId="0" xfId="0" applyAlignment="1" applyBorder="1" applyFont="1">
      <alignment readingOrder="0" shrinkToFit="0" wrapText="1"/>
    </xf>
    <xf borderId="4" fillId="2" fontId="5" numFmtId="165" xfId="0" applyAlignment="1" applyBorder="1" applyFont="1" applyNumberFormat="1">
      <alignment horizontal="right"/>
    </xf>
    <xf borderId="1" fillId="8" fontId="2" numFmtId="173" xfId="0" applyAlignment="1" applyBorder="1" applyFont="1" applyNumberFormat="1">
      <alignment horizontal="right" vertical="bottom"/>
    </xf>
    <xf borderId="2" fillId="0" fontId="313" numFmtId="0" xfId="0" applyAlignment="1" applyBorder="1" applyFont="1">
      <alignment horizontal="left" readingOrder="0" shrinkToFit="0" wrapText="1"/>
    </xf>
    <xf borderId="1" fillId="0" fontId="314" numFmtId="14" xfId="0" applyAlignment="1" applyBorder="1" applyFont="1" applyNumberFormat="1">
      <alignment horizontal="left"/>
    </xf>
    <xf borderId="0" fillId="10" fontId="5" numFmtId="0" xfId="0" applyAlignment="1" applyFont="1">
      <alignment horizontal="left" readingOrder="0" shrinkToFit="0" wrapText="1"/>
    </xf>
    <xf borderId="0" fillId="10" fontId="2" numFmtId="0" xfId="0" applyAlignment="1" applyFont="1">
      <alignment horizontal="left" readingOrder="0"/>
    </xf>
    <xf borderId="0" fillId="10" fontId="315" numFmtId="0" xfId="0" applyAlignment="1" applyFont="1">
      <alignment readingOrder="0"/>
    </xf>
    <xf borderId="1" fillId="10" fontId="316" numFmtId="0" xfId="0" applyAlignment="1" applyBorder="1" applyFont="1">
      <alignment readingOrder="0"/>
    </xf>
    <xf borderId="1" fillId="10" fontId="2" numFmtId="0" xfId="0" applyAlignment="1" applyBorder="1" applyFont="1">
      <alignment horizontal="left" readingOrder="0" shrinkToFit="0" wrapText="1"/>
    </xf>
    <xf borderId="1" fillId="10" fontId="55" numFmtId="0" xfId="0" applyAlignment="1" applyBorder="1" applyFont="1">
      <alignment readingOrder="0" shrinkToFit="0" wrapText="0"/>
    </xf>
    <xf borderId="1" fillId="10" fontId="2" numFmtId="49" xfId="0" applyAlignment="1" applyBorder="1" applyFont="1" applyNumberFormat="1">
      <alignment horizontal="left"/>
    </xf>
    <xf borderId="1" fillId="10" fontId="2" numFmtId="0" xfId="0" applyAlignment="1" applyBorder="1" applyFont="1">
      <alignment horizontal="left" readingOrder="0"/>
    </xf>
    <xf borderId="1" fillId="10" fontId="2" numFmtId="0" xfId="0" applyAlignment="1" applyBorder="1" applyFont="1">
      <alignment horizontal="left"/>
    </xf>
    <xf borderId="1" fillId="10" fontId="2" numFmtId="166" xfId="0" applyAlignment="1" applyBorder="1" applyFont="1" applyNumberFormat="1">
      <alignment horizontal="left"/>
    </xf>
    <xf borderId="1" fillId="10" fontId="2" numFmtId="167" xfId="0" applyAlignment="1" applyBorder="1" applyFont="1" applyNumberFormat="1">
      <alignment horizontal="left"/>
    </xf>
    <xf borderId="1" fillId="10" fontId="13" numFmtId="166" xfId="0" applyBorder="1" applyFont="1" applyNumberFormat="1"/>
    <xf borderId="1" fillId="10" fontId="2" numFmtId="169" xfId="0" applyAlignment="1" applyBorder="1" applyFont="1" applyNumberFormat="1">
      <alignment horizontal="left"/>
    </xf>
    <xf borderId="1" fillId="10" fontId="317" numFmtId="166" xfId="0" applyAlignment="1" applyBorder="1" applyFont="1" applyNumberFormat="1">
      <alignment horizontal="left" readingOrder="0"/>
    </xf>
    <xf borderId="1" fillId="10" fontId="2" numFmtId="167" xfId="0" applyAlignment="1" applyBorder="1" applyFont="1" applyNumberFormat="1">
      <alignment horizontal="left" readingOrder="0"/>
    </xf>
    <xf borderId="1" fillId="10" fontId="2" numFmtId="165" xfId="0" applyAlignment="1" applyBorder="1" applyFont="1" applyNumberFormat="1">
      <alignment horizontal="left"/>
    </xf>
    <xf borderId="1" fillId="3" fontId="318" numFmtId="166" xfId="0" applyAlignment="1" applyBorder="1" applyFont="1" applyNumberFormat="1">
      <alignment readingOrder="0"/>
    </xf>
    <xf borderId="0" fillId="3" fontId="319" numFmtId="0" xfId="0" applyAlignment="1" applyFont="1">
      <alignment horizontal="left" readingOrder="0" shrinkToFit="0" wrapText="1"/>
    </xf>
    <xf borderId="1" fillId="3" fontId="320" numFmtId="0" xfId="0" applyAlignment="1" applyBorder="1" applyFont="1">
      <alignment readingOrder="0"/>
    </xf>
    <xf borderId="1" fillId="3" fontId="321" numFmtId="0" xfId="0" applyAlignment="1" applyBorder="1" applyFont="1">
      <alignment horizontal="left"/>
    </xf>
    <xf borderId="1" fillId="3" fontId="322" numFmtId="170" xfId="0" applyAlignment="1" applyBorder="1" applyFont="1" applyNumberFormat="1">
      <alignment readingOrder="0" shrinkToFit="0" wrapText="0"/>
    </xf>
    <xf borderId="1" fillId="3" fontId="323" numFmtId="170" xfId="0" applyAlignment="1" applyBorder="1" applyFont="1" applyNumberFormat="1">
      <alignment horizontal="left" readingOrder="0"/>
    </xf>
    <xf borderId="1" fillId="3" fontId="324" numFmtId="0" xfId="0" applyAlignment="1" applyBorder="1" applyFont="1">
      <alignment readingOrder="0"/>
    </xf>
    <xf borderId="1" fillId="3" fontId="325" numFmtId="167" xfId="0" applyAlignment="1" applyBorder="1" applyFont="1" applyNumberFormat="1">
      <alignment horizontal="left" readingOrder="0"/>
    </xf>
    <xf borderId="1" fillId="3" fontId="5" numFmtId="10" xfId="0" applyAlignment="1" applyBorder="1" applyFont="1" applyNumberFormat="1">
      <alignment horizontal="left"/>
    </xf>
    <xf borderId="1" fillId="3" fontId="5" numFmtId="178" xfId="0" applyAlignment="1" applyBorder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borderId="1" fillId="0" fontId="10" numFmtId="0" xfId="0" applyBorder="1" applyFont="1"/>
    <xf borderId="1" fillId="0" fontId="5" numFmtId="10" xfId="0" applyAlignment="1" applyBorder="1" applyFont="1" applyNumberFormat="1">
      <alignment horizontal="left" readingOrder="0"/>
    </xf>
    <xf borderId="1" fillId="0" fontId="5" numFmtId="166" xfId="0" applyAlignment="1" applyBorder="1" applyFont="1" applyNumberFormat="1">
      <alignment horizontal="left"/>
    </xf>
    <xf borderId="1" fillId="0" fontId="326" numFmtId="166" xfId="0" applyAlignment="1" applyBorder="1" applyFont="1" applyNumberFormat="1">
      <alignment readingOrder="0"/>
    </xf>
    <xf borderId="1" fillId="0" fontId="327" numFmtId="166" xfId="0" applyAlignment="1" applyBorder="1" applyFont="1" applyNumberFormat="1">
      <alignment horizontal="left" readingOrder="0"/>
    </xf>
    <xf borderId="1" fillId="3" fontId="328" numFmtId="166" xfId="0" applyAlignment="1" applyBorder="1" applyFont="1" applyNumberFormat="1">
      <alignment readingOrder="0"/>
    </xf>
    <xf borderId="1" fillId="3" fontId="329" numFmtId="165" xfId="0" applyAlignment="1" applyBorder="1" applyFont="1" applyNumberFormat="1">
      <alignment horizontal="right" readingOrder="0"/>
    </xf>
    <xf borderId="0" fillId="3" fontId="2" numFmtId="0" xfId="0" applyAlignment="1" applyFont="1">
      <alignment horizontal="left" readingOrder="0"/>
    </xf>
    <xf borderId="1" fillId="3" fontId="330" numFmtId="14" xfId="0" applyAlignment="1" applyBorder="1" applyFont="1" applyNumberFormat="1">
      <alignment horizontal="left"/>
    </xf>
    <xf borderId="0" fillId="0" fontId="13" numFmtId="174" xfId="0" applyAlignment="1" applyFont="1" applyNumberFormat="1">
      <alignment readingOrder="0" shrinkToFit="0" wrapText="1"/>
    </xf>
    <xf borderId="1" fillId="3" fontId="5" numFmtId="0" xfId="0" applyAlignment="1" applyBorder="1" applyFont="1">
      <alignment horizontal="center" readingOrder="0"/>
    </xf>
    <xf borderId="1" fillId="3" fontId="331" numFmtId="166" xfId="0" applyAlignment="1" applyBorder="1" applyFont="1" applyNumberFormat="1">
      <alignment horizontal="left" readingOrder="0" shrinkToFit="0" wrapText="0"/>
    </xf>
    <xf borderId="4" fillId="2" fontId="5" numFmtId="49" xfId="0" applyAlignment="1" applyBorder="1" applyFont="1" applyNumberFormat="1">
      <alignment horizontal="right"/>
    </xf>
    <xf borderId="0" fillId="3" fontId="332" numFmtId="0" xfId="0" applyAlignment="1" applyFont="1">
      <alignment readingOrder="0" shrinkToFit="0" wrapText="1"/>
    </xf>
    <xf borderId="1" fillId="3" fontId="2" numFmtId="165" xfId="0" applyAlignment="1" applyBorder="1" applyFont="1" applyNumberFormat="1">
      <alignment horizontal="left" readingOrder="0"/>
    </xf>
    <xf borderId="0" fillId="3" fontId="13" numFmtId="174" xfId="0" applyAlignment="1" applyFont="1" applyNumberFormat="1">
      <alignment readingOrder="0" shrinkToFit="0" wrapText="1"/>
    </xf>
    <xf borderId="0" fillId="3" fontId="333" numFmtId="0" xfId="0" applyAlignment="1" applyFont="1">
      <alignment readingOrder="0" shrinkToFit="0" wrapText="1"/>
    </xf>
    <xf borderId="1" fillId="0" fontId="10" numFmtId="166" xfId="0" applyBorder="1" applyFont="1" applyNumberFormat="1"/>
    <xf borderId="1" fillId="3" fontId="334" numFmtId="166" xfId="0" applyAlignment="1" applyBorder="1" applyFont="1" applyNumberFormat="1">
      <alignment horizontal="left" readingOrder="0" shrinkToFit="0" wrapText="0"/>
    </xf>
    <xf borderId="1" fillId="0" fontId="13" numFmtId="164" xfId="0" applyAlignment="1" applyBorder="1" applyFont="1" applyNumberFormat="1">
      <alignment readingOrder="0"/>
    </xf>
    <xf borderId="0" fillId="3" fontId="335" numFmtId="0" xfId="0" applyAlignment="1" applyFont="1">
      <alignment readingOrder="0"/>
    </xf>
    <xf borderId="0" fillId="3" fontId="10" numFmtId="166" xfId="0" applyFont="1" applyNumberFormat="1"/>
    <xf borderId="0" fillId="3" fontId="336" numFmtId="166" xfId="0" applyFont="1" applyNumberFormat="1"/>
    <xf borderId="0" fillId="3" fontId="337" numFmtId="166" xfId="0" applyAlignment="1" applyFont="1" applyNumberFormat="1">
      <alignment horizontal="left"/>
    </xf>
    <xf borderId="0" fillId="3" fontId="338" numFmtId="166" xfId="0" applyFont="1" applyNumberFormat="1"/>
    <xf borderId="0" fillId="3" fontId="339" numFmtId="166" xfId="0" applyAlignment="1" applyFont="1" applyNumberFormat="1">
      <alignment horizontal="left" readingOrder="0"/>
    </xf>
    <xf borderId="1" fillId="3" fontId="2" numFmtId="165" xfId="0" applyAlignment="1" applyBorder="1" applyFont="1" applyNumberFormat="1">
      <alignment horizontal="right" readingOrder="0"/>
    </xf>
    <xf borderId="1" fillId="3" fontId="2" numFmtId="0" xfId="0" applyAlignment="1" applyBorder="1" applyFont="1">
      <alignment shrinkToFit="0" wrapText="1"/>
    </xf>
    <xf borderId="1" fillId="3" fontId="340" numFmtId="179" xfId="0" applyAlignment="1" applyBorder="1" applyFont="1" applyNumberFormat="1">
      <alignment horizontal="left" readingOrder="0"/>
    </xf>
    <xf borderId="1" fillId="0" fontId="341" numFmtId="164" xfId="0" applyAlignment="1" applyBorder="1" applyFont="1" applyNumberFormat="1">
      <alignment readingOrder="0"/>
    </xf>
    <xf borderId="1" fillId="0" fontId="2" numFmtId="14" xfId="0" applyAlignment="1" applyBorder="1" applyFont="1" applyNumberFormat="1">
      <alignment horizontal="left"/>
    </xf>
    <xf borderId="1" fillId="3" fontId="342" numFmtId="166" xfId="0" applyAlignment="1" applyBorder="1" applyFont="1" applyNumberFormat="1">
      <alignment readingOrder="0" shrinkToFit="0" wrapText="0"/>
    </xf>
    <xf borderId="1" fillId="3" fontId="343" numFmtId="166" xfId="0" applyAlignment="1" applyBorder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wrapText="1"/>
    </xf>
    <xf borderId="1" fillId="3" fontId="344" numFmtId="166" xfId="0" applyAlignment="1" applyBorder="1" applyFont="1" applyNumberFormat="1">
      <alignment readingOrder="0"/>
    </xf>
    <xf borderId="1" fillId="3" fontId="5" numFmtId="170" xfId="0" applyAlignment="1" applyBorder="1" applyFont="1" applyNumberFormat="1">
      <alignment horizontal="left" readingOrder="0"/>
    </xf>
    <xf borderId="1" fillId="3" fontId="55" numFmtId="167" xfId="0" applyAlignment="1" applyBorder="1" applyFont="1" applyNumberFormat="1">
      <alignment readingOrder="0" shrinkToFit="0" vertical="top" wrapText="0"/>
    </xf>
    <xf borderId="1" fillId="0" fontId="345" numFmtId="167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right" readingOrder="0"/>
    </xf>
    <xf borderId="1" fillId="0" fontId="346" numFmtId="165" xfId="0" applyAlignment="1" applyBorder="1" applyFont="1" applyNumberFormat="1">
      <alignment horizontal="left" readingOrder="0"/>
    </xf>
    <xf borderId="0" fillId="3" fontId="2" numFmtId="167" xfId="0" applyAlignment="1" applyFont="1" applyNumberFormat="1">
      <alignment horizontal="left" readingOrder="0"/>
    </xf>
    <xf borderId="0" fillId="0" fontId="13" numFmtId="174" xfId="0" applyAlignment="1" applyFont="1" applyNumberFormat="1">
      <alignment readingOrder="0"/>
    </xf>
    <xf borderId="1" fillId="0" fontId="347" numFmtId="0" xfId="0" applyAlignment="1" applyBorder="1" applyFont="1">
      <alignment shrinkToFit="0" wrapText="1"/>
    </xf>
    <xf borderId="1" fillId="3" fontId="55" numFmtId="167" xfId="0" applyAlignment="1" applyBorder="1" applyFont="1" applyNumberFormat="1">
      <alignment readingOrder="0" shrinkToFit="0" vertical="top" wrapText="0"/>
    </xf>
    <xf borderId="1" fillId="3" fontId="55" numFmtId="167" xfId="0" applyAlignment="1" applyBorder="1" applyFont="1" applyNumberFormat="1">
      <alignment readingOrder="0"/>
    </xf>
    <xf borderId="1" fillId="3" fontId="268" numFmtId="0" xfId="0" applyAlignment="1" applyBorder="1" applyFont="1">
      <alignment readingOrder="0"/>
    </xf>
    <xf borderId="0" fillId="3" fontId="268" numFmtId="49" xfId="0" applyAlignment="1" applyFont="1" applyNumberFormat="1">
      <alignment readingOrder="0"/>
    </xf>
    <xf borderId="1" fillId="3" fontId="55" numFmtId="166" xfId="0" applyAlignment="1" applyBorder="1" applyFont="1" applyNumberFormat="1">
      <alignment horizontal="left" readingOrder="0" shrinkToFit="0" wrapText="0"/>
    </xf>
    <xf borderId="1" fillId="3" fontId="5" numFmtId="175" xfId="0" applyAlignment="1" applyBorder="1" applyFont="1" applyNumberFormat="1">
      <alignment horizontal="left" readingOrder="0"/>
    </xf>
    <xf borderId="0" fillId="3" fontId="55" numFmtId="170" xfId="0" applyAlignment="1" applyFont="1" applyNumberFormat="1">
      <alignment horizontal="left" readingOrder="0" shrinkToFit="0" wrapText="0"/>
    </xf>
    <xf borderId="0" fillId="3" fontId="5" numFmtId="169" xfId="0" applyAlignment="1" applyFont="1" applyNumberFormat="1">
      <alignment horizontal="left" readingOrder="0"/>
    </xf>
    <xf borderId="1" fillId="3" fontId="348" numFmtId="166" xfId="0" applyAlignment="1" applyBorder="1" applyFont="1" applyNumberFormat="1">
      <alignment readingOrder="0" shrinkToFit="0" wrapText="0"/>
    </xf>
    <xf borderId="1" fillId="3" fontId="29" numFmtId="0" xfId="0" applyAlignment="1" applyBorder="1" applyFont="1">
      <alignment readingOrder="0"/>
    </xf>
    <xf borderId="0" fillId="3" fontId="29" numFmtId="49" xfId="0" applyAlignment="1" applyFont="1" applyNumberFormat="1">
      <alignment readingOrder="0"/>
    </xf>
    <xf borderId="1" fillId="3" fontId="55" numFmtId="172" xfId="0" applyAlignment="1" applyBorder="1" applyFont="1" applyNumberFormat="1">
      <alignment readingOrder="0" shrinkToFit="0" wrapText="0"/>
    </xf>
    <xf borderId="1" fillId="3" fontId="349" numFmtId="166" xfId="0" applyAlignment="1" applyBorder="1" applyFont="1" applyNumberFormat="1">
      <alignment readingOrder="0" shrinkToFit="0" wrapText="0"/>
    </xf>
    <xf borderId="1" fillId="3" fontId="55" numFmtId="170" xfId="0" applyAlignment="1" applyBorder="1" applyFont="1" applyNumberFormat="1">
      <alignment horizontal="left" readingOrder="0" shrinkToFit="0" vertical="top" wrapText="0"/>
    </xf>
    <xf borderId="1" fillId="3" fontId="55" numFmtId="169" xfId="0" applyAlignment="1" applyBorder="1" applyFont="1" applyNumberFormat="1">
      <alignment readingOrder="0" vertical="top"/>
    </xf>
    <xf borderId="1" fillId="3" fontId="350" numFmtId="166" xfId="0" applyAlignment="1" applyBorder="1" applyFont="1" applyNumberFormat="1">
      <alignment horizontal="left" readingOrder="0" shrinkToFit="0" wrapText="0"/>
    </xf>
    <xf borderId="1" fillId="3" fontId="351" numFmtId="0" xfId="0" applyAlignment="1" applyBorder="1" applyFont="1">
      <alignment readingOrder="0" shrinkToFit="0" wrapText="1"/>
    </xf>
    <xf borderId="0" fillId="0" fontId="2" numFmtId="0" xfId="0" applyAlignment="1" applyFont="1">
      <alignment vertical="bottom"/>
    </xf>
    <xf borderId="1" fillId="3" fontId="352" numFmtId="0" xfId="0" applyAlignment="1" applyBorder="1" applyFont="1">
      <alignment readingOrder="0"/>
    </xf>
    <xf borderId="1" fillId="3" fontId="353" numFmtId="0" xfId="0" applyAlignment="1" applyBorder="1" applyFont="1">
      <alignment readingOrder="0"/>
    </xf>
    <xf borderId="1" fillId="3" fontId="354" numFmtId="170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3" fontId="355" numFmtId="170" xfId="0" applyAlignment="1" applyBorder="1" applyFont="1" applyNumberFormat="1">
      <alignment horizontal="left" readingOrder="0" shrinkToFit="0" wrapText="0"/>
    </xf>
    <xf borderId="1" fillId="3" fontId="356" numFmtId="166" xfId="0" applyAlignment="1" applyBorder="1" applyFont="1" applyNumberFormat="1">
      <alignment horizontal="left" readingOrder="0"/>
    </xf>
    <xf borderId="1" fillId="3" fontId="357" numFmtId="166" xfId="0" applyAlignment="1" applyBorder="1" applyFont="1" applyNumberFormat="1">
      <alignment readingOrder="0"/>
    </xf>
    <xf borderId="1" fillId="3" fontId="5" numFmtId="14" xfId="0" applyAlignment="1" applyBorder="1" applyFont="1" applyNumberFormat="1">
      <alignment horizontal="left"/>
    </xf>
    <xf borderId="1" fillId="0" fontId="358" numFmtId="166" xfId="0" applyAlignment="1" applyBorder="1" applyFont="1" applyNumberFormat="1">
      <alignment horizontal="left" readingOrder="0"/>
    </xf>
    <xf borderId="1" fillId="3" fontId="359" numFmtId="166" xfId="0" applyAlignment="1" applyBorder="1" applyFont="1" applyNumberFormat="1">
      <alignment horizontal="left" readingOrder="0"/>
    </xf>
    <xf borderId="1" fillId="0" fontId="360" numFmtId="0" xfId="0" applyAlignment="1" applyBorder="1" applyFont="1">
      <alignment horizontal="left" readingOrder="0" shrinkToFit="0" wrapText="0"/>
    </xf>
    <xf borderId="1" fillId="0" fontId="2" numFmtId="170" xfId="0" applyAlignment="1" applyBorder="1" applyFont="1" applyNumberFormat="1">
      <alignment horizontal="left" readingOrder="0"/>
    </xf>
    <xf borderId="1" fillId="3" fontId="361" numFmtId="0" xfId="0" applyAlignment="1" applyBorder="1" applyFont="1">
      <alignment horizontal="left"/>
    </xf>
    <xf borderId="1" fillId="3" fontId="362" numFmtId="166" xfId="0" applyBorder="1" applyFont="1" applyNumberFormat="1"/>
    <xf borderId="1" fillId="3" fontId="363" numFmtId="166" xfId="0" applyAlignment="1" applyBorder="1" applyFont="1" applyNumberFormat="1">
      <alignment horizontal="left"/>
    </xf>
    <xf borderId="1" fillId="3" fontId="364" numFmtId="166" xfId="0" applyAlignment="1" applyBorder="1" applyFont="1" applyNumberFormat="1">
      <alignment readingOrder="0" shrinkToFit="0" wrapText="0"/>
    </xf>
    <xf borderId="1" fillId="3" fontId="2" numFmtId="167" xfId="0" applyAlignment="1" applyBorder="1" applyFont="1" applyNumberFormat="1">
      <alignment horizontal="left" readingOrder="0"/>
    </xf>
    <xf borderId="1" fillId="3" fontId="2" numFmtId="168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shrinkToFit="0" wrapText="1"/>
    </xf>
    <xf borderId="0" fillId="0" fontId="2" numFmtId="174" xfId="0" applyAlignment="1" applyFont="1" applyNumberFormat="1">
      <alignment shrinkToFit="0" vertical="bottom" wrapText="1"/>
    </xf>
    <xf borderId="1" fillId="3" fontId="70" numFmtId="166" xfId="0" applyBorder="1" applyFont="1" applyNumberFormat="1"/>
    <xf borderId="1" fillId="0" fontId="365" numFmtId="170" xfId="0" applyAlignment="1" applyBorder="1" applyFont="1" applyNumberFormat="1">
      <alignment readingOrder="0"/>
    </xf>
    <xf borderId="1" fillId="0" fontId="13" numFmtId="173" xfId="0" applyAlignment="1" applyBorder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66" numFmtId="0" xfId="0" applyAlignment="1" applyFont="1">
      <alignment readingOrder="0" vertical="bottom"/>
    </xf>
    <xf borderId="0" fillId="0" fontId="367" numFmtId="0" xfId="0" applyAlignment="1" applyFont="1">
      <alignment readingOrder="0" shrinkToFit="0" vertical="bottom" wrapText="1"/>
    </xf>
    <xf borderId="1" fillId="0" fontId="368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10" xfId="0" applyAlignment="1" applyBorder="1" applyFont="1" applyNumberFormat="1">
      <alignment readingOrder="0" vertical="bottom"/>
    </xf>
    <xf borderId="1" fillId="0" fontId="2" numFmtId="166" xfId="0" applyAlignment="1" applyBorder="1" applyFont="1" applyNumberFormat="1">
      <alignment vertical="bottom"/>
    </xf>
    <xf borderId="1" fillId="0" fontId="369" numFmtId="166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370" numFmtId="166" xfId="0" applyAlignment="1" applyBorder="1" applyFont="1" applyNumberFormat="1">
      <alignment readingOrder="0" vertical="bottom"/>
    </xf>
    <xf borderId="1" fillId="0" fontId="371" numFmtId="170" xfId="0" applyAlignment="1" applyBorder="1" applyFont="1" applyNumberFormat="1">
      <alignment readingOrder="0" vertical="bottom"/>
    </xf>
    <xf borderId="1" fillId="0" fontId="2" numFmtId="165" xfId="0" applyAlignment="1" applyBorder="1" applyFont="1" applyNumberFormat="1">
      <alignment vertical="bottom"/>
    </xf>
    <xf borderId="1" fillId="3" fontId="372" numFmtId="176" xfId="0" applyAlignment="1" applyBorder="1" applyFont="1" applyNumberFormat="1">
      <alignment horizontal="left" readingOrder="0"/>
    </xf>
    <xf borderId="1" fillId="3" fontId="5" numFmtId="165" xfId="0" applyAlignment="1" applyBorder="1" applyFont="1" applyNumberFormat="1">
      <alignment horizontal="right" readingOrder="0"/>
    </xf>
    <xf borderId="0" fillId="0" fontId="373" numFmtId="0" xfId="0" applyAlignment="1" applyFont="1">
      <alignment readingOrder="0" shrinkToFit="0" wrapText="1"/>
    </xf>
    <xf borderId="1" fillId="0" fontId="5" numFmtId="49" xfId="0" applyAlignment="1" applyBorder="1" applyFont="1" applyNumberFormat="1">
      <alignment horizontal="left" readingOrder="0"/>
    </xf>
    <xf borderId="1" fillId="0" fontId="5" numFmtId="173" xfId="0" applyAlignment="1" applyBorder="1" applyFont="1" applyNumberFormat="1">
      <alignment horizontal="left" readingOrder="0"/>
    </xf>
    <xf borderId="0" fillId="3" fontId="2" numFmtId="169" xfId="0" applyAlignment="1" applyFont="1" applyNumberFormat="1">
      <alignment horizontal="left"/>
    </xf>
    <xf borderId="1" fillId="3" fontId="374" numFmtId="166" xfId="0" applyAlignment="1" applyBorder="1" applyFont="1" applyNumberFormat="1">
      <alignment horizontal="left" readingOrder="0" shrinkToFit="0" wrapText="0"/>
    </xf>
    <xf borderId="0" fillId="0" fontId="375" numFmtId="0" xfId="0" applyAlignment="1" applyFont="1">
      <alignment readingOrder="0" shrinkToFit="0" wrapText="1"/>
    </xf>
    <xf borderId="1" fillId="3" fontId="55" numFmtId="0" xfId="0" applyAlignment="1" applyBorder="1" applyFont="1">
      <alignment horizontal="left" readingOrder="0"/>
    </xf>
    <xf borderId="1" fillId="3" fontId="5" numFmtId="176" xfId="0" applyAlignment="1" applyBorder="1" applyFont="1" applyNumberFormat="1">
      <alignment horizontal="left" readingOrder="0"/>
    </xf>
    <xf borderId="1" fillId="3" fontId="70" numFmtId="170" xfId="0" applyAlignment="1" applyBorder="1" applyFont="1" applyNumberFormat="1">
      <alignment horizontal="left" readingOrder="0"/>
    </xf>
    <xf borderId="1" fillId="0" fontId="2" numFmtId="0" xfId="0" applyBorder="1" applyFont="1"/>
    <xf borderId="0" fillId="3" fontId="5" numFmtId="169" xfId="0" applyAlignment="1" applyFont="1" applyNumberFormat="1">
      <alignment horizontal="left"/>
    </xf>
    <xf borderId="0" fillId="3" fontId="2" numFmtId="167" xfId="0" applyAlignment="1" applyFont="1" applyNumberFormat="1">
      <alignment horizontal="left"/>
    </xf>
    <xf borderId="1" fillId="3" fontId="376" numFmtId="170" xfId="0" applyAlignment="1" applyBorder="1" applyFont="1" applyNumberFormat="1">
      <alignment horizontal="left" readingOrder="0"/>
    </xf>
    <xf borderId="1" fillId="3" fontId="2" numFmtId="11" xfId="0" applyAlignment="1" applyBorder="1" applyFont="1" applyNumberFormat="1">
      <alignment horizontal="left" readingOrder="0"/>
    </xf>
    <xf borderId="0" fillId="0" fontId="13" numFmtId="0" xfId="0" applyAlignment="1" applyFont="1">
      <alignment readingOrder="0" shrinkToFit="0" wrapText="0"/>
    </xf>
    <xf borderId="1" fillId="3" fontId="377" numFmtId="166" xfId="0" applyAlignment="1" applyBorder="1" applyFont="1" applyNumberFormat="1">
      <alignment horizontal="left" readingOrder="0" shrinkToFit="0" wrapText="0"/>
    </xf>
    <xf borderId="1" fillId="3" fontId="70" numFmtId="167" xfId="0" applyAlignment="1" applyBorder="1" applyFont="1" applyNumberFormat="1">
      <alignment readingOrder="0" shrinkToFit="0" wrapText="0"/>
    </xf>
    <xf borderId="1" fillId="3" fontId="378" numFmtId="0" xfId="0" applyAlignment="1" applyBorder="1" applyFont="1">
      <alignment horizontal="left" readingOrder="0"/>
    </xf>
    <xf borderId="1" fillId="3" fontId="379" numFmtId="166" xfId="0" applyAlignment="1" applyBorder="1" applyFont="1" applyNumberFormat="1">
      <alignment horizontal="left" readingOrder="0" shrinkToFit="0" vertical="top" wrapText="0"/>
    </xf>
    <xf borderId="1" fillId="3" fontId="70" numFmtId="167" xfId="0" applyAlignment="1" applyBorder="1" applyFont="1" applyNumberFormat="1">
      <alignment readingOrder="0" vertical="top"/>
    </xf>
    <xf borderId="1" fillId="3" fontId="380" numFmtId="166" xfId="0" applyAlignment="1" applyBorder="1" applyFont="1" applyNumberFormat="1">
      <alignment horizontal="left" readingOrder="0" shrinkToFit="0" vertical="top" wrapText="0"/>
    </xf>
    <xf borderId="1" fillId="3" fontId="55" numFmtId="0" xfId="0" applyAlignment="1" applyBorder="1" applyFont="1">
      <alignment readingOrder="0" shrinkToFit="0" vertical="top" wrapText="0"/>
    </xf>
    <xf borderId="1" fillId="3" fontId="381" numFmtId="14" xfId="0" applyAlignment="1" applyBorder="1" applyFont="1" applyNumberFormat="1">
      <alignment horizontal="left" readingOrder="0" shrinkToFit="0" wrapText="0"/>
    </xf>
    <xf borderId="1" fillId="3" fontId="382" numFmtId="166" xfId="0" applyAlignment="1" applyBorder="1" applyFont="1" applyNumberFormat="1">
      <alignment horizontal="left" readingOrder="0" shrinkToFit="0" wrapText="0"/>
    </xf>
    <xf borderId="0" fillId="0" fontId="383" numFmtId="0" xfId="0" applyAlignment="1" applyFont="1">
      <alignment horizontal="left"/>
    </xf>
    <xf borderId="1" fillId="3" fontId="384" numFmtId="166" xfId="0" applyBorder="1" applyFont="1" applyNumberFormat="1"/>
    <xf borderId="11" fillId="3" fontId="5" numFmtId="0" xfId="0" applyAlignment="1" applyBorder="1" applyFont="1">
      <alignment horizontal="left" readingOrder="0" shrinkToFit="0" wrapText="1"/>
    </xf>
    <xf borderId="11" fillId="3" fontId="2" numFmtId="0" xfId="0" applyAlignment="1" applyBorder="1" applyFont="1">
      <alignment horizontal="left"/>
    </xf>
    <xf borderId="11" fillId="3" fontId="2" numFmtId="0" xfId="0" applyAlignment="1" applyBorder="1" applyFont="1">
      <alignment horizontal="left" readingOrder="0"/>
    </xf>
    <xf borderId="11" fillId="0" fontId="385" numFmtId="0" xfId="0" applyAlignment="1" applyBorder="1" applyFont="1">
      <alignment readingOrder="0"/>
    </xf>
    <xf borderId="12" fillId="0" fontId="386" numFmtId="0" xfId="0" applyAlignment="1" applyBorder="1" applyFont="1">
      <alignment readingOrder="0"/>
    </xf>
    <xf borderId="11" fillId="0" fontId="5" numFmtId="0" xfId="0" applyAlignment="1" applyBorder="1" applyFont="1">
      <alignment horizontal="left" shrinkToFit="0" wrapText="1"/>
    </xf>
    <xf borderId="11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 readingOrder="0"/>
    </xf>
    <xf borderId="11" fillId="0" fontId="387" numFmtId="0" xfId="0" applyAlignment="1" applyBorder="1" applyFont="1">
      <alignment horizontal="left" shrinkToFit="0" wrapText="1"/>
    </xf>
    <xf borderId="12" fillId="0" fontId="388" numFmtId="0" xfId="0" applyAlignment="1" applyBorder="1" applyFont="1">
      <alignment horizontal="left" shrinkToFit="0" wrapText="1"/>
    </xf>
    <xf borderId="11" fillId="3" fontId="5" numFmtId="0" xfId="0" applyAlignment="1" applyBorder="1" applyFont="1">
      <alignment horizontal="left"/>
    </xf>
    <xf borderId="11" fillId="3" fontId="5" numFmtId="0" xfId="0" applyAlignment="1" applyBorder="1" applyFont="1">
      <alignment horizontal="left" readingOrder="0"/>
    </xf>
    <xf borderId="11" fillId="3" fontId="389" numFmtId="0" xfId="0" applyAlignment="1" applyBorder="1" applyFont="1">
      <alignment horizontal="left" readingOrder="0" shrinkToFit="0" wrapText="1"/>
    </xf>
    <xf borderId="12" fillId="3" fontId="390" numFmtId="0" xfId="0" applyAlignment="1" applyBorder="1" applyFont="1">
      <alignment horizontal="left" readingOrder="0" shrinkToFit="0" wrapText="1"/>
    </xf>
    <xf borderId="1" fillId="3" fontId="391" numFmtId="168" xfId="0" applyAlignment="1" applyBorder="1" applyFont="1" applyNumberFormat="1">
      <alignment horizontal="left" readingOrder="0"/>
    </xf>
    <xf borderId="11" fillId="0" fontId="5" numFmtId="0" xfId="0" applyAlignment="1" applyBorder="1" applyFont="1">
      <alignment horizontal="left" readingOrder="0" shrinkToFit="0" wrapText="1"/>
    </xf>
    <xf borderId="11" fillId="0" fontId="392" numFmtId="0" xfId="0" applyAlignment="1" applyBorder="1" applyFont="1">
      <alignment horizontal="left" readingOrder="0" shrinkToFit="0" wrapText="1"/>
    </xf>
    <xf borderId="12" fillId="0" fontId="393" numFmtId="0" xfId="0" applyAlignment="1" applyBorder="1" applyFont="1">
      <alignment horizontal="left" readingOrder="0" shrinkToFit="0" wrapText="1"/>
    </xf>
    <xf borderId="11" fillId="0" fontId="13" numFmtId="0" xfId="0" applyAlignment="1" applyBorder="1" applyFont="1">
      <alignment readingOrder="0" shrinkToFit="0" wrapText="1"/>
    </xf>
    <xf borderId="11" fillId="0" fontId="13" numFmtId="0" xfId="0" applyBorder="1" applyFont="1"/>
    <xf borderId="11" fillId="0" fontId="13" numFmtId="0" xfId="0" applyAlignment="1" applyBorder="1" applyFont="1">
      <alignment readingOrder="0"/>
    </xf>
    <xf borderId="11" fillId="0" fontId="394" numFmtId="0" xfId="0" applyAlignment="1" applyBorder="1" applyFont="1">
      <alignment readingOrder="0" shrinkToFit="0" wrapText="0"/>
    </xf>
    <xf borderId="12" fillId="0" fontId="395" numFmtId="0" xfId="0" applyAlignment="1" applyBorder="1" applyFont="1">
      <alignment readingOrder="0" shrinkToFit="0" wrapText="0"/>
    </xf>
    <xf borderId="11" fillId="3" fontId="396" numFmtId="0" xfId="0" applyAlignment="1" applyBorder="1" applyFont="1">
      <alignment horizontal="left" readingOrder="0" shrinkToFit="0" wrapText="1"/>
    </xf>
    <xf borderId="1" fillId="3" fontId="5" numFmtId="167" xfId="0" applyAlignment="1" applyBorder="1" applyFont="1" applyNumberFormat="1">
      <alignment readingOrder="0"/>
    </xf>
    <xf borderId="11" fillId="0" fontId="5" numFmtId="0" xfId="0" applyAlignment="1" applyBorder="1" applyFont="1">
      <alignment horizontal="left"/>
    </xf>
    <xf borderId="11" fillId="0" fontId="5" numFmtId="0" xfId="0" applyAlignment="1" applyBorder="1" applyFont="1">
      <alignment horizontal="left" readingOrder="0"/>
    </xf>
    <xf borderId="11" fillId="0" fontId="397" numFmtId="0" xfId="0" applyAlignment="1" applyBorder="1" applyFont="1">
      <alignment horizontal="left" readingOrder="0" shrinkToFit="0" wrapText="1"/>
    </xf>
    <xf borderId="12" fillId="0" fontId="398" numFmtId="0" xfId="0" applyAlignment="1" applyBorder="1" applyFont="1">
      <alignment horizontal="left" readingOrder="0" shrinkToFit="0" wrapText="1"/>
    </xf>
    <xf borderId="1" fillId="0" fontId="5" numFmtId="175" xfId="0" applyAlignment="1" applyBorder="1" applyFont="1" applyNumberFormat="1">
      <alignment horizontal="left" readingOrder="0"/>
    </xf>
    <xf borderId="11" fillId="3" fontId="13" numFmtId="0" xfId="0" applyAlignment="1" applyBorder="1" applyFont="1">
      <alignment readingOrder="0" shrinkToFit="0" wrapText="1"/>
    </xf>
    <xf borderId="11" fillId="3" fontId="399" numFmtId="0" xfId="0" applyAlignment="1" applyBorder="1" applyFont="1">
      <alignment readingOrder="0"/>
    </xf>
    <xf borderId="12" fillId="3" fontId="400" numFmtId="0" xfId="0" applyAlignment="1" applyBorder="1" applyFont="1">
      <alignment readingOrder="0"/>
    </xf>
    <xf borderId="11" fillId="3" fontId="401" numFmtId="0" xfId="0" applyAlignment="1" applyBorder="1" applyFont="1">
      <alignment readingOrder="0"/>
    </xf>
    <xf borderId="12" fillId="3" fontId="402" numFmtId="0" xfId="0" applyAlignment="1" applyBorder="1" applyFont="1">
      <alignment readingOrder="0"/>
    </xf>
    <xf borderId="12" fillId="3" fontId="403" numFmtId="0" xfId="0" applyAlignment="1" applyBorder="1" applyFont="1">
      <alignment readingOrder="0" shrinkToFit="0" wrapText="1"/>
    </xf>
    <xf borderId="11" fillId="0" fontId="404" numFmtId="0" xfId="0" applyAlignment="1" applyBorder="1" applyFont="1">
      <alignment horizontal="left" readingOrder="0" shrinkToFit="0" wrapText="1"/>
    </xf>
    <xf borderId="12" fillId="3" fontId="405" numFmtId="0" xfId="0" applyAlignment="1" applyBorder="1" applyFont="1">
      <alignment readingOrder="0"/>
    </xf>
    <xf borderId="1" fillId="3" fontId="85" numFmtId="0" xfId="0" applyAlignment="1" applyBorder="1" applyFont="1">
      <alignment horizontal="left" readingOrder="0"/>
    </xf>
    <xf borderId="11" fillId="3" fontId="406" numFmtId="0" xfId="0" applyAlignment="1" applyBorder="1" applyFont="1">
      <alignment readingOrder="0"/>
    </xf>
    <xf borderId="12" fillId="0" fontId="407" numFmtId="0" xfId="0" applyAlignment="1" applyBorder="1" applyFont="1">
      <alignment readingOrder="0"/>
    </xf>
    <xf borderId="1" fillId="3" fontId="70" numFmtId="167" xfId="0" applyAlignment="1" applyBorder="1" applyFont="1" applyNumberFormat="1">
      <alignment readingOrder="0" shrinkToFit="0" wrapText="0"/>
    </xf>
    <xf borderId="11" fillId="3" fontId="13" numFmtId="0" xfId="0" applyAlignment="1" applyBorder="1" applyFont="1">
      <alignment readingOrder="0"/>
    </xf>
    <xf borderId="1" fillId="3" fontId="408" numFmtId="166" xfId="0" applyAlignment="1" applyBorder="1" applyFont="1" applyNumberFormat="1">
      <alignment horizontal="left" readingOrder="0" shrinkToFit="0" vertical="top" wrapText="0"/>
    </xf>
    <xf borderId="11" fillId="3" fontId="373" numFmtId="174" xfId="0" applyAlignment="1" applyBorder="1" applyFont="1" applyNumberFormat="1">
      <alignment readingOrder="0" shrinkToFit="0" wrapText="1"/>
    </xf>
    <xf borderId="1" fillId="3" fontId="70" numFmtId="166" xfId="0" applyAlignment="1" applyBorder="1" applyFont="1" applyNumberFormat="1">
      <alignment horizontal="left" readingOrder="0" shrinkToFit="0" wrapText="0"/>
    </xf>
    <xf borderId="11" fillId="3" fontId="5" numFmtId="0" xfId="0" applyAlignment="1" applyBorder="1" applyFont="1">
      <alignment horizontal="left" shrinkToFit="0" wrapText="1"/>
    </xf>
    <xf borderId="11" fillId="3" fontId="409" numFmtId="0" xfId="0" applyAlignment="1" applyBorder="1" applyFont="1">
      <alignment horizontal="left" shrinkToFit="0" wrapText="1"/>
    </xf>
    <xf borderId="12" fillId="3" fontId="410" numFmtId="0" xfId="0" applyAlignment="1" applyBorder="1" applyFont="1">
      <alignment horizontal="left" shrinkToFit="0" wrapText="1"/>
    </xf>
    <xf borderId="1" fillId="3" fontId="411" numFmtId="166" xfId="0" applyAlignment="1" applyBorder="1" applyFont="1" applyNumberFormat="1">
      <alignment horizontal="left" readingOrder="0" shrinkToFit="0" vertical="top" wrapText="0"/>
    </xf>
    <xf borderId="1" fillId="3" fontId="55" numFmtId="167" xfId="0" applyAlignment="1" applyBorder="1" applyFont="1" applyNumberFormat="1">
      <alignment readingOrder="0" vertical="top"/>
    </xf>
    <xf borderId="1" fillId="3" fontId="55" numFmtId="166" xfId="0" applyAlignment="1" applyBorder="1" applyFont="1" applyNumberFormat="1">
      <alignment readingOrder="0" shrinkToFit="0" vertical="top" wrapText="0"/>
    </xf>
    <xf borderId="11" fillId="3" fontId="412" numFmtId="0" xfId="0" applyAlignment="1" applyBorder="1" applyFont="1">
      <alignment readingOrder="0" shrinkToFit="0" wrapText="1"/>
    </xf>
    <xf borderId="12" fillId="3" fontId="413" numFmtId="0" xfId="0" applyAlignment="1" applyBorder="1" applyFont="1">
      <alignment horizontal="left" readingOrder="0" shrinkToFit="0" wrapText="1"/>
    </xf>
    <xf borderId="12" fillId="0" fontId="414" numFmtId="0" xfId="0" applyAlignment="1" applyBorder="1" applyFont="1">
      <alignment readingOrder="0"/>
    </xf>
    <xf borderId="1" fillId="3" fontId="415" numFmtId="166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1" fillId="3" fontId="416" numFmtId="167" xfId="0" applyAlignment="1" applyBorder="1" applyFont="1" applyNumberFormat="1">
      <alignment horizontal="left"/>
    </xf>
    <xf borderId="1" fillId="0" fontId="417" numFmtId="170" xfId="0" applyAlignment="1" applyBorder="1" applyFont="1" applyNumberFormat="1">
      <alignment horizontal="left" readingOrder="0"/>
    </xf>
    <xf borderId="11" fillId="3" fontId="123" numFmtId="0" xfId="0" applyAlignment="1" applyBorder="1" applyFont="1">
      <alignment readingOrder="0"/>
    </xf>
    <xf borderId="11" fillId="3" fontId="5" numFmtId="0" xfId="0" applyAlignment="1" applyBorder="1" applyFont="1">
      <alignment horizontal="left" readingOrder="0"/>
    </xf>
    <xf borderId="1" fillId="3" fontId="418" numFmtId="0" xfId="0" applyAlignment="1" applyBorder="1" applyFont="1">
      <alignment readingOrder="0" shrinkToFit="0" wrapText="1"/>
    </xf>
    <xf borderId="1" fillId="3" fontId="55" numFmtId="170" xfId="0" applyAlignment="1" applyBorder="1" applyFont="1" applyNumberFormat="1">
      <alignment readingOrder="0" shrinkToFit="0" wrapText="0"/>
    </xf>
    <xf borderId="1" fillId="3" fontId="5" numFmtId="173" xfId="0" applyAlignment="1" applyBorder="1" applyFont="1" applyNumberFormat="1">
      <alignment horizontal="left" readingOrder="0"/>
    </xf>
    <xf borderId="1" fillId="3" fontId="55" numFmtId="178" xfId="0" applyAlignment="1" applyBorder="1" applyFont="1" applyNumberFormat="1">
      <alignment horizontal="left" readingOrder="0" shrinkToFit="0" wrapText="0"/>
    </xf>
    <xf borderId="1" fillId="3" fontId="5" numFmtId="180" xfId="0" applyAlignment="1" applyBorder="1" applyFont="1" applyNumberFormat="1">
      <alignment horizontal="left" readingOrder="0"/>
    </xf>
    <xf borderId="1" fillId="3" fontId="55" numFmtId="166" xfId="0" applyAlignment="1" applyBorder="1" applyFont="1" applyNumberFormat="1">
      <alignment readingOrder="0" shrinkToFit="0" vertical="top" wrapText="0"/>
    </xf>
    <xf borderId="11" fillId="3" fontId="13" numFmtId="0" xfId="0" applyAlignment="1" applyBorder="1" applyFont="1">
      <alignment readingOrder="0"/>
    </xf>
    <xf borderId="1" fillId="3" fontId="419" numFmtId="166" xfId="0" applyAlignment="1" applyBorder="1" applyFont="1" applyNumberFormat="1">
      <alignment horizontal="left" readingOrder="0" shrinkToFit="0" wrapText="0"/>
    </xf>
    <xf borderId="1" fillId="3" fontId="420" numFmtId="0" xfId="0" applyAlignment="1" applyBorder="1" applyFont="1">
      <alignment readingOrder="0"/>
    </xf>
    <xf borderId="1" fillId="3" fontId="421" numFmtId="0" xfId="0" applyAlignment="1" applyBorder="1" applyFont="1">
      <alignment horizontal="left" readingOrder="0" shrinkToFit="0" wrapText="1"/>
    </xf>
    <xf borderId="1" fillId="3" fontId="422" numFmtId="0" xfId="0" applyAlignment="1" applyBorder="1" applyFont="1">
      <alignment horizontal="left" readingOrder="0" shrinkToFit="0" wrapText="0"/>
    </xf>
    <xf borderId="11" fillId="0" fontId="13" numFmtId="174" xfId="0" applyAlignment="1" applyBorder="1" applyFont="1" applyNumberFormat="1">
      <alignment readingOrder="0"/>
    </xf>
    <xf borderId="1" fillId="3" fontId="423" numFmtId="0" xfId="0" applyAlignment="1" applyBorder="1" applyFont="1">
      <alignment horizontal="left" readingOrder="0"/>
    </xf>
    <xf borderId="1" fillId="3" fontId="55" numFmtId="167" xfId="0" applyBorder="1" applyFont="1" applyNumberFormat="1"/>
    <xf borderId="11" fillId="0" fontId="373" numFmtId="0" xfId="0" applyAlignment="1" applyBorder="1" applyFont="1">
      <alignment readingOrder="0" shrinkToFit="0" wrapText="1"/>
    </xf>
    <xf borderId="11" fillId="0" fontId="383" numFmtId="0" xfId="0" applyAlignment="1" applyBorder="1" applyFont="1">
      <alignment horizontal="left"/>
    </xf>
    <xf borderId="11" fillId="0" fontId="383" numFmtId="0" xfId="0" applyAlignment="1" applyBorder="1" applyFont="1">
      <alignment horizontal="left" readingOrder="0"/>
    </xf>
    <xf borderId="11" fillId="0" fontId="424" numFmtId="0" xfId="0" applyAlignment="1" applyBorder="1" applyFont="1">
      <alignment readingOrder="0" shrinkToFit="0" wrapText="1"/>
    </xf>
    <xf borderId="12" fillId="0" fontId="425" numFmtId="0" xfId="0" applyAlignment="1" applyBorder="1" applyFont="1">
      <alignment readingOrder="0" shrinkToFit="0" wrapText="1"/>
    </xf>
    <xf borderId="1" fillId="0" fontId="426" numFmtId="0" xfId="0" applyAlignment="1" applyBorder="1" applyFont="1">
      <alignment readingOrder="0" shrinkToFit="0" wrapText="1"/>
    </xf>
    <xf borderId="1" fillId="0" fontId="383" numFmtId="0" xfId="0" applyAlignment="1" applyBorder="1" applyFont="1">
      <alignment horizontal="left" readingOrder="0" shrinkToFit="0" wrapText="1"/>
    </xf>
    <xf borderId="1" fillId="0" fontId="383" numFmtId="0" xfId="0" applyAlignment="1" applyBorder="1" applyFont="1">
      <alignment horizontal="left" readingOrder="0"/>
    </xf>
    <xf borderId="1" fillId="0" fontId="383" numFmtId="49" xfId="0" applyAlignment="1" applyBorder="1" applyFont="1" applyNumberFormat="1">
      <alignment horizontal="left" readingOrder="0"/>
    </xf>
    <xf borderId="1" fillId="0" fontId="383" numFmtId="0" xfId="0" applyAlignment="1" applyBorder="1" applyFont="1">
      <alignment horizontal="left"/>
    </xf>
    <xf borderId="1" fillId="0" fontId="383" numFmtId="166" xfId="0" applyAlignment="1" applyBorder="1" applyFont="1" applyNumberFormat="1">
      <alignment horizontal="left" readingOrder="0"/>
    </xf>
    <xf borderId="1" fillId="0" fontId="383" numFmtId="167" xfId="0" applyAlignment="1" applyBorder="1" applyFont="1" applyNumberFormat="1">
      <alignment horizontal="left" readingOrder="0"/>
    </xf>
    <xf borderId="1" fillId="0" fontId="427" numFmtId="166" xfId="0" applyBorder="1" applyFont="1" applyNumberFormat="1"/>
    <xf borderId="1" fillId="0" fontId="383" numFmtId="169" xfId="0" applyAlignment="1" applyBorder="1" applyFont="1" applyNumberFormat="1">
      <alignment horizontal="left"/>
    </xf>
    <xf borderId="1" fillId="0" fontId="428" numFmtId="166" xfId="0" applyAlignment="1" applyBorder="1" applyFont="1" applyNumberFormat="1">
      <alignment horizontal="left"/>
    </xf>
    <xf borderId="1" fillId="0" fontId="383" numFmtId="166" xfId="0" applyAlignment="1" applyBorder="1" applyFont="1" applyNumberFormat="1">
      <alignment horizontal="left"/>
    </xf>
    <xf borderId="1" fillId="0" fontId="383" numFmtId="167" xfId="0" applyAlignment="1" applyBorder="1" applyFont="1" applyNumberFormat="1">
      <alignment horizontal="left"/>
    </xf>
    <xf borderId="1" fillId="0" fontId="383" numFmtId="165" xfId="0" applyAlignment="1" applyBorder="1" applyFont="1" applyNumberFormat="1">
      <alignment horizontal="left"/>
    </xf>
    <xf borderId="1" fillId="3" fontId="55" numFmtId="166" xfId="0" applyAlignment="1" applyBorder="1" applyFont="1" applyNumberFormat="1">
      <alignment horizontal="left"/>
    </xf>
    <xf borderId="12" fillId="3" fontId="429" numFmtId="0" xfId="0" applyAlignment="1" applyBorder="1" applyFont="1">
      <alignment readingOrder="0" shrinkToFit="0" wrapText="1"/>
    </xf>
    <xf borderId="1" fillId="3" fontId="430" numFmtId="0" xfId="0" applyAlignment="1" applyBorder="1" applyFont="1">
      <alignment readingOrder="0"/>
    </xf>
    <xf borderId="11" fillId="0" fontId="123" numFmtId="0" xfId="0" applyAlignment="1" applyBorder="1" applyFont="1">
      <alignment shrinkToFit="0" wrapText="0"/>
    </xf>
    <xf borderId="12" fillId="0" fontId="431" numFmtId="0" xfId="0" applyAlignment="1" applyBorder="1" applyFont="1">
      <alignment readingOrder="0"/>
    </xf>
    <xf borderId="1" fillId="3" fontId="432" numFmtId="166" xfId="0" applyAlignment="1" applyBorder="1" applyFont="1" applyNumberFormat="1">
      <alignment horizontal="left" readingOrder="0"/>
    </xf>
    <xf borderId="11" fillId="3" fontId="433" numFmtId="0" xfId="0" applyAlignment="1" applyBorder="1" applyFont="1">
      <alignment readingOrder="0"/>
    </xf>
    <xf borderId="11" fillId="3" fontId="2" numFmtId="0" xfId="0" applyAlignment="1" applyBorder="1" applyFont="1">
      <alignment horizontal="left" readingOrder="0"/>
    </xf>
    <xf borderId="1" fillId="3" fontId="5" numFmtId="181" xfId="0" applyAlignment="1" applyBorder="1" applyFont="1" applyNumberFormat="1">
      <alignment horizontal="right" readingOrder="0"/>
    </xf>
    <xf borderId="1" fillId="3" fontId="5" numFmtId="181" xfId="0" applyAlignment="1" applyBorder="1" applyFont="1" applyNumberFormat="1">
      <alignment horizontal="right" readingOrder="0"/>
    </xf>
    <xf borderId="0" fillId="3" fontId="5" numFmtId="0" xfId="0" applyAlignment="1" applyFont="1">
      <alignment horizontal="left" shrinkToFit="0" vertical="center" wrapText="0"/>
    </xf>
    <xf borderId="12" fillId="3" fontId="434" numFmtId="0" xfId="0" applyAlignment="1" applyBorder="1" applyFont="1">
      <alignment horizontal="left" readingOrder="0" shrinkToFit="0" wrapText="1"/>
    </xf>
    <xf borderId="11" fillId="3" fontId="110" numFmtId="0" xfId="0" applyAlignment="1" applyBorder="1" applyFont="1">
      <alignment horizontal="left" shrinkToFit="0" wrapText="1"/>
    </xf>
    <xf borderId="1" fillId="3" fontId="435" numFmtId="166" xfId="0" applyAlignment="1" applyBorder="1" applyFont="1" applyNumberFormat="1">
      <alignment horizontal="left" readingOrder="0"/>
    </xf>
    <xf borderId="11" fillId="3" fontId="13" numFmtId="174" xfId="0" applyAlignment="1" applyBorder="1" applyFont="1" applyNumberFormat="1">
      <alignment readingOrder="0"/>
    </xf>
    <xf borderId="1" fillId="3" fontId="70" numFmtId="166" xfId="0" applyAlignment="1" applyBorder="1" applyFont="1" applyNumberFormat="1">
      <alignment horizontal="left" readingOrder="0"/>
    </xf>
    <xf borderId="11" fillId="0" fontId="110" numFmtId="0" xfId="0" applyAlignment="1" applyBorder="1" applyFont="1">
      <alignment horizontal="left" shrinkToFit="0" wrapText="1"/>
    </xf>
    <xf borderId="12" fillId="0" fontId="436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horizontal="left"/>
    </xf>
    <xf borderId="11" fillId="3" fontId="437" numFmtId="0" xfId="0" applyAlignment="1" applyBorder="1" applyFont="1">
      <alignment readingOrder="0" shrinkToFit="0" wrapText="1"/>
    </xf>
    <xf borderId="1" fillId="3" fontId="438" numFmtId="166" xfId="0" applyAlignment="1" applyBorder="1" applyFont="1" applyNumberFormat="1">
      <alignment horizontal="left" readingOrder="0"/>
    </xf>
    <xf borderId="11" fillId="0" fontId="13" numFmtId="174" xfId="0" applyAlignment="1" applyBorder="1" applyFont="1" applyNumberFormat="1">
      <alignment readingOrder="0" shrinkToFit="0" wrapText="1"/>
    </xf>
    <xf borderId="0" fillId="3" fontId="439" numFmtId="166" xfId="0" applyAlignment="1" applyFont="1" applyNumberFormat="1">
      <alignment horizontal="left" readingOrder="0" shrinkToFit="0" wrapText="0"/>
    </xf>
    <xf borderId="11" fillId="0" fontId="2" numFmtId="0" xfId="0" applyAlignment="1" applyBorder="1" applyFont="1">
      <alignment readingOrder="0" vertical="bottom"/>
    </xf>
    <xf borderId="1" fillId="3" fontId="5" numFmtId="180" xfId="0" applyAlignment="1" applyBorder="1" applyFont="1" applyNumberFormat="1">
      <alignment horizontal="right" readingOrder="0"/>
    </xf>
    <xf borderId="1" fillId="3" fontId="5" numFmtId="165" xfId="0" applyAlignment="1" applyBorder="1" applyFont="1" applyNumberFormat="1">
      <alignment horizontal="left" readingOrder="0"/>
    </xf>
    <xf borderId="11" fillId="0" fontId="440" numFmtId="0" xfId="0" applyAlignment="1" applyBorder="1" applyFont="1">
      <alignment readingOrder="0" shrinkToFit="0" wrapText="1"/>
    </xf>
    <xf borderId="1" fillId="0" fontId="441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vertical="bottom"/>
    </xf>
    <xf borderId="0" fillId="0" fontId="442" numFmtId="0" xfId="0" applyAlignment="1" applyFont="1">
      <alignment horizontal="left" shrinkToFit="0" wrapText="0"/>
    </xf>
    <xf borderId="12" fillId="3" fontId="443" numFmtId="0" xfId="0" applyAlignment="1" applyBorder="1" applyFont="1">
      <alignment readingOrder="0" shrinkToFit="0" wrapText="1"/>
    </xf>
    <xf borderId="1" fillId="3" fontId="444" numFmtId="166" xfId="0" applyAlignment="1" applyBorder="1" applyFont="1" applyNumberFormat="1">
      <alignment horizontal="left" vertical="bottom"/>
    </xf>
    <xf borderId="1" fillId="3" fontId="55" numFmtId="167" xfId="0" applyAlignment="1" applyBorder="1" applyFont="1" applyNumberFormat="1">
      <alignment readingOrder="0" vertical="bottom"/>
    </xf>
    <xf borderId="1" fillId="3" fontId="5" numFmtId="167" xfId="0" applyAlignment="1" applyBorder="1" applyFont="1" applyNumberFormat="1">
      <alignment readingOrder="0" vertical="bottom"/>
    </xf>
    <xf borderId="1" fillId="3" fontId="5" numFmtId="0" xfId="0" applyAlignment="1" applyBorder="1" applyFont="1">
      <alignment horizontal="left" vertical="bottom"/>
    </xf>
    <xf borderId="1" fillId="3" fontId="5" numFmtId="167" xfId="0" applyAlignment="1" applyBorder="1" applyFont="1" applyNumberFormat="1">
      <alignment vertical="bottom"/>
    </xf>
    <xf borderId="1" fillId="3" fontId="445" numFmtId="166" xfId="0" applyAlignment="1" applyBorder="1" applyFont="1" applyNumberFormat="1">
      <alignment horizontal="left" readingOrder="0" vertical="bottom"/>
    </xf>
    <xf borderId="1" fillId="3" fontId="55" numFmtId="167" xfId="0" applyAlignment="1" applyBorder="1" applyFont="1" applyNumberFormat="1">
      <alignment readingOrder="0" shrinkToFit="0" wrapText="0"/>
    </xf>
    <xf borderId="11" fillId="0" fontId="446" numFmtId="0" xfId="0" applyAlignment="1" applyBorder="1" applyFont="1">
      <alignment readingOrder="0"/>
    </xf>
    <xf borderId="0" fillId="3" fontId="2" numFmtId="0" xfId="0" applyAlignment="1" applyFont="1">
      <alignment horizontal="left" readingOrder="0" shrinkToFit="0" wrapText="1"/>
    </xf>
    <xf borderId="12" fillId="0" fontId="447" numFmtId="0" xfId="0" applyAlignment="1" applyBorder="1" applyFont="1">
      <alignment horizontal="left" readingOrder="0" shrinkToFit="0" wrapText="1"/>
    </xf>
    <xf borderId="12" fillId="3" fontId="110" numFmtId="0" xfId="0" applyAlignment="1" applyBorder="1" applyFont="1">
      <alignment horizontal="left" shrinkToFit="0" wrapText="1"/>
    </xf>
    <xf borderId="0" fillId="3" fontId="5" numFmtId="0" xfId="0" applyAlignment="1" applyFont="1">
      <alignment vertical="bottom"/>
    </xf>
    <xf borderId="12" fillId="3" fontId="448" numFmtId="0" xfId="0" applyAlignment="1" applyBorder="1" applyFont="1">
      <alignment readingOrder="0"/>
    </xf>
    <xf borderId="1" fillId="3" fontId="5" numFmtId="173" xfId="0" applyAlignment="1" applyBorder="1" applyFont="1" applyNumberFormat="1">
      <alignment horizontal="right" readingOrder="0"/>
    </xf>
    <xf borderId="1" fillId="3" fontId="55" numFmtId="166" xfId="0" applyAlignment="1" applyBorder="1" applyFont="1" applyNumberFormat="1">
      <alignment horizontal="left" readingOrder="0" shrinkToFit="0" vertical="top" wrapText="0"/>
    </xf>
    <xf borderId="11" fillId="3" fontId="110" numFmtId="0" xfId="0" applyAlignment="1" applyBorder="1" applyFont="1">
      <alignment horizontal="left" readingOrder="0" shrinkToFit="0" wrapText="1"/>
    </xf>
    <xf borderId="11" fillId="3" fontId="5" numFmtId="0" xfId="0" applyAlignment="1" applyBorder="1" applyFont="1">
      <alignment horizontal="left" shrinkToFit="0" vertical="center" wrapText="0"/>
    </xf>
    <xf borderId="11" fillId="3" fontId="5" numFmtId="0" xfId="0" applyAlignment="1" applyBorder="1" applyFont="1">
      <alignment horizontal="left" readingOrder="0" shrinkToFit="0" vertical="center" wrapText="0"/>
    </xf>
    <xf borderId="11" fillId="3" fontId="449" numFmtId="0" xfId="0" applyAlignment="1" applyBorder="1" applyFont="1">
      <alignment horizontal="left" readingOrder="0" shrinkToFit="0" vertical="center" wrapText="0"/>
    </xf>
    <xf borderId="0" fillId="3" fontId="450" numFmtId="0" xfId="0" applyAlignment="1" applyFont="1">
      <alignment horizontal="left" readingOrder="0" shrinkToFit="0" vertical="center" wrapText="0"/>
    </xf>
    <xf borderId="1" fillId="3" fontId="451" numFmtId="0" xfId="0" applyAlignment="1" applyBorder="1" applyFont="1">
      <alignment horizontal="left" readingOrder="0" shrinkToFit="0" vertical="center" wrapText="0"/>
    </xf>
    <xf borderId="1" fillId="3" fontId="5" numFmtId="0" xfId="0" applyAlignment="1" applyBorder="1" applyFont="1">
      <alignment horizontal="left" readingOrder="0" shrinkToFit="0" vertical="center" wrapText="0"/>
    </xf>
    <xf borderId="1" fillId="3" fontId="5" numFmtId="49" xfId="0" applyAlignment="1" applyBorder="1" applyFont="1" applyNumberFormat="1">
      <alignment horizontal="left" readingOrder="0" shrinkToFit="0" vertical="center" wrapText="0"/>
    </xf>
    <xf borderId="1" fillId="3" fontId="5" numFmtId="0" xfId="0" applyAlignment="1" applyBorder="1" applyFont="1">
      <alignment horizontal="left" shrinkToFit="0" vertical="center" wrapText="0"/>
    </xf>
    <xf borderId="1" fillId="3" fontId="452" numFmtId="166" xfId="0" applyAlignment="1" applyBorder="1" applyFont="1" applyNumberFormat="1">
      <alignment horizontal="left" shrinkToFit="0" vertical="center" wrapText="0"/>
    </xf>
    <xf borderId="1" fillId="3" fontId="55" numFmtId="167" xfId="0" applyAlignment="1" applyBorder="1" applyFont="1" applyNumberFormat="1">
      <alignment readingOrder="0" shrinkToFit="0" vertical="center" wrapText="0"/>
    </xf>
    <xf borderId="1" fillId="3" fontId="453" numFmtId="166" xfId="0" applyAlignment="1" applyBorder="1" applyFont="1" applyNumberFormat="1">
      <alignment shrinkToFit="0" vertical="center" wrapText="0"/>
    </xf>
    <xf borderId="1" fillId="3" fontId="5" numFmtId="167" xfId="0" applyAlignment="1" applyBorder="1" applyFont="1" applyNumberFormat="1">
      <alignment readingOrder="0" shrinkToFit="0" vertical="center" wrapText="0"/>
    </xf>
    <xf borderId="1" fillId="3" fontId="5" numFmtId="167" xfId="0" applyAlignment="1" applyBorder="1" applyFont="1" applyNumberFormat="1">
      <alignment shrinkToFit="0" vertical="center" wrapText="0"/>
    </xf>
    <xf borderId="1" fillId="3" fontId="454" numFmtId="166" xfId="0" applyAlignment="1" applyBorder="1" applyFont="1" applyNumberFormat="1">
      <alignment horizontal="left" readingOrder="0" shrinkToFit="0" vertical="center" wrapText="0"/>
    </xf>
    <xf borderId="1" fillId="3" fontId="5" numFmtId="166" xfId="0" applyAlignment="1" applyBorder="1" applyFont="1" applyNumberFormat="1">
      <alignment horizontal="left" shrinkToFit="0" vertical="center" wrapText="0"/>
    </xf>
    <xf borderId="1" fillId="3" fontId="5" numFmtId="165" xfId="0" applyAlignment="1" applyBorder="1" applyFont="1" applyNumberFormat="1">
      <alignment horizontal="left" shrinkToFit="0" vertical="center" wrapText="0"/>
    </xf>
    <xf borderId="1" fillId="0" fontId="5" numFmtId="166" xfId="0" applyAlignment="1" applyBorder="1" applyFont="1" applyNumberFormat="1">
      <alignment horizontal="left" readingOrder="0"/>
    </xf>
    <xf borderId="1" fillId="3" fontId="269" numFmtId="49" xfId="0" applyAlignment="1" applyBorder="1" applyFont="1" applyNumberFormat="1">
      <alignment readingOrder="0"/>
    </xf>
    <xf borderId="1" fillId="3" fontId="455" numFmtId="170" xfId="0" applyAlignment="1" applyBorder="1" applyFont="1" applyNumberFormat="1">
      <alignment readingOrder="0"/>
    </xf>
    <xf borderId="1" fillId="3" fontId="456" numFmtId="166" xfId="0" applyAlignment="1" applyBorder="1" applyFont="1" applyNumberFormat="1">
      <alignment horizontal="left" readingOrder="0" shrinkToFit="0" wrapText="0"/>
    </xf>
    <xf borderId="1" fillId="3" fontId="55" numFmtId="166" xfId="0" applyAlignment="1" applyBorder="1" applyFont="1" applyNumberFormat="1">
      <alignment readingOrder="0" shrinkToFit="0" wrapText="0"/>
    </xf>
    <xf borderId="1" fillId="3" fontId="457" numFmtId="49" xfId="0" applyAlignment="1" applyBorder="1" applyFont="1" applyNumberFormat="1">
      <alignment readingOrder="0"/>
    </xf>
    <xf borderId="1" fillId="3" fontId="458" numFmtId="166" xfId="0" applyAlignment="1" applyBorder="1" applyFont="1" applyNumberFormat="1">
      <alignment readingOrder="0" shrinkToFit="0" vertical="top" wrapText="0"/>
    </xf>
    <xf borderId="1" fillId="3" fontId="55" numFmtId="167" xfId="0" applyAlignment="1" applyBorder="1" applyFont="1" applyNumberFormat="1">
      <alignment readingOrder="0"/>
    </xf>
    <xf borderId="1" fillId="3" fontId="459" numFmtId="49" xfId="0" applyAlignment="1" applyBorder="1" applyFont="1" applyNumberFormat="1">
      <alignment readingOrder="0"/>
    </xf>
    <xf borderId="0" fillId="7" fontId="13" numFmtId="0" xfId="0" applyAlignment="1" applyFont="1">
      <alignment readingOrder="0" shrinkToFit="0" wrapText="1"/>
    </xf>
    <xf borderId="0" fillId="7" fontId="5" numFmtId="0" xfId="0" applyAlignment="1" applyFont="1">
      <alignment horizontal="left"/>
    </xf>
    <xf borderId="0" fillId="7" fontId="5" numFmtId="0" xfId="0" applyAlignment="1" applyFont="1">
      <alignment horizontal="left" readingOrder="0"/>
    </xf>
    <xf borderId="0" fillId="7" fontId="460" numFmtId="0" xfId="0" applyAlignment="1" applyFont="1">
      <alignment horizontal="left" readingOrder="0" shrinkToFit="0" wrapText="1"/>
    </xf>
    <xf borderId="0" fillId="7" fontId="461" numFmtId="0" xfId="0" applyAlignment="1" applyFont="1">
      <alignment readingOrder="0" shrinkToFit="0" wrapText="1"/>
    </xf>
    <xf borderId="1" fillId="7" fontId="462" numFmtId="0" xfId="0" applyAlignment="1" applyBorder="1" applyFont="1">
      <alignment readingOrder="0" shrinkToFit="0" wrapText="1"/>
    </xf>
    <xf borderId="1" fillId="7" fontId="13" numFmtId="0" xfId="0" applyAlignment="1" applyBorder="1" applyFont="1">
      <alignment readingOrder="0"/>
    </xf>
    <xf borderId="1" fillId="7" fontId="5" numFmtId="0" xfId="0" applyAlignment="1" applyBorder="1" applyFont="1">
      <alignment horizontal="left" readingOrder="0"/>
    </xf>
    <xf borderId="1" fillId="7" fontId="13" numFmtId="49" xfId="0" applyAlignment="1" applyBorder="1" applyFont="1" applyNumberFormat="1">
      <alignment readingOrder="0"/>
    </xf>
    <xf borderId="1" fillId="7" fontId="5" numFmtId="0" xfId="0" applyAlignment="1" applyBorder="1" applyFont="1">
      <alignment horizontal="left"/>
    </xf>
    <xf borderId="1" fillId="7" fontId="5" numFmtId="166" xfId="0" applyAlignment="1" applyBorder="1" applyFont="1" applyNumberFormat="1">
      <alignment horizontal="left"/>
    </xf>
    <xf borderId="1" fillId="7" fontId="5" numFmtId="167" xfId="0" applyAlignment="1" applyBorder="1" applyFont="1" applyNumberFormat="1">
      <alignment horizontal="left"/>
    </xf>
    <xf borderId="1" fillId="7" fontId="10" numFmtId="166" xfId="0" applyAlignment="1" applyBorder="1" applyFont="1" applyNumberFormat="1">
      <alignment readingOrder="0"/>
    </xf>
    <xf borderId="1" fillId="7" fontId="463" numFmtId="166" xfId="0" applyAlignment="1" applyBorder="1" applyFont="1" applyNumberFormat="1">
      <alignment horizontal="left"/>
    </xf>
    <xf borderId="1" fillId="7" fontId="5" numFmtId="167" xfId="0" applyAlignment="1" applyBorder="1" applyFont="1" applyNumberFormat="1">
      <alignment horizontal="left" readingOrder="0"/>
    </xf>
    <xf borderId="1" fillId="4" fontId="5" numFmtId="166" xfId="0" applyAlignment="1" applyBorder="1" applyFont="1" applyNumberFormat="1">
      <alignment horizontal="left"/>
    </xf>
    <xf borderId="1" fillId="4" fontId="5" numFmtId="167" xfId="0" applyAlignment="1" applyBorder="1" applyFont="1" applyNumberFormat="1">
      <alignment horizontal="left"/>
    </xf>
    <xf borderId="1" fillId="4" fontId="5" numFmtId="165" xfId="0" applyAlignment="1" applyBorder="1" applyFont="1" applyNumberFormat="1">
      <alignment horizontal="left"/>
    </xf>
    <xf borderId="1" fillId="4" fontId="5" numFmtId="0" xfId="0" applyAlignment="1" applyBorder="1" applyFont="1">
      <alignment horizontal="left"/>
    </xf>
    <xf borderId="0" fillId="3" fontId="13" numFmtId="174" xfId="0" applyAlignment="1" applyFont="1" applyNumberFormat="1">
      <alignment readingOrder="0"/>
    </xf>
    <xf borderId="1" fillId="3" fontId="464" numFmtId="0" xfId="0" applyAlignment="1" applyBorder="1" applyFont="1">
      <alignment horizontal="left" readingOrder="0"/>
    </xf>
    <xf borderId="1" fillId="3" fontId="5" numFmtId="49" xfId="0" applyAlignment="1" applyBorder="1" applyFont="1" applyNumberFormat="1">
      <alignment readingOrder="0"/>
    </xf>
    <xf borderId="1" fillId="3" fontId="2" numFmtId="180" xfId="0" applyAlignment="1" applyBorder="1" applyFont="1" applyNumberFormat="1">
      <alignment horizontal="right" readingOrder="0"/>
    </xf>
    <xf borderId="1" fillId="0" fontId="2" numFmtId="181" xfId="0" applyAlignment="1" applyBorder="1" applyFont="1" applyNumberFormat="1">
      <alignment horizontal="right" readingOrder="0"/>
    </xf>
    <xf borderId="0" fillId="3" fontId="465" numFmtId="0" xfId="0" applyAlignment="1" applyFont="1">
      <alignment readingOrder="0" shrinkToFit="0" wrapText="1"/>
    </xf>
    <xf borderId="1" fillId="0" fontId="13" numFmtId="10" xfId="0" applyAlignment="1" applyBorder="1" applyFont="1" applyNumberFormat="1">
      <alignment readingOrder="0"/>
    </xf>
    <xf borderId="1" fillId="3" fontId="13" numFmtId="166" xfId="0" applyAlignment="1" applyBorder="1" applyFont="1" applyNumberFormat="1">
      <alignment readingOrder="0"/>
    </xf>
    <xf borderId="1" fillId="0" fontId="2" numFmtId="175" xfId="0" applyAlignment="1" applyBorder="1" applyFont="1" applyNumberFormat="1">
      <alignment horizontal="left" readingOrder="0"/>
    </xf>
    <xf borderId="0" fillId="3" fontId="466" numFmtId="0" xfId="0" applyAlignment="1" applyFont="1">
      <alignment horizontal="left" readingOrder="0" shrinkToFit="0" wrapText="0"/>
    </xf>
    <xf borderId="1" fillId="0" fontId="110" numFmtId="0" xfId="0" applyAlignment="1" applyBorder="1" applyFont="1">
      <alignment horizontal="left" readingOrder="0" shrinkToFit="0" wrapText="1"/>
    </xf>
    <xf borderId="1" fillId="3" fontId="467" numFmtId="0" xfId="0" applyAlignment="1" applyBorder="1" applyFont="1">
      <alignment readingOrder="0" shrinkToFit="0" wrapText="1"/>
    </xf>
    <xf borderId="1" fillId="3" fontId="5" numFmtId="179" xfId="0" applyAlignment="1" applyBorder="1" applyFont="1" applyNumberFormat="1">
      <alignment horizontal="left" readingOrder="0"/>
    </xf>
    <xf borderId="1" fillId="3" fontId="468" numFmtId="170" xfId="0" applyAlignment="1" applyBorder="1" applyFont="1" applyNumberFormat="1">
      <alignment horizontal="left" readingOrder="0" shrinkToFit="0" wrapText="0"/>
    </xf>
    <xf borderId="1" fillId="0" fontId="469" numFmtId="168" xfId="0" applyAlignment="1" applyBorder="1" applyFont="1" applyNumberFormat="1">
      <alignment readingOrder="0"/>
    </xf>
    <xf borderId="1" fillId="3" fontId="5" numFmtId="167" xfId="0" applyBorder="1" applyFont="1" applyNumberFormat="1"/>
    <xf borderId="1" fillId="3" fontId="85" numFmtId="166" xfId="0" applyAlignment="1" applyBorder="1" applyFont="1" applyNumberFormat="1">
      <alignment horizontal="left" readingOrder="0"/>
    </xf>
    <xf borderId="0" fillId="3" fontId="5" numFmtId="174" xfId="0" applyAlignment="1" applyFont="1" applyNumberFormat="1">
      <alignment shrinkToFit="0" vertical="bottom" wrapText="1"/>
    </xf>
    <xf borderId="0" fillId="3" fontId="470" numFmtId="0" xfId="0" applyAlignment="1" applyFont="1">
      <alignment shrinkToFit="0" vertical="bottom" wrapText="1"/>
    </xf>
    <xf borderId="0" fillId="3" fontId="471" numFmtId="0" xfId="0" applyAlignment="1" applyFont="1">
      <alignment shrinkToFit="0" vertical="bottom" wrapText="1"/>
    </xf>
    <xf borderId="1" fillId="3" fontId="472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vertical="bottom"/>
    </xf>
    <xf borderId="1" fillId="3" fontId="2" numFmtId="49" xfId="0" applyAlignment="1" applyBorder="1" applyFont="1" applyNumberFormat="1">
      <alignment vertical="bottom"/>
    </xf>
    <xf borderId="1" fillId="3" fontId="5" numFmtId="0" xfId="0" applyAlignment="1" applyBorder="1" applyFont="1">
      <alignment vertical="bottom"/>
    </xf>
    <xf borderId="1" fillId="3" fontId="473" numFmtId="166" xfId="0" applyAlignment="1" applyBorder="1" applyFont="1" applyNumberFormat="1">
      <alignment vertical="bottom"/>
    </xf>
    <xf borderId="1" fillId="3" fontId="474" numFmtId="166" xfId="0" applyAlignment="1" applyBorder="1" applyFont="1" applyNumberFormat="1">
      <alignment vertical="bottom"/>
    </xf>
    <xf borderId="1" fillId="3" fontId="475" numFmtId="0" xfId="0" applyAlignment="1" applyBorder="1" applyFont="1">
      <alignment vertical="bottom"/>
    </xf>
    <xf borderId="1" fillId="3" fontId="2" numFmtId="166" xfId="0" applyAlignment="1" applyBorder="1" applyFont="1" applyNumberFormat="1">
      <alignment vertical="bottom"/>
    </xf>
    <xf borderId="1" fillId="3" fontId="2" numFmtId="165" xfId="0" applyAlignment="1" applyBorder="1" applyFont="1" applyNumberFormat="1">
      <alignment vertical="bottom"/>
    </xf>
    <xf borderId="0" fillId="11" fontId="476" numFmtId="0" xfId="0" applyAlignment="1" applyFill="1" applyFont="1">
      <alignment horizontal="left" readingOrder="0" shrinkToFit="0" wrapText="1"/>
    </xf>
    <xf borderId="1" fillId="3" fontId="477" numFmtId="0" xfId="0" applyAlignment="1" applyBorder="1" applyFont="1">
      <alignment readingOrder="0"/>
    </xf>
    <xf borderId="1" fillId="3" fontId="477" numFmtId="49" xfId="0" applyAlignment="1" applyBorder="1" applyFont="1" applyNumberFormat="1">
      <alignment readingOrder="0"/>
    </xf>
    <xf borderId="1" fillId="3" fontId="29" numFmtId="49" xfId="0" applyAlignment="1" applyBorder="1" applyFont="1" applyNumberFormat="1">
      <alignment readingOrder="0"/>
    </xf>
    <xf borderId="0" fillId="3" fontId="464" numFmtId="0" xfId="0" applyAlignment="1" applyFont="1">
      <alignment readingOrder="0"/>
    </xf>
    <xf borderId="1" fillId="3" fontId="478" numFmtId="166" xfId="0" applyAlignment="1" applyBorder="1" applyFont="1" applyNumberFormat="1">
      <alignment readingOrder="0" shrinkToFit="0" wrapText="0"/>
    </xf>
    <xf borderId="0" fillId="0" fontId="123" numFmtId="0" xfId="0" applyAlignment="1" applyFont="1">
      <alignment readingOrder="0"/>
    </xf>
    <xf borderId="1" fillId="0" fontId="55" numFmtId="166" xfId="0" applyAlignment="1" applyBorder="1" applyFont="1" applyNumberFormat="1">
      <alignment horizontal="left" readingOrder="0" shrinkToFit="0" wrapText="0"/>
    </xf>
    <xf borderId="1" fillId="0" fontId="55" numFmtId="0" xfId="0" applyAlignment="1" applyBorder="1" applyFont="1">
      <alignment readingOrder="0" shrinkToFit="0" vertical="top" wrapText="0"/>
    </xf>
    <xf borderId="1" fillId="0" fontId="479" numFmtId="14" xfId="0" applyAlignment="1" applyBorder="1" applyFont="1" applyNumberFormat="1">
      <alignment horizontal="left" readingOrder="0" shrinkToFit="0" wrapText="0"/>
    </xf>
    <xf borderId="1" fillId="0" fontId="480" numFmtId="166" xfId="0" applyAlignment="1" applyBorder="1" applyFont="1" applyNumberFormat="1">
      <alignment horizontal="left" readingOrder="0" shrinkToFit="0" wrapText="0"/>
    </xf>
    <xf borderId="1" fillId="3" fontId="481" numFmtId="166" xfId="0" applyAlignment="1" applyBorder="1" applyFont="1" applyNumberFormat="1">
      <alignment horizontal="left" readingOrder="0" shrinkToFit="0" vertical="top" wrapText="0"/>
    </xf>
    <xf borderId="0" fillId="7" fontId="5" numFmtId="0" xfId="0" applyAlignment="1" applyFont="1">
      <alignment horizontal="left" readingOrder="0" shrinkToFit="0" wrapText="1"/>
    </xf>
    <xf borderId="0" fillId="7" fontId="2" numFmtId="0" xfId="0" applyAlignment="1" applyFont="1">
      <alignment horizontal="left" readingOrder="0"/>
    </xf>
    <xf borderId="0" fillId="7" fontId="482" numFmtId="0" xfId="0" applyAlignment="1" applyFont="1">
      <alignment horizontal="left" readingOrder="0" shrinkToFit="0" wrapText="1"/>
    </xf>
    <xf borderId="1" fillId="7" fontId="483" numFmtId="0" xfId="0" applyAlignment="1" applyBorder="1" applyFont="1">
      <alignment horizontal="left" readingOrder="0" shrinkToFit="0" wrapText="1"/>
    </xf>
    <xf borderId="0" fillId="7" fontId="13" numFmtId="0" xfId="0" applyAlignment="1" applyFont="1">
      <alignment readingOrder="0"/>
    </xf>
    <xf borderId="1" fillId="7" fontId="2" numFmtId="0" xfId="0" applyAlignment="1" applyBorder="1" applyFont="1">
      <alignment horizontal="left" readingOrder="0" shrinkToFit="0" wrapText="1"/>
    </xf>
    <xf borderId="1" fillId="7" fontId="2" numFmtId="0" xfId="0" applyAlignment="1" applyBorder="1" applyFont="1">
      <alignment horizontal="left" readingOrder="0"/>
    </xf>
    <xf borderId="1" fillId="7" fontId="13" numFmtId="0" xfId="0" applyBorder="1" applyFont="1"/>
    <xf borderId="1" fillId="7" fontId="2" numFmtId="10" xfId="0" applyAlignment="1" applyBorder="1" applyFont="1" applyNumberFormat="1">
      <alignment horizontal="left" readingOrder="0"/>
    </xf>
    <xf borderId="1" fillId="7" fontId="2" numFmtId="0" xfId="0" applyAlignment="1" applyBorder="1" applyFont="1">
      <alignment horizontal="left"/>
    </xf>
    <xf borderId="1" fillId="7" fontId="2" numFmtId="166" xfId="0" applyAlignment="1" applyBorder="1" applyFont="1" applyNumberFormat="1">
      <alignment horizontal="left"/>
    </xf>
    <xf borderId="1" fillId="7" fontId="2" numFmtId="167" xfId="0" applyAlignment="1" applyBorder="1" applyFont="1" applyNumberFormat="1">
      <alignment horizontal="left"/>
    </xf>
    <xf borderId="1" fillId="7" fontId="484" numFmtId="166" xfId="0" applyBorder="1" applyFont="1" applyNumberFormat="1"/>
    <xf borderId="1" fillId="7" fontId="2" numFmtId="167" xfId="0" applyAlignment="1" applyBorder="1" applyFont="1" applyNumberFormat="1">
      <alignment horizontal="left" readingOrder="0"/>
    </xf>
    <xf borderId="1" fillId="7" fontId="2" numFmtId="169" xfId="0" applyAlignment="1" applyBorder="1" applyFont="1" applyNumberFormat="1">
      <alignment horizontal="left"/>
    </xf>
    <xf borderId="1" fillId="7" fontId="485" numFmtId="166" xfId="0" applyAlignment="1" applyBorder="1" applyFont="1" applyNumberFormat="1">
      <alignment horizontal="left"/>
    </xf>
    <xf borderId="1" fillId="7" fontId="2" numFmtId="165" xfId="0" applyAlignment="1" applyBorder="1" applyFont="1" applyNumberFormat="1">
      <alignment horizontal="left"/>
    </xf>
    <xf borderId="1" fillId="0" fontId="13" numFmtId="0" xfId="0" applyBorder="1" applyFont="1"/>
    <xf borderId="1" fillId="3" fontId="486" numFmtId="0" xfId="0" applyAlignment="1" applyBorder="1" applyFont="1">
      <alignment readingOrder="0"/>
    </xf>
    <xf borderId="1" fillId="3" fontId="486" numFmtId="49" xfId="0" applyAlignment="1" applyBorder="1" applyFont="1" applyNumberFormat="1">
      <alignment readingOrder="0"/>
    </xf>
    <xf borderId="1" fillId="3" fontId="55" numFmtId="173" xfId="0" applyAlignment="1" applyBorder="1" applyFont="1" applyNumberFormat="1">
      <alignment readingOrder="0" shrinkToFit="0" wrapText="0"/>
    </xf>
    <xf borderId="0" fillId="3" fontId="2" numFmtId="0" xfId="0" applyAlignment="1" applyFont="1">
      <alignment horizontal="left" readingOrder="0"/>
    </xf>
    <xf borderId="1" fillId="0" fontId="487" numFmtId="0" xfId="0" applyAlignment="1" applyBorder="1" applyFont="1">
      <alignment horizontal="left" shrinkToFit="0" wrapText="0"/>
    </xf>
    <xf borderId="1" fillId="3" fontId="488" numFmtId="49" xfId="0" applyAlignment="1" applyBorder="1" applyFont="1" applyNumberFormat="1">
      <alignment readingOrder="0"/>
    </xf>
    <xf borderId="1" fillId="3" fontId="5" numFmtId="172" xfId="0" applyAlignment="1" applyBorder="1" applyFont="1" applyNumberFormat="1">
      <alignment horizontal="left" readingOrder="0"/>
    </xf>
    <xf borderId="1" fillId="3" fontId="5" numFmtId="165" xfId="0" applyAlignment="1" applyBorder="1" applyFont="1" applyNumberFormat="1">
      <alignment horizontal="left" readingOrder="0"/>
    </xf>
    <xf borderId="1" fillId="3" fontId="489" numFmtId="0" xfId="0" applyAlignment="1" applyBorder="1" applyFont="1">
      <alignment horizontal="left" readingOrder="0" shrinkToFit="0" wrapText="0"/>
    </xf>
    <xf borderId="1" fillId="3" fontId="490" numFmtId="166" xfId="0" applyAlignment="1" applyBorder="1" applyFont="1" applyNumberFormat="1">
      <alignment horizontal="left" readingOrder="0" shrinkToFit="0" vertical="top" wrapText="0"/>
    </xf>
    <xf borderId="1" fillId="3" fontId="203" numFmtId="0" xfId="0" applyAlignment="1" applyBorder="1" applyFont="1">
      <alignment horizontal="left" readingOrder="0"/>
    </xf>
    <xf borderId="1" fillId="3" fontId="203" numFmtId="49" xfId="0" applyAlignment="1" applyBorder="1" applyFont="1" applyNumberFormat="1">
      <alignment horizontal="left" readingOrder="0"/>
    </xf>
    <xf borderId="0" fillId="0" fontId="2" numFmtId="0" xfId="0" applyAlignment="1" applyFont="1">
      <alignment shrinkToFit="0" wrapText="1"/>
    </xf>
    <xf borderId="0" fillId="3" fontId="13" numFmtId="0" xfId="0" applyAlignment="1" applyFont="1">
      <alignment readingOrder="0"/>
    </xf>
    <xf borderId="0" fillId="3" fontId="5" numFmtId="0" xfId="0" applyAlignment="1" applyFont="1">
      <alignment horizontal="left" readingOrder="0" shrinkToFit="0" vertical="center" wrapText="0"/>
    </xf>
    <xf borderId="1" fillId="3" fontId="5" numFmtId="166" xfId="0" applyAlignment="1" applyBorder="1" applyFont="1" applyNumberFormat="1">
      <alignment horizontal="left" readingOrder="0" shrinkToFit="0" vertical="center" wrapText="0"/>
    </xf>
    <xf borderId="1" fillId="3" fontId="491" numFmtId="170" xfId="0" applyAlignment="1" applyBorder="1" applyFont="1" applyNumberFormat="1">
      <alignment horizontal="left" readingOrder="0"/>
    </xf>
    <xf borderId="1" fillId="3" fontId="13" numFmtId="173" xfId="0" applyAlignment="1" applyBorder="1" applyFont="1" applyNumberFormat="1">
      <alignment readingOrder="0"/>
    </xf>
    <xf borderId="1" fillId="0" fontId="492" numFmtId="0" xfId="0" applyBorder="1" applyFont="1"/>
    <xf borderId="0" fillId="10" fontId="5" numFmtId="0" xfId="0" applyAlignment="1" applyFont="1">
      <alignment horizontal="left" shrinkToFit="0" wrapText="1"/>
    </xf>
    <xf borderId="0" fillId="10" fontId="493" numFmtId="0" xfId="0" applyAlignment="1" applyFont="1">
      <alignment horizontal="left" shrinkToFit="0" wrapText="1"/>
    </xf>
    <xf borderId="1" fillId="10" fontId="494" numFmtId="0" xfId="0" applyAlignment="1" applyBorder="1" applyFont="1">
      <alignment horizontal="left" shrinkToFit="0" wrapText="1"/>
    </xf>
    <xf borderId="1" fillId="10" fontId="2" numFmtId="0" xfId="0" applyAlignment="1" applyBorder="1" applyFont="1">
      <alignment horizontal="left" shrinkToFit="0" wrapText="1"/>
    </xf>
    <xf borderId="1" fillId="10" fontId="5" numFmtId="166" xfId="0" applyAlignment="1" applyBorder="1" applyFont="1" applyNumberFormat="1">
      <alignment horizontal="left"/>
    </xf>
    <xf borderId="1" fillId="10" fontId="5" numFmtId="167" xfId="0" applyAlignment="1" applyBorder="1" applyFont="1" applyNumberFormat="1">
      <alignment horizontal="left"/>
    </xf>
    <xf borderId="1" fillId="10" fontId="495" numFmtId="166" xfId="0" applyBorder="1" applyFont="1" applyNumberFormat="1"/>
    <xf borderId="1" fillId="10" fontId="5" numFmtId="167" xfId="0" applyAlignment="1" applyBorder="1" applyFont="1" applyNumberFormat="1">
      <alignment horizontal="left" readingOrder="0"/>
    </xf>
    <xf borderId="1" fillId="10" fontId="5" numFmtId="0" xfId="0" applyAlignment="1" applyBorder="1" applyFont="1">
      <alignment horizontal="left"/>
    </xf>
    <xf borderId="1" fillId="10" fontId="5" numFmtId="169" xfId="0" applyAlignment="1" applyBorder="1" applyFont="1" applyNumberFormat="1">
      <alignment horizontal="left"/>
    </xf>
    <xf borderId="1" fillId="10" fontId="496" numFmtId="166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3" fontId="497" numFmtId="170" xfId="0" applyAlignment="1" applyBorder="1" applyFont="1" applyNumberFormat="1">
      <alignment horizontal="right" readingOrder="0"/>
    </xf>
    <xf borderId="0" fillId="3" fontId="498" numFmtId="0" xfId="0" applyAlignment="1" applyFont="1">
      <alignment horizontal="left" readingOrder="0" shrinkToFit="0" wrapText="1"/>
    </xf>
    <xf borderId="1" fillId="3" fontId="2" numFmtId="175" xfId="0" applyAlignment="1" applyBorder="1" applyFont="1" applyNumberFormat="1">
      <alignment horizontal="left" readingOrder="0"/>
    </xf>
    <xf borderId="1" fillId="3" fontId="499" numFmtId="166" xfId="0" applyAlignment="1" applyBorder="1" applyFont="1" applyNumberFormat="1">
      <alignment readingOrder="0" shrinkToFit="0" wrapText="0"/>
    </xf>
    <xf borderId="1" fillId="3" fontId="13" numFmtId="164" xfId="0" applyAlignment="1" applyBorder="1" applyFont="1" applyNumberFormat="1">
      <alignment horizontal="left"/>
    </xf>
    <xf borderId="1" fillId="3" fontId="500" numFmtId="166" xfId="0" applyAlignment="1" applyBorder="1" applyFont="1" applyNumberFormat="1">
      <alignment readingOrder="0" shrinkToFit="0" vertical="top" wrapText="0"/>
    </xf>
    <xf borderId="1" fillId="0" fontId="5" numFmtId="177" xfId="0" applyAlignment="1" applyBorder="1" applyFont="1" applyNumberFormat="1">
      <alignment horizontal="left" readingOrder="0"/>
    </xf>
    <xf borderId="1" fillId="3" fontId="55" numFmtId="166" xfId="0" applyBorder="1" applyFont="1" applyNumberFormat="1"/>
    <xf borderId="1" fillId="0" fontId="501" numFmtId="0" xfId="0" applyAlignment="1" applyBorder="1" applyFont="1">
      <alignment readingOrder="0"/>
    </xf>
    <xf borderId="0" fillId="3" fontId="502" numFmtId="166" xfId="0" applyAlignment="1" applyFont="1" applyNumberFormat="1">
      <alignment horizontal="left" readingOrder="0" shrinkToFit="0" vertical="top" wrapText="0"/>
    </xf>
    <xf borderId="0" fillId="2" fontId="5" numFmtId="165" xfId="0" applyAlignment="1" applyFont="1" applyNumberFormat="1">
      <alignment horizontal="left"/>
    </xf>
    <xf borderId="0" fillId="3" fontId="2" numFmtId="10" xfId="0" applyAlignment="1" applyFont="1" applyNumberFormat="1">
      <alignment horizontal="left"/>
    </xf>
    <xf borderId="0" fillId="2" fontId="5" numFmtId="165" xfId="0" applyAlignment="1" applyFont="1" applyNumberFormat="1">
      <alignment horizontal="right"/>
    </xf>
    <xf borderId="0" fillId="3" fontId="503" numFmtId="166" xfId="0" applyAlignment="1" applyFont="1" applyNumberFormat="1">
      <alignment readingOrder="0"/>
    </xf>
    <xf borderId="11" fillId="10" fontId="5" numFmtId="0" xfId="0" applyAlignment="1" applyBorder="1" applyFont="1">
      <alignment horizontal="left" readingOrder="0" shrinkToFit="0" wrapText="1"/>
    </xf>
    <xf borderId="11" fillId="10" fontId="2" numFmtId="0" xfId="0" applyAlignment="1" applyBorder="1" applyFont="1">
      <alignment horizontal="left"/>
    </xf>
    <xf borderId="11" fillId="10" fontId="2" numFmtId="0" xfId="0" applyAlignment="1" applyBorder="1" applyFont="1">
      <alignment horizontal="left" readingOrder="0"/>
    </xf>
    <xf borderId="11" fillId="10" fontId="110" numFmtId="0" xfId="0" applyAlignment="1" applyBorder="1" applyFont="1">
      <alignment horizontal="left" shrinkToFit="0" wrapText="1"/>
    </xf>
    <xf borderId="0" fillId="10" fontId="504" numFmtId="0" xfId="0" applyAlignment="1" applyFont="1">
      <alignment horizontal="left" readingOrder="0" shrinkToFit="0" wrapText="1"/>
    </xf>
    <xf borderId="1" fillId="10" fontId="505" numFmtId="0" xfId="0" applyAlignment="1" applyBorder="1" applyFont="1">
      <alignment horizontal="left" readingOrder="0" shrinkToFit="0" wrapText="1"/>
    </xf>
    <xf borderId="1" fillId="10" fontId="13" numFmtId="0" xfId="0" applyAlignment="1" applyBorder="1" applyFont="1">
      <alignment readingOrder="0"/>
    </xf>
    <xf borderId="1" fillId="10" fontId="13" numFmtId="49" xfId="0" applyAlignment="1" applyBorder="1" applyFont="1" applyNumberFormat="1">
      <alignment readingOrder="0"/>
    </xf>
    <xf borderId="1" fillId="10" fontId="2" numFmtId="10" xfId="0" applyAlignment="1" applyBorder="1" applyFont="1" applyNumberFormat="1">
      <alignment horizontal="left" readingOrder="0"/>
    </xf>
    <xf borderId="0" fillId="4" fontId="13" numFmtId="0" xfId="0" applyAlignment="1" applyFont="1">
      <alignment readingOrder="0" shrinkToFit="0" wrapText="1"/>
    </xf>
    <xf borderId="11" fillId="4" fontId="5" numFmtId="0" xfId="0" applyAlignment="1" applyBorder="1" applyFont="1">
      <alignment horizontal="left"/>
    </xf>
    <xf borderId="11" fillId="4" fontId="5" numFmtId="0" xfId="0" applyAlignment="1" applyBorder="1" applyFont="1">
      <alignment horizontal="left" readingOrder="0"/>
    </xf>
    <xf borderId="11" fillId="4" fontId="506" numFmtId="0" xfId="0" applyAlignment="1" applyBorder="1" applyFont="1">
      <alignment horizontal="left" shrinkToFit="0" wrapText="1"/>
    </xf>
    <xf borderId="0" fillId="4" fontId="507" numFmtId="0" xfId="0" applyAlignment="1" applyFont="1">
      <alignment horizontal="left" readingOrder="0" shrinkToFit="0" wrapText="1"/>
    </xf>
    <xf borderId="1" fillId="4" fontId="508" numFmtId="0" xfId="0" applyAlignment="1" applyBorder="1" applyFont="1">
      <alignment readingOrder="0" shrinkToFit="0" wrapText="1"/>
    </xf>
    <xf borderId="0" fillId="4" fontId="5" numFmtId="0" xfId="0" applyAlignment="1" applyFont="1">
      <alignment horizontal="left" readingOrder="0" shrinkToFit="0" wrapText="1"/>
    </xf>
    <xf borderId="1" fillId="4" fontId="5" numFmtId="0" xfId="0" applyAlignment="1" applyBorder="1" applyFont="1">
      <alignment horizontal="left" readingOrder="0"/>
    </xf>
    <xf borderId="1" fillId="4" fontId="5" numFmtId="0" xfId="0" applyBorder="1" applyFont="1"/>
    <xf borderId="1" fillId="4" fontId="5" numFmtId="10" xfId="0" applyAlignment="1" applyBorder="1" applyFont="1" applyNumberFormat="1">
      <alignment horizontal="left" readingOrder="0"/>
    </xf>
    <xf borderId="1" fillId="4" fontId="509" numFmtId="166" xfId="0" applyAlignment="1" applyBorder="1" applyFont="1" applyNumberFormat="1">
      <alignment readingOrder="0"/>
    </xf>
    <xf borderId="1" fillId="4" fontId="5" numFmtId="167" xfId="0" applyAlignment="1" applyBorder="1" applyFont="1" applyNumberFormat="1">
      <alignment horizontal="left" readingOrder="0"/>
    </xf>
    <xf borderId="1" fillId="4" fontId="5" numFmtId="166" xfId="0" applyAlignment="1" applyBorder="1" applyFont="1" applyNumberFormat="1">
      <alignment horizontal="left" readingOrder="0"/>
    </xf>
    <xf borderId="11" fillId="3" fontId="510" numFmtId="0" xfId="0" applyAlignment="1" applyBorder="1" applyFont="1">
      <alignment horizontal="left" readingOrder="0" shrinkToFit="0" wrapText="1"/>
    </xf>
    <xf borderId="1" fillId="3" fontId="511" numFmtId="176" xfId="0" applyAlignment="1" applyBorder="1" applyFont="1" applyNumberFormat="1">
      <alignment readingOrder="0"/>
    </xf>
    <xf borderId="11" fillId="0" fontId="2" numFmtId="0" xfId="0" applyAlignment="1" applyBorder="1" applyFont="1">
      <alignment readingOrder="0" shrinkToFit="0" vertical="bottom" wrapText="1"/>
    </xf>
    <xf borderId="11" fillId="7" fontId="2" numFmtId="0" xfId="0" applyAlignment="1" applyBorder="1" applyFont="1">
      <alignment readingOrder="0" shrinkToFit="0" vertical="bottom" wrapText="1"/>
    </xf>
    <xf borderId="11" fillId="7" fontId="2" numFmtId="0" xfId="0" applyAlignment="1" applyBorder="1" applyFont="1">
      <alignment horizontal="left"/>
    </xf>
    <xf borderId="11" fillId="7" fontId="2" numFmtId="0" xfId="0" applyAlignment="1" applyBorder="1" applyFont="1">
      <alignment horizontal="left" readingOrder="0"/>
    </xf>
    <xf borderId="11" fillId="7" fontId="123" numFmtId="0" xfId="0" applyAlignment="1" applyBorder="1" applyFont="1">
      <alignment readingOrder="0"/>
    </xf>
    <xf borderId="0" fillId="7" fontId="512" numFmtId="0" xfId="0" applyAlignment="1" applyFont="1">
      <alignment readingOrder="0"/>
    </xf>
    <xf borderId="1" fillId="7" fontId="513" numFmtId="0" xfId="0" applyAlignment="1" applyBorder="1" applyFont="1">
      <alignment readingOrder="0"/>
    </xf>
    <xf borderId="1" fillId="7" fontId="514" numFmtId="166" xfId="0" applyBorder="1" applyFont="1" applyNumberFormat="1"/>
    <xf borderId="1" fillId="7" fontId="5" numFmtId="169" xfId="0" applyAlignment="1" applyBorder="1" applyFont="1" applyNumberFormat="1">
      <alignment horizontal="left"/>
    </xf>
    <xf borderId="1" fillId="0" fontId="13" numFmtId="167" xfId="0" applyAlignment="1" applyBorder="1" applyFont="1" applyNumberFormat="1">
      <alignment readingOrder="0"/>
    </xf>
    <xf borderId="11" fillId="3" fontId="515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  <xf borderId="1" fillId="0" fontId="516" numFmtId="182" xfId="0" applyAlignment="1" applyBorder="1" applyFont="1" applyNumberFormat="1">
      <alignment readingOrder="0"/>
    </xf>
    <xf borderId="1" fillId="3" fontId="70" numFmtId="166" xfId="0" applyAlignment="1" applyBorder="1" applyFont="1" applyNumberFormat="1">
      <alignment readingOrder="0" shrinkToFit="0" wrapText="0"/>
    </xf>
    <xf borderId="1" fillId="3" fontId="5" numFmtId="167" xfId="0" applyAlignment="1" applyBorder="1" applyFont="1" applyNumberFormat="1">
      <alignment horizontal="left" readingOrder="0"/>
    </xf>
    <xf borderId="1" fillId="3" fontId="2" numFmtId="49" xfId="0" applyAlignment="1" applyBorder="1" applyFont="1" applyNumberFormat="1">
      <alignment readingOrder="0"/>
    </xf>
    <xf borderId="1" fillId="3" fontId="517" numFmtId="167" xfId="0" applyAlignment="1" applyBorder="1" applyFont="1" applyNumberFormat="1">
      <alignment horizontal="left" readingOrder="0"/>
    </xf>
    <xf borderId="1" fillId="0" fontId="10" numFmtId="167" xfId="0" applyAlignment="1" applyBorder="1" applyFont="1" applyNumberFormat="1">
      <alignment readingOrder="0"/>
    </xf>
    <xf borderId="1" fillId="0" fontId="2" numFmtId="180" xfId="0" applyAlignment="1" applyBorder="1" applyFont="1" applyNumberFormat="1">
      <alignment horizontal="left" readingOrder="0"/>
    </xf>
    <xf borderId="1" fillId="3" fontId="55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518" numFmtId="0" xfId="0" applyAlignment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3" fontId="5" numFmtId="0" xfId="0" applyAlignment="1" applyBorder="1" applyFont="1">
      <alignment readingOrder="0" vertical="bottom"/>
    </xf>
    <xf borderId="1" fillId="3" fontId="2" numFmtId="49" xfId="0" applyAlignment="1" applyBorder="1" applyFont="1" applyNumberFormat="1">
      <alignment readingOrder="0" vertical="bottom"/>
    </xf>
    <xf borderId="1" fillId="3" fontId="2" numFmtId="10" xfId="0" applyAlignment="1" applyBorder="1" applyFont="1" applyNumberFormat="1">
      <alignment readingOrder="0" vertical="bottom"/>
    </xf>
    <xf borderId="1" fillId="3" fontId="2" numFmtId="167" xfId="0" applyAlignment="1" applyBorder="1" applyFont="1" applyNumberFormat="1">
      <alignment vertical="bottom"/>
    </xf>
    <xf borderId="1" fillId="3" fontId="519" numFmtId="166" xfId="0" applyAlignment="1" applyBorder="1" applyFont="1" applyNumberFormat="1">
      <alignment readingOrder="0" vertical="bottom"/>
    </xf>
    <xf borderId="1" fillId="3" fontId="520" numFmtId="166" xfId="0" applyAlignment="1" applyBorder="1" applyFont="1" applyNumberFormat="1">
      <alignment readingOrder="0" vertical="bottom"/>
    </xf>
    <xf borderId="1" fillId="3" fontId="2" numFmtId="179" xfId="0" applyAlignment="1" applyBorder="1" applyFont="1" applyNumberFormat="1">
      <alignment readingOrder="0" vertical="bottom"/>
    </xf>
    <xf borderId="0" fillId="3" fontId="123" numFmtId="0" xfId="0" applyFont="1"/>
    <xf borderId="1" fillId="3" fontId="55" numFmtId="166" xfId="0" applyAlignment="1" applyBorder="1" applyFont="1" applyNumberFormat="1">
      <alignment readingOrder="0" shrinkToFit="0" wrapText="0"/>
    </xf>
    <xf borderId="0" fillId="3" fontId="521" numFmtId="166" xfId="0" applyAlignment="1" applyFont="1" applyNumberFormat="1">
      <alignment horizontal="left" readingOrder="0" shrinkToFit="0" wrapText="0"/>
    </xf>
    <xf borderId="0" fillId="0" fontId="2" numFmtId="49" xfId="0" applyAlignment="1" applyFont="1" applyNumberFormat="1">
      <alignment horizontal="left"/>
    </xf>
    <xf borderId="1" fillId="0" fontId="522" numFmtId="166" xfId="0" applyAlignment="1" applyBorder="1" applyFont="1" applyNumberFormat="1">
      <alignment horizontal="left" readingOrder="0"/>
    </xf>
    <xf borderId="0" fillId="0" fontId="523" numFmtId="0" xfId="0" applyAlignment="1" applyFont="1">
      <alignment horizontal="left"/>
    </xf>
    <xf borderId="1" fillId="3" fontId="524" numFmtId="166" xfId="0" applyAlignment="1" applyBorder="1" applyFont="1" applyNumberFormat="1">
      <alignment horizontal="left" readingOrder="0"/>
    </xf>
    <xf borderId="1" fillId="0" fontId="525" numFmtId="170" xfId="0" applyAlignment="1" applyBorder="1" applyFont="1" applyNumberFormat="1">
      <alignment horizontal="left" readingOrder="0"/>
    </xf>
    <xf borderId="1" fillId="0" fontId="526" numFmtId="0" xfId="0" applyAlignment="1" applyBorder="1" applyFont="1">
      <alignment horizontal="left"/>
    </xf>
    <xf borderId="1" fillId="0" fontId="527" numFmtId="164" xfId="0" applyAlignment="1" applyBorder="1" applyFont="1" applyNumberFormat="1">
      <alignment readingOrder="0"/>
    </xf>
    <xf borderId="0" fillId="3" fontId="5" numFmtId="0" xfId="0" applyAlignment="1" applyFont="1">
      <alignment horizontal="left" shrinkToFit="0" wrapText="0"/>
    </xf>
    <xf borderId="1" fillId="3" fontId="528" numFmtId="0" xfId="0" applyAlignment="1" applyBorder="1" applyFont="1">
      <alignment horizontal="left" shrinkToFit="0" wrapText="0"/>
    </xf>
    <xf borderId="1" fillId="3" fontId="529" numFmtId="0" xfId="0" applyAlignment="1" applyBorder="1" applyFont="1">
      <alignment readingOrder="0" shrinkToFit="0" wrapText="0"/>
    </xf>
    <xf borderId="1" fillId="3" fontId="530" numFmtId="168" xfId="0" applyAlignment="1" applyBorder="1" applyFont="1" applyNumberFormat="1">
      <alignment readingOrder="0"/>
    </xf>
    <xf borderId="1" fillId="3" fontId="531" numFmtId="166" xfId="0" applyAlignment="1" applyBorder="1" applyFont="1" applyNumberFormat="1">
      <alignment readingOrder="0" shrinkToFit="0" vertical="top" wrapText="0"/>
    </xf>
    <xf borderId="0" fillId="0" fontId="532" numFmtId="0" xfId="0" applyAlignment="1" applyFont="1">
      <alignment shrinkToFit="0" wrapText="1"/>
    </xf>
    <xf borderId="1" fillId="0" fontId="533" numFmtId="0" xfId="0" applyAlignment="1" applyBorder="1" applyFont="1">
      <alignment horizontal="left" readingOrder="0" shrinkToFit="0" wrapText="0"/>
    </xf>
    <xf borderId="1" fillId="0" fontId="534" numFmtId="170" xfId="0" applyAlignment="1" applyBorder="1" applyFont="1" applyNumberFormat="1">
      <alignment horizontal="left" readingOrder="0" shrinkToFit="0" wrapText="1"/>
    </xf>
    <xf borderId="1" fillId="0" fontId="9" numFmtId="0" xfId="0" applyBorder="1" applyFont="1"/>
    <xf borderId="1" fillId="0" fontId="5" numFmtId="165" xfId="0" applyAlignment="1" applyBorder="1" applyFont="1" applyNumberFormat="1">
      <alignment horizontal="left" readingOrder="0"/>
    </xf>
    <xf borderId="0" fillId="2" fontId="535" numFmtId="0" xfId="0" applyAlignment="1" applyFont="1">
      <alignment horizontal="left" readingOrder="0" shrinkToFit="0" wrapText="1"/>
    </xf>
    <xf borderId="1" fillId="2" fontId="536" numFmtId="0" xfId="0" applyAlignment="1" applyBorder="1" applyFont="1">
      <alignment readingOrder="0"/>
    </xf>
    <xf borderId="1" fillId="2" fontId="2" numFmtId="10" xfId="0" applyAlignment="1" applyBorder="1" applyFont="1" applyNumberFormat="1">
      <alignment horizontal="left" readingOrder="0"/>
    </xf>
    <xf borderId="1" fillId="2" fontId="537" numFmtId="166" xfId="0" applyBorder="1" applyFont="1" applyNumberFormat="1"/>
    <xf borderId="1" fillId="2" fontId="2" numFmtId="167" xfId="0" applyAlignment="1" applyBorder="1" applyFont="1" applyNumberFormat="1">
      <alignment horizontal="left" readingOrder="0"/>
    </xf>
    <xf borderId="1" fillId="2" fontId="2" numFmtId="169" xfId="0" applyAlignment="1" applyBorder="1" applyFont="1" applyNumberFormat="1">
      <alignment horizontal="left"/>
    </xf>
    <xf borderId="1" fillId="2" fontId="538" numFmtId="166" xfId="0" applyAlignment="1" applyBorder="1" applyFont="1" applyNumberFormat="1">
      <alignment horizontal="left" readingOrder="0"/>
    </xf>
    <xf borderId="1" fillId="2" fontId="2" numFmtId="166" xfId="0" applyAlignment="1" applyBorder="1" applyFont="1" applyNumberFormat="1">
      <alignment horizontal="left" readingOrder="0"/>
    </xf>
    <xf borderId="1" fillId="2" fontId="2" numFmtId="165" xfId="0" applyAlignment="1" applyBorder="1" applyFont="1" applyNumberFormat="1">
      <alignment horizontal="left"/>
    </xf>
    <xf borderId="1" fillId="3" fontId="55" numFmtId="0" xfId="0" applyAlignment="1" applyBorder="1" applyFont="1">
      <alignment horizontal="left" readingOrder="0"/>
    </xf>
    <xf borderId="0" fillId="7" fontId="2" numFmtId="0" xfId="0" applyAlignment="1" applyFont="1">
      <alignment readingOrder="0" shrinkToFit="0" vertical="bottom" wrapText="1"/>
    </xf>
    <xf borderId="0" fillId="7" fontId="110" numFmtId="0" xfId="0" applyAlignment="1" applyFont="1">
      <alignment horizontal="left" readingOrder="0" shrinkToFit="0" wrapText="1"/>
    </xf>
    <xf borderId="1" fillId="7" fontId="2" numFmtId="0" xfId="0" applyAlignment="1" applyBorder="1" applyFont="1">
      <alignment readingOrder="0"/>
    </xf>
    <xf borderId="1" fillId="7" fontId="55" numFmtId="167" xfId="0" applyAlignment="1" applyBorder="1" applyFont="1" applyNumberFormat="1">
      <alignment readingOrder="0"/>
    </xf>
    <xf borderId="1" fillId="3" fontId="70" numFmtId="166" xfId="0" applyAlignment="1" applyBorder="1" applyFont="1" applyNumberFormat="1">
      <alignment horizontal="left" shrinkToFit="0" wrapText="0"/>
    </xf>
    <xf borderId="0" fillId="0" fontId="539" numFmtId="0" xfId="0" applyAlignment="1" applyFont="1">
      <alignment horizontal="left" readingOrder="0" shrinkToFit="0" wrapText="1"/>
    </xf>
    <xf borderId="1" fillId="0" fontId="85" numFmtId="170" xfId="0" applyAlignment="1" applyBorder="1" applyFont="1" applyNumberFormat="1">
      <alignment horizontal="left" readingOrder="0"/>
    </xf>
    <xf borderId="0" fillId="3" fontId="540" numFmtId="166" xfId="0" applyAlignment="1" applyFont="1" applyNumberFormat="1">
      <alignment readingOrder="0"/>
    </xf>
    <xf borderId="1" fillId="3" fontId="541" numFmtId="0" xfId="0" applyAlignment="1" applyBorder="1" applyFont="1">
      <alignment horizontal="left" readingOrder="0"/>
    </xf>
    <xf borderId="0" fillId="0" fontId="542" numFmtId="0" xfId="0" applyAlignment="1" applyFont="1">
      <alignment readingOrder="0" shrinkToFit="0" wrapText="1"/>
    </xf>
    <xf borderId="1" fillId="0" fontId="543" numFmtId="0" xfId="0" applyAlignment="1" applyBorder="1" applyFont="1">
      <alignment readingOrder="0" shrinkToFit="0" wrapText="1"/>
    </xf>
    <xf borderId="1" fillId="0" fontId="544" numFmtId="0" xfId="0" applyAlignment="1" applyBorder="1" applyFont="1">
      <alignment horizontal="left" readingOrder="0" shrinkToFit="0" wrapText="1"/>
    </xf>
    <xf borderId="1" fillId="0" fontId="2" numFmtId="169" xfId="0" applyAlignment="1" applyBorder="1" applyFont="1" applyNumberFormat="1">
      <alignment horizontal="left" readingOrder="0"/>
    </xf>
    <xf borderId="0" fillId="3" fontId="373" numFmtId="174" xfId="0" applyAlignment="1" applyFont="1" applyNumberFormat="1">
      <alignment readingOrder="0" shrinkToFit="0" wrapText="1"/>
    </xf>
    <xf borderId="1" fillId="3" fontId="55" numFmtId="167" xfId="0" applyAlignment="1" applyBorder="1" applyFont="1" applyNumberFormat="1">
      <alignment vertical="top"/>
    </xf>
    <xf borderId="1" fillId="3" fontId="55" numFmtId="166" xfId="0" applyAlignment="1" applyBorder="1" applyFont="1" applyNumberFormat="1">
      <alignment horizontal="left" readingOrder="0" shrinkToFit="0" vertical="top" wrapText="0"/>
    </xf>
    <xf borderId="1" fillId="3" fontId="55" numFmtId="167" xfId="0" applyAlignment="1" applyBorder="1" applyFont="1" applyNumberFormat="1">
      <alignment vertical="top"/>
    </xf>
    <xf borderId="1" fillId="0" fontId="2" numFmtId="180" xfId="0" applyAlignment="1" applyBorder="1" applyFont="1" applyNumberFormat="1">
      <alignment horizontal="right" readingOrder="0"/>
    </xf>
    <xf borderId="1" fillId="0" fontId="545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 shrinkToFit="0" wrapText="1"/>
    </xf>
    <xf borderId="0" fillId="0" fontId="546" numFmtId="0" xfId="0" applyAlignment="1" applyFont="1">
      <alignment readingOrder="0" shrinkToFit="0" wrapText="1"/>
    </xf>
    <xf borderId="0" fillId="0" fontId="547" numFmtId="0" xfId="0" applyAlignment="1" applyFont="1">
      <alignment readingOrder="0"/>
    </xf>
    <xf borderId="1" fillId="0" fontId="548" numFmtId="0" xfId="0" applyAlignment="1" applyBorder="1" applyFont="1">
      <alignment readingOrder="0"/>
    </xf>
    <xf borderId="1" fillId="0" fontId="523" numFmtId="0" xfId="0" applyAlignment="1" applyBorder="1" applyFont="1">
      <alignment horizontal="left"/>
    </xf>
    <xf borderId="1" fillId="0" fontId="523" numFmtId="166" xfId="0" applyAlignment="1" applyBorder="1" applyFont="1" applyNumberFormat="1">
      <alignment horizontal="left"/>
    </xf>
    <xf borderId="1" fillId="0" fontId="523" numFmtId="167" xfId="0" applyAlignment="1" applyBorder="1" applyFont="1" applyNumberFormat="1">
      <alignment horizontal="left"/>
    </xf>
    <xf borderId="1" fillId="0" fontId="549" numFmtId="166" xfId="0" applyBorder="1" applyFont="1" applyNumberFormat="1"/>
    <xf borderId="1" fillId="0" fontId="523" numFmtId="167" xfId="0" applyAlignment="1" applyBorder="1" applyFont="1" applyNumberFormat="1">
      <alignment horizontal="left" readingOrder="0"/>
    </xf>
    <xf borderId="1" fillId="0" fontId="523" numFmtId="169" xfId="0" applyAlignment="1" applyBorder="1" applyFont="1" applyNumberFormat="1">
      <alignment horizontal="left"/>
    </xf>
    <xf borderId="1" fillId="0" fontId="523" numFmtId="166" xfId="0" applyAlignment="1" applyBorder="1" applyFont="1" applyNumberFormat="1">
      <alignment horizontal="left" readingOrder="0"/>
    </xf>
    <xf borderId="1" fillId="0" fontId="523" numFmtId="167" xfId="0" applyAlignment="1" applyBorder="1" applyFont="1" applyNumberFormat="1">
      <alignment horizontal="left" readingOrder="0"/>
    </xf>
    <xf borderId="1" fillId="0" fontId="523" numFmtId="165" xfId="0" applyAlignment="1" applyBorder="1" applyFont="1" applyNumberFormat="1">
      <alignment horizontal="left"/>
    </xf>
    <xf borderId="0" fillId="3" fontId="530" numFmtId="168" xfId="0" applyAlignment="1" applyFont="1" applyNumberFormat="1">
      <alignment readingOrder="0"/>
    </xf>
    <xf borderId="1" fillId="0" fontId="2" numFmtId="172" xfId="0" applyAlignment="1" applyBorder="1" applyFont="1" applyNumberFormat="1">
      <alignment horizontal="left" readingOrder="0"/>
    </xf>
    <xf borderId="1" fillId="3" fontId="55" numFmtId="173" xfId="0" applyAlignment="1" applyBorder="1" applyFont="1" applyNumberFormat="1">
      <alignment readingOrder="0" shrinkToFit="0" wrapText="0"/>
    </xf>
    <xf borderId="1" fillId="3" fontId="55" numFmtId="170" xfId="0" applyAlignment="1" applyBorder="1" applyFont="1" applyNumberFormat="1">
      <alignment horizontal="left" readingOrder="0" shrinkToFit="0" wrapText="0"/>
    </xf>
    <xf borderId="0" fillId="4" fontId="13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110" numFmtId="0" xfId="0" applyAlignment="1" applyFont="1">
      <alignment horizontal="left" shrinkToFit="0" wrapText="1"/>
    </xf>
    <xf borderId="0" fillId="4" fontId="550" numFmtId="0" xfId="0" applyAlignment="1" applyFont="1">
      <alignment horizontal="left" readingOrder="0" shrinkToFit="0" wrapText="1"/>
    </xf>
    <xf borderId="1" fillId="4" fontId="551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5" numFmtId="49" xfId="0" applyAlignment="1" applyBorder="1" applyFont="1" applyNumberFormat="1">
      <alignment horizontal="left"/>
    </xf>
    <xf borderId="1" fillId="4" fontId="10" numFmtId="0" xfId="0" applyBorder="1" applyFont="1"/>
    <xf borderId="1" fillId="4" fontId="552" numFmtId="166" xfId="0" applyAlignment="1" applyBorder="1" applyFont="1" applyNumberFormat="1">
      <alignment readingOrder="0"/>
    </xf>
    <xf borderId="1" fillId="4" fontId="5" numFmtId="168" xfId="0" applyAlignment="1" applyBorder="1" applyFont="1" applyNumberFormat="1">
      <alignment horizontal="left" readingOrder="0"/>
    </xf>
    <xf borderId="1" fillId="4" fontId="5" numFmtId="169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5" numFmtId="172" xfId="0" applyAlignment="1" applyBorder="1" applyFont="1" applyNumberFormat="1">
      <alignment readingOrder="0" shrinkToFit="0" vertical="top" wrapText="0"/>
    </xf>
    <xf borderId="1" fillId="3" fontId="553" numFmtId="170" xfId="0" applyAlignment="1" applyBorder="1" applyFont="1" applyNumberFormat="1">
      <alignment horizontal="left" readingOrder="0" shrinkToFit="0" wrapText="0"/>
    </xf>
    <xf borderId="1" fillId="3" fontId="554" numFmtId="169" xfId="0" applyAlignment="1" applyBorder="1" applyFont="1" applyNumberFormat="1">
      <alignment horizontal="left" readingOrder="0"/>
    </xf>
    <xf borderId="1" fillId="3" fontId="2" numFmtId="169" xfId="0" applyAlignment="1" applyBorder="1" applyFont="1" applyNumberFormat="1">
      <alignment horizontal="left" readingOrder="0"/>
    </xf>
    <xf borderId="0" fillId="0" fontId="269" numFmtId="0" xfId="0" applyAlignment="1" applyFont="1">
      <alignment horizontal="left" readingOrder="0" shrinkToFit="0" wrapText="1"/>
    </xf>
    <xf borderId="0" fillId="12" fontId="2" numFmtId="0" xfId="0" applyAlignment="1" applyFill="1" applyFont="1">
      <alignment horizontal="left"/>
    </xf>
    <xf borderId="0" fillId="3" fontId="555" numFmtId="0" xfId="0" applyAlignment="1" applyFont="1">
      <alignment shrinkToFit="0" wrapText="1"/>
    </xf>
    <xf borderId="1" fillId="3" fontId="556" numFmtId="0" xfId="0" applyAlignment="1" applyBorder="1" applyFont="1">
      <alignment horizontal="left" readingOrder="0"/>
    </xf>
    <xf borderId="0" fillId="0" fontId="557" numFmtId="0" xfId="0" applyAlignment="1" applyFont="1">
      <alignment readingOrder="0" shrinkToFit="0" wrapText="1"/>
    </xf>
    <xf borderId="1" fillId="2" fontId="2" numFmtId="183" xfId="0" applyAlignment="1" applyBorder="1" applyFont="1" applyNumberFormat="1">
      <alignment horizontal="left" readingOrder="0"/>
    </xf>
    <xf borderId="1" fillId="2" fontId="2" numFmtId="183" xfId="0" applyAlignment="1" applyBorder="1" applyFont="1" applyNumberFormat="1">
      <alignment horizontal="right" readingOrder="0"/>
    </xf>
    <xf borderId="1" fillId="2" fontId="2" numFmtId="49" xfId="0" applyAlignment="1" applyBorder="1" applyFont="1" applyNumberFormat="1">
      <alignment horizontal="right" readingOrder="0"/>
    </xf>
    <xf borderId="1" fillId="3" fontId="558" numFmtId="168" xfId="0" applyAlignment="1" applyBorder="1" applyFont="1" applyNumberFormat="1">
      <alignment horizontal="left" readingOrder="0" shrinkToFit="0" wrapText="0"/>
    </xf>
    <xf borderId="0" fillId="3" fontId="2" numFmtId="166" xfId="0" applyAlignment="1" applyFont="1" applyNumberFormat="1">
      <alignment horizontal="left" readingOrder="0"/>
    </xf>
    <xf borderId="1" fillId="0" fontId="559" numFmtId="0" xfId="0" applyAlignment="1" applyBorder="1" applyFont="1">
      <alignment readingOrder="0"/>
    </xf>
    <xf borderId="1" fillId="0" fontId="5" numFmtId="14" xfId="0" applyAlignment="1" applyBorder="1" applyFont="1" applyNumberFormat="1">
      <alignment horizontal="left"/>
    </xf>
    <xf borderId="0" fillId="3" fontId="5" numFmtId="167" xfId="0" applyAlignment="1" applyFont="1" applyNumberFormat="1">
      <alignment horizontal="left" readingOrder="0"/>
    </xf>
    <xf borderId="1" fillId="0" fontId="560" numFmtId="170" xfId="0" applyAlignment="1" applyBorder="1" applyFont="1" applyNumberFormat="1">
      <alignment readingOrder="0" shrinkToFit="0" wrapText="1"/>
    </xf>
    <xf borderId="0" fillId="0" fontId="561" numFmtId="0" xfId="0" applyAlignment="1" applyFont="1">
      <alignment readingOrder="0" shrinkToFit="0" wrapText="0"/>
    </xf>
    <xf borderId="0" fillId="0" fontId="13" numFmtId="0" xfId="0" applyFont="1"/>
    <xf borderId="1" fillId="0" fontId="562" numFmtId="0" xfId="0" applyAlignment="1" applyBorder="1" applyFont="1">
      <alignment readingOrder="0" shrinkToFit="0" wrapText="0"/>
    </xf>
    <xf borderId="1" fillId="7" fontId="563" numFmtId="0" xfId="0" applyAlignment="1" applyBorder="1" applyFont="1">
      <alignment readingOrder="0" shrinkToFit="0" wrapText="0"/>
    </xf>
    <xf borderId="1" fillId="7" fontId="2" numFmtId="49" xfId="0" applyAlignment="1" applyBorder="1" applyFont="1" applyNumberFormat="1">
      <alignment horizontal="left" readingOrder="0"/>
    </xf>
    <xf borderId="1" fillId="7" fontId="5" numFmtId="0" xfId="0" applyBorder="1" applyFont="1"/>
    <xf borderId="1" fillId="7" fontId="564" numFmtId="166" xfId="0" applyAlignment="1" applyBorder="1" applyFont="1" applyNumberFormat="1">
      <alignment horizontal="left" readingOrder="0"/>
    </xf>
    <xf borderId="1" fillId="7" fontId="565" numFmtId="166" xfId="0" applyAlignment="1" applyBorder="1" applyFont="1" applyNumberFormat="1">
      <alignment readingOrder="0"/>
    </xf>
    <xf borderId="1" fillId="7" fontId="2" numFmtId="170" xfId="0" applyAlignment="1" applyBorder="1" applyFont="1" applyNumberFormat="1">
      <alignment horizontal="left" readingOrder="0"/>
    </xf>
    <xf borderId="1" fillId="7" fontId="2" numFmtId="169" xfId="0" applyAlignment="1" applyBorder="1" applyFont="1" applyNumberFormat="1">
      <alignment horizontal="left" readingOrder="0"/>
    </xf>
    <xf borderId="1" fillId="7" fontId="2" numFmtId="166" xfId="0" applyAlignment="1" applyBorder="1" applyFont="1" applyNumberFormat="1">
      <alignment horizontal="left" readingOrder="0"/>
    </xf>
    <xf borderId="1" fillId="7" fontId="2" numFmtId="167" xfId="0" applyAlignment="1" applyBorder="1" applyFont="1" applyNumberFormat="1">
      <alignment horizontal="left" readingOrder="0"/>
    </xf>
    <xf borderId="1" fillId="3" fontId="5" numFmtId="175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left" readingOrder="0" shrinkToFit="0" wrapText="1"/>
    </xf>
    <xf borderId="0" fillId="0" fontId="123" numFmtId="0" xfId="0" applyAlignment="1" applyFont="1">
      <alignment shrinkToFit="0" wrapText="1"/>
    </xf>
    <xf borderId="0" fillId="0" fontId="566" numFmtId="0" xfId="0" applyAlignment="1" applyFont="1">
      <alignment readingOrder="0" shrinkToFit="0" wrapText="1"/>
    </xf>
    <xf borderId="0" fillId="0" fontId="567" numFmtId="0" xfId="0" applyAlignment="1" applyFont="1">
      <alignment readingOrder="0" shrinkToFit="0" wrapText="1"/>
    </xf>
    <xf borderId="0" fillId="0" fontId="5" numFmtId="0" xfId="0" applyFont="1"/>
    <xf borderId="0" fillId="0" fontId="568" numFmtId="0" xfId="0" applyAlignment="1" applyFont="1">
      <alignment readingOrder="0" shrinkToFit="0" wrapText="0"/>
    </xf>
    <xf borderId="0" fillId="3" fontId="13" numFmtId="49" xfId="0" applyAlignment="1" applyFont="1" applyNumberFormat="1">
      <alignment readingOrder="0"/>
    </xf>
    <xf borderId="0" fillId="7" fontId="569" numFmtId="0" xfId="0" applyAlignment="1" applyFont="1">
      <alignment readingOrder="0"/>
    </xf>
    <xf borderId="1" fillId="7" fontId="570" numFmtId="0" xfId="0" applyAlignment="1" applyBorder="1" applyFont="1">
      <alignment readingOrder="0"/>
    </xf>
    <xf borderId="1" fillId="7" fontId="571" numFmtId="166" xfId="0" applyAlignment="1" applyBorder="1" applyFont="1" applyNumberFormat="1">
      <alignment horizontal="left" readingOrder="0"/>
    </xf>
    <xf borderId="1" fillId="7" fontId="572" numFmtId="166" xfId="0" applyAlignment="1" applyBorder="1" applyFont="1" applyNumberFormat="1">
      <alignment readingOrder="0"/>
    </xf>
    <xf borderId="1" fillId="0" fontId="2" numFmtId="175" xfId="0" applyAlignment="1" applyBorder="1" applyFont="1" applyNumberForma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13" numFmtId="49" xfId="0" applyAlignment="1" applyFont="1" applyNumberFormat="1">
      <alignment readingOrder="0"/>
    </xf>
    <xf borderId="1" fillId="0" fontId="573" numFmtId="166" xfId="0" applyAlignment="1" applyBorder="1" applyFont="1" applyNumberFormat="1">
      <alignment horizontal="left" readingOrder="0" shrinkToFit="0" wrapText="0"/>
    </xf>
    <xf borderId="0" fillId="10" fontId="5" numFmtId="0" xfId="0" applyAlignment="1" applyFont="1">
      <alignment horizontal="left"/>
    </xf>
    <xf borderId="1" fillId="0" fontId="574" numFmtId="0" xfId="0" applyAlignment="1" applyBorder="1" applyFont="1">
      <alignment readingOrder="0"/>
    </xf>
    <xf borderId="0" fillId="3" fontId="575" numFmtId="166" xfId="0" applyAlignment="1" applyFont="1" applyNumberFormat="1">
      <alignment horizontal="left" readingOrder="0" shrinkToFit="0" wrapText="0"/>
    </xf>
    <xf borderId="0" fillId="0" fontId="576" numFmtId="0" xfId="0" applyAlignment="1" applyFont="1">
      <alignment readingOrder="0" shrinkToFit="0" wrapText="0"/>
    </xf>
    <xf borderId="1" fillId="0" fontId="577" numFmtId="176" xfId="0" applyAlignment="1" applyBorder="1" applyFont="1" applyNumberFormat="1">
      <alignment horizontal="left" readingOrder="0"/>
    </xf>
    <xf borderId="1" fillId="0" fontId="5" numFmtId="169" xfId="0" applyAlignment="1" applyBorder="1" applyFont="1" applyNumberFormat="1">
      <alignment horizontal="left" readingOrder="0"/>
    </xf>
    <xf borderId="1" fillId="3" fontId="5" numFmtId="166" xfId="0" applyAlignment="1" applyBorder="1" applyFont="1" applyNumberFormat="1">
      <alignment horizontal="left" vertical="bottom"/>
    </xf>
    <xf borderId="1" fillId="3" fontId="55" numFmtId="0" xfId="0" applyAlignment="1" applyBorder="1" applyFont="1">
      <alignment readingOrder="0" shrinkToFit="0" wrapText="0"/>
    </xf>
    <xf borderId="1" fillId="3" fontId="578" numFmtId="14" xfId="0" applyAlignment="1" applyBorder="1" applyFont="1" applyNumberFormat="1">
      <alignment horizontal="left" readingOrder="0"/>
    </xf>
    <xf borderId="1" fillId="3" fontId="579" numFmtId="166" xfId="0" applyAlignment="1" applyBorder="1" applyFont="1" applyNumberFormat="1">
      <alignment readingOrder="0"/>
    </xf>
    <xf borderId="0" fillId="0" fontId="2" numFmtId="170" xfId="0" applyAlignment="1" applyFont="1" applyNumberFormat="1">
      <alignment horizontal="left" readingOrder="0"/>
    </xf>
    <xf borderId="0" fillId="0" fontId="2" numFmtId="169" xfId="0" applyAlignment="1" applyFont="1" applyNumberFormat="1">
      <alignment horizontal="left" readingOrder="0"/>
    </xf>
    <xf borderId="0" fillId="3" fontId="459" numFmtId="49" xfId="0" applyAlignment="1" applyFont="1" applyNumberFormat="1">
      <alignment readingOrder="0"/>
    </xf>
    <xf borderId="1" fillId="3" fontId="580" numFmtId="170" xfId="0" applyAlignment="1" applyBorder="1" applyFont="1" applyNumberFormat="1">
      <alignment readingOrder="0"/>
    </xf>
    <xf borderId="0" fillId="12" fontId="13" numFmtId="0" xfId="0" applyAlignment="1" applyFont="1">
      <alignment readingOrder="0" shrinkToFit="0" wrapText="1"/>
    </xf>
    <xf borderId="0" fillId="12" fontId="2" numFmtId="0" xfId="0" applyAlignment="1" applyFont="1">
      <alignment horizontal="left" readingOrder="0"/>
    </xf>
    <xf borderId="0" fillId="12" fontId="581" numFmtId="0" xfId="0" applyAlignment="1" applyFont="1">
      <alignment horizontal="left" readingOrder="0" shrinkToFit="0" wrapText="1"/>
    </xf>
    <xf borderId="0" fillId="12" fontId="582" numFmtId="0" xfId="0" applyAlignment="1" applyFont="1">
      <alignment horizontal="left" readingOrder="0" shrinkToFit="0" wrapText="1"/>
    </xf>
    <xf borderId="0" fillId="12" fontId="583" numFmtId="0" xfId="0" applyAlignment="1" applyFont="1">
      <alignment readingOrder="0"/>
    </xf>
    <xf borderId="1" fillId="12" fontId="13" numFmtId="0" xfId="0" applyAlignment="1" applyBorder="1" applyFont="1">
      <alignment readingOrder="0"/>
    </xf>
    <xf borderId="1" fillId="12" fontId="2" numFmtId="0" xfId="0" applyAlignment="1" applyBorder="1" applyFont="1">
      <alignment horizontal="left" readingOrder="0" shrinkToFit="0" wrapText="1"/>
    </xf>
    <xf borderId="1" fillId="12" fontId="2" numFmtId="0" xfId="0" applyAlignment="1" applyBorder="1" applyFont="1">
      <alignment horizontal="left" readingOrder="0"/>
    </xf>
    <xf borderId="1" fillId="12" fontId="13" numFmtId="49" xfId="0" applyAlignment="1" applyBorder="1" applyFont="1" applyNumberFormat="1">
      <alignment readingOrder="0"/>
    </xf>
    <xf borderId="1" fillId="12" fontId="5" numFmtId="0" xfId="0" applyAlignment="1" applyBorder="1" applyFont="1">
      <alignment horizontal="left" readingOrder="0"/>
    </xf>
    <xf borderId="1" fillId="12" fontId="5" numFmtId="0" xfId="0" applyBorder="1" applyFont="1"/>
    <xf borderId="1" fillId="12" fontId="2" numFmtId="10" xfId="0" applyAlignment="1" applyBorder="1" applyFont="1" applyNumberFormat="1">
      <alignment horizontal="left" readingOrder="0"/>
    </xf>
    <xf borderId="1" fillId="12" fontId="2" numFmtId="0" xfId="0" applyAlignment="1" applyBorder="1" applyFont="1">
      <alignment horizontal="left"/>
    </xf>
    <xf borderId="1" fillId="12" fontId="584" numFmtId="166" xfId="0" applyAlignment="1" applyBorder="1" applyFont="1" applyNumberFormat="1">
      <alignment horizontal="left" readingOrder="0"/>
    </xf>
    <xf borderId="1" fillId="12" fontId="2" numFmtId="167" xfId="0" applyAlignment="1" applyBorder="1" applyFont="1" applyNumberFormat="1">
      <alignment horizontal="left" readingOrder="0"/>
    </xf>
    <xf borderId="1" fillId="12" fontId="585" numFmtId="166" xfId="0" applyAlignment="1" applyBorder="1" applyFont="1" applyNumberFormat="1">
      <alignment readingOrder="0"/>
    </xf>
    <xf borderId="1" fillId="12" fontId="2" numFmtId="14" xfId="0" applyAlignment="1" applyBorder="1" applyFont="1" applyNumberFormat="1">
      <alignment horizontal="left"/>
    </xf>
    <xf borderId="1" fillId="12" fontId="2" numFmtId="169" xfId="0" applyAlignment="1" applyBorder="1" applyFont="1" applyNumberFormat="1">
      <alignment horizontal="left"/>
    </xf>
    <xf borderId="1" fillId="12" fontId="70" numFmtId="166" xfId="0" applyAlignment="1" applyBorder="1" applyFont="1" applyNumberFormat="1">
      <alignment readingOrder="0" shrinkToFit="0" vertical="top" wrapText="0"/>
    </xf>
    <xf borderId="1" fillId="12" fontId="70" numFmtId="167" xfId="0" applyAlignment="1" applyBorder="1" applyFont="1" applyNumberFormat="1">
      <alignment readingOrder="0" vertical="top"/>
    </xf>
    <xf borderId="1" fillId="12" fontId="2" numFmtId="166" xfId="0" applyAlignment="1" applyBorder="1" applyFont="1" applyNumberFormat="1">
      <alignment horizontal="left"/>
    </xf>
    <xf borderId="1" fillId="12" fontId="2" numFmtId="165" xfId="0" applyAlignment="1" applyBorder="1" applyFont="1" applyNumberFormat="1">
      <alignment horizontal="left"/>
    </xf>
    <xf borderId="0" fillId="0" fontId="586" numFmtId="174" xfId="0" applyAlignment="1" applyFont="1" applyNumberFormat="1">
      <alignment readingOrder="0" shrinkToFit="0" wrapText="1"/>
    </xf>
    <xf borderId="1" fillId="0" fontId="587" numFmtId="174" xfId="0" applyAlignment="1" applyBorder="1" applyFont="1" applyNumberFormat="1">
      <alignment readingOrder="0" shrinkToFit="0" wrapText="1"/>
    </xf>
    <xf borderId="0" fillId="0" fontId="373" numFmtId="174" xfId="0" applyAlignment="1" applyFont="1" applyNumberFormat="1">
      <alignment readingOrder="0" shrinkToFit="0" wrapText="1"/>
    </xf>
    <xf borderId="1" fillId="0" fontId="588" numFmtId="0" xfId="0" applyAlignment="1" applyBorder="1" applyFont="1">
      <alignment readingOrder="0"/>
    </xf>
    <xf borderId="1" fillId="0" fontId="5" numFmtId="10" xfId="0" applyAlignment="1" applyBorder="1" applyFont="1" applyNumberFormat="1">
      <alignment horizontal="left"/>
    </xf>
    <xf borderId="0" fillId="2" fontId="2" numFmtId="0" xfId="0" applyAlignment="1" applyFont="1">
      <alignment vertical="bottom"/>
    </xf>
    <xf borderId="0" fillId="2" fontId="5" numFmtId="0" xfId="0" applyAlignment="1" applyFont="1">
      <alignment horizontal="left"/>
    </xf>
    <xf borderId="0" fillId="0" fontId="13" numFmtId="164" xfId="0" applyFont="1" applyNumberFormat="1"/>
    <xf borderId="1" fillId="3" fontId="2" numFmtId="177" xfId="0" applyAlignment="1" applyBorder="1" applyFont="1" applyNumberFormat="1">
      <alignment horizontal="left"/>
    </xf>
    <xf borderId="0" fillId="3" fontId="373" numFmtId="0" xfId="0" applyAlignment="1" applyFont="1">
      <alignment readingOrder="0" shrinkToFit="0" wrapText="1"/>
    </xf>
    <xf borderId="1" fillId="3" fontId="55" numFmtId="177" xfId="0" applyAlignment="1" applyBorder="1" applyFont="1" applyNumberFormat="1">
      <alignment readingOrder="0"/>
    </xf>
    <xf borderId="0" fillId="3" fontId="5" numFmtId="0" xfId="0" applyAlignment="1" applyFont="1">
      <alignment horizontal="left" readingOrder="0"/>
    </xf>
    <xf borderId="1" fillId="3" fontId="589" numFmtId="178" xfId="0" applyAlignment="1" applyBorder="1" applyFont="1" applyNumberFormat="1">
      <alignment horizontal="left" readingOrder="0" shrinkToFit="0" wrapText="0"/>
    </xf>
    <xf borderId="0" fillId="0" fontId="2" numFmtId="167" xfId="0" applyAlignment="1" applyFont="1" applyNumberFormat="1">
      <alignment horizontal="left"/>
    </xf>
    <xf borderId="0" fillId="3" fontId="2" numFmtId="0" xfId="0" applyAlignment="1" applyFont="1">
      <alignment horizontal="left"/>
    </xf>
    <xf borderId="1" fillId="0" fontId="2" numFmtId="173" xfId="0" applyAlignment="1" applyBorder="1" applyFont="1" applyNumberFormat="1">
      <alignment horizontal="left" readingOrder="0"/>
    </xf>
    <xf borderId="1" fillId="0" fontId="590" numFmtId="170" xfId="0" applyBorder="1" applyFont="1" applyNumberFormat="1"/>
    <xf borderId="1" fillId="3" fontId="591" numFmtId="0" xfId="0" applyAlignment="1" applyBorder="1" applyFont="1">
      <alignment readingOrder="0" shrinkToFit="0" wrapText="1"/>
    </xf>
    <xf borderId="1" fillId="3" fontId="10" numFmtId="166" xfId="0" applyAlignment="1" applyBorder="1" applyFont="1" applyNumberFormat="1">
      <alignment readingOrder="0"/>
    </xf>
    <xf borderId="1" fillId="3" fontId="55" numFmtId="175" xfId="0" applyAlignment="1" applyBorder="1" applyFont="1" applyNumberFormat="1">
      <alignment readingOrder="0" shrinkToFit="0" vertical="top" wrapText="0"/>
    </xf>
    <xf borderId="1" fillId="3" fontId="592" numFmtId="166" xfId="0" applyAlignment="1" applyBorder="1" applyFont="1" applyNumberFormat="1">
      <alignment readingOrder="0"/>
    </xf>
    <xf borderId="1" fillId="0" fontId="593" numFmtId="0" xfId="0" applyAlignment="1" applyBorder="1" applyFont="1">
      <alignment readingOrder="0" shrinkToFit="0" wrapText="0"/>
    </xf>
    <xf borderId="1" fillId="0" fontId="594" numFmtId="166" xfId="0" applyAlignment="1" applyBorder="1" applyFont="1" applyNumberFormat="1">
      <alignment readingOrder="0"/>
    </xf>
    <xf borderId="1" fillId="3" fontId="5" numFmtId="167" xfId="0" applyAlignment="1" applyBorder="1" applyFont="1" applyNumberFormat="1">
      <alignment readingOrder="0" shrinkToFit="0" vertical="top" wrapText="0"/>
    </xf>
    <xf borderId="1" fillId="0" fontId="2" numFmtId="0" xfId="0" applyAlignment="1" applyBorder="1" applyFont="1">
      <alignment horizontal="left" readingOrder="0"/>
    </xf>
    <xf borderId="1" fillId="0" fontId="2" numFmtId="175" xfId="0" applyAlignment="1" applyBorder="1" applyFont="1" applyNumberFormat="1">
      <alignment horizontal="right" readingOrder="0"/>
    </xf>
    <xf borderId="0" fillId="7" fontId="123" numFmtId="0" xfId="0" applyAlignment="1" applyFont="1">
      <alignment readingOrder="0"/>
    </xf>
    <xf borderId="0" fillId="7" fontId="595" numFmtId="0" xfId="0" applyAlignment="1" applyFont="1">
      <alignment readingOrder="0"/>
    </xf>
    <xf borderId="1" fillId="7" fontId="10" numFmtId="166" xfId="0" applyBorder="1" applyFont="1" applyNumberFormat="1"/>
    <xf borderId="0" fillId="7" fontId="5" numFmtId="166" xfId="0" applyAlignment="1" applyFont="1" applyNumberFormat="1">
      <alignment horizontal="left"/>
    </xf>
    <xf borderId="0" fillId="3" fontId="596" numFmtId="0" xfId="0" applyAlignment="1" applyFont="1">
      <alignment readingOrder="0" shrinkToFit="0" wrapText="1"/>
    </xf>
    <xf borderId="0" fillId="3" fontId="597" numFmtId="0" xfId="0" applyAlignment="1" applyFont="1">
      <alignment readingOrder="0"/>
    </xf>
    <xf borderId="1" fillId="3" fontId="70" numFmtId="166" xfId="0" applyBorder="1" applyFont="1" applyNumberFormat="1"/>
    <xf borderId="1" fillId="3" fontId="598" numFmtId="49" xfId="0" applyAlignment="1" applyBorder="1" applyFont="1" applyNumberFormat="1">
      <alignment readingOrder="0"/>
    </xf>
    <xf borderId="1" fillId="0" fontId="2" numFmtId="180" xfId="0" applyAlignment="1" applyBorder="1" applyFont="1" applyNumberFormat="1">
      <alignment horizontal="right" readingOrder="0"/>
    </xf>
    <xf borderId="0" fillId="0" fontId="13" numFmtId="0" xfId="0" applyAlignment="1" applyFont="1">
      <alignment readingOrder="0" shrinkToFit="0" wrapText="1"/>
    </xf>
    <xf borderId="1" fillId="3" fontId="5" numFmtId="180" xfId="0" applyAlignment="1" applyBorder="1" applyFont="1" applyNumberFormat="1">
      <alignment horizontal="left" readingOrder="0"/>
    </xf>
    <xf borderId="1" fillId="3" fontId="599" numFmtId="0" xfId="0" applyAlignment="1" applyBorder="1" applyFont="1">
      <alignment readingOrder="0"/>
    </xf>
    <xf borderId="0" fillId="3" fontId="13" numFmtId="0" xfId="0" applyFont="1"/>
    <xf borderId="0" fillId="0" fontId="2" numFmtId="49" xfId="0" applyAlignment="1" applyFont="1" applyNumberFormat="1">
      <alignment horizontal="left" readingOrder="0"/>
    </xf>
    <xf borderId="0" fillId="10" fontId="13" numFmtId="174" xfId="0" applyAlignment="1" applyFont="1" applyNumberFormat="1">
      <alignment readingOrder="0" shrinkToFit="0" wrapText="1"/>
    </xf>
    <xf borderId="0" fillId="10" fontId="2" numFmtId="0" xfId="0" applyAlignment="1" applyFont="1">
      <alignment horizontal="left" shrinkToFit="0" wrapText="1"/>
    </xf>
    <xf borderId="1" fillId="10" fontId="2" numFmtId="10" xfId="0" applyAlignment="1" applyBorder="1" applyFont="1" applyNumberFormat="1">
      <alignment horizontal="left"/>
    </xf>
    <xf borderId="1" fillId="10" fontId="600" numFmtId="166" xfId="0" applyAlignment="1" applyBorder="1" applyFont="1" applyNumberFormat="1">
      <alignment horizontal="left" readingOrder="0" shrinkToFit="0" wrapText="0"/>
    </xf>
    <xf borderId="0" fillId="3" fontId="29" numFmtId="0" xfId="0" applyAlignment="1" applyFont="1">
      <alignment readingOrder="0"/>
    </xf>
    <xf borderId="1" fillId="3" fontId="479" numFmtId="166" xfId="0" applyAlignment="1" applyBorder="1" applyFont="1" applyNumberFormat="1">
      <alignment horizontal="left" readingOrder="0" shrinkToFit="0" wrapText="0"/>
    </xf>
    <xf borderId="1" fillId="0" fontId="13" numFmtId="0" xfId="0" applyAlignment="1" applyBorder="1" applyFont="1">
      <alignment readingOrder="0"/>
    </xf>
    <xf borderId="0" fillId="0" fontId="2" numFmtId="174" xfId="0" applyAlignment="1" applyFont="1" applyNumberFormat="1">
      <alignment vertical="bottom"/>
    </xf>
    <xf borderId="0" fillId="3" fontId="383" numFmtId="0" xfId="0" applyAlignment="1" applyFont="1">
      <alignment horizontal="left" shrinkToFit="0" wrapText="1"/>
    </xf>
    <xf borderId="1" fillId="3" fontId="110" numFmtId="0" xfId="0" applyAlignment="1" applyBorder="1" applyFont="1">
      <alignment horizontal="left" readingOrder="0" shrinkToFit="0" wrapText="1"/>
    </xf>
    <xf borderId="0" fillId="10" fontId="601" numFmtId="0" xfId="0" applyAlignment="1" applyFont="1">
      <alignment readingOrder="0"/>
    </xf>
    <xf borderId="1" fillId="10" fontId="602" numFmtId="0" xfId="0" applyAlignment="1" applyBorder="1" applyFont="1">
      <alignment horizontal="left" readingOrder="0" shrinkToFit="0" wrapText="1"/>
    </xf>
    <xf borderId="1" fillId="10" fontId="5" numFmtId="0" xfId="0" applyAlignment="1" applyBorder="1" applyFont="1">
      <alignment horizontal="left" readingOrder="0"/>
    </xf>
    <xf borderId="1" fillId="10" fontId="5" numFmtId="166" xfId="0" applyAlignment="1" applyBorder="1" applyFont="1" applyNumberFormat="1">
      <alignment horizontal="left" readingOrder="0"/>
    </xf>
    <xf borderId="1" fillId="10" fontId="10" numFmtId="0" xfId="0" applyAlignment="1" applyBorder="1" applyFont="1">
      <alignment horizontal="left"/>
    </xf>
    <xf borderId="1" fillId="10" fontId="10" numFmtId="0" xfId="0" applyBorder="1" applyFont="1"/>
    <xf borderId="1" fillId="10" fontId="5" numFmtId="169" xfId="0" applyAlignment="1" applyBorder="1" applyFont="1" applyNumberFormat="1">
      <alignment horizontal="left" readingOrder="0"/>
    </xf>
    <xf borderId="1" fillId="10" fontId="5" numFmtId="165" xfId="0" applyAlignment="1" applyBorder="1" applyFont="1" applyNumberFormat="1">
      <alignment horizontal="left"/>
    </xf>
    <xf borderId="0" fillId="5" fontId="5" numFmtId="0" xfId="0" applyAlignment="1" applyFont="1">
      <alignment horizontal="left"/>
    </xf>
    <xf borderId="1" fillId="3" fontId="2" numFmtId="175" xfId="0" applyAlignment="1" applyBorder="1" applyFont="1" applyNumberFormat="1">
      <alignment horizontal="right" readingOrder="0"/>
    </xf>
    <xf borderId="1" fillId="3" fontId="603" numFmtId="167" xfId="0" applyAlignment="1" applyBorder="1" applyFont="1" applyNumberFormat="1">
      <alignment horizontal="left"/>
    </xf>
    <xf borderId="1" fillId="13" fontId="604" numFmtId="0" xfId="0" applyAlignment="1" applyBorder="1" applyFill="1" applyFont="1">
      <alignment readingOrder="0" vertical="bottom"/>
    </xf>
    <xf borderId="1" fillId="3" fontId="5" numFmtId="180" xfId="0" applyAlignment="1" applyBorder="1" applyFont="1" applyNumberFormat="1">
      <alignment horizontal="right" readingOrder="0"/>
    </xf>
    <xf borderId="1" fillId="3" fontId="5" numFmtId="184" xfId="0" applyAlignment="1" applyBorder="1" applyFont="1" applyNumberFormat="1">
      <alignment horizontal="left" readingOrder="0"/>
    </xf>
    <xf borderId="1" fillId="3" fontId="70" numFmtId="166" xfId="0" applyAlignment="1" applyBorder="1" applyFont="1" applyNumberFormat="1">
      <alignment readingOrder="0" shrinkToFit="0" vertical="top" wrapText="0"/>
    </xf>
    <xf borderId="1" fillId="0" fontId="605" numFmtId="166" xfId="0" applyAlignment="1" applyBorder="1" applyFont="1" applyNumberFormat="1">
      <alignment horizontal="left" vertical="bottom"/>
    </xf>
    <xf borderId="1" fillId="0" fontId="55" numFmtId="167" xfId="0" applyAlignment="1" applyBorder="1" applyFont="1" applyNumberFormat="1">
      <alignment readingOrder="0" vertical="bottom"/>
    </xf>
    <xf borderId="1" fillId="0" fontId="5" numFmtId="167" xfId="0" applyAlignment="1" applyBorder="1" applyFont="1" applyNumberFormat="1">
      <alignment readingOrder="0" vertical="bottom"/>
    </xf>
    <xf borderId="1" fillId="0" fontId="5" numFmtId="0" xfId="0" applyAlignment="1" applyBorder="1" applyFont="1">
      <alignment horizontal="left" vertical="bottom"/>
    </xf>
    <xf borderId="1" fillId="0" fontId="5" numFmtId="167" xfId="0" applyAlignment="1" applyBorder="1" applyFont="1" applyNumberFormat="1">
      <alignment vertical="bottom"/>
    </xf>
    <xf borderId="1" fillId="0" fontId="5" numFmtId="166" xfId="0" applyAlignment="1" applyBorder="1" applyFont="1" applyNumberFormat="1">
      <alignment horizontal="left" vertical="bottom"/>
    </xf>
    <xf borderId="1" fillId="0" fontId="606" numFmtId="166" xfId="0" applyAlignment="1" applyBorder="1" applyFont="1" applyNumberFormat="1">
      <alignment horizontal="left"/>
    </xf>
    <xf borderId="0" fillId="2" fontId="2" numFmtId="174" xfId="0" applyAlignment="1" applyFont="1" applyNumberFormat="1">
      <alignment vertical="bottom"/>
    </xf>
    <xf borderId="0" fillId="2" fontId="607" numFmtId="0" xfId="0" applyAlignment="1" applyFont="1">
      <alignment shrinkToFit="0" vertical="bottom" wrapText="1"/>
    </xf>
    <xf borderId="1" fillId="2" fontId="608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2" numFmtId="49" xfId="0" applyAlignment="1" applyBorder="1" applyFont="1" applyNumberFormat="1">
      <alignment vertical="bottom"/>
    </xf>
    <xf borderId="1" fillId="2" fontId="2" numFmtId="10" xfId="0" applyAlignment="1" applyBorder="1" applyFont="1" applyNumberFormat="1">
      <alignment vertical="bottom"/>
    </xf>
    <xf borderId="1" fillId="2" fontId="2" numFmtId="166" xfId="0" applyAlignment="1" applyBorder="1" applyFont="1" applyNumberFormat="1">
      <alignment vertical="bottom"/>
    </xf>
    <xf borderId="1" fillId="2" fontId="2" numFmtId="167" xfId="0" applyAlignment="1" applyBorder="1" applyFont="1" applyNumberFormat="1">
      <alignment vertical="bottom"/>
    </xf>
    <xf borderId="1" fillId="2" fontId="2" numFmtId="166" xfId="0" applyAlignment="1" applyBorder="1" applyFont="1" applyNumberFormat="1">
      <alignment vertical="bottom"/>
    </xf>
    <xf borderId="1" fillId="2" fontId="2" numFmtId="165" xfId="0" applyAlignment="1" applyBorder="1" applyFont="1" applyNumberFormat="1">
      <alignment vertical="bottom"/>
    </xf>
    <xf borderId="0" fillId="4" fontId="13" numFmtId="174" xfId="0" applyAlignment="1" applyFont="1" applyNumberFormat="1">
      <alignment readingOrder="0" shrinkToFit="0" wrapText="1"/>
    </xf>
    <xf borderId="0" fillId="4" fontId="609" numFmtId="0" xfId="0" applyAlignment="1" applyFont="1">
      <alignment horizontal="left" readingOrder="0" shrinkToFit="0" wrapText="1"/>
    </xf>
    <xf borderId="1" fillId="4" fontId="610" numFmtId="0" xfId="0" applyAlignment="1" applyBorder="1" applyFont="1">
      <alignment readingOrder="0" shrinkToFit="0" wrapText="1"/>
    </xf>
    <xf borderId="1" fillId="4" fontId="13" numFmtId="0" xfId="0" applyAlignment="1" applyBorder="1" applyFont="1">
      <alignment readingOrder="0"/>
    </xf>
    <xf borderId="1" fillId="4" fontId="13" numFmtId="49" xfId="0" applyAlignment="1" applyBorder="1" applyFont="1" applyNumberFormat="1">
      <alignment readingOrder="0"/>
    </xf>
    <xf borderId="1" fillId="4" fontId="5" numFmtId="10" xfId="0" applyAlignment="1" applyBorder="1" applyFont="1" applyNumberFormat="1">
      <alignment horizontal="left"/>
    </xf>
    <xf borderId="1" fillId="4" fontId="10" numFmtId="166" xfId="0" applyAlignment="1" applyBorder="1" applyFont="1" applyNumberFormat="1">
      <alignment readingOrder="0"/>
    </xf>
    <xf borderId="1" fillId="7" fontId="611" numFmtId="0" xfId="0" applyAlignment="1" applyBorder="1" applyFont="1">
      <alignment readingOrder="0" shrinkToFit="0" wrapText="1"/>
    </xf>
    <xf borderId="1" fillId="7" fontId="5" numFmtId="10" xfId="0" applyAlignment="1" applyBorder="1" applyFont="1" applyNumberFormat="1">
      <alignment horizontal="left" readingOrder="0"/>
    </xf>
    <xf borderId="1" fillId="7" fontId="612" numFmtId="166" xfId="0" applyAlignment="1" applyBorder="1" applyFont="1" applyNumberFormat="1">
      <alignment readingOrder="0"/>
    </xf>
    <xf borderId="1" fillId="7" fontId="5" numFmtId="165" xfId="0" applyAlignment="1" applyBorder="1" applyFont="1" applyNumberFormat="1">
      <alignment horizontal="left"/>
    </xf>
    <xf borderId="0" fillId="2" fontId="13" numFmtId="174" xfId="0" applyAlignment="1" applyFont="1" applyNumberFormat="1">
      <alignment readingOrder="0" shrinkToFit="0" wrapText="1"/>
    </xf>
    <xf borderId="0" fillId="2" fontId="110" numFmtId="0" xfId="0" applyAlignment="1" applyFont="1">
      <alignment horizontal="left" readingOrder="0" shrinkToFit="0" wrapText="1"/>
    </xf>
    <xf borderId="1" fillId="2" fontId="613" numFmtId="0" xfId="0" applyAlignment="1" applyBorder="1" applyFont="1">
      <alignment readingOrder="0" shrinkToFit="0" wrapText="1"/>
    </xf>
    <xf borderId="1" fillId="2" fontId="13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readingOrder="0"/>
    </xf>
    <xf borderId="1" fillId="2" fontId="5" numFmtId="49" xfId="0" applyAlignment="1" applyBorder="1" applyFont="1" applyNumberFormat="1">
      <alignment horizontal="left"/>
    </xf>
    <xf borderId="1" fillId="2" fontId="5" numFmtId="0" xfId="0" applyAlignment="1" applyBorder="1" applyFont="1">
      <alignment horizontal="left"/>
    </xf>
    <xf borderId="1" fillId="2" fontId="5" numFmtId="10" xfId="0" applyAlignment="1" applyBorder="1" applyFont="1" applyNumberFormat="1">
      <alignment horizontal="left"/>
    </xf>
    <xf borderId="1" fillId="2" fontId="5" numFmtId="166" xfId="0" applyAlignment="1" applyBorder="1" applyFont="1" applyNumberFormat="1">
      <alignment horizontal="left"/>
    </xf>
    <xf borderId="1" fillId="2" fontId="5" numFmtId="167" xfId="0" applyAlignment="1" applyBorder="1" applyFont="1" applyNumberFormat="1">
      <alignment horizontal="left"/>
    </xf>
    <xf borderId="1" fillId="2" fontId="10" numFmtId="166" xfId="0" applyBorder="1" applyFont="1" applyNumberFormat="1"/>
    <xf borderId="1" fillId="2" fontId="5" numFmtId="167" xfId="0" applyAlignment="1" applyBorder="1" applyFont="1" applyNumberFormat="1">
      <alignment horizontal="left" readingOrder="0"/>
    </xf>
    <xf borderId="0" fillId="4" fontId="614" numFmtId="0" xfId="0" applyAlignment="1" applyFont="1">
      <alignment horizontal="left" shrinkToFit="0" wrapText="1"/>
    </xf>
    <xf borderId="0" fillId="4" fontId="13" numFmtId="0" xfId="0" applyAlignment="1" applyFont="1">
      <alignment shrinkToFit="0" wrapText="1"/>
    </xf>
    <xf borderId="1" fillId="0" fontId="615" numFmtId="0" xfId="0" applyAlignment="1" applyBorder="1" applyFont="1">
      <alignment readingOrder="0" shrinkToFit="0" wrapText="1"/>
    </xf>
    <xf borderId="1" fillId="0" fontId="10" numFmtId="166" xfId="0" applyAlignment="1" applyBorder="1" applyFont="1" applyNumberFormat="1">
      <alignment readingOrder="0"/>
    </xf>
    <xf borderId="11" fillId="3" fontId="2" numFmtId="0" xfId="0" applyAlignment="1" applyBorder="1" applyFont="1">
      <alignment vertical="bottom"/>
    </xf>
    <xf borderId="11" fillId="3" fontId="2" numFmtId="0" xfId="0" applyAlignment="1" applyBorder="1" applyFont="1">
      <alignment readingOrder="0" vertical="bottom"/>
    </xf>
    <xf borderId="11" fillId="3" fontId="2" numFmtId="0" xfId="0" applyAlignment="1" applyBorder="1" applyFont="1">
      <alignment vertical="bottom"/>
    </xf>
    <xf borderId="1" fillId="3" fontId="616" numFmtId="0" xfId="0" applyAlignment="1" applyBorder="1" applyFont="1">
      <alignment readingOrder="0"/>
    </xf>
    <xf borderId="1" fillId="3" fontId="2" numFmtId="10" xfId="0" applyAlignment="1" applyBorder="1" applyFont="1" applyNumberFormat="1">
      <alignment vertical="bottom"/>
    </xf>
    <xf borderId="1" fillId="3" fontId="2" numFmtId="166" xfId="0" applyAlignment="1" applyBorder="1" applyFont="1" applyNumberFormat="1">
      <alignment vertical="bottom"/>
    </xf>
    <xf borderId="1" fillId="0" fontId="617" numFmtId="0" xfId="0" applyAlignment="1" applyBorder="1" applyFont="1">
      <alignment readingOrder="0"/>
    </xf>
    <xf borderId="0" fillId="0" fontId="5" numFmtId="49" xfId="0" applyAlignment="1" applyFont="1" applyNumberFormat="1">
      <alignment horizontal="left" readingOrder="0"/>
    </xf>
    <xf borderId="0" fillId="3" fontId="618" numFmtId="174" xfId="0" applyAlignment="1" applyFont="1" applyNumberFormat="1">
      <alignment readingOrder="0" shrinkToFit="0" wrapText="1"/>
    </xf>
    <xf borderId="0" fillId="3" fontId="619" numFmtId="0" xfId="0" applyAlignment="1" applyFont="1">
      <alignment readingOrder="0"/>
    </xf>
    <xf borderId="0" fillId="4" fontId="269" numFmtId="0" xfId="0" applyAlignment="1" applyFont="1">
      <alignment horizontal="left" readingOrder="0" shrinkToFit="0" wrapText="1"/>
    </xf>
    <xf borderId="1" fillId="4" fontId="620" numFmtId="0" xfId="0" applyAlignment="1" applyBorder="1" applyFont="1">
      <alignment horizontal="left" readingOrder="0" shrinkToFit="0" wrapText="1"/>
    </xf>
    <xf borderId="1" fillId="4" fontId="5" numFmtId="49" xfId="0" applyAlignment="1" applyBorder="1" applyFont="1" applyNumberFormat="1">
      <alignment horizontal="left" readingOrder="0"/>
    </xf>
    <xf borderId="1" fillId="4" fontId="10" numFmtId="166" xfId="0" applyBorder="1" applyFont="1" applyNumberFormat="1"/>
    <xf borderId="1" fillId="4" fontId="85" numFmtId="170" xfId="0" applyAlignment="1" applyBorder="1" applyFont="1" applyNumberFormat="1">
      <alignment horizontal="left" readingOrder="0"/>
    </xf>
    <xf borderId="1" fillId="3" fontId="621" numFmtId="0" xfId="0" applyAlignment="1" applyBorder="1" applyFont="1">
      <alignment readingOrder="0"/>
    </xf>
    <xf borderId="0" fillId="2" fontId="373" numFmtId="174" xfId="0" applyAlignment="1" applyFont="1" applyNumberFormat="1">
      <alignment readingOrder="0" shrinkToFit="0" wrapText="1"/>
    </xf>
    <xf borderId="0" fillId="2" fontId="5" numFmtId="0" xfId="0" applyAlignment="1" applyFont="1">
      <alignment horizontal="left" readingOrder="0"/>
    </xf>
    <xf borderId="1" fillId="2" fontId="622" numFmtId="0" xfId="0" applyAlignment="1" applyBorder="1" applyFont="1">
      <alignment readingOrder="0" shrinkToFit="0" wrapText="1"/>
    </xf>
    <xf borderId="1" fillId="2" fontId="5" numFmtId="49" xfId="0" applyAlignment="1" applyBorder="1" applyFont="1" applyNumberFormat="1">
      <alignment horizontal="left" readingOrder="0"/>
    </xf>
    <xf borderId="1" fillId="2" fontId="5" numFmtId="10" xfId="0" applyAlignment="1" applyBorder="1" applyFont="1" applyNumberFormat="1">
      <alignment horizontal="left" readingOrder="0"/>
    </xf>
    <xf borderId="1" fillId="2" fontId="5" numFmtId="166" xfId="0" applyAlignment="1" applyBorder="1" applyFont="1" applyNumberFormat="1">
      <alignment horizontal="left" readingOrder="0"/>
    </xf>
    <xf borderId="1" fillId="2" fontId="85" numFmtId="170" xfId="0" applyAlignment="1" applyBorder="1" applyFont="1" applyNumberFormat="1">
      <alignment horizontal="left" readingOrder="0"/>
    </xf>
    <xf borderId="0" fillId="3" fontId="383" numFmtId="0" xfId="0" applyAlignment="1" applyFont="1">
      <alignment horizontal="left" readingOrder="0" shrinkToFit="0" wrapText="1"/>
    </xf>
    <xf borderId="0" fillId="4" fontId="373" numFmtId="174" xfId="0" applyAlignment="1" applyFont="1" applyNumberFormat="1">
      <alignment readingOrder="0" shrinkToFit="0" wrapText="1"/>
    </xf>
    <xf borderId="1" fillId="4" fontId="623" numFmtId="0" xfId="0" applyAlignment="1" applyBorder="1" applyFont="1">
      <alignment readingOrder="0"/>
    </xf>
    <xf borderId="0" fillId="2" fontId="624" numFmtId="0" xfId="0" applyAlignment="1" applyFont="1">
      <alignment readingOrder="0" shrinkToFit="0" wrapText="1"/>
    </xf>
    <xf borderId="1" fillId="2" fontId="625" numFmtId="0" xfId="0" applyAlignment="1" applyBorder="1" applyFont="1">
      <alignment horizontal="left" readingOrder="0" shrinkToFit="0" wrapText="1"/>
    </xf>
    <xf borderId="0" fillId="3" fontId="626" numFmtId="0" xfId="0" applyAlignment="1" applyFont="1">
      <alignment readingOrder="0"/>
    </xf>
    <xf borderId="0" fillId="3" fontId="55" numFmtId="178" xfId="0" applyAlignment="1" applyFont="1" applyNumberFormat="1">
      <alignment horizontal="left" readingOrder="0" shrinkToFit="0" wrapText="0"/>
    </xf>
    <xf borderId="1" fillId="2" fontId="5" numFmtId="0" xfId="0" applyAlignment="1" applyBorder="1" applyFont="1">
      <alignment horizontal="left" shrinkToFit="0" wrapText="1"/>
    </xf>
    <xf borderId="1" fillId="2" fontId="5" numFmtId="169" xfId="0" applyAlignment="1" applyBorder="1" applyFont="1" applyNumberFormat="1">
      <alignment horizontal="left"/>
    </xf>
    <xf borderId="0" fillId="3" fontId="627" numFmtId="0" xfId="0" applyAlignment="1" applyFont="1">
      <alignment readingOrder="0" shrinkToFit="0" wrapText="1"/>
    </xf>
    <xf borderId="0" fillId="4" fontId="13" numFmtId="174" xfId="0" applyAlignment="1" applyFont="1" applyNumberFormat="1">
      <alignment readingOrder="0"/>
    </xf>
    <xf borderId="1" fillId="4" fontId="5" numFmtId="169" xfId="0" applyAlignment="1" applyBorder="1" applyFont="1" applyNumberFormat="1">
      <alignment horizontal="left"/>
    </xf>
    <xf borderId="1" fillId="4" fontId="628" numFmtId="0" xfId="0" applyAlignment="1" applyBorder="1" applyFont="1">
      <alignment readingOrder="0"/>
    </xf>
    <xf borderId="1" fillId="4" fontId="2" numFmtId="0" xfId="0" applyAlignment="1" applyBorder="1" applyFont="1">
      <alignment horizontal="left" readingOrder="0"/>
    </xf>
    <xf borderId="1" fillId="4" fontId="2" numFmtId="10" xfId="0" applyAlignment="1" applyBorder="1" applyFont="1" applyNumberFormat="1">
      <alignment horizontal="left" readingOrder="0"/>
    </xf>
    <xf borderId="0" fillId="3" fontId="123" numFmtId="0" xfId="0" applyAlignment="1" applyFont="1">
      <alignment readingOrder="0" shrinkToFit="0" wrapText="1"/>
    </xf>
    <xf borderId="0" fillId="3" fontId="629" numFmtId="174" xfId="0" applyAlignment="1" applyFont="1" applyNumberFormat="1">
      <alignment readingOrder="0"/>
    </xf>
    <xf borderId="0" fillId="2" fontId="110" numFmtId="0" xfId="0" applyAlignment="1" applyFont="1">
      <alignment horizontal="left" shrinkToFit="0" wrapText="1"/>
    </xf>
    <xf borderId="0" fillId="4" fontId="630" numFmtId="174" xfId="0" applyAlignment="1" applyFont="1" applyNumberFormat="1">
      <alignment readingOrder="0" shrinkToFit="0" wrapText="1"/>
    </xf>
    <xf borderId="1" fillId="2" fontId="459" numFmtId="49" xfId="0" applyAlignment="1" applyBorder="1" applyFont="1" applyNumberFormat="1">
      <alignment readingOrder="0"/>
    </xf>
    <xf borderId="1" fillId="2" fontId="631" numFmtId="166" xfId="0" applyAlignment="1" applyBorder="1" applyFont="1" applyNumberFormat="1">
      <alignment horizontal="left" readingOrder="0" shrinkToFit="0" wrapText="0"/>
    </xf>
    <xf borderId="0" fillId="2" fontId="632" numFmtId="0" xfId="0" applyAlignment="1" applyFont="1">
      <alignment horizontal="left" shrinkToFit="0" wrapText="1"/>
    </xf>
    <xf borderId="0" fillId="2" fontId="5" numFmtId="0" xfId="0" applyAlignment="1" applyFont="1">
      <alignment horizontal="left" shrinkToFit="0" wrapText="1"/>
    </xf>
    <xf borderId="0" fillId="2" fontId="5" numFmtId="49" xfId="0" applyAlignment="1" applyFont="1" applyNumberFormat="1">
      <alignment horizontal="left"/>
    </xf>
    <xf borderId="0" fillId="2" fontId="13" numFmtId="0" xfId="0" applyAlignment="1" applyFont="1">
      <alignment readingOrder="0"/>
    </xf>
    <xf borderId="0" fillId="11" fontId="2" numFmtId="0" xfId="0" applyAlignment="1" applyFont="1">
      <alignment horizontal="left"/>
    </xf>
    <xf borderId="0" fillId="2" fontId="13" numFmtId="0" xfId="0" applyAlignment="1" applyFont="1">
      <alignment readingOrder="0" shrinkToFit="0" wrapText="1"/>
    </xf>
    <xf borderId="1" fillId="2" fontId="633" numFmtId="166" xfId="0" applyAlignment="1" applyBorder="1" applyFont="1" applyNumberFormat="1">
      <alignment horizontal="left" readingOrder="0" shrinkToFit="0" wrapText="0"/>
    </xf>
    <xf borderId="1" fillId="2" fontId="55" numFmtId="167" xfId="0" applyAlignment="1" applyBorder="1" applyFont="1" applyNumberFormat="1">
      <alignment readingOrder="0" vertical="top"/>
    </xf>
    <xf borderId="1" fillId="2" fontId="55" numFmtId="166" xfId="0" applyAlignment="1" applyBorder="1" applyFont="1" applyNumberFormat="1">
      <alignment horizontal="left" readingOrder="0" shrinkToFit="0" vertical="top" wrapText="0"/>
    </xf>
    <xf borderId="0" fillId="4" fontId="110" numFmtId="0" xfId="0" applyAlignment="1" applyFont="1">
      <alignment horizontal="left" readingOrder="0" shrinkToFit="0" wrapText="1"/>
    </xf>
    <xf borderId="1" fillId="4" fontId="634" numFmtId="0" xfId="0" applyAlignment="1" applyBorder="1" applyFont="1">
      <alignment readingOrder="0"/>
    </xf>
    <xf borderId="0" fillId="4" fontId="5" numFmtId="49" xfId="0" applyAlignment="1" applyFont="1" applyNumberFormat="1">
      <alignment horizontal="left" readingOrder="0"/>
    </xf>
    <xf borderId="1" fillId="4" fontId="55" numFmtId="166" xfId="0" applyAlignment="1" applyBorder="1" applyFont="1" applyNumberFormat="1">
      <alignment readingOrder="0" shrinkToFit="0" vertical="top" wrapText="0"/>
    </xf>
    <xf borderId="1" fillId="4" fontId="55" numFmtId="167" xfId="0" applyAlignment="1" applyBorder="1" applyFont="1" applyNumberFormat="1">
      <alignment readingOrder="0" vertical="top"/>
    </xf>
    <xf borderId="1" fillId="4" fontId="55" numFmtId="166" xfId="0" applyAlignment="1" applyBorder="1" applyFont="1" applyNumberFormat="1">
      <alignment horizontal="left" readingOrder="0" shrinkToFit="0" vertical="top" wrapText="0"/>
    </xf>
    <xf borderId="1" fillId="0" fontId="635" numFmtId="0" xfId="0" applyAlignment="1" applyBorder="1" applyFont="1">
      <alignment readingOrder="0" shrinkToFit="0" wrapText="1"/>
    </xf>
    <xf borderId="1" fillId="3" fontId="70" numFmtId="167" xfId="0" applyBorder="1" applyFont="1" applyNumberFormat="1"/>
    <xf borderId="0" fillId="0" fontId="636" numFmtId="0" xfId="0" applyAlignment="1" applyFont="1">
      <alignment readingOrder="0" shrinkToFit="0" wrapText="1"/>
    </xf>
    <xf borderId="1" fillId="3" fontId="637" numFmtId="0" xfId="0" applyAlignment="1" applyBorder="1" applyFont="1">
      <alignment horizontal="left" readingOrder="0"/>
    </xf>
    <xf borderId="1" fillId="3" fontId="10" numFmtId="0" xfId="0" applyAlignment="1" applyBorder="1" applyFont="1">
      <alignment readingOrder="0" shrinkToFit="0" wrapText="1"/>
    </xf>
    <xf borderId="0" fillId="3" fontId="123" numFmtId="0" xfId="0" applyAlignment="1" applyFont="1">
      <alignment shrinkToFit="0" wrapText="1"/>
    </xf>
    <xf borderId="0" fillId="12" fontId="2" numFmtId="0" xfId="0" applyAlignment="1" applyFont="1">
      <alignment horizontal="left" readingOrder="0"/>
    </xf>
    <xf borderId="0" fillId="14" fontId="2" numFmtId="0" xfId="0" applyAlignment="1" applyFill="1" applyFont="1">
      <alignment horizontal="left"/>
    </xf>
    <xf borderId="1" fillId="3" fontId="638" numFmtId="174" xfId="0" applyAlignment="1" applyBorder="1" applyFont="1" applyNumberFormat="1">
      <alignment readingOrder="0"/>
    </xf>
    <xf borderId="1" fillId="7" fontId="2" numFmtId="49" xfId="0" applyAlignment="1" applyBorder="1" applyFont="1" applyNumberFormat="1">
      <alignment horizontal="left"/>
    </xf>
    <xf borderId="0" fillId="5" fontId="13" numFmtId="174" xfId="0" applyAlignment="1" applyFont="1" applyNumberFormat="1">
      <alignment readingOrder="0"/>
    </xf>
    <xf borderId="0" fillId="5" fontId="2" numFmtId="0" xfId="0" applyAlignment="1" applyFont="1">
      <alignment horizontal="left"/>
    </xf>
    <xf borderId="0" fillId="5" fontId="2" numFmtId="0" xfId="0" applyAlignment="1" applyFont="1">
      <alignment horizontal="left" readingOrder="0"/>
    </xf>
    <xf borderId="0" fillId="5" fontId="639" numFmtId="0" xfId="0" applyAlignment="1" applyFont="1">
      <alignment readingOrder="0"/>
    </xf>
    <xf borderId="1" fillId="5" fontId="640" numFmtId="0" xfId="0" applyAlignment="1" applyBorder="1" applyFont="1">
      <alignment readingOrder="0"/>
    </xf>
    <xf borderId="1" fillId="5" fontId="2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horizontal="left" readingOrder="0"/>
    </xf>
    <xf borderId="1" fillId="5" fontId="2" numFmtId="49" xfId="0" applyAlignment="1" applyBorder="1" applyFont="1" applyNumberFormat="1">
      <alignment horizontal="left"/>
    </xf>
    <xf borderId="1" fillId="5" fontId="2" numFmtId="10" xfId="0" applyAlignment="1" applyBorder="1" applyFont="1" applyNumberFormat="1">
      <alignment horizontal="left" readingOrder="0"/>
    </xf>
    <xf borderId="1" fillId="5" fontId="2" numFmtId="0" xfId="0" applyAlignment="1" applyBorder="1" applyFont="1">
      <alignment horizontal="left"/>
    </xf>
    <xf borderId="1" fillId="5" fontId="5" numFmtId="166" xfId="0" applyAlignment="1" applyBorder="1" applyFont="1" applyNumberFormat="1">
      <alignment horizontal="left"/>
    </xf>
    <xf borderId="1" fillId="5" fontId="5" numFmtId="167" xfId="0" applyAlignment="1" applyBorder="1" applyFont="1" applyNumberFormat="1">
      <alignment horizontal="left"/>
    </xf>
    <xf borderId="1" fillId="5" fontId="10" numFmtId="166" xfId="0" applyBorder="1" applyFont="1" applyNumberFormat="1"/>
    <xf borderId="1" fillId="5" fontId="5" numFmtId="0" xfId="0" applyAlignment="1" applyBorder="1" applyFont="1">
      <alignment horizontal="left"/>
    </xf>
    <xf borderId="1" fillId="5" fontId="5" numFmtId="169" xfId="0" applyAlignment="1" applyBorder="1" applyFont="1" applyNumberFormat="1">
      <alignment horizontal="left"/>
    </xf>
    <xf borderId="1" fillId="5" fontId="5" numFmtId="165" xfId="0" applyAlignment="1" applyBorder="1" applyFont="1" applyNumberFormat="1">
      <alignment horizontal="left"/>
    </xf>
    <xf borderId="1" fillId="0" fontId="55" numFmtId="167" xfId="0" applyAlignment="1" applyBorder="1" applyFont="1" applyNumberFormat="1">
      <alignment readingOrder="0"/>
    </xf>
    <xf borderId="1" fillId="3" fontId="641" numFmtId="0" xfId="0" applyAlignment="1" applyBorder="1" applyFont="1">
      <alignment horizontal="left" readingOrder="0"/>
    </xf>
    <xf borderId="0" fillId="3" fontId="42" numFmtId="49" xfId="0" applyAlignment="1" applyFont="1" applyNumberFormat="1">
      <alignment horizontal="left" readingOrder="0"/>
    </xf>
    <xf borderId="1" fillId="3" fontId="459" numFmtId="0" xfId="0" applyAlignment="1" applyBorder="1" applyFont="1">
      <alignment horizontal="left" readingOrder="0"/>
    </xf>
    <xf borderId="0" fillId="10" fontId="110" numFmtId="0" xfId="0" applyAlignment="1" applyFont="1">
      <alignment horizontal="left" shrinkToFit="0" wrapText="1"/>
    </xf>
    <xf borderId="1" fillId="10" fontId="10" numFmtId="166" xfId="0" applyBorder="1" applyFont="1" applyNumberFormat="1"/>
    <xf borderId="1" fillId="3" fontId="45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123" numFmtId="0" xfId="0" applyAlignment="1" applyFont="1">
      <alignment readingOrder="0" shrinkToFit="0" wrapText="1"/>
    </xf>
    <xf borderId="1" fillId="0" fontId="642" numFmtId="174" xfId="0" applyAlignment="1" applyBorder="1" applyFont="1" applyNumberFormat="1">
      <alignment readingOrder="0"/>
    </xf>
    <xf borderId="0" fillId="10" fontId="13" numFmtId="174" xfId="0" applyAlignment="1" applyFont="1" applyNumberFormat="1">
      <alignment readingOrder="0"/>
    </xf>
    <xf borderId="0" fillId="10" fontId="110" numFmtId="0" xfId="0" applyAlignment="1" applyFont="1">
      <alignment horizontal="left" readingOrder="0" shrinkToFit="0" wrapText="1"/>
    </xf>
    <xf borderId="0" fillId="10" fontId="643" numFmtId="0" xfId="0" applyAlignment="1" applyFont="1">
      <alignment readingOrder="0" shrinkToFit="0" wrapText="1"/>
    </xf>
    <xf borderId="0" fillId="10" fontId="2" numFmtId="0" xfId="0" applyAlignment="1" applyFont="1">
      <alignment horizontal="left" readingOrder="0" shrinkToFit="0" wrapText="1"/>
    </xf>
    <xf borderId="0" fillId="10" fontId="2" numFmtId="49" xfId="0" applyAlignment="1" applyFont="1" applyNumberFormat="1">
      <alignment horizontal="left"/>
    </xf>
    <xf borderId="1" fillId="3" fontId="477" numFmtId="0" xfId="0" applyAlignment="1" applyBorder="1" applyFont="1">
      <alignment readingOrder="0" shrinkToFit="0" wrapText="1"/>
    </xf>
    <xf borderId="1" fillId="3" fontId="644" numFmtId="0" xfId="0" applyAlignment="1" applyBorder="1" applyFont="1">
      <alignment horizontal="left" readingOrder="0" shrinkToFit="0" wrapText="1"/>
    </xf>
    <xf borderId="13" fillId="3" fontId="645" numFmtId="0" xfId="0" applyAlignment="1" applyBorder="1" applyFont="1">
      <alignment readingOrder="0" shrinkToFit="0" wrapText="1"/>
    </xf>
    <xf borderId="13" fillId="10" fontId="646" numFmtId="0" xfId="0" applyAlignment="1" applyBorder="1" applyFont="1">
      <alignment readingOrder="0"/>
    </xf>
    <xf borderId="1" fillId="10" fontId="647" numFmtId="0" xfId="0" applyAlignment="1" applyBorder="1" applyFont="1">
      <alignment readingOrder="0" shrinkToFit="0" wrapText="1"/>
    </xf>
    <xf borderId="13" fillId="0" fontId="110" numFmtId="0" xfId="0" applyAlignment="1" applyBorder="1" applyFont="1">
      <alignment horizontal="left" readingOrder="0" shrinkToFit="0" wrapText="1"/>
    </xf>
    <xf borderId="1" fillId="0" fontId="648" numFmtId="0" xfId="0" applyAlignment="1" applyBorder="1" applyFont="1">
      <alignment readingOrder="0" shrinkToFit="0" wrapText="1"/>
    </xf>
    <xf borderId="13" fillId="3" fontId="649" numFmtId="0" xfId="0" applyAlignment="1" applyBorder="1" applyFont="1">
      <alignment readingOrder="0"/>
    </xf>
    <xf borderId="1" fillId="3" fontId="650" numFmtId="0" xfId="0" applyAlignment="1" applyBorder="1" applyFont="1">
      <alignment readingOrder="0"/>
    </xf>
    <xf borderId="1" fillId="3" fontId="650" numFmtId="49" xfId="0" applyAlignment="1" applyBorder="1" applyFont="1" applyNumberFormat="1">
      <alignment readingOrder="0"/>
    </xf>
    <xf borderId="13" fillId="3" fontId="651" numFmtId="0" xfId="0" applyAlignment="1" applyBorder="1" applyFont="1">
      <alignment horizontal="left" readingOrder="0" shrinkToFit="0" wrapText="1"/>
    </xf>
    <xf borderId="0" fillId="0" fontId="10" numFmtId="166" xfId="0" applyFont="1" applyNumberFormat="1"/>
    <xf borderId="0" fillId="0" fontId="652" numFmtId="166" xfId="0" applyAlignment="1" applyFont="1" applyNumberFormat="1">
      <alignment horizontal="left" readingOrder="0" shrinkToFit="0" wrapText="0"/>
    </xf>
    <xf borderId="0" fillId="3" fontId="653" numFmtId="0" xfId="0" applyAlignment="1" applyFont="1">
      <alignment readingOrder="0" shrinkToFit="0" wrapText="0"/>
    </xf>
    <xf borderId="0" fillId="12" fontId="2" numFmtId="174" xfId="0" applyAlignment="1" applyFont="1" applyNumberFormat="1">
      <alignment vertical="bottom"/>
    </xf>
    <xf borderId="0" fillId="12" fontId="123" numFmtId="0" xfId="0" applyAlignment="1" applyFont="1">
      <alignment readingOrder="0"/>
    </xf>
    <xf borderId="0" fillId="12" fontId="654" numFmtId="0" xfId="0" applyAlignment="1" applyFont="1">
      <alignment readingOrder="0"/>
    </xf>
    <xf borderId="0" fillId="12" fontId="2" numFmtId="0" xfId="0" applyAlignment="1" applyFont="1">
      <alignment horizontal="left" readingOrder="0" shrinkToFit="0" wrapText="1"/>
    </xf>
    <xf borderId="1" fillId="12" fontId="2" numFmtId="49" xfId="0" applyAlignment="1" applyBorder="1" applyFont="1" applyNumberFormat="1">
      <alignment horizontal="left" readingOrder="0"/>
    </xf>
    <xf borderId="1" fillId="12" fontId="2" numFmtId="166" xfId="0" applyAlignment="1" applyBorder="1" applyFont="1" applyNumberFormat="1">
      <alignment horizontal="left" readingOrder="0"/>
    </xf>
    <xf borderId="0" fillId="12" fontId="13" numFmtId="166" xfId="0" applyFont="1" applyNumberFormat="1"/>
    <xf borderId="1" fillId="12" fontId="2" numFmtId="167" xfId="0" applyAlignment="1" applyBorder="1" applyFont="1" applyNumberFormat="1">
      <alignment horizontal="left"/>
    </xf>
    <xf borderId="0" fillId="12" fontId="2" numFmtId="166" xfId="0" applyAlignment="1" applyFont="1" applyNumberFormat="1">
      <alignment horizontal="left"/>
    </xf>
    <xf borderId="0" fillId="12" fontId="5" numFmtId="0" xfId="0" applyAlignment="1" applyFont="1">
      <alignment horizontal="left" readingOrder="0" shrinkToFit="0" wrapText="1"/>
    </xf>
    <xf borderId="0" fillId="12" fontId="110" numFmtId="0" xfId="0" applyAlignment="1" applyFont="1">
      <alignment horizontal="left" readingOrder="0" shrinkToFit="0" wrapText="1"/>
    </xf>
    <xf borderId="1" fillId="12" fontId="655" numFmtId="0" xfId="0" applyAlignment="1" applyBorder="1" applyFont="1">
      <alignment readingOrder="0"/>
    </xf>
    <xf borderId="1" fillId="12" fontId="13" numFmtId="166" xfId="0" applyBorder="1" applyFont="1" applyNumberFormat="1"/>
    <xf borderId="0" fillId="12" fontId="13" numFmtId="174" xfId="0" applyAlignment="1" applyFont="1" applyNumberFormat="1">
      <alignment readingOrder="0"/>
    </xf>
    <xf borderId="1" fillId="12" fontId="656" numFmtId="0" xfId="0" applyAlignment="1" applyBorder="1" applyFont="1">
      <alignment readingOrder="0" shrinkToFit="0" wrapText="1"/>
    </xf>
    <xf borderId="1" fillId="12" fontId="2" numFmtId="0" xfId="0" applyAlignment="1" applyBorder="1" applyFont="1">
      <alignment horizontal="left" readingOrder="0" shrinkToFit="0" wrapText="1"/>
    </xf>
    <xf borderId="13" fillId="0" fontId="657" numFmtId="0" xfId="0" applyAlignment="1" applyBorder="1" applyFont="1">
      <alignment readingOrder="0"/>
    </xf>
    <xf borderId="1" fillId="3" fontId="658" numFmtId="0" xfId="0" applyAlignment="1" applyBorder="1" applyFont="1">
      <alignment horizontal="left" readingOrder="0"/>
    </xf>
    <xf borderId="1" fillId="3" fontId="13" numFmtId="174" xfId="0" applyAlignment="1" applyBorder="1" applyFont="1" applyNumberFormat="1">
      <alignment readingOrder="0"/>
    </xf>
    <xf borderId="13" fillId="3" fontId="659" numFmtId="0" xfId="0" applyAlignment="1" applyBorder="1" applyFont="1">
      <alignment readingOrder="0"/>
    </xf>
    <xf borderId="1" fillId="3" fontId="660" numFmtId="0" xfId="0" applyAlignment="1" applyBorder="1" applyFont="1">
      <alignment readingOrder="0" shrinkToFit="0" wrapText="0"/>
    </xf>
    <xf borderId="0" fillId="12" fontId="661" numFmtId="0" xfId="0" applyAlignment="1" applyFont="1">
      <alignment readingOrder="0" shrinkToFit="0" wrapText="1"/>
    </xf>
    <xf borderId="1" fillId="12" fontId="110" numFmtId="0" xfId="0" applyAlignment="1" applyBorder="1" applyFont="1">
      <alignment horizontal="left" shrinkToFit="0" wrapText="1"/>
    </xf>
    <xf borderId="0" fillId="12" fontId="110" numFmtId="0" xfId="0" applyAlignment="1" applyFont="1">
      <alignment horizontal="left" shrinkToFit="0" wrapText="1"/>
    </xf>
    <xf borderId="1" fillId="12" fontId="662" numFmtId="174" xfId="0" applyAlignment="1" applyBorder="1" applyFont="1" applyNumberFormat="1">
      <alignment readingOrder="0" shrinkToFit="0" wrapText="1"/>
    </xf>
    <xf borderId="1" fillId="12" fontId="2" numFmtId="0" xfId="0" applyAlignment="1" applyBorder="1" applyFont="1">
      <alignment horizontal="left" shrinkToFit="0" wrapText="1"/>
    </xf>
    <xf borderId="1" fillId="12" fontId="2" numFmtId="10" xfId="0" applyAlignment="1" applyBorder="1" applyFont="1" applyNumberFormat="1">
      <alignment horizontal="left"/>
    </xf>
    <xf borderId="0" fillId="11" fontId="13" numFmtId="174" xfId="0" applyAlignment="1" applyFont="1" applyNumberFormat="1">
      <alignment readingOrder="0" shrinkToFit="0" wrapText="1"/>
    </xf>
    <xf borderId="1" fillId="11" fontId="2" numFmtId="0" xfId="0" applyAlignment="1" applyBorder="1" applyFont="1">
      <alignment horizontal="left"/>
    </xf>
    <xf borderId="1" fillId="11" fontId="2" numFmtId="0" xfId="0" applyAlignment="1" applyBorder="1" applyFont="1">
      <alignment horizontal="left" readingOrder="0"/>
    </xf>
    <xf borderId="1" fillId="11" fontId="110" numFmtId="0" xfId="0" applyAlignment="1" applyBorder="1" applyFont="1">
      <alignment horizontal="left" readingOrder="0" shrinkToFit="0" wrapText="1"/>
    </xf>
    <xf borderId="0" fillId="11" fontId="110" numFmtId="0" xfId="0" applyAlignment="1" applyFont="1">
      <alignment horizontal="left" readingOrder="0" shrinkToFit="0" wrapText="1"/>
    </xf>
    <xf borderId="1" fillId="11" fontId="663" numFmtId="0" xfId="0" applyAlignment="1" applyBorder="1" applyFont="1">
      <alignment readingOrder="0"/>
    </xf>
    <xf borderId="0" fillId="11" fontId="2" numFmtId="0" xfId="0" applyAlignment="1" applyFont="1">
      <alignment horizontal="left" readingOrder="0" shrinkToFit="0" wrapText="1"/>
    </xf>
    <xf borderId="1" fillId="11" fontId="2" numFmtId="0" xfId="0" applyAlignment="1" applyBorder="1" applyFont="1">
      <alignment horizontal="left" readingOrder="0" shrinkToFit="0" wrapText="1"/>
    </xf>
    <xf borderId="0" fillId="11" fontId="13" numFmtId="49" xfId="0" applyAlignment="1" applyFont="1" applyNumberFormat="1">
      <alignment readingOrder="0"/>
    </xf>
    <xf borderId="1" fillId="11" fontId="2" numFmtId="10" xfId="0" applyAlignment="1" applyBorder="1" applyFont="1" applyNumberFormat="1">
      <alignment horizontal="left"/>
    </xf>
    <xf borderId="1" fillId="11" fontId="2" numFmtId="166" xfId="0" applyAlignment="1" applyBorder="1" applyFont="1" applyNumberFormat="1">
      <alignment horizontal="left"/>
    </xf>
    <xf borderId="1" fillId="11" fontId="2" numFmtId="167" xfId="0" applyAlignment="1" applyBorder="1" applyFont="1" applyNumberFormat="1">
      <alignment horizontal="left"/>
    </xf>
    <xf borderId="1" fillId="11" fontId="13" numFmtId="166" xfId="0" applyBorder="1" applyFont="1" applyNumberFormat="1"/>
    <xf borderId="1" fillId="11" fontId="2" numFmtId="169" xfId="0" applyAlignment="1" applyBorder="1" applyFont="1" applyNumberFormat="1">
      <alignment horizontal="left"/>
    </xf>
    <xf borderId="1" fillId="11" fontId="2" numFmtId="165" xfId="0" applyAlignment="1" applyBorder="1" applyFont="1" applyNumberFormat="1">
      <alignment horizontal="left"/>
    </xf>
    <xf borderId="1" fillId="12" fontId="110" numFmtId="0" xfId="0" applyAlignment="1" applyBorder="1" applyFont="1">
      <alignment horizontal="left" readingOrder="0" shrinkToFit="0" wrapText="1"/>
    </xf>
    <xf borderId="1" fillId="12" fontId="664" numFmtId="0" xfId="0" applyAlignment="1" applyBorder="1" applyFont="1">
      <alignment horizontal="left" readingOrder="0" shrinkToFit="0" wrapText="1"/>
    </xf>
    <xf borderId="14" fillId="0" fontId="13" numFmtId="174" xfId="0" applyAlignment="1" applyBorder="1" applyFont="1" applyNumberFormat="1">
      <alignment readingOrder="0" shrinkToFit="0" wrapText="1"/>
    </xf>
    <xf borderId="14" fillId="3" fontId="2" numFmtId="0" xfId="0" applyAlignment="1" applyBorder="1" applyFont="1">
      <alignment horizontal="left"/>
    </xf>
    <xf borderId="14" fillId="3" fontId="2" numFmtId="0" xfId="0" applyAlignment="1" applyBorder="1" applyFont="1">
      <alignment horizontal="left" readingOrder="0"/>
    </xf>
    <xf borderId="14" fillId="0" fontId="665" numFmtId="0" xfId="0" applyAlignment="1" applyBorder="1" applyFont="1">
      <alignment readingOrder="0"/>
    </xf>
    <xf borderId="15" fillId="0" fontId="666" numFmtId="0" xfId="0" applyAlignment="1" applyBorder="1" applyFont="1">
      <alignment readingOrder="0"/>
    </xf>
    <xf borderId="0" fillId="3" fontId="667" numFmtId="166" xfId="0" applyAlignment="1" applyFont="1" applyNumberFormat="1">
      <alignment horizontal="left" readingOrder="0" shrinkToFit="0" wrapText="0"/>
    </xf>
    <xf borderId="1" fillId="3" fontId="55" numFmtId="165" xfId="0" applyAlignment="1" applyBorder="1" applyFont="1" applyNumberFormat="1">
      <alignment horizontal="left" readingOrder="0" shrinkToFit="0" vertical="top" wrapText="0"/>
    </xf>
    <xf borderId="1" fillId="12" fontId="13" numFmtId="0" xfId="0" applyAlignment="1" applyBorder="1" applyFont="1">
      <alignment horizontal="left" readingOrder="0"/>
    </xf>
    <xf borderId="0" fillId="11" fontId="2" numFmtId="0" xfId="0" applyAlignment="1" applyFont="1">
      <alignment horizontal="left" readingOrder="0"/>
    </xf>
    <xf borderId="0" fillId="11" fontId="13" numFmtId="0" xfId="0" applyAlignment="1" applyFont="1">
      <alignment readingOrder="0"/>
    </xf>
    <xf borderId="1" fillId="11" fontId="668" numFmtId="0" xfId="0" applyAlignment="1" applyBorder="1" applyFont="1">
      <alignment readingOrder="0"/>
    </xf>
    <xf borderId="1" fillId="11" fontId="2" numFmtId="49" xfId="0" applyAlignment="1" applyBorder="1" applyFont="1" applyNumberFormat="1">
      <alignment horizontal="left"/>
    </xf>
    <xf borderId="1" fillId="11" fontId="2" numFmtId="167" xfId="0" applyAlignment="1" applyBorder="1" applyFont="1" applyNumberFormat="1">
      <alignment horizontal="left" readingOrder="0"/>
    </xf>
    <xf borderId="1" fillId="11" fontId="2" numFmtId="166" xfId="0" applyAlignment="1" applyBorder="1" applyFont="1" applyNumberFormat="1">
      <alignment horizontal="left" readingOrder="0"/>
    </xf>
    <xf borderId="1" fillId="11" fontId="2" numFmtId="167" xfId="0" applyAlignment="1" applyBorder="1" applyFont="1" applyNumberFormat="1">
      <alignment horizontal="left" readingOrder="0"/>
    </xf>
    <xf borderId="0" fillId="11" fontId="13" numFmtId="174" xfId="0" applyAlignment="1" applyFont="1" applyNumberFormat="1">
      <alignment readingOrder="0"/>
    </xf>
    <xf borderId="1" fillId="11" fontId="2" numFmtId="0" xfId="0" applyAlignment="1" applyBorder="1" applyFont="1">
      <alignment horizontal="left" shrinkToFit="0" wrapText="1"/>
    </xf>
    <xf borderId="0" fillId="0" fontId="2" numFmtId="169" xfId="0" applyAlignment="1" applyFont="1" applyNumberFormat="1">
      <alignment horizontal="left"/>
    </xf>
    <xf borderId="1" fillId="3" fontId="669" numFmtId="167" xfId="0" applyAlignment="1" applyBorder="1" applyFont="1" applyNumberFormat="1">
      <alignment vertical="top"/>
    </xf>
    <xf borderId="0" fillId="0" fontId="13" numFmtId="0" xfId="0" applyAlignment="1" applyFont="1">
      <alignment readingOrder="0" shrinkToFit="0" wrapText="0"/>
    </xf>
    <xf borderId="0" fillId="12" fontId="13" numFmtId="0" xfId="0" applyAlignment="1" applyFont="1">
      <alignment readingOrder="0"/>
    </xf>
    <xf borderId="1" fillId="12" fontId="670" numFmtId="166" xfId="0" applyAlignment="1" applyBorder="1" applyFont="1" applyNumberFormat="1">
      <alignment horizontal="left" readingOrder="0" shrinkToFit="0" wrapText="0"/>
    </xf>
    <xf borderId="1" fillId="3" fontId="5" numFmtId="167" xfId="0" applyAlignment="1" applyBorder="1" applyFont="1" applyNumberFormat="1">
      <alignment readingOrder="0" shrinkToFit="0" wrapText="0"/>
    </xf>
    <xf borderId="0" fillId="12" fontId="671" numFmtId="0" xfId="0" applyAlignment="1" applyFont="1">
      <alignment horizontal="left" readingOrder="0" shrinkToFit="0" wrapText="1"/>
    </xf>
    <xf borderId="1" fillId="12" fontId="55" numFmtId="166" xfId="0" applyAlignment="1" applyBorder="1" applyFont="1" applyNumberFormat="1">
      <alignment horizontal="left" readingOrder="0" shrinkToFit="0" wrapText="0"/>
    </xf>
    <xf borderId="1" fillId="12" fontId="2" numFmtId="167" xfId="0" applyAlignment="1" applyBorder="1" applyFont="1" applyNumberFormat="1">
      <alignment horizontal="left" readingOrder="0"/>
    </xf>
    <xf borderId="1" fillId="12" fontId="55" numFmtId="167" xfId="0" applyAlignment="1" applyBorder="1" applyFont="1" applyNumberFormat="1">
      <alignment readingOrder="0" shrinkToFit="0" wrapText="0"/>
    </xf>
    <xf borderId="1" fillId="12" fontId="2" numFmtId="165" xfId="0" applyAlignment="1" applyBorder="1" applyFont="1" applyNumberFormat="1">
      <alignment horizontal="left" readingOrder="0"/>
    </xf>
    <xf borderId="1" fillId="12" fontId="2" numFmtId="0" xfId="0" applyAlignment="1" applyBorder="1" applyFont="1">
      <alignment horizontal="left" readingOrder="0"/>
    </xf>
    <xf borderId="1" fillId="3" fontId="70" numFmtId="166" xfId="0" applyAlignment="1" applyBorder="1" applyFont="1" applyNumberFormat="1">
      <alignment horizontal="left" readingOrder="0" shrinkToFit="0" wrapText="0"/>
    </xf>
    <xf borderId="0" fillId="14" fontId="5" numFmtId="0" xfId="0" applyAlignment="1" applyFont="1">
      <alignment horizontal="left" readingOrder="0" shrinkToFit="0" wrapText="1"/>
    </xf>
    <xf borderId="0" fillId="14" fontId="2" numFmtId="0" xfId="0" applyAlignment="1" applyFont="1">
      <alignment horizontal="left" readingOrder="0"/>
    </xf>
    <xf borderId="0" fillId="14" fontId="672" numFmtId="0" xfId="0" applyAlignment="1" applyFont="1">
      <alignment readingOrder="0"/>
    </xf>
    <xf borderId="0" fillId="14" fontId="673" numFmtId="0" xfId="0" applyAlignment="1" applyFont="1">
      <alignment readingOrder="0"/>
    </xf>
    <xf borderId="1" fillId="14" fontId="674" numFmtId="0" xfId="0" applyAlignment="1" applyBorder="1" applyFont="1">
      <alignment horizontal="left" readingOrder="0" shrinkToFit="0" wrapText="1"/>
    </xf>
    <xf borderId="1" fillId="14" fontId="2" numFmtId="0" xfId="0" applyAlignment="1" applyBorder="1" applyFont="1">
      <alignment horizontal="left" readingOrder="0" shrinkToFit="0" wrapText="1"/>
    </xf>
    <xf borderId="1" fillId="14" fontId="2" numFmtId="0" xfId="0" applyAlignment="1" applyBorder="1" applyFont="1">
      <alignment horizontal="left" shrinkToFit="0" wrapText="1"/>
    </xf>
    <xf borderId="1" fillId="14" fontId="2" numFmtId="0" xfId="0" applyAlignment="1" applyBorder="1" applyFont="1">
      <alignment horizontal="left"/>
    </xf>
    <xf borderId="1" fillId="14" fontId="2" numFmtId="49" xfId="0" applyAlignment="1" applyBorder="1" applyFont="1" applyNumberFormat="1">
      <alignment horizontal="left"/>
    </xf>
    <xf borderId="1" fillId="14" fontId="2" numFmtId="0" xfId="0" applyAlignment="1" applyBorder="1" applyFont="1">
      <alignment horizontal="left" readingOrder="0"/>
    </xf>
    <xf borderId="1" fillId="14" fontId="2" numFmtId="10" xfId="0" applyAlignment="1" applyBorder="1" applyFont="1" applyNumberFormat="1">
      <alignment horizontal="left" readingOrder="0"/>
    </xf>
    <xf borderId="1" fillId="14" fontId="2" numFmtId="166" xfId="0" applyAlignment="1" applyBorder="1" applyFont="1" applyNumberFormat="1">
      <alignment horizontal="left"/>
    </xf>
    <xf borderId="1" fillId="14" fontId="2" numFmtId="167" xfId="0" applyAlignment="1" applyBorder="1" applyFont="1" applyNumberFormat="1">
      <alignment horizontal="left"/>
    </xf>
    <xf borderId="1" fillId="14" fontId="13" numFmtId="166" xfId="0" applyBorder="1" applyFont="1" applyNumberFormat="1"/>
    <xf borderId="1" fillId="14" fontId="2" numFmtId="169" xfId="0" applyAlignment="1" applyBorder="1" applyFont="1" applyNumberFormat="1">
      <alignment horizontal="left"/>
    </xf>
    <xf borderId="1" fillId="14" fontId="2" numFmtId="165" xfId="0" applyAlignment="1" applyBorder="1" applyFont="1" applyNumberFormat="1">
      <alignment horizontal="left"/>
    </xf>
    <xf borderId="1" fillId="2" fontId="2" numFmtId="0" xfId="0" applyAlignment="1" applyBorder="1" applyFont="1">
      <alignment horizontal="left" shrinkToFit="0" wrapText="1"/>
    </xf>
    <xf borderId="1" fillId="2" fontId="2" numFmtId="49" xfId="0" applyAlignment="1" applyBorder="1" applyFont="1" applyNumberFormat="1">
      <alignment horizontal="left"/>
    </xf>
    <xf borderId="1" fillId="2" fontId="13" numFmtId="166" xfId="0" applyBorder="1" applyFont="1" applyNumberFormat="1"/>
    <xf borderId="0" fillId="12" fontId="2" numFmtId="0" xfId="0" applyAlignment="1" applyFont="1">
      <alignment horizontal="left" readingOrder="0" shrinkToFit="0" wrapText="1"/>
    </xf>
    <xf borderId="0" fillId="3" fontId="70" numFmtId="166" xfId="0" applyAlignment="1" applyFont="1" applyNumberFormat="1">
      <alignment readingOrder="0" shrinkToFit="0" vertical="top" wrapText="0"/>
    </xf>
    <xf borderId="0" fillId="12" fontId="13" numFmtId="174" xfId="0" applyAlignment="1" applyFont="1" applyNumberFormat="1">
      <alignment readingOrder="0" shrinkToFit="0" wrapText="1"/>
    </xf>
    <xf borderId="0" fillId="12" fontId="70" numFmtId="166" xfId="0" applyAlignment="1" applyFont="1" applyNumberFormat="1">
      <alignment readingOrder="0" shrinkToFit="0" vertical="top" wrapText="0"/>
    </xf>
    <xf borderId="1" fillId="11" fontId="13" numFmtId="0" xfId="0" applyAlignment="1" applyBorder="1" applyFont="1">
      <alignment readingOrder="0"/>
    </xf>
    <xf borderId="1" fillId="11" fontId="13" numFmtId="49" xfId="0" applyAlignment="1" applyBorder="1" applyFont="1" applyNumberFormat="1">
      <alignment readingOrder="0"/>
    </xf>
    <xf borderId="1" fillId="11" fontId="55" numFmtId="166" xfId="0" applyAlignment="1" applyBorder="1" applyFont="1" applyNumberFormat="1">
      <alignment horizontal="left" readingOrder="0" shrinkToFit="0" vertical="top" wrapText="0"/>
    </xf>
    <xf borderId="1" fillId="11" fontId="55" numFmtId="167" xfId="0" applyAlignment="1" applyBorder="1" applyFont="1" applyNumberFormat="1">
      <alignment readingOrder="0" vertical="top"/>
    </xf>
    <xf borderId="1" fillId="11" fontId="55" numFmtId="166" xfId="0" applyAlignment="1" applyBorder="1" applyFont="1" applyNumberFormat="1">
      <alignment readingOrder="0" shrinkToFit="0" vertical="top" wrapText="0"/>
    </xf>
    <xf borderId="1" fillId="11" fontId="2" numFmtId="10" xfId="0" applyAlignment="1" applyBorder="1" applyFont="1" applyNumberFormat="1">
      <alignment horizontal="left" readingOrder="0"/>
    </xf>
    <xf borderId="1" fillId="11" fontId="13" numFmtId="166" xfId="0" applyAlignment="1" applyBorder="1" applyFont="1" applyNumberFormat="1">
      <alignment readingOrder="0"/>
    </xf>
    <xf borderId="0" fillId="2" fontId="123" numFmtId="0" xfId="0" applyAlignment="1" applyFont="1">
      <alignment readingOrder="0"/>
    </xf>
    <xf borderId="1" fillId="2" fontId="2" numFmtId="0" xfId="0" applyAlignment="1" applyBorder="1" applyFont="1">
      <alignment horizontal="left" readingOrder="0" shrinkToFit="0" wrapText="1"/>
    </xf>
    <xf borderId="1" fillId="15" fontId="2" numFmtId="0" xfId="0" applyAlignment="1" applyBorder="1" applyFill="1" applyFont="1">
      <alignment horizontal="left" readingOrder="0"/>
    </xf>
    <xf borderId="0" fillId="15" fontId="9" numFmtId="0" xfId="0" applyFont="1"/>
    <xf borderId="0" fillId="3" fontId="9" numFmtId="0" xfId="0" applyFont="1"/>
    <xf borderId="0" fillId="4" fontId="675" numFmtId="0" xfId="0" applyAlignment="1" applyFont="1">
      <alignment readingOrder="0"/>
    </xf>
    <xf borderId="0" fillId="4" fontId="9" numFmtId="0" xfId="0" applyFont="1"/>
    <xf borderId="0" fillId="11" fontId="5" numFmtId="0" xfId="0" applyAlignment="1" applyFont="1">
      <alignment horizontal="left" readingOrder="0" shrinkToFit="0" wrapText="1"/>
    </xf>
    <xf borderId="1" fillId="11" fontId="676" numFmtId="0" xfId="0" applyAlignment="1" applyBorder="1" applyFont="1">
      <alignment horizontal="left" readingOrder="0" shrinkToFit="0" wrapText="1"/>
    </xf>
    <xf borderId="1" fillId="11" fontId="2" numFmtId="0" xfId="0" applyAlignment="1" applyBorder="1" applyFont="1">
      <alignment horizontal="left" readingOrder="0" shrinkToFit="0" wrapText="1"/>
    </xf>
    <xf borderId="1" fillId="11" fontId="2" numFmtId="0" xfId="0" applyAlignment="1" applyBorder="1" applyFont="1">
      <alignment horizontal="left" readingOrder="0"/>
    </xf>
    <xf borderId="0" fillId="2" fontId="677" numFmtId="0" xfId="0" applyAlignment="1" applyFont="1">
      <alignment readingOrder="0"/>
    </xf>
    <xf borderId="1" fillId="2" fontId="678" numFmtId="0" xfId="0" applyAlignment="1" applyBorder="1" applyFont="1">
      <alignment readingOrder="0" shrinkToFit="0" wrapText="1"/>
    </xf>
    <xf borderId="1" fillId="2" fontId="2" numFmtId="10" xfId="0" applyAlignment="1" applyBorder="1" applyFont="1" applyNumberFormat="1">
      <alignment horizontal="left"/>
    </xf>
    <xf borderId="0" fillId="11" fontId="2" numFmtId="0" xfId="0" applyAlignment="1" applyFont="1">
      <alignment horizontal="left" readingOrder="0"/>
    </xf>
    <xf borderId="0" fillId="11" fontId="123" numFmtId="0" xfId="0" applyAlignment="1" applyFont="1">
      <alignment readingOrder="0"/>
    </xf>
    <xf borderId="1" fillId="11" fontId="2" numFmtId="49" xfId="0" applyAlignment="1" applyBorder="1" applyFont="1" applyNumberFormat="1">
      <alignment horizontal="left" readingOrder="0"/>
    </xf>
    <xf borderId="1" fillId="11" fontId="2" numFmtId="175" xfId="0" applyAlignment="1" applyBorder="1" applyFont="1" applyNumberFormat="1">
      <alignment horizontal="left" readingOrder="0"/>
    </xf>
    <xf borderId="1" fillId="11" fontId="55" numFmtId="166" xfId="0" applyAlignment="1" applyBorder="1" applyFont="1" applyNumberFormat="1">
      <alignment readingOrder="0" shrinkToFit="0" wrapText="0"/>
    </xf>
    <xf borderId="1" fillId="11" fontId="13" numFmtId="164" xfId="0" applyAlignment="1" applyBorder="1" applyFont="1" applyNumberFormat="1">
      <alignment horizontal="left"/>
    </xf>
    <xf borderId="1" fillId="11" fontId="70" numFmtId="166" xfId="0" applyAlignment="1" applyBorder="1" applyFont="1" applyNumberFormat="1">
      <alignment readingOrder="0" shrinkToFit="0" vertical="top" wrapText="0"/>
    </xf>
    <xf borderId="1" fillId="11" fontId="70" numFmtId="167" xfId="0" applyAlignment="1" applyBorder="1" applyFont="1" applyNumberFormat="1">
      <alignment readingOrder="0" vertical="top"/>
    </xf>
    <xf borderId="1" fillId="12" fontId="2" numFmtId="170" xfId="0" applyAlignment="1" applyBorder="1" applyFont="1" applyNumberFormat="1">
      <alignment horizontal="left" readingOrder="0"/>
    </xf>
    <xf borderId="1" fillId="12" fontId="2" numFmtId="169" xfId="0" applyAlignment="1" applyBorder="1" applyFont="1" applyNumberFormat="1">
      <alignment horizontal="left" readingOrder="0"/>
    </xf>
    <xf borderId="0" fillId="3" fontId="2" numFmtId="165" xfId="0" applyAlignment="1" applyFont="1" applyNumberFormat="1">
      <alignment horizontal="left" readingOrder="0"/>
    </xf>
    <xf borderId="1" fillId="11" fontId="373" numFmtId="49" xfId="0" applyAlignment="1" applyBorder="1" applyFont="1" applyNumberFormat="1">
      <alignment readingOrder="0"/>
    </xf>
    <xf borderId="0" fillId="11" fontId="679" numFmtId="0" xfId="0" applyAlignment="1" applyFont="1">
      <alignment readingOrder="0" shrinkToFit="0" wrapText="1"/>
    </xf>
    <xf borderId="0" fillId="0" fontId="680" numFmtId="0" xfId="0" applyAlignment="1" applyFont="1">
      <alignment readingOrder="0" shrinkToFit="0" wrapText="1"/>
    </xf>
    <xf borderId="0" fillId="3" fontId="110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3" fontId="479" numFmtId="166" xfId="0" applyAlignment="1" applyBorder="1" applyFont="1" applyNumberFormat="1">
      <alignment readingOrder="0" shrinkToFit="0" wrapText="0"/>
    </xf>
    <xf borderId="1" fillId="11" fontId="681" numFmtId="0" xfId="0" applyAlignment="1" applyBorder="1" applyFont="1">
      <alignment readingOrder="0" shrinkToFit="0" wrapText="1"/>
    </xf>
    <xf borderId="1" fillId="7" fontId="13" numFmtId="166" xfId="0" applyBorder="1" applyFont="1" applyNumberFormat="1"/>
    <xf borderId="1" fillId="12" fontId="13" numFmtId="0" xfId="0" applyBorder="1" applyFont="1"/>
    <xf borderId="0" fillId="0" fontId="682" numFmtId="0" xfId="0" applyAlignment="1" applyFont="1">
      <alignment readingOrder="0" shrinkToFit="0" wrapText="1"/>
    </xf>
    <xf borderId="1" fillId="3" fontId="110" numFmtId="0" xfId="0" applyAlignment="1" applyBorder="1" applyFont="1">
      <alignment shrinkToFit="0" wrapText="1"/>
    </xf>
    <xf borderId="0" fillId="12" fontId="2" numFmtId="174" xfId="0" applyAlignment="1" applyFont="1" applyNumberFormat="1">
      <alignment shrinkToFit="0" vertical="bottom" wrapText="1"/>
    </xf>
    <xf borderId="0" fillId="12" fontId="2" numFmtId="0" xfId="0" applyAlignment="1" applyFont="1">
      <alignment horizontal="left" readingOrder="0"/>
    </xf>
    <xf borderId="1" fillId="12" fontId="2" numFmtId="0" xfId="0" applyAlignment="1" applyBorder="1" applyFont="1">
      <alignment readingOrder="0"/>
    </xf>
    <xf borderId="1" fillId="12" fontId="55" numFmtId="167" xfId="0" applyBorder="1" applyFont="1" applyNumberFormat="1"/>
    <xf borderId="0" fillId="3" fontId="55" numFmtId="0" xfId="0" applyAlignment="1" applyFont="1">
      <alignment readingOrder="0" shrinkToFit="0" wrapText="0"/>
    </xf>
    <xf borderId="0" fillId="12" fontId="123" numFmtId="0" xfId="0" applyAlignment="1" applyFont="1">
      <alignment readingOrder="0" shrinkToFit="0" wrapText="1"/>
    </xf>
    <xf borderId="1" fillId="12" fontId="2" numFmtId="49" xfId="0" applyAlignment="1" applyBorder="1" applyFont="1" applyNumberFormat="1">
      <alignment horizontal="left"/>
    </xf>
    <xf borderId="1" fillId="0" fontId="55" numFmtId="167" xfId="0" applyAlignment="1" applyBorder="1" applyFont="1" applyNumberFormat="1">
      <alignment readingOrder="0" shrinkToFit="0" vertical="top" wrapText="0"/>
    </xf>
    <xf borderId="1" fillId="10" fontId="13" numFmtId="0" xfId="0" applyBorder="1" applyFont="1"/>
    <xf borderId="0" fillId="10" fontId="2" numFmtId="166" xfId="0" applyAlignment="1" applyFont="1" applyNumberFormat="1">
      <alignment horizontal="left"/>
    </xf>
    <xf borderId="0" fillId="10" fontId="2" numFmtId="167" xfId="0" applyAlignment="1" applyFont="1" applyNumberFormat="1">
      <alignment horizontal="left"/>
    </xf>
    <xf borderId="1" fillId="10" fontId="55" numFmtId="167" xfId="0" applyAlignment="1" applyBorder="1" applyFont="1" applyNumberFormat="1">
      <alignment readingOrder="0" shrinkToFit="0" vertical="top" wrapText="0"/>
    </xf>
    <xf borderId="0" fillId="10" fontId="13" numFmtId="0" xfId="0" applyAlignment="1" applyFont="1">
      <alignment readingOrder="0" shrinkToFit="0" wrapText="1"/>
    </xf>
    <xf borderId="0" fillId="10" fontId="2" numFmtId="0" xfId="0" applyAlignment="1" applyFont="1">
      <alignment horizontal="left" readingOrder="0"/>
    </xf>
    <xf borderId="1" fillId="12" fontId="10" numFmtId="166" xfId="0" applyBorder="1" applyFont="1" applyNumberFormat="1"/>
    <xf borderId="1" fillId="10" fontId="683" numFmtId="0" xfId="0" applyAlignment="1" applyBorder="1" applyFont="1">
      <alignment readingOrder="0" shrinkToFit="0" wrapText="1"/>
    </xf>
    <xf borderId="1" fillId="10" fontId="2" numFmtId="169" xfId="0" applyAlignment="1" applyBorder="1" applyFont="1" applyNumberFormat="1">
      <alignment horizontal="left" readingOrder="0"/>
    </xf>
    <xf borderId="1" fillId="12" fontId="5" numFmtId="166" xfId="0" applyAlignment="1" applyBorder="1" applyFont="1" applyNumberFormat="1">
      <alignment horizontal="left"/>
    </xf>
    <xf borderId="1" fillId="12" fontId="5" numFmtId="167" xfId="0" applyAlignment="1" applyBorder="1" applyFont="1" applyNumberFormat="1">
      <alignment horizontal="left"/>
    </xf>
    <xf borderId="1" fillId="12" fontId="5" numFmtId="167" xfId="0" applyAlignment="1" applyBorder="1" applyFont="1" applyNumberFormat="1">
      <alignment horizontal="left" readingOrder="0"/>
    </xf>
    <xf borderId="1" fillId="12" fontId="5" numFmtId="0" xfId="0" applyAlignment="1" applyBorder="1" applyFont="1">
      <alignment horizontal="left"/>
    </xf>
    <xf borderId="1" fillId="12" fontId="5" numFmtId="169" xfId="0" applyAlignment="1" applyBorder="1" applyFont="1" applyNumberFormat="1">
      <alignment horizontal="left" readingOrder="0"/>
    </xf>
    <xf borderId="1" fillId="3" fontId="684" numFmtId="0" xfId="0" applyAlignment="1" applyBorder="1" applyFont="1">
      <alignment readingOrder="0"/>
    </xf>
    <xf borderId="1" fillId="3" fontId="684" numFmtId="49" xfId="0" applyAlignment="1" applyBorder="1" applyFont="1" applyNumberFormat="1">
      <alignment readingOrder="0"/>
    </xf>
    <xf borderId="1" fillId="12" fontId="5" numFmtId="169" xfId="0" applyAlignment="1" applyBorder="1" applyFont="1" applyNumberFormat="1">
      <alignment horizontal="left"/>
    </xf>
    <xf borderId="1" fillId="12" fontId="5" numFmtId="166" xfId="0" applyAlignment="1" applyBorder="1" applyFont="1" applyNumberFormat="1">
      <alignment horizontal="left" readingOrder="0"/>
    </xf>
    <xf borderId="1" fillId="11" fontId="13" numFmtId="0" xfId="0" applyBorder="1" applyFont="1"/>
    <xf borderId="1" fillId="11" fontId="5" numFmtId="166" xfId="0" applyAlignment="1" applyBorder="1" applyFont="1" applyNumberFormat="1">
      <alignment horizontal="left"/>
    </xf>
    <xf borderId="1" fillId="11" fontId="5" numFmtId="167" xfId="0" applyAlignment="1" applyBorder="1" applyFont="1" applyNumberFormat="1">
      <alignment horizontal="left"/>
    </xf>
    <xf borderId="1" fillId="11" fontId="10" numFmtId="166" xfId="0" applyBorder="1" applyFont="1" applyNumberFormat="1"/>
    <xf borderId="1" fillId="11" fontId="5" numFmtId="167" xfId="0" applyAlignment="1" applyBorder="1" applyFont="1" applyNumberFormat="1">
      <alignment horizontal="left" readingOrder="0"/>
    </xf>
    <xf borderId="1" fillId="11" fontId="5" numFmtId="0" xfId="0" applyAlignment="1" applyBorder="1" applyFont="1">
      <alignment horizontal="left"/>
    </xf>
    <xf borderId="1" fillId="11" fontId="5" numFmtId="169" xfId="0" applyAlignment="1" applyBorder="1" applyFont="1" applyNumberFormat="1">
      <alignment horizontal="left"/>
    </xf>
    <xf borderId="0" fillId="10" fontId="123" numFmtId="0" xfId="0" applyAlignment="1" applyFont="1">
      <alignment readingOrder="0"/>
    </xf>
    <xf borderId="1" fillId="10" fontId="2" numFmtId="49" xfId="0" applyAlignment="1" applyBorder="1" applyFont="1" applyNumberFormat="1">
      <alignment horizontal="left" readingOrder="0"/>
    </xf>
    <xf borderId="0" fillId="11" fontId="2" numFmtId="174" xfId="0" applyAlignment="1" applyFont="1" applyNumberFormat="1">
      <alignment shrinkToFit="0" vertical="bottom" wrapText="1"/>
    </xf>
    <xf borderId="1" fillId="11" fontId="685" numFmtId="0" xfId="0" applyAlignment="1" applyBorder="1" applyFont="1">
      <alignment readingOrder="0" shrinkToFit="0" wrapText="0"/>
    </xf>
    <xf borderId="1" fillId="11" fontId="5" numFmtId="0" xfId="0" applyBorder="1" applyFont="1"/>
    <xf borderId="1" fillId="11" fontId="2" numFmtId="170" xfId="0" applyAlignment="1" applyBorder="1" applyFont="1" applyNumberFormat="1">
      <alignment horizontal="left" readingOrder="0"/>
    </xf>
    <xf borderId="1" fillId="11" fontId="2" numFmtId="169" xfId="0" applyAlignment="1" applyBorder="1" applyFont="1" applyNumberFormat="1">
      <alignment horizontal="left" readingOrder="0"/>
    </xf>
    <xf borderId="1" fillId="0" fontId="2" numFmtId="0" xfId="0" applyBorder="1" applyFont="1"/>
    <xf borderId="0" fillId="0" fontId="2" numFmtId="167" xfId="0" applyAlignment="1" applyFont="1" applyNumberFormat="1">
      <alignment horizontal="left" readingOrder="0"/>
    </xf>
    <xf borderId="0" fillId="11" fontId="686" numFmtId="0" xfId="0" applyAlignment="1" applyFont="1">
      <alignment horizontal="left" readingOrder="0" shrinkToFit="0" wrapText="1"/>
    </xf>
    <xf borderId="1" fillId="11" fontId="687" numFmtId="166" xfId="0" applyAlignment="1" applyBorder="1" applyFont="1" applyNumberFormat="1">
      <alignment vertical="bottom"/>
    </xf>
    <xf borderId="1" fillId="11" fontId="2" numFmtId="167" xfId="0" applyAlignment="1" applyBorder="1" applyFont="1" applyNumberFormat="1">
      <alignment vertical="bottom"/>
    </xf>
    <xf borderId="1" fillId="11" fontId="2" numFmtId="165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left" readingOrder="0"/>
    </xf>
    <xf borderId="0" fillId="0" fontId="2" numFmtId="1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170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1" fillId="0" fontId="2" numFmtId="176" xfId="0" applyAlignment="1" applyBorder="1" applyFont="1" applyNumberFormat="1">
      <alignment horizontal="left" readingOrder="0"/>
    </xf>
    <xf borderId="0" fillId="0" fontId="688" numFmtId="174" xfId="0" applyAlignment="1" applyFont="1" applyNumberFormat="1">
      <alignment shrinkToFit="0" vertical="bottom" wrapText="1"/>
    </xf>
    <xf borderId="1" fillId="3" fontId="479" numFmtId="14" xfId="0" applyAlignment="1" applyBorder="1" applyFont="1" applyNumberFormat="1">
      <alignment horizontal="left" readingOrder="0" shrinkToFit="0" wrapText="0"/>
    </xf>
    <xf borderId="0" fillId="0" fontId="689" numFmtId="174" xfId="0" applyAlignment="1" applyFont="1" applyNumberFormat="1">
      <alignment shrinkToFit="0" vertical="bottom" wrapText="1"/>
    </xf>
    <xf borderId="1" fillId="3" fontId="690" numFmtId="0" xfId="0" applyAlignment="1" applyBorder="1" applyFont="1">
      <alignment readingOrder="0" shrinkToFit="0" wrapText="0"/>
    </xf>
    <xf borderId="1" fillId="3" fontId="691" numFmtId="0" xfId="0" applyAlignment="1" applyBorder="1" applyFont="1">
      <alignment shrinkToFit="0" wrapText="0"/>
    </xf>
    <xf borderId="0" fillId="11" fontId="13" numFmtId="0" xfId="0" applyAlignment="1" applyFont="1">
      <alignment readingOrder="0" shrinkToFit="0" wrapText="1"/>
    </xf>
    <xf borderId="1" fillId="11" fontId="5" numFmtId="0" xfId="0" applyAlignment="1" applyBorder="1" applyFont="1">
      <alignment horizontal="left" readingOrder="0" shrinkToFit="0" vertical="center" wrapText="0"/>
    </xf>
    <xf borderId="1" fillId="11" fontId="5" numFmtId="0" xfId="0" applyAlignment="1" applyBorder="1" applyFont="1">
      <alignment horizontal="left" readingOrder="0"/>
    </xf>
    <xf borderId="1" fillId="11" fontId="2" numFmtId="165" xfId="0" applyAlignment="1" applyBorder="1" applyFont="1" applyNumberFormat="1">
      <alignment horizontal="right" readingOrder="0"/>
    </xf>
    <xf borderId="0" fillId="11" fontId="2" numFmtId="166" xfId="0" applyAlignment="1" applyFont="1" applyNumberFormat="1">
      <alignment horizontal="left"/>
    </xf>
    <xf borderId="0" fillId="3" fontId="2" numFmtId="165" xfId="0" applyAlignment="1" applyFont="1" applyNumberFormat="1">
      <alignment horizontal="right" readingOrder="0"/>
    </xf>
    <xf borderId="0" fillId="0" fontId="692" numFmtId="0" xfId="0" applyAlignment="1" applyFont="1">
      <alignment readingOrder="0"/>
    </xf>
    <xf borderId="1" fillId="0" fontId="693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/>
    </xf>
    <xf borderId="1" fillId="12" fontId="2" numFmtId="168" xfId="0" applyAlignment="1" applyBorder="1" applyFont="1" applyNumberFormat="1">
      <alignment horizontal="left" readingOrder="0"/>
    </xf>
    <xf borderId="0" fillId="10" fontId="2" numFmtId="174" xfId="0" applyAlignment="1" applyFont="1" applyNumberFormat="1">
      <alignment shrinkToFit="0" vertical="bottom" wrapText="1"/>
    </xf>
    <xf borderId="1" fillId="10" fontId="110" numFmtId="0" xfId="0" applyAlignment="1" applyBorder="1" applyFont="1">
      <alignment readingOrder="0"/>
    </xf>
    <xf borderId="1" fillId="10" fontId="5" numFmtId="0" xfId="0" applyBorder="1" applyFont="1"/>
    <xf borderId="1" fillId="10" fontId="2" numFmtId="166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left"/>
    </xf>
    <xf borderId="0" fillId="3" fontId="5" numFmtId="10" xfId="0" applyAlignment="1" applyFont="1" applyNumberFormat="1">
      <alignment horizontal="left" readingOrder="0"/>
    </xf>
    <xf borderId="0" fillId="0" fontId="13" numFmtId="166" xfId="0" applyFont="1" applyNumberFormat="1"/>
    <xf borderId="0" fillId="0" fontId="2" numFmtId="166" xfId="0" applyAlignment="1" applyFont="1" applyNumberFormat="1">
      <alignment horizontal="left" readingOrder="0"/>
    </xf>
    <xf borderId="0" fillId="0" fontId="2" numFmtId="167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3" fontId="2" numFmtId="174" xfId="0" applyAlignment="1" applyFont="1" applyNumberFormat="1">
      <alignment shrinkToFit="0" vertical="bottom" wrapText="1"/>
    </xf>
    <xf borderId="0" fillId="3" fontId="694" numFmtId="0" xfId="0" applyAlignment="1" applyFont="1">
      <alignment readingOrder="0" shrinkToFit="0" wrapText="0"/>
    </xf>
    <xf borderId="1" fillId="3" fontId="695" numFmtId="0" xfId="0" applyAlignment="1" applyBorder="1" applyFont="1">
      <alignment horizontal="left" readingOrder="0"/>
    </xf>
    <xf borderId="0" fillId="3" fontId="2" numFmtId="165" xfId="0" applyAlignment="1" applyFont="1" applyNumberFormat="1">
      <alignment horizontal="left"/>
    </xf>
    <xf borderId="0" fillId="3" fontId="70" numFmtId="166" xfId="0" applyFont="1" applyNumberFormat="1"/>
    <xf borderId="1" fillId="3" fontId="696" numFmtId="0" xfId="0" applyAlignment="1" applyBorder="1" applyFont="1">
      <alignment horizontal="left" readingOrder="0"/>
    </xf>
    <xf borderId="0" fillId="3" fontId="697" numFmtId="0" xfId="0" applyAlignment="1" applyFont="1">
      <alignment readingOrder="0"/>
    </xf>
    <xf borderId="1" fillId="11" fontId="698" numFmtId="166" xfId="0" applyAlignment="1" applyBorder="1" applyFont="1" applyNumberFormat="1">
      <alignment horizontal="left" readingOrder="0" shrinkToFit="0" wrapText="0"/>
    </xf>
    <xf borderId="0" fillId="0" fontId="13" numFmtId="0" xfId="0" applyAlignment="1" applyFont="1">
      <alignment readingOrder="0"/>
    </xf>
    <xf borderId="1" fillId="0" fontId="13" numFmtId="166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horizontal="left" readingOrder="0"/>
    </xf>
    <xf borderId="2" fillId="0" fontId="2" numFmtId="167" xfId="0" applyAlignment="1" applyBorder="1" applyFont="1" applyNumberFormat="1">
      <alignment horizontal="left"/>
    </xf>
    <xf borderId="2" fillId="0" fontId="13" numFmtId="164" xfId="0" applyBorder="1" applyFont="1" applyNumberFormat="1"/>
    <xf borderId="2" fillId="0" fontId="2" numFmtId="169" xfId="0" applyAlignment="1" applyBorder="1" applyFont="1" applyNumberFormat="1">
      <alignment horizontal="left"/>
    </xf>
    <xf borderId="2" fillId="0" fontId="2" numFmtId="14" xfId="0" applyAlignment="1" applyBorder="1" applyFont="1" applyNumberFormat="1">
      <alignment horizontal="left"/>
    </xf>
    <xf borderId="2" fillId="0" fontId="2" numFmtId="170" xfId="0" applyAlignment="1" applyBorder="1" applyFont="1" applyNumberFormat="1">
      <alignment horizontal="left" readingOrder="0"/>
    </xf>
    <xf borderId="2" fillId="0" fontId="2" numFmtId="165" xfId="0" applyAlignment="1" applyBorder="1" applyFont="1" applyNumberFormat="1">
      <alignment horizontal="left" readingOrder="0"/>
    </xf>
    <xf borderId="1" fillId="7" fontId="699" numFmtId="0" xfId="0" applyAlignment="1" applyBorder="1" applyFont="1">
      <alignment readingOrder="0" shrinkToFit="0" wrapText="0"/>
    </xf>
    <xf borderId="1" fillId="0" fontId="700" numFmtId="170" xfId="0" applyAlignment="1" applyBorder="1" applyFont="1" applyNumberFormat="1">
      <alignment readingOrder="0"/>
    </xf>
    <xf borderId="0" fillId="0" fontId="701" numFmtId="0" xfId="0" applyAlignment="1" applyFont="1">
      <alignment horizontal="left" readingOrder="0" shrinkToFit="0" wrapText="0"/>
    </xf>
    <xf borderId="1" fillId="0" fontId="702" numFmtId="0" xfId="0" applyAlignment="1" applyBorder="1" applyFont="1">
      <alignment horizontal="left" readingOrder="0" shrinkToFit="0" wrapText="0"/>
    </xf>
    <xf borderId="1" fillId="0" fontId="13" numFmtId="0" xfId="0" applyBorder="1" applyFont="1"/>
    <xf borderId="1" fillId="0" fontId="110" numFmtId="0" xfId="0" applyAlignment="1" applyBorder="1" applyFont="1">
      <alignment shrinkToFit="0" wrapText="0"/>
    </xf>
    <xf borderId="4" fillId="0" fontId="5" numFmtId="0" xfId="0" applyBorder="1" applyFont="1"/>
    <xf borderId="1" fillId="3" fontId="703" numFmtId="0" xfId="0" applyAlignment="1" applyBorder="1" applyFont="1">
      <alignment readingOrder="0" shrinkToFit="0" wrapText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crunchbase.com/organization/realm-8a75" TargetMode="External"/><Relationship Id="rId2181" Type="http://schemas.openxmlformats.org/officeDocument/2006/relationships/hyperlink" Target="https://myrealm.co/" TargetMode="External"/><Relationship Id="rId2182" Type="http://schemas.openxmlformats.org/officeDocument/2006/relationships/hyperlink" Target="https://angel.co/company/stord" TargetMode="External"/><Relationship Id="rId2183" Type="http://schemas.openxmlformats.org/officeDocument/2006/relationships/hyperlink" Target="https://www.crunchbase.com/organization/stord" TargetMode="External"/><Relationship Id="rId2184" Type="http://schemas.openxmlformats.org/officeDocument/2006/relationships/hyperlink" Target="https://www.stord.com" TargetMode="External"/><Relationship Id="rId2185" Type="http://schemas.openxmlformats.org/officeDocument/2006/relationships/hyperlink" Target="https://www.crunchbase.com/funding_round/stord-seed--6096c361" TargetMode="External"/><Relationship Id="rId2186" Type="http://schemas.openxmlformats.org/officeDocument/2006/relationships/hyperlink" Target="https://www.crunchbase.com/funding_round/stord-series-a--ec8e316b" TargetMode="External"/><Relationship Id="rId2187" Type="http://schemas.openxmlformats.org/officeDocument/2006/relationships/hyperlink" Target="https://www.crunchbase.com/organization/third-wave-automation" TargetMode="External"/><Relationship Id="rId2188" Type="http://schemas.openxmlformats.org/officeDocument/2006/relationships/hyperlink" Target="https://www.thirdwave.ai/" TargetMode="External"/><Relationship Id="rId2189" Type="http://schemas.openxmlformats.org/officeDocument/2006/relationships/hyperlink" Target="https://www.crunchbase.com/funding_round/third-wave-automation-series-a--0193928a" TargetMode="External"/><Relationship Id="rId2170" Type="http://schemas.openxmlformats.org/officeDocument/2006/relationships/hyperlink" Target="https://angel.co/ollie-5" TargetMode="External"/><Relationship Id="rId2171" Type="http://schemas.openxmlformats.org/officeDocument/2006/relationships/hyperlink" Target="https://www.crunchbase.com/organization/ollie-2" TargetMode="External"/><Relationship Id="rId2172" Type="http://schemas.openxmlformats.org/officeDocument/2006/relationships/hyperlink" Target="http://www.ollie.co/" TargetMode="External"/><Relationship Id="rId2173" Type="http://schemas.openxmlformats.org/officeDocument/2006/relationships/hyperlink" Target="https://angel.co/company/perchwell" TargetMode="External"/><Relationship Id="rId2174" Type="http://schemas.openxmlformats.org/officeDocument/2006/relationships/hyperlink" Target="https://www.crunchbase.com/organization/perchwell" TargetMode="External"/><Relationship Id="rId2175" Type="http://schemas.openxmlformats.org/officeDocument/2006/relationships/hyperlink" Target="https://www.perchwell.com/" TargetMode="External"/><Relationship Id="rId2176" Type="http://schemas.openxmlformats.org/officeDocument/2006/relationships/hyperlink" Target="https://www.crunchbase.com/organization/pudutech" TargetMode="External"/><Relationship Id="rId2177" Type="http://schemas.openxmlformats.org/officeDocument/2006/relationships/hyperlink" Target="https://www.pudutech.com/" TargetMode="External"/><Relationship Id="rId2178" Type="http://schemas.openxmlformats.org/officeDocument/2006/relationships/hyperlink" Target="https://retailtechinnovationhub.com/home/2020/7/2/pudu-robotics-bags-15-million-for-indoor-delivery-robots" TargetMode="External"/><Relationship Id="rId2179" Type="http://schemas.openxmlformats.org/officeDocument/2006/relationships/hyperlink" Target="https://angel.co/company/realm-15" TargetMode="External"/><Relationship Id="rId2190" Type="http://schemas.openxmlformats.org/officeDocument/2006/relationships/hyperlink" Target="https://angel.co/company/august-health" TargetMode="External"/><Relationship Id="rId2191" Type="http://schemas.openxmlformats.org/officeDocument/2006/relationships/hyperlink" Target="https://www.crunchbase.com/organization/august-health" TargetMode="External"/><Relationship Id="rId2192" Type="http://schemas.openxmlformats.org/officeDocument/2006/relationships/hyperlink" Target="https://www.augusthealth.com/" TargetMode="External"/><Relationship Id="rId2193" Type="http://schemas.openxmlformats.org/officeDocument/2006/relationships/hyperlink" Target="https://www.crunchbase.com/funding_round/august-health-series-a--107bf3dc" TargetMode="External"/><Relationship Id="rId2194" Type="http://schemas.openxmlformats.org/officeDocument/2006/relationships/hyperlink" Target="https://www.crunchbase.com/organization/beamup" TargetMode="External"/><Relationship Id="rId2195" Type="http://schemas.openxmlformats.org/officeDocument/2006/relationships/hyperlink" Target="https://www.beamup.ai/" TargetMode="External"/><Relationship Id="rId2196" Type="http://schemas.openxmlformats.org/officeDocument/2006/relationships/hyperlink" Target="https://angel.co/company/evocalize" TargetMode="External"/><Relationship Id="rId2197" Type="http://schemas.openxmlformats.org/officeDocument/2006/relationships/hyperlink" Target="https://www.crunchbase.com/organization/evocalize" TargetMode="External"/><Relationship Id="rId2198" Type="http://schemas.openxmlformats.org/officeDocument/2006/relationships/hyperlink" Target="https://www.evocalize.com/" TargetMode="External"/><Relationship Id="rId2199" Type="http://schemas.openxmlformats.org/officeDocument/2006/relationships/hyperlink" Target="https://www.crunchbase.com/organization/fergus-software" TargetMode="External"/><Relationship Id="rId3513" Type="http://schemas.openxmlformats.org/officeDocument/2006/relationships/hyperlink" Target="https://www.crunchbase.com/organization/ai-clearing" TargetMode="External"/><Relationship Id="rId4844" Type="http://schemas.openxmlformats.org/officeDocument/2006/relationships/hyperlink" Target="https://www.crunchbase.com/organization/casavi" TargetMode="External"/><Relationship Id="rId3512" Type="http://schemas.openxmlformats.org/officeDocument/2006/relationships/hyperlink" Target="https://www.crunchbase.com/funding_round/seatti-seed--d46afc75" TargetMode="External"/><Relationship Id="rId4843" Type="http://schemas.openxmlformats.org/officeDocument/2006/relationships/hyperlink" Target="https://angel.co/company/casavi" TargetMode="External"/><Relationship Id="rId3515" Type="http://schemas.openxmlformats.org/officeDocument/2006/relationships/hyperlink" Target="https://www.crunchbase.com/funding_round/ai-clearing-pre-seed--9fe50f7f" TargetMode="External"/><Relationship Id="rId4846" Type="http://schemas.openxmlformats.org/officeDocument/2006/relationships/hyperlink" Target="https://angel.co/catylist" TargetMode="External"/><Relationship Id="rId3514" Type="http://schemas.openxmlformats.org/officeDocument/2006/relationships/hyperlink" Target="https://aiclearing.com/" TargetMode="External"/><Relationship Id="rId4845" Type="http://schemas.openxmlformats.org/officeDocument/2006/relationships/hyperlink" Target="https://casavi.de/en" TargetMode="External"/><Relationship Id="rId3517" Type="http://schemas.openxmlformats.org/officeDocument/2006/relationships/hyperlink" Target="https://www.crunchbase.com/funding_round/ai-clearing-convertible-note--71a8a8b1" TargetMode="External"/><Relationship Id="rId4848" Type="http://schemas.openxmlformats.org/officeDocument/2006/relationships/hyperlink" Target="https://www.catylist.com/" TargetMode="External"/><Relationship Id="rId3516" Type="http://schemas.openxmlformats.org/officeDocument/2006/relationships/hyperlink" Target="https://www.crunchbase.com/funding_round/ai-clearing-seed--9d1430de" TargetMode="External"/><Relationship Id="rId4847" Type="http://schemas.openxmlformats.org/officeDocument/2006/relationships/hyperlink" Target="https://www.crunchbase.com/organization/catylist" TargetMode="External"/><Relationship Id="rId3519" Type="http://schemas.openxmlformats.org/officeDocument/2006/relationships/hyperlink" Target="https://www.crunchbase.com/organization/the-coven" TargetMode="External"/><Relationship Id="rId3518" Type="http://schemas.openxmlformats.org/officeDocument/2006/relationships/hyperlink" Target="https://www.crunchbase.com/funding_round/ai-clearing-debt-financing--3d1bfefe" TargetMode="External"/><Relationship Id="rId4849" Type="http://schemas.openxmlformats.org/officeDocument/2006/relationships/hyperlink" Target="https://angel.co/company/ccim-institute" TargetMode="External"/><Relationship Id="rId4840" Type="http://schemas.openxmlformats.org/officeDocument/2006/relationships/hyperlink" Target="https://angel.co/cartofront-1" TargetMode="External"/><Relationship Id="rId3511" Type="http://schemas.openxmlformats.org/officeDocument/2006/relationships/hyperlink" Target="https://www.crunchbase.com/funding_round/seatti-pre-seed--18ff32ae" TargetMode="External"/><Relationship Id="rId4842" Type="http://schemas.openxmlformats.org/officeDocument/2006/relationships/hyperlink" Target="http://www.cartofront.com/" TargetMode="External"/><Relationship Id="rId3510" Type="http://schemas.openxmlformats.org/officeDocument/2006/relationships/hyperlink" Target="https://www.seatti.co/" TargetMode="External"/><Relationship Id="rId4841" Type="http://schemas.openxmlformats.org/officeDocument/2006/relationships/hyperlink" Target="https://www.crunchbase.com/organization/cartofront" TargetMode="External"/><Relationship Id="rId3502" Type="http://schemas.openxmlformats.org/officeDocument/2006/relationships/hyperlink" Target="https://www.crunchbase.com/organization/healthyworkers" TargetMode="External"/><Relationship Id="rId4833" Type="http://schemas.openxmlformats.org/officeDocument/2006/relationships/hyperlink" Target="https://angel.co/company/capitalizarme" TargetMode="External"/><Relationship Id="rId3501" Type="http://schemas.openxmlformats.org/officeDocument/2006/relationships/hyperlink" Target="https://angel.co/company/healthy-workers" TargetMode="External"/><Relationship Id="rId4832" Type="http://schemas.openxmlformats.org/officeDocument/2006/relationships/hyperlink" Target="https://www.capitalbrain.co/" TargetMode="External"/><Relationship Id="rId3504" Type="http://schemas.openxmlformats.org/officeDocument/2006/relationships/hyperlink" Target="https://www.crunchbase.com/organization/alt-drx" TargetMode="External"/><Relationship Id="rId4835" Type="http://schemas.openxmlformats.org/officeDocument/2006/relationships/hyperlink" Target="https://www.capitalizarme.com/" TargetMode="External"/><Relationship Id="rId3503" Type="http://schemas.openxmlformats.org/officeDocument/2006/relationships/hyperlink" Target="https://healthyworkers.com/" TargetMode="External"/><Relationship Id="rId4834" Type="http://schemas.openxmlformats.org/officeDocument/2006/relationships/hyperlink" Target="https://www.crunchbase.com/organization/capitalizarme" TargetMode="External"/><Relationship Id="rId3506" Type="http://schemas.openxmlformats.org/officeDocument/2006/relationships/hyperlink" Target="https://www.crunchbase.com/funding_round/alt-drx-seed--c21f8e19" TargetMode="External"/><Relationship Id="rId4837" Type="http://schemas.openxmlformats.org/officeDocument/2006/relationships/hyperlink" Target="https://www.crunchbase.com/organization/captate" TargetMode="External"/><Relationship Id="rId3505" Type="http://schemas.openxmlformats.org/officeDocument/2006/relationships/hyperlink" Target="https://altdrx.com/" TargetMode="External"/><Relationship Id="rId4836" Type="http://schemas.openxmlformats.org/officeDocument/2006/relationships/hyperlink" Target="https://angel.co/company/captate-1" TargetMode="External"/><Relationship Id="rId3508" Type="http://schemas.openxmlformats.org/officeDocument/2006/relationships/hyperlink" Target="https://angel.co/company/seatti-1" TargetMode="External"/><Relationship Id="rId4839" Type="http://schemas.openxmlformats.org/officeDocument/2006/relationships/hyperlink" Target="https://www.crunchbase.com/organization/carbon-lighthouse" TargetMode="External"/><Relationship Id="rId3507" Type="http://schemas.openxmlformats.org/officeDocument/2006/relationships/hyperlink" Target="https://www.crunchbase.com/funding_round/alt-drx-debt-financing--9945c9f6" TargetMode="External"/><Relationship Id="rId4838" Type="http://schemas.openxmlformats.org/officeDocument/2006/relationships/hyperlink" Target="https://captate.com" TargetMode="External"/><Relationship Id="rId3509" Type="http://schemas.openxmlformats.org/officeDocument/2006/relationships/hyperlink" Target="https://www.crunchbase.com/organization/seatti" TargetMode="External"/><Relationship Id="rId3500" Type="http://schemas.openxmlformats.org/officeDocument/2006/relationships/hyperlink" Target="https://www.crunchbase.com/funding_round/project-hero-seed--d9417006" TargetMode="External"/><Relationship Id="rId4831" Type="http://schemas.openxmlformats.org/officeDocument/2006/relationships/hyperlink" Target="https://angel.co/company/monetarex" TargetMode="External"/><Relationship Id="rId4830" Type="http://schemas.openxmlformats.org/officeDocument/2006/relationships/hyperlink" Target="http://caala.de" TargetMode="External"/><Relationship Id="rId2203" Type="http://schemas.openxmlformats.org/officeDocument/2006/relationships/hyperlink" Target="https://www.flashtract.com/" TargetMode="External"/><Relationship Id="rId3535" Type="http://schemas.openxmlformats.org/officeDocument/2006/relationships/hyperlink" Target="https://angel.co/company/paintjet" TargetMode="External"/><Relationship Id="rId4866" Type="http://schemas.openxmlformats.org/officeDocument/2006/relationships/hyperlink" Target="https://angel.co/company/chunker-1" TargetMode="External"/><Relationship Id="rId2204" Type="http://schemas.openxmlformats.org/officeDocument/2006/relationships/hyperlink" Target="https://angel.co/company/awair" TargetMode="External"/><Relationship Id="rId3534" Type="http://schemas.openxmlformats.org/officeDocument/2006/relationships/hyperlink" Target="https://www.crunchbase.com/funding_round/moon-mortgage-seed--b1c42e61" TargetMode="External"/><Relationship Id="rId4865" Type="http://schemas.openxmlformats.org/officeDocument/2006/relationships/hyperlink" Target="https://www.chinooksystems.com/" TargetMode="External"/><Relationship Id="rId2205" Type="http://schemas.openxmlformats.org/officeDocument/2006/relationships/hyperlink" Target="https://www.crunchbase.com/organization/awair" TargetMode="External"/><Relationship Id="rId3537" Type="http://schemas.openxmlformats.org/officeDocument/2006/relationships/hyperlink" Target="http://www.paintjet.com" TargetMode="External"/><Relationship Id="rId4868" Type="http://schemas.openxmlformats.org/officeDocument/2006/relationships/hyperlink" Target="https://www.chunker.com/" TargetMode="External"/><Relationship Id="rId2206" Type="http://schemas.openxmlformats.org/officeDocument/2006/relationships/hyperlink" Target="https://www.getawair.com/business" TargetMode="External"/><Relationship Id="rId3536" Type="http://schemas.openxmlformats.org/officeDocument/2006/relationships/hyperlink" Target="https://www.crunchbase.com/organization/paintjet" TargetMode="External"/><Relationship Id="rId4867" Type="http://schemas.openxmlformats.org/officeDocument/2006/relationships/hyperlink" Target="https://www.crunchbase.com/organization/chunker" TargetMode="External"/><Relationship Id="rId2207" Type="http://schemas.openxmlformats.org/officeDocument/2006/relationships/hyperlink" Target="https://www.crunchbase.com/funding_round/awair-seed--35cc8513" TargetMode="External"/><Relationship Id="rId3539" Type="http://schemas.openxmlformats.org/officeDocument/2006/relationships/hyperlink" Target="https://www.crunchbase.com/organization/elephant-energy" TargetMode="External"/><Relationship Id="rId2208" Type="http://schemas.openxmlformats.org/officeDocument/2006/relationships/hyperlink" Target="https://www.crunchbase.com/funding_round/awair-series-a--8ffdcf41" TargetMode="External"/><Relationship Id="rId3538" Type="http://schemas.openxmlformats.org/officeDocument/2006/relationships/hyperlink" Target="https://www.crunchbase.com/funding_round/paintjet-seed--d85d2a29" TargetMode="External"/><Relationship Id="rId4869" Type="http://schemas.openxmlformats.org/officeDocument/2006/relationships/hyperlink" Target="https://www.citydronez.com/" TargetMode="External"/><Relationship Id="rId2209" Type="http://schemas.openxmlformats.org/officeDocument/2006/relationships/hyperlink" Target="https://www.crunchbase.com/funding_round/awair-series-b--3ac782b1" TargetMode="External"/><Relationship Id="rId4860" Type="http://schemas.openxmlformats.org/officeDocument/2006/relationships/hyperlink" Target="https://www.crunchbase.com/organization/chetu-inc" TargetMode="External"/><Relationship Id="rId3531" Type="http://schemas.openxmlformats.org/officeDocument/2006/relationships/hyperlink" Target="https://angel.co/company/moon-mortgage" TargetMode="External"/><Relationship Id="rId4862" Type="http://schemas.openxmlformats.org/officeDocument/2006/relationships/hyperlink" Target="https://angel.co/company/lifeatchime" TargetMode="External"/><Relationship Id="rId2200" Type="http://schemas.openxmlformats.org/officeDocument/2006/relationships/hyperlink" Target="https://fergus.com/en-ie/" TargetMode="External"/><Relationship Id="rId3530" Type="http://schemas.openxmlformats.org/officeDocument/2006/relationships/hyperlink" Target="https://www.crunchbase.com/funding_round/uppercase-seed--a597d441" TargetMode="External"/><Relationship Id="rId4861" Type="http://schemas.openxmlformats.org/officeDocument/2006/relationships/hyperlink" Target="https://www.chetu.com/lending/mortgages.php" TargetMode="External"/><Relationship Id="rId2201" Type="http://schemas.openxmlformats.org/officeDocument/2006/relationships/hyperlink" Target="https://angel.co/company/flashtract" TargetMode="External"/><Relationship Id="rId3533" Type="http://schemas.openxmlformats.org/officeDocument/2006/relationships/hyperlink" Target="https://www.moonmortgage.io/" TargetMode="External"/><Relationship Id="rId4864" Type="http://schemas.openxmlformats.org/officeDocument/2006/relationships/hyperlink" Target="https://chime.me" TargetMode="External"/><Relationship Id="rId2202" Type="http://schemas.openxmlformats.org/officeDocument/2006/relationships/hyperlink" Target="https://www.crunchbase.com/organization/flashtract" TargetMode="External"/><Relationship Id="rId3532" Type="http://schemas.openxmlformats.org/officeDocument/2006/relationships/hyperlink" Target="https://www.crunchbase.com/organization/moon-mortgage" TargetMode="External"/><Relationship Id="rId4863" Type="http://schemas.openxmlformats.org/officeDocument/2006/relationships/hyperlink" Target="https://www.crunchbase.com/organization/chime-6" TargetMode="External"/><Relationship Id="rId3524" Type="http://schemas.openxmlformats.org/officeDocument/2006/relationships/hyperlink" Target="https://www.crunchbase.com/funding_round/good-monday-seed--52c98790" TargetMode="External"/><Relationship Id="rId4855" Type="http://schemas.openxmlformats.org/officeDocument/2006/relationships/hyperlink" Target="https://cdi-world.com/singapore/" TargetMode="External"/><Relationship Id="rId3523" Type="http://schemas.openxmlformats.org/officeDocument/2006/relationships/hyperlink" Target="https://www.goodmonday.io/" TargetMode="External"/><Relationship Id="rId4854" Type="http://schemas.openxmlformats.org/officeDocument/2006/relationships/hyperlink" Target="http://cditechnology.com/" TargetMode="External"/><Relationship Id="rId3526" Type="http://schemas.openxmlformats.org/officeDocument/2006/relationships/hyperlink" Target="https://www.crunchbase.com/organization/logical-buildings" TargetMode="External"/><Relationship Id="rId4857" Type="http://schemas.openxmlformats.org/officeDocument/2006/relationships/hyperlink" Target="http://centralf.com/" TargetMode="External"/><Relationship Id="rId3525" Type="http://schemas.openxmlformats.org/officeDocument/2006/relationships/hyperlink" Target="https://angel.co/company/logical-buildings" TargetMode="External"/><Relationship Id="rId4856" Type="http://schemas.openxmlformats.org/officeDocument/2006/relationships/hyperlink" Target="https://www.crunchbase.com/organization/stayhome-inc" TargetMode="External"/><Relationship Id="rId3528" Type="http://schemas.openxmlformats.org/officeDocument/2006/relationships/hyperlink" Target="https://www.crunchbase.com/organization/uppercase" TargetMode="External"/><Relationship Id="rId4859" Type="http://schemas.openxmlformats.org/officeDocument/2006/relationships/hyperlink" Target="https://angel.co/company/chetu-3" TargetMode="External"/><Relationship Id="rId3527" Type="http://schemas.openxmlformats.org/officeDocument/2006/relationships/hyperlink" Target="https://angel.co/company/uppercasehq" TargetMode="External"/><Relationship Id="rId4858" Type="http://schemas.openxmlformats.org/officeDocument/2006/relationships/hyperlink" Target="https://certassurance.com/" TargetMode="External"/><Relationship Id="rId3529" Type="http://schemas.openxmlformats.org/officeDocument/2006/relationships/hyperlink" Target="https://uppercasehq.com" TargetMode="External"/><Relationship Id="rId3520" Type="http://schemas.openxmlformats.org/officeDocument/2006/relationships/hyperlink" Target="https://thecoven.com/" TargetMode="External"/><Relationship Id="rId4851" Type="http://schemas.openxmlformats.org/officeDocument/2006/relationships/hyperlink" Target="https://www.stdb.com/" TargetMode="External"/><Relationship Id="rId4850" Type="http://schemas.openxmlformats.org/officeDocument/2006/relationships/hyperlink" Target="https://www.crunchbase.com/organization/ccim-institute" TargetMode="External"/><Relationship Id="rId3522" Type="http://schemas.openxmlformats.org/officeDocument/2006/relationships/hyperlink" Target="https://www.crunchbase.com/organization/good-monday" TargetMode="External"/><Relationship Id="rId4853" Type="http://schemas.openxmlformats.org/officeDocument/2006/relationships/hyperlink" Target="https://www.crunchbase.com/organization/cdi-technology" TargetMode="External"/><Relationship Id="rId3521" Type="http://schemas.openxmlformats.org/officeDocument/2006/relationships/hyperlink" Target="https://www.crunchbase.com/funding_round/the-coven-series-unknown--3816af81" TargetMode="External"/><Relationship Id="rId4852" Type="http://schemas.openxmlformats.org/officeDocument/2006/relationships/hyperlink" Target="https://angel.co/company/cdi-technology-2" TargetMode="External"/><Relationship Id="rId4800" Type="http://schemas.openxmlformats.org/officeDocument/2006/relationships/hyperlink" Target="https://angel.co/company/builders-patch-1" TargetMode="External"/><Relationship Id="rId4802" Type="http://schemas.openxmlformats.org/officeDocument/2006/relationships/hyperlink" Target="https://www.builderspatch.com/" TargetMode="External"/><Relationship Id="rId4801" Type="http://schemas.openxmlformats.org/officeDocument/2006/relationships/hyperlink" Target="https://www.crunchbase.com/organization/builders-patch" TargetMode="External"/><Relationship Id="rId4804" Type="http://schemas.openxmlformats.org/officeDocument/2006/relationships/hyperlink" Target="https://www.crunchbase.com/organization/buildfax" TargetMode="External"/><Relationship Id="rId4803" Type="http://schemas.openxmlformats.org/officeDocument/2006/relationships/hyperlink" Target="https://angel.co/company/buildfax" TargetMode="External"/><Relationship Id="rId4806" Type="http://schemas.openxmlformats.org/officeDocument/2006/relationships/hyperlink" Target="https://www.crunchbase.com/organization/building-clouds" TargetMode="External"/><Relationship Id="rId4805" Type="http://schemas.openxmlformats.org/officeDocument/2006/relationships/hyperlink" Target="http://buildfax.com/" TargetMode="External"/><Relationship Id="rId4808" Type="http://schemas.openxmlformats.org/officeDocument/2006/relationships/hyperlink" Target="https://angel.co/building-engines" TargetMode="External"/><Relationship Id="rId4807" Type="http://schemas.openxmlformats.org/officeDocument/2006/relationships/hyperlink" Target="http://buildingclouds.com" TargetMode="External"/><Relationship Id="rId4809" Type="http://schemas.openxmlformats.org/officeDocument/2006/relationships/hyperlink" Target="https://www.crunchbase.com/organization/building-engines" TargetMode="External"/><Relationship Id="rId4822" Type="http://schemas.openxmlformats.org/officeDocument/2006/relationships/hyperlink" Target="https://angel.co/company/buyervista" TargetMode="External"/><Relationship Id="rId4821" Type="http://schemas.openxmlformats.org/officeDocument/2006/relationships/hyperlink" Target="https://buy-in.org" TargetMode="External"/><Relationship Id="rId4824" Type="http://schemas.openxmlformats.org/officeDocument/2006/relationships/hyperlink" Target="https://buyervista.com/" TargetMode="External"/><Relationship Id="rId4823" Type="http://schemas.openxmlformats.org/officeDocument/2006/relationships/hyperlink" Target="https://www.crunchbase.com/organization/buyervista" TargetMode="External"/><Relationship Id="rId4826" Type="http://schemas.openxmlformats.org/officeDocument/2006/relationships/hyperlink" Target="https://www.crunchbase.com/organization/buzzbuzzhome" TargetMode="External"/><Relationship Id="rId4825" Type="http://schemas.openxmlformats.org/officeDocument/2006/relationships/hyperlink" Target="https://angel.co/company/buzzbuzzhome" TargetMode="External"/><Relationship Id="rId4828" Type="http://schemas.openxmlformats.org/officeDocument/2006/relationships/hyperlink" Target="http://www.byldan.io/" TargetMode="External"/><Relationship Id="rId4827" Type="http://schemas.openxmlformats.org/officeDocument/2006/relationships/hyperlink" Target="https://www.buzzbuzzhome.com/" TargetMode="External"/><Relationship Id="rId4829" Type="http://schemas.openxmlformats.org/officeDocument/2006/relationships/hyperlink" Target="https://www.crunchbase.com/organization/caala" TargetMode="External"/><Relationship Id="rId4820" Type="http://schemas.openxmlformats.org/officeDocument/2006/relationships/hyperlink" Target="http://www.buildsupply.com" TargetMode="External"/><Relationship Id="rId4811" Type="http://schemas.openxmlformats.org/officeDocument/2006/relationships/hyperlink" Target="https://www.crunchbase.com/organization/buildings-iot-e3d0" TargetMode="External"/><Relationship Id="rId4810" Type="http://schemas.openxmlformats.org/officeDocument/2006/relationships/hyperlink" Target="http://www.buildingengines.com/" TargetMode="External"/><Relationship Id="rId4813" Type="http://schemas.openxmlformats.org/officeDocument/2006/relationships/hyperlink" Target="https://angel.co/company/buildrz" TargetMode="External"/><Relationship Id="rId4812" Type="http://schemas.openxmlformats.org/officeDocument/2006/relationships/hyperlink" Target="https://www.buildingsiot.com/" TargetMode="External"/><Relationship Id="rId4815" Type="http://schemas.openxmlformats.org/officeDocument/2006/relationships/hyperlink" Target="http://www.buildrz.io" TargetMode="External"/><Relationship Id="rId4814" Type="http://schemas.openxmlformats.org/officeDocument/2006/relationships/hyperlink" Target="https://www.crunchbase.com/organization/buildrz" TargetMode="External"/><Relationship Id="rId4817" Type="http://schemas.openxmlformats.org/officeDocument/2006/relationships/hyperlink" Target="https://buildsworthseo.com/" TargetMode="External"/><Relationship Id="rId4816" Type="http://schemas.openxmlformats.org/officeDocument/2006/relationships/hyperlink" Target="https://angel.co/company/builds-worth-digital-marketing-agency" TargetMode="External"/><Relationship Id="rId4819" Type="http://schemas.openxmlformats.org/officeDocument/2006/relationships/hyperlink" Target="https://www.crunchbase.com/organization/buildsupply" TargetMode="External"/><Relationship Id="rId4818" Type="http://schemas.openxmlformats.org/officeDocument/2006/relationships/hyperlink" Target="https://angel.co/company/buildsupply-archer-technologies" TargetMode="External"/><Relationship Id="rId2269" Type="http://schemas.openxmlformats.org/officeDocument/2006/relationships/hyperlink" Target="https://www.crunchbase.com/funding_round/enact-systems-series-a--e00453bb" TargetMode="External"/><Relationship Id="rId3591" Type="http://schemas.openxmlformats.org/officeDocument/2006/relationships/hyperlink" Target="https://www.crunchbase.com/organization/spleet-africa" TargetMode="External"/><Relationship Id="rId2260" Type="http://schemas.openxmlformats.org/officeDocument/2006/relationships/hyperlink" Target="https://www.crunchbase.com/organization/xkool-technology" TargetMode="External"/><Relationship Id="rId3590" Type="http://schemas.openxmlformats.org/officeDocument/2006/relationships/hyperlink" Target="https://angel.co/company/spleet" TargetMode="External"/><Relationship Id="rId2261" Type="http://schemas.openxmlformats.org/officeDocument/2006/relationships/hyperlink" Target="https://www.xkool.ai/" TargetMode="External"/><Relationship Id="rId3593" Type="http://schemas.openxmlformats.org/officeDocument/2006/relationships/hyperlink" Target="https://www.crunchbase.com/funding_round/spleet-africa-pre-seed--fdb8fa61" TargetMode="External"/><Relationship Id="rId2262" Type="http://schemas.openxmlformats.org/officeDocument/2006/relationships/hyperlink" Target="https://www.crunchbase.com/funding_round/xkool-technology-series-a--21265c0e" TargetMode="External"/><Relationship Id="rId3592" Type="http://schemas.openxmlformats.org/officeDocument/2006/relationships/hyperlink" Target="https://spleet.africa/" TargetMode="External"/><Relationship Id="rId2263" Type="http://schemas.openxmlformats.org/officeDocument/2006/relationships/hyperlink" Target="https://www.crunchbase.com/organization/bounce-2" TargetMode="External"/><Relationship Id="rId3595" Type="http://schemas.openxmlformats.org/officeDocument/2006/relationships/hyperlink" Target="https://angel.co/rifiniti" TargetMode="External"/><Relationship Id="rId2264" Type="http://schemas.openxmlformats.org/officeDocument/2006/relationships/hyperlink" Target="https://usebounce.com/" TargetMode="External"/><Relationship Id="rId3594" Type="http://schemas.openxmlformats.org/officeDocument/2006/relationships/hyperlink" Target="https://www.crunchbase.com/funding_round/spleet-africa-seed--75860554" TargetMode="External"/><Relationship Id="rId2265" Type="http://schemas.openxmlformats.org/officeDocument/2006/relationships/hyperlink" Target="https://angel.co/company/enact-systems-4" TargetMode="External"/><Relationship Id="rId3597" Type="http://schemas.openxmlformats.org/officeDocument/2006/relationships/hyperlink" Target="http://www.rifiniti.com/" TargetMode="External"/><Relationship Id="rId2266" Type="http://schemas.openxmlformats.org/officeDocument/2006/relationships/hyperlink" Target="https://www.crunchbase.com/organization/enact-systems" TargetMode="External"/><Relationship Id="rId3596" Type="http://schemas.openxmlformats.org/officeDocument/2006/relationships/hyperlink" Target="https://www.crunchbase.com/organization/rifiniti" TargetMode="External"/><Relationship Id="rId2267" Type="http://schemas.openxmlformats.org/officeDocument/2006/relationships/hyperlink" Target="http://www.enact-systems.com/" TargetMode="External"/><Relationship Id="rId3599" Type="http://schemas.openxmlformats.org/officeDocument/2006/relationships/hyperlink" Target="https://www.green-fusion.eu/" TargetMode="External"/><Relationship Id="rId2268" Type="http://schemas.openxmlformats.org/officeDocument/2006/relationships/hyperlink" Target="https://www.crunchbase.com/funding_round/enact-systems-seed--f38acc8d" TargetMode="External"/><Relationship Id="rId3598" Type="http://schemas.openxmlformats.org/officeDocument/2006/relationships/hyperlink" Target="https://www.crunchbase.com/organization/green-fusion" TargetMode="External"/><Relationship Id="rId2258" Type="http://schemas.openxmlformats.org/officeDocument/2006/relationships/hyperlink" Target="https://www.crunchbase.com/organization/rs-metrics" TargetMode="External"/><Relationship Id="rId2259" Type="http://schemas.openxmlformats.org/officeDocument/2006/relationships/hyperlink" Target="http://www.rsmetrics.com/" TargetMode="External"/><Relationship Id="rId3589" Type="http://schemas.openxmlformats.org/officeDocument/2006/relationships/hyperlink" Target="https://wattsense.com/" TargetMode="External"/><Relationship Id="rId3580" Type="http://schemas.openxmlformats.org/officeDocument/2006/relationships/hyperlink" Target="https://www.crunchbase.com/organization/justhome" TargetMode="External"/><Relationship Id="rId2250" Type="http://schemas.openxmlformats.org/officeDocument/2006/relationships/hyperlink" Target="https://www.handle.com/" TargetMode="External"/><Relationship Id="rId3582" Type="http://schemas.openxmlformats.org/officeDocument/2006/relationships/hyperlink" Target="https://www.crunchbase.com/funding_round/justhome-pre-seed--9b5f1645" TargetMode="External"/><Relationship Id="rId2251" Type="http://schemas.openxmlformats.org/officeDocument/2006/relationships/hyperlink" Target="https://angel.co/company/knox-financial" TargetMode="External"/><Relationship Id="rId3581" Type="http://schemas.openxmlformats.org/officeDocument/2006/relationships/hyperlink" Target="https://justhome.co/en" TargetMode="External"/><Relationship Id="rId2252" Type="http://schemas.openxmlformats.org/officeDocument/2006/relationships/hyperlink" Target="https://www.crunchbase.com/organization/knox-financial" TargetMode="External"/><Relationship Id="rId3584" Type="http://schemas.openxmlformats.org/officeDocument/2006/relationships/hyperlink" Target="https://intelligentai.co.uk/" TargetMode="External"/><Relationship Id="rId2253" Type="http://schemas.openxmlformats.org/officeDocument/2006/relationships/hyperlink" Target="https://knoxfinancial.com/" TargetMode="External"/><Relationship Id="rId3583" Type="http://schemas.openxmlformats.org/officeDocument/2006/relationships/hyperlink" Target="https://www.crunchbase.com/organization/intelligent-ai" TargetMode="External"/><Relationship Id="rId2254" Type="http://schemas.openxmlformats.org/officeDocument/2006/relationships/hyperlink" Target="https://angel.co/company/dvele" TargetMode="External"/><Relationship Id="rId3586" Type="http://schemas.openxmlformats.org/officeDocument/2006/relationships/hyperlink" Target="https://www.crunchbase.com/funding_round/intelligent-ai-seed--23ef9e00" TargetMode="External"/><Relationship Id="rId2255" Type="http://schemas.openxmlformats.org/officeDocument/2006/relationships/hyperlink" Target="https://www.crunchbase.com/organization/dvele" TargetMode="External"/><Relationship Id="rId3585" Type="http://schemas.openxmlformats.org/officeDocument/2006/relationships/hyperlink" Target="https://www.crunchbase.com/funding_round/intelligent-ai-pre-seed--e4592f27" TargetMode="External"/><Relationship Id="rId2256" Type="http://schemas.openxmlformats.org/officeDocument/2006/relationships/hyperlink" Target="http://www.dvele.com/" TargetMode="External"/><Relationship Id="rId3588" Type="http://schemas.openxmlformats.org/officeDocument/2006/relationships/hyperlink" Target="https://www.crunchbase.com/organization/wattsense" TargetMode="External"/><Relationship Id="rId2257" Type="http://schemas.openxmlformats.org/officeDocument/2006/relationships/hyperlink" Target="https://angel.co/rs-metrics-1" TargetMode="External"/><Relationship Id="rId3587" Type="http://schemas.openxmlformats.org/officeDocument/2006/relationships/hyperlink" Target="https://angel.co/company/wattsense" TargetMode="External"/><Relationship Id="rId2280" Type="http://schemas.openxmlformats.org/officeDocument/2006/relationships/hyperlink" Target="https://www.crunchbase.com/funding_round/clever-real-estate-series-b--666caaa4" TargetMode="External"/><Relationship Id="rId2281" Type="http://schemas.openxmlformats.org/officeDocument/2006/relationships/hyperlink" Target="https://www.crunchbase.com/funding_round/clever-real-estate-series-unknown--bbe94748" TargetMode="External"/><Relationship Id="rId2282" Type="http://schemas.openxmlformats.org/officeDocument/2006/relationships/hyperlink" Target="https://www.crunchbase.com/funding_round/clever-real-estate-grant--e1cfe6fd" TargetMode="External"/><Relationship Id="rId2283" Type="http://schemas.openxmlformats.org/officeDocument/2006/relationships/hyperlink" Target="https://angel.co/company/join-obie" TargetMode="External"/><Relationship Id="rId2284" Type="http://schemas.openxmlformats.org/officeDocument/2006/relationships/hyperlink" Target="https://www.crunchbase.com/organization/obiesoft" TargetMode="External"/><Relationship Id="rId2285" Type="http://schemas.openxmlformats.org/officeDocument/2006/relationships/hyperlink" Target="https://www.obierisk.com/" TargetMode="External"/><Relationship Id="rId2286" Type="http://schemas.openxmlformats.org/officeDocument/2006/relationships/hyperlink" Target="https://angel.co/company/sweepsouth" TargetMode="External"/><Relationship Id="rId2287" Type="http://schemas.openxmlformats.org/officeDocument/2006/relationships/hyperlink" Target="https://www.crunchbase.com/organization/sweepsouth" TargetMode="External"/><Relationship Id="rId2288" Type="http://schemas.openxmlformats.org/officeDocument/2006/relationships/hyperlink" Target="https://sweepsouth.com/" TargetMode="External"/><Relationship Id="rId2289" Type="http://schemas.openxmlformats.org/officeDocument/2006/relationships/hyperlink" Target="https://www.crunchbase.com/funding_round/sweepsouth-seed--fb217713" TargetMode="External"/><Relationship Id="rId2270" Type="http://schemas.openxmlformats.org/officeDocument/2006/relationships/hyperlink" Target="https://wellfound.com/company/blox-xyz" TargetMode="External"/><Relationship Id="rId2271" Type="http://schemas.openxmlformats.org/officeDocument/2006/relationships/hyperlink" Target="https://www.crunchbase.com/organization/blox-xyz" TargetMode="External"/><Relationship Id="rId2272" Type="http://schemas.openxmlformats.org/officeDocument/2006/relationships/hyperlink" Target="https://www.blox.xyz/" TargetMode="External"/><Relationship Id="rId2273" Type="http://schemas.openxmlformats.org/officeDocument/2006/relationships/hyperlink" Target="https://www.crunchbase.com/funding_round/blox-xyz-seed--1f204095" TargetMode="External"/><Relationship Id="rId2274" Type="http://schemas.openxmlformats.org/officeDocument/2006/relationships/hyperlink" Target="https://www.crunchbase.com/funding_round/blox-xyz-series-a--9abc396f" TargetMode="External"/><Relationship Id="rId2275" Type="http://schemas.openxmlformats.org/officeDocument/2006/relationships/hyperlink" Target="https://www.crunchbase.com/organization/clever-real-estate" TargetMode="External"/><Relationship Id="rId2276" Type="http://schemas.openxmlformats.org/officeDocument/2006/relationships/hyperlink" Target="https://listwithclever.com/" TargetMode="External"/><Relationship Id="rId2277" Type="http://schemas.openxmlformats.org/officeDocument/2006/relationships/hyperlink" Target="https://www.crunchbase.com/funding_round/clever-real-estate-seed--6fbf4eb2" TargetMode="External"/><Relationship Id="rId2278" Type="http://schemas.openxmlformats.org/officeDocument/2006/relationships/hyperlink" Target="https://www.crunchbase.com/funding_round/clever-real-estate-series-unknown--bea77a90" TargetMode="External"/><Relationship Id="rId2279" Type="http://schemas.openxmlformats.org/officeDocument/2006/relationships/hyperlink" Target="https://www.crunchbase.com/funding_round/clever-real-estate-series-a--575259e9" TargetMode="External"/><Relationship Id="rId2225" Type="http://schemas.openxmlformats.org/officeDocument/2006/relationships/hyperlink" Target="https://www.crunchbase.com/organization/sunhero" TargetMode="External"/><Relationship Id="rId3557" Type="http://schemas.openxmlformats.org/officeDocument/2006/relationships/hyperlink" Target="https://www.crunchbase.com/organization/subease" TargetMode="External"/><Relationship Id="rId4888" Type="http://schemas.openxmlformats.org/officeDocument/2006/relationships/hyperlink" Target="https://angel.co/company/cloud11-2" TargetMode="External"/><Relationship Id="rId2226" Type="http://schemas.openxmlformats.org/officeDocument/2006/relationships/hyperlink" Target="https://www.sunhero.com/" TargetMode="External"/><Relationship Id="rId3556" Type="http://schemas.openxmlformats.org/officeDocument/2006/relationships/hyperlink" Target="https://angel.co/company/tradehounds-1" TargetMode="External"/><Relationship Id="rId4887" Type="http://schemas.openxmlformats.org/officeDocument/2006/relationships/hyperlink" Target="https://cllax.com/" TargetMode="External"/><Relationship Id="rId2227" Type="http://schemas.openxmlformats.org/officeDocument/2006/relationships/hyperlink" Target="https://www.crunchbase.com/funding_round/sunhero-seed--c05cb868" TargetMode="External"/><Relationship Id="rId3559" Type="http://schemas.openxmlformats.org/officeDocument/2006/relationships/hyperlink" Target="https://www.crunchbase.com/organization/minnowpod" TargetMode="External"/><Relationship Id="rId2228" Type="http://schemas.openxmlformats.org/officeDocument/2006/relationships/hyperlink" Target="https://www.crunchbase.com/funding_round/sunhero-series-a--7ac34151" TargetMode="External"/><Relationship Id="rId3558" Type="http://schemas.openxmlformats.org/officeDocument/2006/relationships/hyperlink" Target="https://www.tradehounds.com/" TargetMode="External"/><Relationship Id="rId4889" Type="http://schemas.openxmlformats.org/officeDocument/2006/relationships/hyperlink" Target="https://www.cloud11.me/" TargetMode="External"/><Relationship Id="rId2229" Type="http://schemas.openxmlformats.org/officeDocument/2006/relationships/hyperlink" Target="https://angel.co/company/1build" TargetMode="External"/><Relationship Id="rId4880" Type="http://schemas.openxmlformats.org/officeDocument/2006/relationships/hyperlink" Target="https://www.clickoffices.com/" TargetMode="External"/><Relationship Id="rId3551" Type="http://schemas.openxmlformats.org/officeDocument/2006/relationships/hyperlink" Target="https://www.sugarliving.com/" TargetMode="External"/><Relationship Id="rId4882" Type="http://schemas.openxmlformats.org/officeDocument/2006/relationships/hyperlink" Target="https://www.clientlook.com" TargetMode="External"/><Relationship Id="rId2220" Type="http://schemas.openxmlformats.org/officeDocument/2006/relationships/hyperlink" Target="https://enteligent.com/" TargetMode="External"/><Relationship Id="rId3550" Type="http://schemas.openxmlformats.org/officeDocument/2006/relationships/hyperlink" Target="https://www.crunchbase.com/organization/jetpack-2" TargetMode="External"/><Relationship Id="rId4881" Type="http://schemas.openxmlformats.org/officeDocument/2006/relationships/hyperlink" Target="https://www.crunchbase.com/organization/clientlook" TargetMode="External"/><Relationship Id="rId2221" Type="http://schemas.openxmlformats.org/officeDocument/2006/relationships/hyperlink" Target="https://www.crunchbase.com/funding_round/enteligent-inc-convertible-note--1b90aa81" TargetMode="External"/><Relationship Id="rId3553" Type="http://schemas.openxmlformats.org/officeDocument/2006/relationships/hyperlink" Target="https://www.fohlio.com/" TargetMode="External"/><Relationship Id="rId4884" Type="http://schemas.openxmlformats.org/officeDocument/2006/relationships/hyperlink" Target="https://clik.ai/" TargetMode="External"/><Relationship Id="rId2222" Type="http://schemas.openxmlformats.org/officeDocument/2006/relationships/hyperlink" Target="https://www.crunchbase.com/funding_round/enteligent-inc-seed--3be89c59" TargetMode="External"/><Relationship Id="rId3552" Type="http://schemas.openxmlformats.org/officeDocument/2006/relationships/hyperlink" Target="https://www.crunchbase.com/organization/fohlio" TargetMode="External"/><Relationship Id="rId4883" Type="http://schemas.openxmlformats.org/officeDocument/2006/relationships/hyperlink" Target="https://angel.co/clik-ai" TargetMode="External"/><Relationship Id="rId2223" Type="http://schemas.openxmlformats.org/officeDocument/2006/relationships/hyperlink" Target="https://www.crunchbase.com/funding_round/enteligent-inc-convertible-note--b45d88b8" TargetMode="External"/><Relationship Id="rId3555" Type="http://schemas.openxmlformats.org/officeDocument/2006/relationships/hyperlink" Target="https://www.arkpes.com/" TargetMode="External"/><Relationship Id="rId4886" Type="http://schemas.openxmlformats.org/officeDocument/2006/relationships/hyperlink" Target="https://www.crunchbase.com/organization/cllax" TargetMode="External"/><Relationship Id="rId2224" Type="http://schemas.openxmlformats.org/officeDocument/2006/relationships/hyperlink" Target="https://www.crunchbase.com/funding_round/enteligent-inc-seed--ec956538" TargetMode="External"/><Relationship Id="rId3554" Type="http://schemas.openxmlformats.org/officeDocument/2006/relationships/hyperlink" Target="https://www.crunchbase.com/organization/ark-pes" TargetMode="External"/><Relationship Id="rId4885" Type="http://schemas.openxmlformats.org/officeDocument/2006/relationships/hyperlink" Target="https://angel.co/company/cllax-1" TargetMode="External"/><Relationship Id="rId2214" Type="http://schemas.openxmlformats.org/officeDocument/2006/relationships/hyperlink" Target="https://www.crunchbase.com/funding_round/mezo-debt-financing--8ebab0e8" TargetMode="External"/><Relationship Id="rId3546" Type="http://schemas.openxmlformats.org/officeDocument/2006/relationships/hyperlink" Target="https://www.crunchbase.com/organization/fiveoffices" TargetMode="External"/><Relationship Id="rId4877" Type="http://schemas.openxmlformats.org/officeDocument/2006/relationships/hyperlink" Target="https://www.classicfolios.com/" TargetMode="External"/><Relationship Id="rId2215" Type="http://schemas.openxmlformats.org/officeDocument/2006/relationships/hyperlink" Target="https://angel.co/company/renofi" TargetMode="External"/><Relationship Id="rId3545" Type="http://schemas.openxmlformats.org/officeDocument/2006/relationships/hyperlink" Target="https://www.crunchbase.com/funding_round/nestment-pre-seed--d17b10fe" TargetMode="External"/><Relationship Id="rId4876" Type="http://schemas.openxmlformats.org/officeDocument/2006/relationships/hyperlink" Target="https://www.crunchbase.com/organization/classic-folios" TargetMode="External"/><Relationship Id="rId2216" Type="http://schemas.openxmlformats.org/officeDocument/2006/relationships/hyperlink" Target="https://www.crunchbase.com/organization/renofi" TargetMode="External"/><Relationship Id="rId3548" Type="http://schemas.openxmlformats.org/officeDocument/2006/relationships/hyperlink" Target="https://www.crunchbase.com/funding_round/fiveoffices-seed--f47cf66b" TargetMode="External"/><Relationship Id="rId4879" Type="http://schemas.openxmlformats.org/officeDocument/2006/relationships/hyperlink" Target="https://www.cleatech.com/product-category/inert-gas-purging-accessories/nitrogen-generators/" TargetMode="External"/><Relationship Id="rId2217" Type="http://schemas.openxmlformats.org/officeDocument/2006/relationships/hyperlink" Target="https://www.renofi.com/" TargetMode="External"/><Relationship Id="rId3547" Type="http://schemas.openxmlformats.org/officeDocument/2006/relationships/hyperlink" Target="https://www.fiveoffices.com/" TargetMode="External"/><Relationship Id="rId4878" Type="http://schemas.openxmlformats.org/officeDocument/2006/relationships/hyperlink" Target="https://angel.co/u/cleatech-llc" TargetMode="External"/><Relationship Id="rId2218" Type="http://schemas.openxmlformats.org/officeDocument/2006/relationships/hyperlink" Target="https://wellfound.com/company/enteligent" TargetMode="External"/><Relationship Id="rId2219" Type="http://schemas.openxmlformats.org/officeDocument/2006/relationships/hyperlink" Target="https://www.crunchbase.com/organization/enteligent-inc" TargetMode="External"/><Relationship Id="rId3549" Type="http://schemas.openxmlformats.org/officeDocument/2006/relationships/hyperlink" Target="https://angel.co/company/sugar-8" TargetMode="External"/><Relationship Id="rId3540" Type="http://schemas.openxmlformats.org/officeDocument/2006/relationships/hyperlink" Target="https://www.elephantenergy.us/" TargetMode="External"/><Relationship Id="rId4871" Type="http://schemas.openxmlformats.org/officeDocument/2006/relationships/hyperlink" Target="https://www.crunchbase.com/organization/clarion-technologies" TargetMode="External"/><Relationship Id="rId4870" Type="http://schemas.openxmlformats.org/officeDocument/2006/relationships/hyperlink" Target="https://angel.co/company/tesific-clarion-technologies" TargetMode="External"/><Relationship Id="rId2210" Type="http://schemas.openxmlformats.org/officeDocument/2006/relationships/hyperlink" Target="https://www.crunchbase.com/organization/mezo" TargetMode="External"/><Relationship Id="rId3542" Type="http://schemas.openxmlformats.org/officeDocument/2006/relationships/hyperlink" Target="https://wellfound.com/company/nestment" TargetMode="External"/><Relationship Id="rId4873" Type="http://schemas.openxmlformats.org/officeDocument/2006/relationships/hyperlink" Target="https://www.crunchbase.com/organization/clarus-tech-partners" TargetMode="External"/><Relationship Id="rId2211" Type="http://schemas.openxmlformats.org/officeDocument/2006/relationships/hyperlink" Target="https://mezo.io/" TargetMode="External"/><Relationship Id="rId3541" Type="http://schemas.openxmlformats.org/officeDocument/2006/relationships/hyperlink" Target="https://www.crunchbase.com/funding_round/elephant-energy-seed--a94c3928" TargetMode="External"/><Relationship Id="rId4872" Type="http://schemas.openxmlformats.org/officeDocument/2006/relationships/hyperlink" Target="https://www.clariontech.com/" TargetMode="External"/><Relationship Id="rId2212" Type="http://schemas.openxmlformats.org/officeDocument/2006/relationships/hyperlink" Target="https://www.crunchbase.com/funding_round/mezo-seed--62fea038" TargetMode="External"/><Relationship Id="rId3544" Type="http://schemas.openxmlformats.org/officeDocument/2006/relationships/hyperlink" Target="https://www.nestment.com/" TargetMode="External"/><Relationship Id="rId4875" Type="http://schemas.openxmlformats.org/officeDocument/2006/relationships/hyperlink" Target="https://angel.co/company/classic-folios" TargetMode="External"/><Relationship Id="rId2213" Type="http://schemas.openxmlformats.org/officeDocument/2006/relationships/hyperlink" Target="https://www.crunchbase.com/funding_round/mezo-series-unknown--1e18b247" TargetMode="External"/><Relationship Id="rId3543" Type="http://schemas.openxmlformats.org/officeDocument/2006/relationships/hyperlink" Target="https://www.crunchbase.com/organization/nestment" TargetMode="External"/><Relationship Id="rId4874" Type="http://schemas.openxmlformats.org/officeDocument/2006/relationships/hyperlink" Target="https://www.clarustechpartners.com/" TargetMode="External"/><Relationship Id="rId2247" Type="http://schemas.openxmlformats.org/officeDocument/2006/relationships/hyperlink" Target="https://angel.co/company/madebyroom/jobs" TargetMode="External"/><Relationship Id="rId3579" Type="http://schemas.openxmlformats.org/officeDocument/2006/relationships/hyperlink" Target="https://www.crunchbase.com/funding_round/rubik-9055-seed--8f0c5534" TargetMode="External"/><Relationship Id="rId2248" Type="http://schemas.openxmlformats.org/officeDocument/2006/relationships/hyperlink" Target="https://www.crunchbase.com/funding_round/room-8767-series-a--9b06c817" TargetMode="External"/><Relationship Id="rId3578" Type="http://schemas.openxmlformats.org/officeDocument/2006/relationships/hyperlink" Target="https://www.crunchbase.com/funding_round/rubik-9055-pre-seed--c74c9fbd" TargetMode="External"/><Relationship Id="rId2249" Type="http://schemas.openxmlformats.org/officeDocument/2006/relationships/hyperlink" Target="https://www.crunchbase.com/organization/handle-com" TargetMode="External"/><Relationship Id="rId3571" Type="http://schemas.openxmlformats.org/officeDocument/2006/relationships/hyperlink" Target="https://www.crunchbase.com/organization/chainels" TargetMode="External"/><Relationship Id="rId2240" Type="http://schemas.openxmlformats.org/officeDocument/2006/relationships/hyperlink" Target="https://www.crunchbase.com/organization/scythe-robotics" TargetMode="External"/><Relationship Id="rId3570" Type="http://schemas.openxmlformats.org/officeDocument/2006/relationships/hyperlink" Target="https://www.crunchbase.com/funding_round/slabstack-series-unknown--a0af33b9" TargetMode="External"/><Relationship Id="rId2241" Type="http://schemas.openxmlformats.org/officeDocument/2006/relationships/hyperlink" Target="https://www.scytherobotics.com/" TargetMode="External"/><Relationship Id="rId3573" Type="http://schemas.openxmlformats.org/officeDocument/2006/relationships/hyperlink" Target="https://www.crunchbase.com/funding_round/chainels-angel--629eef84" TargetMode="External"/><Relationship Id="rId2242" Type="http://schemas.openxmlformats.org/officeDocument/2006/relationships/hyperlink" Target="https://angel.co/company/homelister" TargetMode="External"/><Relationship Id="rId3572" Type="http://schemas.openxmlformats.org/officeDocument/2006/relationships/hyperlink" Target="http://www.getchainels.com/" TargetMode="External"/><Relationship Id="rId2243" Type="http://schemas.openxmlformats.org/officeDocument/2006/relationships/hyperlink" Target="https://www.crunchbase.com/organization/homelister/company_financials" TargetMode="External"/><Relationship Id="rId3575" Type="http://schemas.openxmlformats.org/officeDocument/2006/relationships/hyperlink" Target="https://angel.co/company/rubik-1" TargetMode="External"/><Relationship Id="rId2244" Type="http://schemas.openxmlformats.org/officeDocument/2006/relationships/hyperlink" Target="https://www.homelister.com/" TargetMode="External"/><Relationship Id="rId3574" Type="http://schemas.openxmlformats.org/officeDocument/2006/relationships/hyperlink" Target="https://www.crunchbase.com/funding_round/chainels-series-a--d6183222" TargetMode="External"/><Relationship Id="rId2245" Type="http://schemas.openxmlformats.org/officeDocument/2006/relationships/hyperlink" Target="https://www.crunchbase.com/funding_round/homelister-seed--f0246f2d" TargetMode="External"/><Relationship Id="rId3577" Type="http://schemas.openxmlformats.org/officeDocument/2006/relationships/hyperlink" Target="https://www.rubikhomes.com/" TargetMode="External"/><Relationship Id="rId2246" Type="http://schemas.openxmlformats.org/officeDocument/2006/relationships/hyperlink" Target="https://www.crunchbase.com/funding_round/homelister-series-a--b0cd45ed" TargetMode="External"/><Relationship Id="rId3576" Type="http://schemas.openxmlformats.org/officeDocument/2006/relationships/hyperlink" Target="https://www.crunchbase.com/organization/rubik-9055" TargetMode="External"/><Relationship Id="rId2236" Type="http://schemas.openxmlformats.org/officeDocument/2006/relationships/hyperlink" Target="https://angel.co/company/rentredi" TargetMode="External"/><Relationship Id="rId3568" Type="http://schemas.openxmlformats.org/officeDocument/2006/relationships/hyperlink" Target="https://www.crunchbase.com/organization/slabstack" TargetMode="External"/><Relationship Id="rId4899" Type="http://schemas.openxmlformats.org/officeDocument/2006/relationships/hyperlink" Target="https://entitlementrisk.com/" TargetMode="External"/><Relationship Id="rId2237" Type="http://schemas.openxmlformats.org/officeDocument/2006/relationships/hyperlink" Target="https://www.crunchbase.com/organization/rentredi" TargetMode="External"/><Relationship Id="rId3567" Type="http://schemas.openxmlformats.org/officeDocument/2006/relationships/hyperlink" Target="https://wellfound.com/company/slabstack-software" TargetMode="External"/><Relationship Id="rId4898" Type="http://schemas.openxmlformats.org/officeDocument/2006/relationships/hyperlink" Target="https://www.crunchbase.com/organization/coda-compliance" TargetMode="External"/><Relationship Id="rId2238" Type="http://schemas.openxmlformats.org/officeDocument/2006/relationships/hyperlink" Target="https://rentredi.com/" TargetMode="External"/><Relationship Id="rId2239" Type="http://schemas.openxmlformats.org/officeDocument/2006/relationships/hyperlink" Target="https://angel.co/company/scytherobotics" TargetMode="External"/><Relationship Id="rId3569" Type="http://schemas.openxmlformats.org/officeDocument/2006/relationships/hyperlink" Target="https://www.slabstack.com/" TargetMode="External"/><Relationship Id="rId3560" Type="http://schemas.openxmlformats.org/officeDocument/2006/relationships/hyperlink" Target="https://www.minnowpod.com/" TargetMode="External"/><Relationship Id="rId4891" Type="http://schemas.openxmlformats.org/officeDocument/2006/relationships/hyperlink" Target="https://www.cloudkitchens.com" TargetMode="External"/><Relationship Id="rId4890" Type="http://schemas.openxmlformats.org/officeDocument/2006/relationships/hyperlink" Target="https://www.crunchbase.com/organization/cloudkitchens" TargetMode="External"/><Relationship Id="rId2230" Type="http://schemas.openxmlformats.org/officeDocument/2006/relationships/hyperlink" Target="https://www.crunchbase.com/organization/1build" TargetMode="External"/><Relationship Id="rId3562" Type="http://schemas.openxmlformats.org/officeDocument/2006/relationships/hyperlink" Target="https://www.crunchbase.com/funding_round/minnowpod-seed--7ce20dd5" TargetMode="External"/><Relationship Id="rId4893" Type="http://schemas.openxmlformats.org/officeDocument/2006/relationships/hyperlink" Target="https://www.crunchbase.com/organization/cmarix-technolabs-pvt-ltd" TargetMode="External"/><Relationship Id="rId2231" Type="http://schemas.openxmlformats.org/officeDocument/2006/relationships/hyperlink" Target="https://www.1build.com/" TargetMode="External"/><Relationship Id="rId3561" Type="http://schemas.openxmlformats.org/officeDocument/2006/relationships/hyperlink" Target="https://www.crunchbase.com/funding_round/minnowpod-pre-seed--93160ed7" TargetMode="External"/><Relationship Id="rId4892" Type="http://schemas.openxmlformats.org/officeDocument/2006/relationships/hyperlink" Target="https://angel.co/company/cmarix-technolabs-7" TargetMode="External"/><Relationship Id="rId2232" Type="http://schemas.openxmlformats.org/officeDocument/2006/relationships/hyperlink" Target="https://angel.co/company/toggle-is" TargetMode="External"/><Relationship Id="rId3564" Type="http://schemas.openxmlformats.org/officeDocument/2006/relationships/hyperlink" Target="https://www.crunchbase.com/organization/mrinq-technologies" TargetMode="External"/><Relationship Id="rId4895" Type="http://schemas.openxmlformats.org/officeDocument/2006/relationships/hyperlink" Target="https://www.crunchbase.com/organization/coastes" TargetMode="External"/><Relationship Id="rId2233" Type="http://schemas.openxmlformats.org/officeDocument/2006/relationships/hyperlink" Target="https://www.crunchbase.com/organization/toggle" TargetMode="External"/><Relationship Id="rId3563" Type="http://schemas.openxmlformats.org/officeDocument/2006/relationships/hyperlink" Target="https://angel.co/company/spintly" TargetMode="External"/><Relationship Id="rId4894" Type="http://schemas.openxmlformats.org/officeDocument/2006/relationships/hyperlink" Target="https://www.cmarix.com" TargetMode="External"/><Relationship Id="rId2234" Type="http://schemas.openxmlformats.org/officeDocument/2006/relationships/hyperlink" Target="https://www.toggle.is/?stream=top" TargetMode="External"/><Relationship Id="rId3566" Type="http://schemas.openxmlformats.org/officeDocument/2006/relationships/hyperlink" Target="https://www.crunchbase.com/funding_round/mrinq-technologies-seed--0f5e4894" TargetMode="External"/><Relationship Id="rId4897" Type="http://schemas.openxmlformats.org/officeDocument/2006/relationships/hyperlink" Target="https://angel.co/company/coda-compliance-1" TargetMode="External"/><Relationship Id="rId2235" Type="http://schemas.openxmlformats.org/officeDocument/2006/relationships/hyperlink" Target="https://www.crunchbase.com/funding_round/toggle-series-a--426e208a" TargetMode="External"/><Relationship Id="rId3565" Type="http://schemas.openxmlformats.org/officeDocument/2006/relationships/hyperlink" Target="https://spintly.com/" TargetMode="External"/><Relationship Id="rId4896" Type="http://schemas.openxmlformats.org/officeDocument/2006/relationships/hyperlink" Target="https://www.coastes.com/" TargetMode="External"/><Relationship Id="rId2290" Type="http://schemas.openxmlformats.org/officeDocument/2006/relationships/hyperlink" Target="https://www.crunchbase.com/funding_round/sweepsouth-series-a--7ccfa87e" TargetMode="External"/><Relationship Id="rId2291" Type="http://schemas.openxmlformats.org/officeDocument/2006/relationships/hyperlink" Target="https://www.crunchbase.com/funding_round/sweepsouth-series-b--cf4d1f35" TargetMode="External"/><Relationship Id="rId2292" Type="http://schemas.openxmlformats.org/officeDocument/2006/relationships/hyperlink" Target="https://angel.co/company/betterviewmarketplace" TargetMode="External"/><Relationship Id="rId2293" Type="http://schemas.openxmlformats.org/officeDocument/2006/relationships/hyperlink" Target="https://www.crunchbase.com/organization/betterview" TargetMode="External"/><Relationship Id="rId2294" Type="http://schemas.openxmlformats.org/officeDocument/2006/relationships/hyperlink" Target="https://www.betterview.com/" TargetMode="External"/><Relationship Id="rId2295" Type="http://schemas.openxmlformats.org/officeDocument/2006/relationships/hyperlink" Target="https://www.crunchbase.com/funding_round/betterview-series-unknown--01d999cb" TargetMode="External"/><Relationship Id="rId2296" Type="http://schemas.openxmlformats.org/officeDocument/2006/relationships/hyperlink" Target="https://angel.co/company/evercam" TargetMode="External"/><Relationship Id="rId2297" Type="http://schemas.openxmlformats.org/officeDocument/2006/relationships/hyperlink" Target="https://www.crunchbase.com/organization/evercam" TargetMode="External"/><Relationship Id="rId2298" Type="http://schemas.openxmlformats.org/officeDocument/2006/relationships/hyperlink" Target="https://evercam.io/" TargetMode="External"/><Relationship Id="rId2299" Type="http://schemas.openxmlformats.org/officeDocument/2006/relationships/hyperlink" Target="https://www.crunchbase.com/funding_round/evercam-seed--21805304" TargetMode="External"/><Relationship Id="rId4901" Type="http://schemas.openxmlformats.org/officeDocument/2006/relationships/hyperlink" Target="https://www.crunchbase.com/organization/code-brew-labs" TargetMode="External"/><Relationship Id="rId4900" Type="http://schemas.openxmlformats.org/officeDocument/2006/relationships/hyperlink" Target="https://angel.co/company/code-brew-labs-3" TargetMode="External"/><Relationship Id="rId4903" Type="http://schemas.openxmlformats.org/officeDocument/2006/relationships/hyperlink" Target="https://www.crunchbase.com/search/organizations/field/organizations/location_identifiers/chandigarh-chandigarh" TargetMode="External"/><Relationship Id="rId4902" Type="http://schemas.openxmlformats.org/officeDocument/2006/relationships/hyperlink" Target="https://www.code-brew.com/mobile-app-development-company-developers-dubai/" TargetMode="External"/><Relationship Id="rId4905" Type="http://schemas.openxmlformats.org/officeDocument/2006/relationships/hyperlink" Target="http://www.coeospace.com/" TargetMode="External"/><Relationship Id="rId4904" Type="http://schemas.openxmlformats.org/officeDocument/2006/relationships/hyperlink" Target="https://www.crunchbase.com/organization/coeo-space" TargetMode="External"/><Relationship Id="rId4907" Type="http://schemas.openxmlformats.org/officeDocument/2006/relationships/hyperlink" Target="http://www.cogitor.co.uk" TargetMode="External"/><Relationship Id="rId4906" Type="http://schemas.openxmlformats.org/officeDocument/2006/relationships/hyperlink" Target="https://www.crunchbase.com/organization/superbyte-6480" TargetMode="External"/><Relationship Id="rId4909" Type="http://schemas.openxmlformats.org/officeDocument/2006/relationships/hyperlink" Target="http://www.cognitivewx.info" TargetMode="External"/><Relationship Id="rId4908" Type="http://schemas.openxmlformats.org/officeDocument/2006/relationships/hyperlink" Target="https://www.crunchbase.com/search/organizations/field/organizations/location_identifiers/shrewsbury-shropshire" TargetMode="External"/><Relationship Id="rId2302" Type="http://schemas.openxmlformats.org/officeDocument/2006/relationships/hyperlink" Target="https://angel.co/company/architizer" TargetMode="External"/><Relationship Id="rId3634" Type="http://schemas.openxmlformats.org/officeDocument/2006/relationships/hyperlink" Target="https://angel.co/growing-energy-labs-geli" TargetMode="External"/><Relationship Id="rId4965" Type="http://schemas.openxmlformats.org/officeDocument/2006/relationships/hyperlink" Target="https://www.crunchbase.com/organization/cregrow" TargetMode="External"/><Relationship Id="rId2303" Type="http://schemas.openxmlformats.org/officeDocument/2006/relationships/hyperlink" Target="https://www.crunchbase.com/organization/architizer" TargetMode="External"/><Relationship Id="rId3633" Type="http://schemas.openxmlformats.org/officeDocument/2006/relationships/hyperlink" Target="https://www.finleycms.com/" TargetMode="External"/><Relationship Id="rId4964" Type="http://schemas.openxmlformats.org/officeDocument/2006/relationships/hyperlink" Target="https://angel.co/company/cregrow" TargetMode="External"/><Relationship Id="rId2304" Type="http://schemas.openxmlformats.org/officeDocument/2006/relationships/hyperlink" Target="http://www.architizer.com/" TargetMode="External"/><Relationship Id="rId3636" Type="http://schemas.openxmlformats.org/officeDocument/2006/relationships/hyperlink" Target="http://www.geli.net/" TargetMode="External"/><Relationship Id="rId4967" Type="http://schemas.openxmlformats.org/officeDocument/2006/relationships/hyperlink" Target="https://angel.co/company/cremodels" TargetMode="External"/><Relationship Id="rId2305" Type="http://schemas.openxmlformats.org/officeDocument/2006/relationships/hyperlink" Target="https://www.crunchbase.com/funding_round/architizer-seed--e932c0e3" TargetMode="External"/><Relationship Id="rId3635" Type="http://schemas.openxmlformats.org/officeDocument/2006/relationships/hyperlink" Target="https://www.crunchbase.com/organization/geli" TargetMode="External"/><Relationship Id="rId4966" Type="http://schemas.openxmlformats.org/officeDocument/2006/relationships/hyperlink" Target="http://www.cregrow.com/" TargetMode="External"/><Relationship Id="rId2306" Type="http://schemas.openxmlformats.org/officeDocument/2006/relationships/hyperlink" Target="https://www.crunchbase.com/funding_round/architizer-series-a--2905f8d9" TargetMode="External"/><Relationship Id="rId3638" Type="http://schemas.openxmlformats.org/officeDocument/2006/relationships/hyperlink" Target="https://www.crunchbase.com/organization/mobilerealtyapps-com" TargetMode="External"/><Relationship Id="rId4969" Type="http://schemas.openxmlformats.org/officeDocument/2006/relationships/hyperlink" Target="http://www.cremodels.com" TargetMode="External"/><Relationship Id="rId2307" Type="http://schemas.openxmlformats.org/officeDocument/2006/relationships/hyperlink" Target="https://www.crunchbase.com/funding_round/architizer-series-unknown--d6d42006" TargetMode="External"/><Relationship Id="rId3637" Type="http://schemas.openxmlformats.org/officeDocument/2006/relationships/hyperlink" Target="https://angel.co/company/homespotter" TargetMode="External"/><Relationship Id="rId4968" Type="http://schemas.openxmlformats.org/officeDocument/2006/relationships/hyperlink" Target="https://www.crunchbase.com/organization/cremodels" TargetMode="External"/><Relationship Id="rId2308" Type="http://schemas.openxmlformats.org/officeDocument/2006/relationships/hyperlink" Target="https://angel.co/company/havenservicing" TargetMode="External"/><Relationship Id="rId2309" Type="http://schemas.openxmlformats.org/officeDocument/2006/relationships/hyperlink" Target="https://www.crunchbase.com/organization/haven-d689" TargetMode="External"/><Relationship Id="rId3639" Type="http://schemas.openxmlformats.org/officeDocument/2006/relationships/hyperlink" Target="https://homespotter.com/" TargetMode="External"/><Relationship Id="rId3630" Type="http://schemas.openxmlformats.org/officeDocument/2006/relationships/hyperlink" Target="https://www.crunchbase.com/organization/estated" TargetMode="External"/><Relationship Id="rId4961" Type="http://schemas.openxmlformats.org/officeDocument/2006/relationships/hyperlink" Target="https://www.crunchbase.com/organization/credencys-solutions-inc" TargetMode="External"/><Relationship Id="rId4960" Type="http://schemas.openxmlformats.org/officeDocument/2006/relationships/hyperlink" Target="https://angel.co/company/credencys" TargetMode="External"/><Relationship Id="rId2300" Type="http://schemas.openxmlformats.org/officeDocument/2006/relationships/hyperlink" Target="https://www.crunchbase.com/funding_round/evercam-series-a--0da104c0" TargetMode="External"/><Relationship Id="rId3632" Type="http://schemas.openxmlformats.org/officeDocument/2006/relationships/hyperlink" Target="https://www.crunchbase.com/organization/finley-ab4b" TargetMode="External"/><Relationship Id="rId4963" Type="http://schemas.openxmlformats.org/officeDocument/2006/relationships/hyperlink" Target="https://credensa.co.uk/" TargetMode="External"/><Relationship Id="rId2301" Type="http://schemas.openxmlformats.org/officeDocument/2006/relationships/hyperlink" Target="https://www.crunchbase.com/funding_round/evercam-series-unknown--47564db8" TargetMode="External"/><Relationship Id="rId3631" Type="http://schemas.openxmlformats.org/officeDocument/2006/relationships/hyperlink" Target="http://estated.com/" TargetMode="External"/><Relationship Id="rId4962" Type="http://schemas.openxmlformats.org/officeDocument/2006/relationships/hyperlink" Target="http://www.credencys.com/" TargetMode="External"/><Relationship Id="rId3623" Type="http://schemas.openxmlformats.org/officeDocument/2006/relationships/hyperlink" Target="https://www.crunchbase.com/organization/hemlane" TargetMode="External"/><Relationship Id="rId4954" Type="http://schemas.openxmlformats.org/officeDocument/2006/relationships/hyperlink" Target="https://www.creco.ai/?fbclid=IwAR0bCbmZAFSDzld_j69y_nrOCl_tzu2d-ZlL-IK9-0_41NePfqQ4CuRw8VU" TargetMode="External"/><Relationship Id="rId3622" Type="http://schemas.openxmlformats.org/officeDocument/2006/relationships/hyperlink" Target="https://angel.co/company/hemlane" TargetMode="External"/><Relationship Id="rId4953" Type="http://schemas.openxmlformats.org/officeDocument/2006/relationships/hyperlink" Target="https://www.crunchbase.com/organization/cre-collaborative-inc" TargetMode="External"/><Relationship Id="rId3625" Type="http://schemas.openxmlformats.org/officeDocument/2006/relationships/hyperlink" Target="https://angel.co/company/cognitops" TargetMode="External"/><Relationship Id="rId4956" Type="http://schemas.openxmlformats.org/officeDocument/2006/relationships/hyperlink" Target="https://www.crunchbase.com/organization/create-2" TargetMode="External"/><Relationship Id="rId3624" Type="http://schemas.openxmlformats.org/officeDocument/2006/relationships/hyperlink" Target="https://www.hemlane.com/" TargetMode="External"/><Relationship Id="rId4955" Type="http://schemas.openxmlformats.org/officeDocument/2006/relationships/hyperlink" Target="https://crediligent.com/" TargetMode="External"/><Relationship Id="rId3627" Type="http://schemas.openxmlformats.org/officeDocument/2006/relationships/hyperlink" Target="https://cognitops.com/" TargetMode="External"/><Relationship Id="rId4958" Type="http://schemas.openxmlformats.org/officeDocument/2006/relationships/hyperlink" Target="https://angel.co/company/cred-iq" TargetMode="External"/><Relationship Id="rId3626" Type="http://schemas.openxmlformats.org/officeDocument/2006/relationships/hyperlink" Target="https://www.crunchbase.com/organization/cognitops" TargetMode="External"/><Relationship Id="rId4957" Type="http://schemas.openxmlformats.org/officeDocument/2006/relationships/hyperlink" Target="http://www.create-ireland.ie/" TargetMode="External"/><Relationship Id="rId3629" Type="http://schemas.openxmlformats.org/officeDocument/2006/relationships/hyperlink" Target="https://angel.co/estated-1" TargetMode="External"/><Relationship Id="rId3628" Type="http://schemas.openxmlformats.org/officeDocument/2006/relationships/hyperlink" Target="https://www.crunchbase.com/funding_round/cognitops-seed--300346e6" TargetMode="External"/><Relationship Id="rId4959" Type="http://schemas.openxmlformats.org/officeDocument/2006/relationships/hyperlink" Target="https://www.cred-iq.com/" TargetMode="External"/><Relationship Id="rId4950" Type="http://schemas.openxmlformats.org/officeDocument/2006/relationships/hyperlink" Target="https://www.crunchbase.com/organization/cozy-air-innovation" TargetMode="External"/><Relationship Id="rId3621" Type="http://schemas.openxmlformats.org/officeDocument/2006/relationships/hyperlink" Target="https://www.crunchbase.com/funding_round/searchland-seed--4b40f36d" TargetMode="External"/><Relationship Id="rId4952" Type="http://schemas.openxmlformats.org/officeDocument/2006/relationships/hyperlink" Target="https://angel.co/company/cre-collaborative" TargetMode="External"/><Relationship Id="rId3620" Type="http://schemas.openxmlformats.org/officeDocument/2006/relationships/hyperlink" Target="https://searchland.co.uk/" TargetMode="External"/><Relationship Id="rId4951" Type="http://schemas.openxmlformats.org/officeDocument/2006/relationships/hyperlink" Target="https://www.cozyair.fr/" TargetMode="External"/><Relationship Id="rId2324" Type="http://schemas.openxmlformats.org/officeDocument/2006/relationships/hyperlink" Target="http://officernd.com" TargetMode="External"/><Relationship Id="rId3656" Type="http://schemas.openxmlformats.org/officeDocument/2006/relationships/hyperlink" Target="https://www.wegowise.com" TargetMode="External"/><Relationship Id="rId4987" Type="http://schemas.openxmlformats.org/officeDocument/2006/relationships/hyperlink" Target="https://www.curvearro.com/" TargetMode="External"/><Relationship Id="rId2325" Type="http://schemas.openxmlformats.org/officeDocument/2006/relationships/hyperlink" Target="https://angel.co/company/ecoworks-2" TargetMode="External"/><Relationship Id="rId3655" Type="http://schemas.openxmlformats.org/officeDocument/2006/relationships/hyperlink" Target="https://www.crunchbase.com/organization/wegowise" TargetMode="External"/><Relationship Id="rId4986" Type="http://schemas.openxmlformats.org/officeDocument/2006/relationships/hyperlink" Target="https://www.crunchbase.com/organization/curvearro" TargetMode="External"/><Relationship Id="rId2326" Type="http://schemas.openxmlformats.org/officeDocument/2006/relationships/hyperlink" Target="https://www.crunchbase.com/organization/ecoworks" TargetMode="External"/><Relationship Id="rId3658" Type="http://schemas.openxmlformats.org/officeDocument/2006/relationships/hyperlink" Target="https://www.crunchbase.com/organization/finch-bf21" TargetMode="External"/><Relationship Id="rId4989" Type="http://schemas.openxmlformats.org/officeDocument/2006/relationships/hyperlink" Target="https://www.cvikerar.com/" TargetMode="External"/><Relationship Id="rId2327" Type="http://schemas.openxmlformats.org/officeDocument/2006/relationships/hyperlink" Target="https://www.ecoworks.tech/" TargetMode="External"/><Relationship Id="rId3657" Type="http://schemas.openxmlformats.org/officeDocument/2006/relationships/hyperlink" Target="https://www.crunchbase.com/funding_round/wegowise-series-a--c359b92a" TargetMode="External"/><Relationship Id="rId4988" Type="http://schemas.openxmlformats.org/officeDocument/2006/relationships/hyperlink" Target="https://www.crunchbase.com/organization/akular" TargetMode="External"/><Relationship Id="rId2328" Type="http://schemas.openxmlformats.org/officeDocument/2006/relationships/hyperlink" Target="https://angel.co/company/caperai" TargetMode="External"/><Relationship Id="rId2329" Type="http://schemas.openxmlformats.org/officeDocument/2006/relationships/hyperlink" Target="https://www.crunchbase.com/organization/caper" TargetMode="External"/><Relationship Id="rId3659" Type="http://schemas.openxmlformats.org/officeDocument/2006/relationships/hyperlink" Target="http://finch3d.com/" TargetMode="External"/><Relationship Id="rId3650" Type="http://schemas.openxmlformats.org/officeDocument/2006/relationships/hyperlink" Target="http://www.propstack.com/" TargetMode="External"/><Relationship Id="rId4981" Type="http://schemas.openxmlformats.org/officeDocument/2006/relationships/hyperlink" Target="https://angel.co/u/crowdfundur" TargetMode="External"/><Relationship Id="rId4980" Type="http://schemas.openxmlformats.org/officeDocument/2006/relationships/hyperlink" Target="http://crowdcomfort.com/" TargetMode="External"/><Relationship Id="rId2320" Type="http://schemas.openxmlformats.org/officeDocument/2006/relationships/hyperlink" Target="https://www.crunchbase.com/funding_round/flowspace-seed--2c92ef3c" TargetMode="External"/><Relationship Id="rId3652" Type="http://schemas.openxmlformats.org/officeDocument/2006/relationships/hyperlink" Target="https://www.crunchbase.com/organization/smarking" TargetMode="External"/><Relationship Id="rId4983" Type="http://schemas.openxmlformats.org/officeDocument/2006/relationships/hyperlink" Target="https://angel.co/u/cubit-insurance" TargetMode="External"/><Relationship Id="rId2321" Type="http://schemas.openxmlformats.org/officeDocument/2006/relationships/hyperlink" Target="https://www.crunchbase.com/funding_round/flowspace-series-a--a5ef54d9" TargetMode="External"/><Relationship Id="rId3651" Type="http://schemas.openxmlformats.org/officeDocument/2006/relationships/hyperlink" Target="https://angel.co/company/smarking" TargetMode="External"/><Relationship Id="rId4982" Type="http://schemas.openxmlformats.org/officeDocument/2006/relationships/hyperlink" Target="https://crowdfundur.com/" TargetMode="External"/><Relationship Id="rId2322" Type="http://schemas.openxmlformats.org/officeDocument/2006/relationships/hyperlink" Target="https://angel.co/company/officernd-2" TargetMode="External"/><Relationship Id="rId3654" Type="http://schemas.openxmlformats.org/officeDocument/2006/relationships/hyperlink" Target="https://angel.co/company/wegowise" TargetMode="External"/><Relationship Id="rId4985" Type="http://schemas.openxmlformats.org/officeDocument/2006/relationships/hyperlink" Target="https://www.cubit-insurance.co.uk/" TargetMode="External"/><Relationship Id="rId2323" Type="http://schemas.openxmlformats.org/officeDocument/2006/relationships/hyperlink" Target="https://www.crunchbase.com/organization/officernd" TargetMode="External"/><Relationship Id="rId3653" Type="http://schemas.openxmlformats.org/officeDocument/2006/relationships/hyperlink" Target="http://smarking.com/" TargetMode="External"/><Relationship Id="rId4984" Type="http://schemas.openxmlformats.org/officeDocument/2006/relationships/hyperlink" Target="https://www.crunchbase.com/organization/cubit-insurance" TargetMode="External"/><Relationship Id="rId2313" Type="http://schemas.openxmlformats.org/officeDocument/2006/relationships/hyperlink" Target="https://www.crunchbase.com/organization/mudafy" TargetMode="External"/><Relationship Id="rId3645" Type="http://schemas.openxmlformats.org/officeDocument/2006/relationships/hyperlink" Target="https://www.crunchbase.com/organization/jurny-inc" TargetMode="External"/><Relationship Id="rId4976" Type="http://schemas.openxmlformats.org/officeDocument/2006/relationships/hyperlink" Target="https://www.crunchbase.com/organization/crowdengine" TargetMode="External"/><Relationship Id="rId2314" Type="http://schemas.openxmlformats.org/officeDocument/2006/relationships/hyperlink" Target="https://mudafy.com/" TargetMode="External"/><Relationship Id="rId3644" Type="http://schemas.openxmlformats.org/officeDocument/2006/relationships/hyperlink" Target="https://angel.co/company/jurny" TargetMode="External"/><Relationship Id="rId4975" Type="http://schemas.openxmlformats.org/officeDocument/2006/relationships/hyperlink" Target="https://www.cretech.com/" TargetMode="External"/><Relationship Id="rId2315" Type="http://schemas.openxmlformats.org/officeDocument/2006/relationships/hyperlink" Target="https://www.crunchbase.com/funding_round/mudafy-seed--95632bb9" TargetMode="External"/><Relationship Id="rId3647" Type="http://schemas.openxmlformats.org/officeDocument/2006/relationships/hyperlink" Target="https://www.crunchbase.com/search/organizations/field/organizations/location_group_identifiers/greater-los-angeles-area" TargetMode="External"/><Relationship Id="rId4978" Type="http://schemas.openxmlformats.org/officeDocument/2006/relationships/hyperlink" Target="https://angel.co/crowdcomfort-1/" TargetMode="External"/><Relationship Id="rId2316" Type="http://schemas.openxmlformats.org/officeDocument/2006/relationships/hyperlink" Target="https://www.crunchbase.com/funding_round/mudafy-series-a--79f7f78a" TargetMode="External"/><Relationship Id="rId3646" Type="http://schemas.openxmlformats.org/officeDocument/2006/relationships/hyperlink" Target="https://www.jurny.com/" TargetMode="External"/><Relationship Id="rId4977" Type="http://schemas.openxmlformats.org/officeDocument/2006/relationships/hyperlink" Target="http://www.crowdengine.com" TargetMode="External"/><Relationship Id="rId2317" Type="http://schemas.openxmlformats.org/officeDocument/2006/relationships/hyperlink" Target="https://angel.co/company/flowspace" TargetMode="External"/><Relationship Id="rId3649" Type="http://schemas.openxmlformats.org/officeDocument/2006/relationships/hyperlink" Target="https://www.crunchbase.com/organization/propstack" TargetMode="External"/><Relationship Id="rId2318" Type="http://schemas.openxmlformats.org/officeDocument/2006/relationships/hyperlink" Target="https://www.crunchbase.com/organization/flowspace" TargetMode="External"/><Relationship Id="rId3648" Type="http://schemas.openxmlformats.org/officeDocument/2006/relationships/hyperlink" Target="https://angel.co/propstack" TargetMode="External"/><Relationship Id="rId4979" Type="http://schemas.openxmlformats.org/officeDocument/2006/relationships/hyperlink" Target="https://www.crunchbase.com/organization/crowdcomfort" TargetMode="External"/><Relationship Id="rId2319" Type="http://schemas.openxmlformats.org/officeDocument/2006/relationships/hyperlink" Target="https://www.flow.space" TargetMode="External"/><Relationship Id="rId4970" Type="http://schemas.openxmlformats.org/officeDocument/2006/relationships/hyperlink" Target="https://www.crunchbase.com/organization/creop" TargetMode="External"/><Relationship Id="rId3641" Type="http://schemas.openxmlformats.org/officeDocument/2006/relationships/hyperlink" Target="https://www.crunchbase.com/organization/infraspeak" TargetMode="External"/><Relationship Id="rId4972" Type="http://schemas.openxmlformats.org/officeDocument/2006/relationships/hyperlink" Target="https://cressblue.com/" TargetMode="External"/><Relationship Id="rId2310" Type="http://schemas.openxmlformats.org/officeDocument/2006/relationships/hyperlink" Target="https://www.havenservicing.com/" TargetMode="External"/><Relationship Id="rId3640" Type="http://schemas.openxmlformats.org/officeDocument/2006/relationships/hyperlink" Target="https://angel.co/company/infraspeak" TargetMode="External"/><Relationship Id="rId4971" Type="http://schemas.openxmlformats.org/officeDocument/2006/relationships/hyperlink" Target="https://www.creop.com/" TargetMode="External"/><Relationship Id="rId2311" Type="http://schemas.openxmlformats.org/officeDocument/2006/relationships/hyperlink" Target="https://www.crunchbase.com/funding_round/haven-d689-seed--df71e560" TargetMode="External"/><Relationship Id="rId3643" Type="http://schemas.openxmlformats.org/officeDocument/2006/relationships/hyperlink" Target="https://www.crunchbase.com/funding_round/infraspeak-seed--545f8b35" TargetMode="External"/><Relationship Id="rId4974" Type="http://schemas.openxmlformats.org/officeDocument/2006/relationships/hyperlink" Target="https://www.crunchbase.com/organization/cre-tech-intersect" TargetMode="External"/><Relationship Id="rId2312" Type="http://schemas.openxmlformats.org/officeDocument/2006/relationships/hyperlink" Target="https://www.crunchbase.com/funding_round/haven-d689-series-a--dc419802" TargetMode="External"/><Relationship Id="rId3642" Type="http://schemas.openxmlformats.org/officeDocument/2006/relationships/hyperlink" Target="https://www.infraspeak.com/" TargetMode="External"/><Relationship Id="rId4973" Type="http://schemas.openxmlformats.org/officeDocument/2006/relationships/hyperlink" Target="https://angel.co/company/cretech" TargetMode="External"/><Relationship Id="rId4921" Type="http://schemas.openxmlformats.org/officeDocument/2006/relationships/hyperlink" Target="https://commonareas.com/" TargetMode="External"/><Relationship Id="rId4920" Type="http://schemas.openxmlformats.org/officeDocument/2006/relationships/hyperlink" Target="https://www.crunchbase.com/organization/common-areas" TargetMode="External"/><Relationship Id="rId4923" Type="http://schemas.openxmlformats.org/officeDocument/2006/relationships/hyperlink" Target="https://www.crunchbase.com/organization/metamorphic-ventures-llc" TargetMode="External"/><Relationship Id="rId4922" Type="http://schemas.openxmlformats.org/officeDocument/2006/relationships/hyperlink" Target="https://angel.co/company/compoundvc" TargetMode="External"/><Relationship Id="rId4925" Type="http://schemas.openxmlformats.org/officeDocument/2006/relationships/hyperlink" Target="https://www.crunchbase.com/organization/cido" TargetMode="External"/><Relationship Id="rId4924" Type="http://schemas.openxmlformats.org/officeDocument/2006/relationships/hyperlink" Target="https://www.compound.re/" TargetMode="External"/><Relationship Id="rId4927" Type="http://schemas.openxmlformats.org/officeDocument/2006/relationships/hyperlink" Target="https://www.crunchbase.com/organization/configure-one" TargetMode="External"/><Relationship Id="rId4926" Type="http://schemas.openxmlformats.org/officeDocument/2006/relationships/hyperlink" Target="https://comydo.com/de/" TargetMode="External"/><Relationship Id="rId4929" Type="http://schemas.openxmlformats.org/officeDocument/2006/relationships/hyperlink" Target="https://www.crunchbase.com/organization/connectcre" TargetMode="External"/><Relationship Id="rId4928" Type="http://schemas.openxmlformats.org/officeDocument/2006/relationships/hyperlink" Target="https://www.configureone.com/" TargetMode="External"/><Relationship Id="rId4910" Type="http://schemas.openxmlformats.org/officeDocument/2006/relationships/hyperlink" Target="https://www.crunchbase.com/organization/college-house" TargetMode="External"/><Relationship Id="rId4912" Type="http://schemas.openxmlformats.org/officeDocument/2006/relationships/hyperlink" Target="https://angel.co/company/column-technologies" TargetMode="External"/><Relationship Id="rId4911" Type="http://schemas.openxmlformats.org/officeDocument/2006/relationships/hyperlink" Target="https://collegehouse.com/" TargetMode="External"/><Relationship Id="rId4914" Type="http://schemas.openxmlformats.org/officeDocument/2006/relationships/hyperlink" Target="https://www.columninfosec.com/" TargetMode="External"/><Relationship Id="rId4913" Type="http://schemas.openxmlformats.org/officeDocument/2006/relationships/hyperlink" Target="https://www.crunchbase.com/organization/column-information-security" TargetMode="External"/><Relationship Id="rId4916" Type="http://schemas.openxmlformats.org/officeDocument/2006/relationships/hyperlink" Target="https://www.crunchbase.com/organization/column-technologies" TargetMode="External"/><Relationship Id="rId4915" Type="http://schemas.openxmlformats.org/officeDocument/2006/relationships/hyperlink" Target="https://angel.co/company/column-technologies" TargetMode="External"/><Relationship Id="rId4918" Type="http://schemas.openxmlformats.org/officeDocument/2006/relationships/hyperlink" Target="https://angel.co/company/commercial-property-guide" TargetMode="External"/><Relationship Id="rId4917" Type="http://schemas.openxmlformats.org/officeDocument/2006/relationships/hyperlink" Target="https://www.columnit.com/case-management.html" TargetMode="External"/><Relationship Id="rId4919" Type="http://schemas.openxmlformats.org/officeDocument/2006/relationships/hyperlink" Target="https://www.commercialpropertyguide.com.au" TargetMode="External"/><Relationship Id="rId3612" Type="http://schemas.openxmlformats.org/officeDocument/2006/relationships/hyperlink" Target="http://www.gosuppli.com/" TargetMode="External"/><Relationship Id="rId4943" Type="http://schemas.openxmlformats.org/officeDocument/2006/relationships/hyperlink" Target="https://cottar.ai/" TargetMode="External"/><Relationship Id="rId3611" Type="http://schemas.openxmlformats.org/officeDocument/2006/relationships/hyperlink" Target="https://www.crunchbase.com/organization/suppli" TargetMode="External"/><Relationship Id="rId4942" Type="http://schemas.openxmlformats.org/officeDocument/2006/relationships/hyperlink" Target="https://www.crunchbase.com/organization/cottar" TargetMode="External"/><Relationship Id="rId3614" Type="http://schemas.openxmlformats.org/officeDocument/2006/relationships/hyperlink" Target="https://wellfound.com/company/building-swell" TargetMode="External"/><Relationship Id="rId4945" Type="http://schemas.openxmlformats.org/officeDocument/2006/relationships/hyperlink" Target="https://www.crunchbase.com/organization/courtesy-connection" TargetMode="External"/><Relationship Id="rId3613" Type="http://schemas.openxmlformats.org/officeDocument/2006/relationships/hyperlink" Target="https://www.crunchbase.com/funding_round/suppli-seed--004344ae" TargetMode="External"/><Relationship Id="rId4944" Type="http://schemas.openxmlformats.org/officeDocument/2006/relationships/hyperlink" Target="https://www.countlogic.com/" TargetMode="External"/><Relationship Id="rId3616" Type="http://schemas.openxmlformats.org/officeDocument/2006/relationships/hyperlink" Target="https://www.buildingswell.com/" TargetMode="External"/><Relationship Id="rId4947" Type="http://schemas.openxmlformats.org/officeDocument/2006/relationships/hyperlink" Target="https://angel.co/coyote-1" TargetMode="External"/><Relationship Id="rId3615" Type="http://schemas.openxmlformats.org/officeDocument/2006/relationships/hyperlink" Target="https://www.crunchbase.com/organization/building-swell" TargetMode="External"/><Relationship Id="rId4946" Type="http://schemas.openxmlformats.org/officeDocument/2006/relationships/hyperlink" Target="https://www.courtesyconnection.com/" TargetMode="External"/><Relationship Id="rId3618" Type="http://schemas.openxmlformats.org/officeDocument/2006/relationships/hyperlink" Target="https://www.crunchbase.com/funding_round/building-swell-series-unknown--03733683" TargetMode="External"/><Relationship Id="rId4949" Type="http://schemas.openxmlformats.org/officeDocument/2006/relationships/hyperlink" Target="https://coyotesoftware.co.uk/" TargetMode="External"/><Relationship Id="rId3617" Type="http://schemas.openxmlformats.org/officeDocument/2006/relationships/hyperlink" Target="https://www.crunchbase.com/funding_round/building-swell-pre-seed--339b76e8" TargetMode="External"/><Relationship Id="rId4948" Type="http://schemas.openxmlformats.org/officeDocument/2006/relationships/hyperlink" Target="https://www.crunchbase.com/organization/coyote" TargetMode="External"/><Relationship Id="rId3619" Type="http://schemas.openxmlformats.org/officeDocument/2006/relationships/hyperlink" Target="https://www.crunchbase.com/organization/searchland" TargetMode="External"/><Relationship Id="rId3610" Type="http://schemas.openxmlformats.org/officeDocument/2006/relationships/hyperlink" Target="https://wellfound.com/company/gosuppli" TargetMode="External"/><Relationship Id="rId4941" Type="http://schemas.openxmlformats.org/officeDocument/2006/relationships/hyperlink" Target="https://angel.co/company/cottar" TargetMode="External"/><Relationship Id="rId4940" Type="http://schemas.openxmlformats.org/officeDocument/2006/relationships/hyperlink" Target="http://www.costargroup.com/" TargetMode="External"/><Relationship Id="rId3601" Type="http://schemas.openxmlformats.org/officeDocument/2006/relationships/hyperlink" Target="https://www.crunchbase.com/funding_round/green-fusion-seed--3f65df5e" TargetMode="External"/><Relationship Id="rId4932" Type="http://schemas.openxmlformats.org/officeDocument/2006/relationships/hyperlink" Target="https://bycore.com/" TargetMode="External"/><Relationship Id="rId3600" Type="http://schemas.openxmlformats.org/officeDocument/2006/relationships/hyperlink" Target="https://www.crunchbase.com/funding_round/green-fusion-pre-seed--485f44ed" TargetMode="External"/><Relationship Id="rId4931" Type="http://schemas.openxmlformats.org/officeDocument/2006/relationships/hyperlink" Target="https://www.crunchbase.com/organization/core-5a60" TargetMode="External"/><Relationship Id="rId3603" Type="http://schemas.openxmlformats.org/officeDocument/2006/relationships/hyperlink" Target="https://www.rentsmallsmall.com/" TargetMode="External"/><Relationship Id="rId4934" Type="http://schemas.openxmlformats.org/officeDocument/2006/relationships/hyperlink" Target="https://www.cort.com/" TargetMode="External"/><Relationship Id="rId3602" Type="http://schemas.openxmlformats.org/officeDocument/2006/relationships/hyperlink" Target="https://www.crunchbase.com/organization/rentsmallsmall" TargetMode="External"/><Relationship Id="rId4933" Type="http://schemas.openxmlformats.org/officeDocument/2006/relationships/hyperlink" Target="https://www.crunchbase.com/organization/cort" TargetMode="External"/><Relationship Id="rId3605" Type="http://schemas.openxmlformats.org/officeDocument/2006/relationships/hyperlink" Target="https://www.crunchbase.com/funding_round/rentsmallsmall-seed--35e703f2" TargetMode="External"/><Relationship Id="rId4936" Type="http://schemas.openxmlformats.org/officeDocument/2006/relationships/hyperlink" Target="https://www.crunchbase.com/organization/cosquare" TargetMode="External"/><Relationship Id="rId3604" Type="http://schemas.openxmlformats.org/officeDocument/2006/relationships/hyperlink" Target="https://www.crunchbase.com/funding_round/rentsmallsmall-pre-seed--62567d12" TargetMode="External"/><Relationship Id="rId4935" Type="http://schemas.openxmlformats.org/officeDocument/2006/relationships/hyperlink" Target="https://angel.co/company/cosquare" TargetMode="External"/><Relationship Id="rId3607" Type="http://schemas.openxmlformats.org/officeDocument/2006/relationships/hyperlink" Target="https://www.crunchbase.com/organization/onboard-59b9" TargetMode="External"/><Relationship Id="rId4938" Type="http://schemas.openxmlformats.org/officeDocument/2006/relationships/hyperlink" Target="https://angel.co/company/costar-group" TargetMode="External"/><Relationship Id="rId3606" Type="http://schemas.openxmlformats.org/officeDocument/2006/relationships/hyperlink" Target="https://www.crunchbase.com/funding_round/rentsmallsmall-debt-financing--8f20fd64" TargetMode="External"/><Relationship Id="rId4937" Type="http://schemas.openxmlformats.org/officeDocument/2006/relationships/hyperlink" Target="http://www.cosquare.com/" TargetMode="External"/><Relationship Id="rId3609" Type="http://schemas.openxmlformats.org/officeDocument/2006/relationships/hyperlink" Target="https://www.crunchbase.com/funding_round/onboard-59b9-series-unknown--e04d8201" TargetMode="External"/><Relationship Id="rId3608" Type="http://schemas.openxmlformats.org/officeDocument/2006/relationships/hyperlink" Target="https://www.letsonboard.com/" TargetMode="External"/><Relationship Id="rId4939" Type="http://schemas.openxmlformats.org/officeDocument/2006/relationships/hyperlink" Target="https://www.crunchbase.com/organization/costar-group" TargetMode="External"/><Relationship Id="rId4930" Type="http://schemas.openxmlformats.org/officeDocument/2006/relationships/hyperlink" Target="https://www.connect.media/?__cf_chl_captcha_tk__=61da052c9d158d4d5b3dec1584812b9fb3dc4fb1-1599841260-0-AWuXNAVZwHXsX7lBid9jifQzuP6Y9FMWTSB9Z3Hg1z6iLD_Uza7rQ2W0-KY3L-cjJ5Y1c929dukVtwnR9k-5neNGKRo2PDlWJlW5hCFwi1_V65FcYMHP93C4GfjbL67TSsp07RWdTfSiyj5juU3tqrofxLWuQFxSBnqUW7E5gJ3mx1cZNsO5pXqpej7SUTzCkxYek8ViB24AXmQKtDJrUXVhQQt-G4LXoPFQtqLPzL8OxSPtPuW_41glzwZ48CRIE-CT9VfYHLbjMK-1zzumnHgH1qhIJ21VLaMENWOtsXp4JBn8kk_N3_2xOo8DkHRxkMkQvG3jIMYiPwgtX6LB4FaupA_3iHT79w3fiiH3ZD-GMW3NmwLWvVgX_5QMP67drF70sCP_XAgctKDii9beLNm1iORBfUHTZtVzohmC9QCh4RzshMCcdzu3EuarXrUMXiqKwlL4_mTOSG0M0xvrwaAiZT-RUl2XDeyl9DZMf2fm" TargetMode="External"/><Relationship Id="rId1059" Type="http://schemas.openxmlformats.org/officeDocument/2006/relationships/hyperlink" Target="https://www.crunchbase.com/organization/landed" TargetMode="External"/><Relationship Id="rId2380" Type="http://schemas.openxmlformats.org/officeDocument/2006/relationships/hyperlink" Target="https://www.crunchbase.com/funding_round/iink-endorsements-seed--64846770" TargetMode="External"/><Relationship Id="rId1050" Type="http://schemas.openxmlformats.org/officeDocument/2006/relationships/hyperlink" Target="https://angel.co/obligo/" TargetMode="External"/><Relationship Id="rId2381" Type="http://schemas.openxmlformats.org/officeDocument/2006/relationships/hyperlink" Target="https://www.crunchbase.com/funding_round/iink-endorsements-debt-financing--bcbb4d84" TargetMode="External"/><Relationship Id="rId1051" Type="http://schemas.openxmlformats.org/officeDocument/2006/relationships/hyperlink" Target="https://www.crunchbase.com/organization/obligo" TargetMode="External"/><Relationship Id="rId2382" Type="http://schemas.openxmlformats.org/officeDocument/2006/relationships/hyperlink" Target="https://angel.co/company/lavanda-1" TargetMode="External"/><Relationship Id="rId1052" Type="http://schemas.openxmlformats.org/officeDocument/2006/relationships/hyperlink" Target="http://myobligo.com/" TargetMode="External"/><Relationship Id="rId2383" Type="http://schemas.openxmlformats.org/officeDocument/2006/relationships/hyperlink" Target="https://www.crunchbase.com/organization/lavanda" TargetMode="External"/><Relationship Id="rId1053" Type="http://schemas.openxmlformats.org/officeDocument/2006/relationships/hyperlink" Target="https://www.crunchbase.com/organization/brimstone-energy" TargetMode="External"/><Relationship Id="rId2384" Type="http://schemas.openxmlformats.org/officeDocument/2006/relationships/hyperlink" Target="https://getlavanda.com/" TargetMode="External"/><Relationship Id="rId1054" Type="http://schemas.openxmlformats.org/officeDocument/2006/relationships/hyperlink" Target="https://www.brimstone.energy/?stream=top" TargetMode="External"/><Relationship Id="rId2385" Type="http://schemas.openxmlformats.org/officeDocument/2006/relationships/hyperlink" Target="https://angel.co/company/airgarageinc" TargetMode="External"/><Relationship Id="rId1055" Type="http://schemas.openxmlformats.org/officeDocument/2006/relationships/hyperlink" Target="https://angel.co/company/valon-2" TargetMode="External"/><Relationship Id="rId2386" Type="http://schemas.openxmlformats.org/officeDocument/2006/relationships/hyperlink" Target="https://www.crunchbase.com/organization/airgarage" TargetMode="External"/><Relationship Id="rId1056" Type="http://schemas.openxmlformats.org/officeDocument/2006/relationships/hyperlink" Target="https://www.crunchbase.com/organization/peach-street" TargetMode="External"/><Relationship Id="rId2387" Type="http://schemas.openxmlformats.org/officeDocument/2006/relationships/hyperlink" Target="https://www.airgarage.com/" TargetMode="External"/><Relationship Id="rId1057" Type="http://schemas.openxmlformats.org/officeDocument/2006/relationships/hyperlink" Target="https://www.valon.com/" TargetMode="External"/><Relationship Id="rId2388" Type="http://schemas.openxmlformats.org/officeDocument/2006/relationships/hyperlink" Target="https://www.crunchbase.com/organization/lane" TargetMode="External"/><Relationship Id="rId1058" Type="http://schemas.openxmlformats.org/officeDocument/2006/relationships/hyperlink" Target="https://angel.co/company/landed" TargetMode="External"/><Relationship Id="rId2389" Type="http://schemas.openxmlformats.org/officeDocument/2006/relationships/hyperlink" Target="https://angel.co/workframehq" TargetMode="External"/><Relationship Id="rId1048" Type="http://schemas.openxmlformats.org/officeDocument/2006/relationships/hyperlink" Target="https://www.crunchbase.com/funding_round/oliver-space-series-a--bb9156dd" TargetMode="External"/><Relationship Id="rId2379" Type="http://schemas.openxmlformats.org/officeDocument/2006/relationships/hyperlink" Target="https://iinkpay.com/" TargetMode="External"/><Relationship Id="rId1049" Type="http://schemas.openxmlformats.org/officeDocument/2006/relationships/hyperlink" Target="https://www.crunchbase.com/funding_round/oliver-space-series-b--426b0fe7" TargetMode="External"/><Relationship Id="rId2370" Type="http://schemas.openxmlformats.org/officeDocument/2006/relationships/hyperlink" Target="https://www.crunchbase.com/funding_round/aedifion-series-unknown--bf3303a4" TargetMode="External"/><Relationship Id="rId1040" Type="http://schemas.openxmlformats.org/officeDocument/2006/relationships/hyperlink" Target="https://www.newstand.com/" TargetMode="External"/><Relationship Id="rId2371" Type="http://schemas.openxmlformats.org/officeDocument/2006/relationships/hyperlink" Target="https://www.crunchbase.com/funding_round/aedifion-series-a--ea1ba0f5" TargetMode="External"/><Relationship Id="rId1041" Type="http://schemas.openxmlformats.org/officeDocument/2006/relationships/hyperlink" Target="https://angel.co/company/sundae-homebuyers-with-heart" TargetMode="External"/><Relationship Id="rId2372" Type="http://schemas.openxmlformats.org/officeDocument/2006/relationships/hyperlink" Target="https://angel.co/company/valcre" TargetMode="External"/><Relationship Id="rId1042" Type="http://schemas.openxmlformats.org/officeDocument/2006/relationships/hyperlink" Target="https://www.crunchbase.com/organization/sundae" TargetMode="External"/><Relationship Id="rId2373" Type="http://schemas.openxmlformats.org/officeDocument/2006/relationships/hyperlink" Target="https://www.crunchbase.com/organization/valcre" TargetMode="External"/><Relationship Id="rId1043" Type="http://schemas.openxmlformats.org/officeDocument/2006/relationships/hyperlink" Target="https://www.sundae.com/" TargetMode="External"/><Relationship Id="rId2374" Type="http://schemas.openxmlformats.org/officeDocument/2006/relationships/hyperlink" Target="http://www.valcre.com" TargetMode="External"/><Relationship Id="rId1044" Type="http://schemas.openxmlformats.org/officeDocument/2006/relationships/hyperlink" Target="https://angel.co/company/oliver-space" TargetMode="External"/><Relationship Id="rId2375" Type="http://schemas.openxmlformats.org/officeDocument/2006/relationships/hyperlink" Target="https://www.crunchbase.com/funding_round/valcre-seed--ca1b64e5" TargetMode="External"/><Relationship Id="rId1045" Type="http://schemas.openxmlformats.org/officeDocument/2006/relationships/hyperlink" Target="https://www.crunchbase.com/organization/oliver-space" TargetMode="External"/><Relationship Id="rId2376" Type="http://schemas.openxmlformats.org/officeDocument/2006/relationships/hyperlink" Target="https://www.crunchbase.com/funding_round/valcre-series-a--8483bc97" TargetMode="External"/><Relationship Id="rId1046" Type="http://schemas.openxmlformats.org/officeDocument/2006/relationships/hyperlink" Target="https://www.oliver.space/" TargetMode="External"/><Relationship Id="rId2377" Type="http://schemas.openxmlformats.org/officeDocument/2006/relationships/hyperlink" Target="https://angel.co/company/iinktech" TargetMode="External"/><Relationship Id="rId1047" Type="http://schemas.openxmlformats.org/officeDocument/2006/relationships/hyperlink" Target="https://www.crunchbase.com/funding_round/oliver-space-seed--20b1e98e" TargetMode="External"/><Relationship Id="rId2378" Type="http://schemas.openxmlformats.org/officeDocument/2006/relationships/hyperlink" Target="https://www.crunchbase.com/organization/iink-endorsements" TargetMode="External"/><Relationship Id="rId1070" Type="http://schemas.openxmlformats.org/officeDocument/2006/relationships/hyperlink" Target="https://www.crunchbase.com/funding_round/centro-series-b--140cb676" TargetMode="External"/><Relationship Id="rId1071" Type="http://schemas.openxmlformats.org/officeDocument/2006/relationships/hyperlink" Target="http://avataar.me/" TargetMode="External"/><Relationship Id="rId1072" Type="http://schemas.openxmlformats.org/officeDocument/2006/relationships/hyperlink" Target="https://angel.co/company/avataar-me-1" TargetMode="External"/><Relationship Id="rId1073" Type="http://schemas.openxmlformats.org/officeDocument/2006/relationships/hyperlink" Target="https://www.crunchbase.com/organization/avataar-me/company_financials" TargetMode="External"/><Relationship Id="rId1074" Type="http://schemas.openxmlformats.org/officeDocument/2006/relationships/hyperlink" Target="https://www.avataar.me/" TargetMode="External"/><Relationship Id="rId1075" Type="http://schemas.openxmlformats.org/officeDocument/2006/relationships/hyperlink" Target="https://angel.co/company/aeroseal-2" TargetMode="External"/><Relationship Id="rId1076" Type="http://schemas.openxmlformats.org/officeDocument/2006/relationships/hyperlink" Target="https://www.crunchbase.com/organization/aeroseal" TargetMode="External"/><Relationship Id="rId1077" Type="http://schemas.openxmlformats.org/officeDocument/2006/relationships/hyperlink" Target="http://www.aeroseal.com/" TargetMode="External"/><Relationship Id="rId1078" Type="http://schemas.openxmlformats.org/officeDocument/2006/relationships/hyperlink" Target="https://www.crunchbase.com/funding_round/aeroseal-series-a--390969d3" TargetMode="External"/><Relationship Id="rId1079" Type="http://schemas.openxmlformats.org/officeDocument/2006/relationships/hyperlink" Target="https://www.crunchbase.com/funding_round/aeroseal-series-b--1e0374c6" TargetMode="External"/><Relationship Id="rId2390" Type="http://schemas.openxmlformats.org/officeDocument/2006/relationships/hyperlink" Target="https://www.crunchbase.com/organization/workframe" TargetMode="External"/><Relationship Id="rId1060" Type="http://schemas.openxmlformats.org/officeDocument/2006/relationships/hyperlink" Target="https://www.landed.com/" TargetMode="External"/><Relationship Id="rId2391" Type="http://schemas.openxmlformats.org/officeDocument/2006/relationships/hyperlink" Target="http://workframe.com/" TargetMode="External"/><Relationship Id="rId1061" Type="http://schemas.openxmlformats.org/officeDocument/2006/relationships/hyperlink" Target="https://wellfound.com/company/stavvy" TargetMode="External"/><Relationship Id="rId2392" Type="http://schemas.openxmlformats.org/officeDocument/2006/relationships/hyperlink" Target="https://angel.co/company/wynd-technologies-1" TargetMode="External"/><Relationship Id="rId1062" Type="http://schemas.openxmlformats.org/officeDocument/2006/relationships/hyperlink" Target="https://www.crunchbase.com/organization/stavvy" TargetMode="External"/><Relationship Id="rId2393" Type="http://schemas.openxmlformats.org/officeDocument/2006/relationships/hyperlink" Target="https://www.crunchbase.com/organization/wynd-technologies" TargetMode="External"/><Relationship Id="rId1063" Type="http://schemas.openxmlformats.org/officeDocument/2006/relationships/hyperlink" Target="https://www.stavvy.com/" TargetMode="External"/><Relationship Id="rId2394" Type="http://schemas.openxmlformats.org/officeDocument/2006/relationships/hyperlink" Target="http://www.hellowynd.com" TargetMode="External"/><Relationship Id="rId1064" Type="http://schemas.openxmlformats.org/officeDocument/2006/relationships/hyperlink" Target="https://www.crunchbase.com/funding_round/stavvy-series-unknown--04738084" TargetMode="External"/><Relationship Id="rId2395" Type="http://schemas.openxmlformats.org/officeDocument/2006/relationships/hyperlink" Target="https://www.crunchbase.com/organization/calumino" TargetMode="External"/><Relationship Id="rId1065" Type="http://schemas.openxmlformats.org/officeDocument/2006/relationships/hyperlink" Target="https://www.crunchbase.com/funding_round/stavvy-debt-financing--e5856662" TargetMode="External"/><Relationship Id="rId2396" Type="http://schemas.openxmlformats.org/officeDocument/2006/relationships/hyperlink" Target="http://www.calumino.com/" TargetMode="External"/><Relationship Id="rId1066" Type="http://schemas.openxmlformats.org/officeDocument/2006/relationships/hyperlink" Target="https://angel.co/company/centro" TargetMode="External"/><Relationship Id="rId2397" Type="http://schemas.openxmlformats.org/officeDocument/2006/relationships/hyperlink" Target="https://www.crunchbase.com/funding_round/calumino-seed--51fa1914" TargetMode="External"/><Relationship Id="rId1067" Type="http://schemas.openxmlformats.org/officeDocument/2006/relationships/hyperlink" Target="https://www.crunchbase.com/organization/centro" TargetMode="External"/><Relationship Id="rId2398" Type="http://schemas.openxmlformats.org/officeDocument/2006/relationships/hyperlink" Target="https://www.crunchbase.com/funding_round/calumino-series-a--752c0025" TargetMode="External"/><Relationship Id="rId1068" Type="http://schemas.openxmlformats.org/officeDocument/2006/relationships/hyperlink" Target="https://www.centro.net/" TargetMode="External"/><Relationship Id="rId2399" Type="http://schemas.openxmlformats.org/officeDocument/2006/relationships/hyperlink" Target="https://www.crunchbase.com/organization/eyrus-inc" TargetMode="External"/><Relationship Id="rId1069" Type="http://schemas.openxmlformats.org/officeDocument/2006/relationships/hyperlink" Target="https://www.crunchbase.com/funding_round/centro-series-a--738b780a" TargetMode="External"/><Relationship Id="rId1015" Type="http://schemas.openxmlformats.org/officeDocument/2006/relationships/hyperlink" Target="https://www.cleanfiber.com/" TargetMode="External"/><Relationship Id="rId2346" Type="http://schemas.openxmlformats.org/officeDocument/2006/relationships/hyperlink" Target="https://www.crunchbase.com/funding_round/xy-sense-seed--2d182c0b" TargetMode="External"/><Relationship Id="rId3678" Type="http://schemas.openxmlformats.org/officeDocument/2006/relationships/hyperlink" Target="https://denoutdoors.com/" TargetMode="External"/><Relationship Id="rId1016" Type="http://schemas.openxmlformats.org/officeDocument/2006/relationships/hyperlink" Target="https://www.crunchbase.com/funding_round/ultracell-insulation-series-unknown--d42491f5" TargetMode="External"/><Relationship Id="rId2347" Type="http://schemas.openxmlformats.org/officeDocument/2006/relationships/hyperlink" Target="https://wellfound.com/company/moveeasy" TargetMode="External"/><Relationship Id="rId3677" Type="http://schemas.openxmlformats.org/officeDocument/2006/relationships/hyperlink" Target="https://www.crunchbase.com/organization/den-outdoors" TargetMode="External"/><Relationship Id="rId1017" Type="http://schemas.openxmlformats.org/officeDocument/2006/relationships/hyperlink" Target="https://www.crunchbase.com/funding_round/ultracell-insulation-debt-financing--2bfd0104" TargetMode="External"/><Relationship Id="rId2348" Type="http://schemas.openxmlformats.org/officeDocument/2006/relationships/hyperlink" Target="https://www.crunchbase.com/organization/moveez" TargetMode="External"/><Relationship Id="rId1018" Type="http://schemas.openxmlformats.org/officeDocument/2006/relationships/hyperlink" Target="https://www.crunchbase.com/organization/pollyex" TargetMode="External"/><Relationship Id="rId2349" Type="http://schemas.openxmlformats.org/officeDocument/2006/relationships/hyperlink" Target="http://www.moveeasy.com" TargetMode="External"/><Relationship Id="rId3679" Type="http://schemas.openxmlformats.org/officeDocument/2006/relationships/hyperlink" Target="https://www.crunchbase.com/funding_round/den-outdoors-seed--14b204e6" TargetMode="External"/><Relationship Id="rId1019" Type="http://schemas.openxmlformats.org/officeDocument/2006/relationships/hyperlink" Target="https://polly.io/" TargetMode="External"/><Relationship Id="rId3670" Type="http://schemas.openxmlformats.org/officeDocument/2006/relationships/hyperlink" Target="https://www.rentdrop.io/" TargetMode="External"/><Relationship Id="rId2340" Type="http://schemas.openxmlformats.org/officeDocument/2006/relationships/hyperlink" Target="https://www.crunchbase.com/organization/blend-network" TargetMode="External"/><Relationship Id="rId3672" Type="http://schemas.openxmlformats.org/officeDocument/2006/relationships/hyperlink" Target="https://www.crunchbase.com/funding_round/rentdrop-series-unknown--bee2abdb" TargetMode="External"/><Relationship Id="rId1010" Type="http://schemas.openxmlformats.org/officeDocument/2006/relationships/hyperlink" Target="https://www.crunchbase.com/organization/martians" TargetMode="External"/><Relationship Id="rId2341" Type="http://schemas.openxmlformats.org/officeDocument/2006/relationships/hyperlink" Target="https://www.blendnetwork.com/" TargetMode="External"/><Relationship Id="rId3671" Type="http://schemas.openxmlformats.org/officeDocument/2006/relationships/hyperlink" Target="https://www.crunchbase.com/funding_round/rentdrop-pre-seed--bff0f841" TargetMode="External"/><Relationship Id="rId1011" Type="http://schemas.openxmlformats.org/officeDocument/2006/relationships/hyperlink" Target="http://proxy.com/" TargetMode="External"/><Relationship Id="rId2342" Type="http://schemas.openxmlformats.org/officeDocument/2006/relationships/hyperlink" Target="https://www.crunchbase.com/organization/pinata-2310" TargetMode="External"/><Relationship Id="rId3674" Type="http://schemas.openxmlformats.org/officeDocument/2006/relationships/hyperlink" Target="https://www.crunchbase.com/organization/metahood" TargetMode="External"/><Relationship Id="rId1012" Type="http://schemas.openxmlformats.org/officeDocument/2006/relationships/hyperlink" Target="https://www.crunchbase.com/organization/ultracell-insulation" TargetMode="External"/><Relationship Id="rId2343" Type="http://schemas.openxmlformats.org/officeDocument/2006/relationships/hyperlink" Target="https://www.pinata.ai" TargetMode="External"/><Relationship Id="rId3673" Type="http://schemas.openxmlformats.org/officeDocument/2006/relationships/hyperlink" Target="https://wellfound.com/company/metahoodxyz" TargetMode="External"/><Relationship Id="rId1013" Type="http://schemas.openxmlformats.org/officeDocument/2006/relationships/hyperlink" Target="https://www.cleanfiber.com/" TargetMode="External"/><Relationship Id="rId2344" Type="http://schemas.openxmlformats.org/officeDocument/2006/relationships/hyperlink" Target="https://www.crunchbase.com/organization/xy-sense" TargetMode="External"/><Relationship Id="rId3676" Type="http://schemas.openxmlformats.org/officeDocument/2006/relationships/hyperlink" Target="https://www.crunchbase.com/funding_round/metahood-seed--ea262ebf" TargetMode="External"/><Relationship Id="rId1014" Type="http://schemas.openxmlformats.org/officeDocument/2006/relationships/hyperlink" Target="https://www.crunchbase.com/funding_round/ultracell-insulation-seed--9261941b" TargetMode="External"/><Relationship Id="rId2345" Type="http://schemas.openxmlformats.org/officeDocument/2006/relationships/hyperlink" Target="https://xysense.com/" TargetMode="External"/><Relationship Id="rId3675" Type="http://schemas.openxmlformats.org/officeDocument/2006/relationships/hyperlink" Target="https://metahood.xyz/" TargetMode="External"/><Relationship Id="rId1004" Type="http://schemas.openxmlformats.org/officeDocument/2006/relationships/hyperlink" Target="https://www.crunchbase.com/organization/realtyshares" TargetMode="External"/><Relationship Id="rId2335" Type="http://schemas.openxmlformats.org/officeDocument/2006/relationships/hyperlink" Target="https://www.crunchbase.com/organization/biproxi" TargetMode="External"/><Relationship Id="rId3667" Type="http://schemas.openxmlformats.org/officeDocument/2006/relationships/hyperlink" Target="https://www.crunchbase.com/funding_round/brik-513b-seed--0c6c189b" TargetMode="External"/><Relationship Id="rId4998" Type="http://schemas.openxmlformats.org/officeDocument/2006/relationships/hyperlink" Target="https://www.crunchbase.com/organization/datappraise" TargetMode="External"/><Relationship Id="rId1005" Type="http://schemas.openxmlformats.org/officeDocument/2006/relationships/hyperlink" Target="http://www.realtyshares.com/" TargetMode="External"/><Relationship Id="rId2336" Type="http://schemas.openxmlformats.org/officeDocument/2006/relationships/hyperlink" Target="http://www.biproxi.com/" TargetMode="External"/><Relationship Id="rId3666" Type="http://schemas.openxmlformats.org/officeDocument/2006/relationships/hyperlink" Target="https://www.brik.id/" TargetMode="External"/><Relationship Id="rId4997" Type="http://schemas.openxmlformats.org/officeDocument/2006/relationships/hyperlink" Target="https://datakwip.com/" TargetMode="External"/><Relationship Id="rId1006" Type="http://schemas.openxmlformats.org/officeDocument/2006/relationships/hyperlink" Target="https://angel.co/company/blueground" TargetMode="External"/><Relationship Id="rId2337" Type="http://schemas.openxmlformats.org/officeDocument/2006/relationships/hyperlink" Target="https://angel.co/rooomy" TargetMode="External"/><Relationship Id="rId3669" Type="http://schemas.openxmlformats.org/officeDocument/2006/relationships/hyperlink" Target="https://www.crunchbase.com/organization/rentdrop" TargetMode="External"/><Relationship Id="rId1007" Type="http://schemas.openxmlformats.org/officeDocument/2006/relationships/hyperlink" Target="https://www.crunchbase.com/organization/blueground" TargetMode="External"/><Relationship Id="rId2338" Type="http://schemas.openxmlformats.org/officeDocument/2006/relationships/hyperlink" Target="https://www.crunchbase.com/organization/rooomy" TargetMode="External"/><Relationship Id="rId3668" Type="http://schemas.openxmlformats.org/officeDocument/2006/relationships/hyperlink" Target="https://wellfound.com/company/rentdrop" TargetMode="External"/><Relationship Id="rId4999" Type="http://schemas.openxmlformats.org/officeDocument/2006/relationships/hyperlink" Target="http://www.datappraise.com/" TargetMode="External"/><Relationship Id="rId1008" Type="http://schemas.openxmlformats.org/officeDocument/2006/relationships/hyperlink" Target="https://www.theblueground.com/" TargetMode="External"/><Relationship Id="rId2339" Type="http://schemas.openxmlformats.org/officeDocument/2006/relationships/hyperlink" Target="http://rooomy.com/" TargetMode="External"/><Relationship Id="rId1009" Type="http://schemas.openxmlformats.org/officeDocument/2006/relationships/hyperlink" Target="https://angel.co/company/proxyco" TargetMode="External"/><Relationship Id="rId4990" Type="http://schemas.openxmlformats.org/officeDocument/2006/relationships/hyperlink" Target="https://angel.co/company/dark-bear-web-solutions-1" TargetMode="External"/><Relationship Id="rId3661" Type="http://schemas.openxmlformats.org/officeDocument/2006/relationships/hyperlink" Target="http://paymints.io/" TargetMode="External"/><Relationship Id="rId4992" Type="http://schemas.openxmlformats.org/officeDocument/2006/relationships/hyperlink" Target="https://darkbears.com/contact" TargetMode="External"/><Relationship Id="rId2330" Type="http://schemas.openxmlformats.org/officeDocument/2006/relationships/hyperlink" Target="http://www.caperlab.com" TargetMode="External"/><Relationship Id="rId3660" Type="http://schemas.openxmlformats.org/officeDocument/2006/relationships/hyperlink" Target="https://www.crunchbase.com/funding_round/finch-bf21-seed--0d2fc9fd" TargetMode="External"/><Relationship Id="rId4991" Type="http://schemas.openxmlformats.org/officeDocument/2006/relationships/hyperlink" Target="https://www.crunchbase.com/organization/dark-bear-web-solutions-llc" TargetMode="External"/><Relationship Id="rId1000" Type="http://schemas.openxmlformats.org/officeDocument/2006/relationships/hyperlink" Target="https://www.crunchbase.com/funding_round/mosaic-building-series-a--cfea9a58" TargetMode="External"/><Relationship Id="rId2331" Type="http://schemas.openxmlformats.org/officeDocument/2006/relationships/hyperlink" Target="https://angel.co/company/aaltohomes" TargetMode="External"/><Relationship Id="rId3663" Type="http://schemas.openxmlformats.org/officeDocument/2006/relationships/hyperlink" Target="https://www.paymints.io/" TargetMode="External"/><Relationship Id="rId4994" Type="http://schemas.openxmlformats.org/officeDocument/2006/relationships/hyperlink" Target="https://www.the-data-pros.net/" TargetMode="External"/><Relationship Id="rId1001" Type="http://schemas.openxmlformats.org/officeDocument/2006/relationships/hyperlink" Target="https://www.crunchbase.com/organization/diamond-age" TargetMode="External"/><Relationship Id="rId2332" Type="http://schemas.openxmlformats.org/officeDocument/2006/relationships/hyperlink" Target="https://www.crunchbase.com/organization/aalto" TargetMode="External"/><Relationship Id="rId3662" Type="http://schemas.openxmlformats.org/officeDocument/2006/relationships/hyperlink" Target="https://www.crunchbase.com/organization/paymints-io" TargetMode="External"/><Relationship Id="rId4993" Type="http://schemas.openxmlformats.org/officeDocument/2006/relationships/hyperlink" Target="https://www.crunchbase.com/organization/the-data-pros-inc" TargetMode="External"/><Relationship Id="rId1002" Type="http://schemas.openxmlformats.org/officeDocument/2006/relationships/hyperlink" Target="https://www.diamondage3d.com/" TargetMode="External"/><Relationship Id="rId2333" Type="http://schemas.openxmlformats.org/officeDocument/2006/relationships/hyperlink" Target="https://aalto.com/" TargetMode="External"/><Relationship Id="rId3665" Type="http://schemas.openxmlformats.org/officeDocument/2006/relationships/hyperlink" Target="https://www.crunchbase.com/organization/brik-513b" TargetMode="External"/><Relationship Id="rId4996" Type="http://schemas.openxmlformats.org/officeDocument/2006/relationships/hyperlink" Target="https://www.crunchbase.com/organization/datakwip" TargetMode="External"/><Relationship Id="rId1003" Type="http://schemas.openxmlformats.org/officeDocument/2006/relationships/hyperlink" Target="https://angel.co/realtyshares" TargetMode="External"/><Relationship Id="rId2334" Type="http://schemas.openxmlformats.org/officeDocument/2006/relationships/hyperlink" Target="https://angel.co/company/biproxi" TargetMode="External"/><Relationship Id="rId3664" Type="http://schemas.openxmlformats.org/officeDocument/2006/relationships/hyperlink" Target="https://www.crunchbase.com/organization/paymints-io" TargetMode="External"/><Relationship Id="rId4995" Type="http://schemas.openxmlformats.org/officeDocument/2006/relationships/hyperlink" Target="https://angel.co/company/datakwip" TargetMode="External"/><Relationship Id="rId1037" Type="http://schemas.openxmlformats.org/officeDocument/2006/relationships/hyperlink" Target="https://www.crunchbase.com/funding_round/kasa-living-series-c--a7ea8cf8" TargetMode="External"/><Relationship Id="rId2368" Type="http://schemas.openxmlformats.org/officeDocument/2006/relationships/hyperlink" Target="https://www.aedifion.com/" TargetMode="External"/><Relationship Id="rId1038" Type="http://schemas.openxmlformats.org/officeDocument/2006/relationships/hyperlink" Target="https://angel.co/company/thenewstand" TargetMode="External"/><Relationship Id="rId2369" Type="http://schemas.openxmlformats.org/officeDocument/2006/relationships/hyperlink" Target="https://www.crunchbase.com/funding_round/aedifion-seed--41f4a4b6" TargetMode="External"/><Relationship Id="rId3699" Type="http://schemas.openxmlformats.org/officeDocument/2006/relationships/hyperlink" Target="https://www.crunchbase.com/funding_round/airworks-seed--8d34621a" TargetMode="External"/><Relationship Id="rId1039" Type="http://schemas.openxmlformats.org/officeDocument/2006/relationships/hyperlink" Target="https://www.crunchbase.com/organization/new-stand" TargetMode="External"/><Relationship Id="rId3690" Type="http://schemas.openxmlformats.org/officeDocument/2006/relationships/hyperlink" Target="https://angel.co/company/onplayhouse" TargetMode="External"/><Relationship Id="rId2360" Type="http://schemas.openxmlformats.org/officeDocument/2006/relationships/hyperlink" Target="https://www.crunchbase.com/funding_round/modulous-seed--3b5ecf5c" TargetMode="External"/><Relationship Id="rId3692" Type="http://schemas.openxmlformats.org/officeDocument/2006/relationships/hyperlink" Target="https://www.playhouse.so/" TargetMode="External"/><Relationship Id="rId1030" Type="http://schemas.openxmlformats.org/officeDocument/2006/relationships/hyperlink" Target="https://www.crunchbase.com/organization/doxel" TargetMode="External"/><Relationship Id="rId2361" Type="http://schemas.openxmlformats.org/officeDocument/2006/relationships/hyperlink" Target="https://www.crunchbase.com/funding_round/modulous-series-a--16e627c9" TargetMode="External"/><Relationship Id="rId3691" Type="http://schemas.openxmlformats.org/officeDocument/2006/relationships/hyperlink" Target="https://www.crunchbase.com/organization/playhouse" TargetMode="External"/><Relationship Id="rId1031" Type="http://schemas.openxmlformats.org/officeDocument/2006/relationships/hyperlink" Target="https://www.doxel.ai/" TargetMode="External"/><Relationship Id="rId2362" Type="http://schemas.openxmlformats.org/officeDocument/2006/relationships/hyperlink" Target="https://www.crunchbase.com/organization/poquito" TargetMode="External"/><Relationship Id="rId3694" Type="http://schemas.openxmlformats.org/officeDocument/2006/relationships/hyperlink" Target="https://www.crunchbase.com/organization/citystasher" TargetMode="External"/><Relationship Id="rId1032" Type="http://schemas.openxmlformats.org/officeDocument/2006/relationships/hyperlink" Target="https://angel.co/company/kasa/funding" TargetMode="External"/><Relationship Id="rId2363" Type="http://schemas.openxmlformats.org/officeDocument/2006/relationships/hyperlink" Target="https://www.swivel.work/" TargetMode="External"/><Relationship Id="rId3693" Type="http://schemas.openxmlformats.org/officeDocument/2006/relationships/hyperlink" Target="https://angel.co/company/citystasher" TargetMode="External"/><Relationship Id="rId1033" Type="http://schemas.openxmlformats.org/officeDocument/2006/relationships/hyperlink" Target="https://www.crunchbase.com/organization/kasa-living/company_financials" TargetMode="External"/><Relationship Id="rId2364" Type="http://schemas.openxmlformats.org/officeDocument/2006/relationships/hyperlink" Target="https://www.crunchbase.com/organization/stuf" TargetMode="External"/><Relationship Id="rId3696" Type="http://schemas.openxmlformats.org/officeDocument/2006/relationships/hyperlink" Target="https://angel.co/company/airworks" TargetMode="External"/><Relationship Id="rId1034" Type="http://schemas.openxmlformats.org/officeDocument/2006/relationships/hyperlink" Target="https://www.kasa.com/" TargetMode="External"/><Relationship Id="rId2365" Type="http://schemas.openxmlformats.org/officeDocument/2006/relationships/hyperlink" Target="https://stufstorage.com/" TargetMode="External"/><Relationship Id="rId3695" Type="http://schemas.openxmlformats.org/officeDocument/2006/relationships/hyperlink" Target="http://stasher.com" TargetMode="External"/><Relationship Id="rId1035" Type="http://schemas.openxmlformats.org/officeDocument/2006/relationships/hyperlink" Target="https://www.crunchbase.com/funding_round/kasa-living-series-a--a2427dcb" TargetMode="External"/><Relationship Id="rId2366" Type="http://schemas.openxmlformats.org/officeDocument/2006/relationships/hyperlink" Target="https://www.crunchbase.com/funding_round/stuf-series-a--24076cfc" TargetMode="External"/><Relationship Id="rId3698" Type="http://schemas.openxmlformats.org/officeDocument/2006/relationships/hyperlink" Target="http://airworks.io/" TargetMode="External"/><Relationship Id="rId1036" Type="http://schemas.openxmlformats.org/officeDocument/2006/relationships/hyperlink" Target="https://www.crunchbase.com/funding_round/kasa-living-series-b--71002a5d" TargetMode="External"/><Relationship Id="rId2367" Type="http://schemas.openxmlformats.org/officeDocument/2006/relationships/hyperlink" Target="https://www.crunchbase.com/organization/aedifion" TargetMode="External"/><Relationship Id="rId3697" Type="http://schemas.openxmlformats.org/officeDocument/2006/relationships/hyperlink" Target="https://www.crunchbase.com/organization/airworks" TargetMode="External"/><Relationship Id="rId1026" Type="http://schemas.openxmlformats.org/officeDocument/2006/relationships/hyperlink" Target="https://www.crunchbase.com/funding_round/butterflymx-series-c--b8182f31" TargetMode="External"/><Relationship Id="rId2357" Type="http://schemas.openxmlformats.org/officeDocument/2006/relationships/hyperlink" Target="https://angel.co/company/modulous" TargetMode="External"/><Relationship Id="rId3689" Type="http://schemas.openxmlformats.org/officeDocument/2006/relationships/hyperlink" Target="https://www.crunchbase.com/funding_round/ecosync-equity-crowdfunding--85500930" TargetMode="External"/><Relationship Id="rId1027" Type="http://schemas.openxmlformats.org/officeDocument/2006/relationships/hyperlink" Target="https://www.crunchbase.com/organization/jobox-2" TargetMode="External"/><Relationship Id="rId2358" Type="http://schemas.openxmlformats.org/officeDocument/2006/relationships/hyperlink" Target="https://www.crunchbase.com/organization/modulous" TargetMode="External"/><Relationship Id="rId3688" Type="http://schemas.openxmlformats.org/officeDocument/2006/relationships/hyperlink" Target="https://www.crunchbase.com/funding_round/ecosync-seed--99f76f77" TargetMode="External"/><Relationship Id="rId1028" Type="http://schemas.openxmlformats.org/officeDocument/2006/relationships/hyperlink" Target="https://www.jobox.ai/" TargetMode="External"/><Relationship Id="rId2359" Type="http://schemas.openxmlformats.org/officeDocument/2006/relationships/hyperlink" Target="https://www.modulous.com/" TargetMode="External"/><Relationship Id="rId1029" Type="http://schemas.openxmlformats.org/officeDocument/2006/relationships/hyperlink" Target="https://angel.co/company/doxel" TargetMode="External"/><Relationship Id="rId3681" Type="http://schemas.openxmlformats.org/officeDocument/2006/relationships/hyperlink" Target="https://www.crunchbase.com/organization/canvas-offices" TargetMode="External"/><Relationship Id="rId2350" Type="http://schemas.openxmlformats.org/officeDocument/2006/relationships/hyperlink" Target="https://www.crunchbase.com/funding_round/moveez-series-unknown--c6d12232" TargetMode="External"/><Relationship Id="rId3680" Type="http://schemas.openxmlformats.org/officeDocument/2006/relationships/hyperlink" Target="https://angel.co/company/canvas-offices" TargetMode="External"/><Relationship Id="rId1020" Type="http://schemas.openxmlformats.org/officeDocument/2006/relationships/hyperlink" Target="https://angel.co/company/butterflymx" TargetMode="External"/><Relationship Id="rId2351" Type="http://schemas.openxmlformats.org/officeDocument/2006/relationships/hyperlink" Target="https://www.crunchbase.com/funding_round/moveez-seed--4bbefb49" TargetMode="External"/><Relationship Id="rId3683" Type="http://schemas.openxmlformats.org/officeDocument/2006/relationships/hyperlink" Target="https://www.crunchbase.com/funding_round/canvas-offices-debt-financing--4548579c" TargetMode="External"/><Relationship Id="rId1021" Type="http://schemas.openxmlformats.org/officeDocument/2006/relationships/hyperlink" Target="https://www.crunchbase.com/organization/butterflymx" TargetMode="External"/><Relationship Id="rId2352" Type="http://schemas.openxmlformats.org/officeDocument/2006/relationships/hyperlink" Target="https://www.crunchbase.com/funding_round/moveez-series-a--8bff1daf" TargetMode="External"/><Relationship Id="rId3682" Type="http://schemas.openxmlformats.org/officeDocument/2006/relationships/hyperlink" Target="https://canvasoffices.co.uk/" TargetMode="External"/><Relationship Id="rId1022" Type="http://schemas.openxmlformats.org/officeDocument/2006/relationships/hyperlink" Target="https://butterflymx.com/" TargetMode="External"/><Relationship Id="rId2353" Type="http://schemas.openxmlformats.org/officeDocument/2006/relationships/hyperlink" Target="https://www.crunchbase.com/organization/greyter" TargetMode="External"/><Relationship Id="rId3685" Type="http://schemas.openxmlformats.org/officeDocument/2006/relationships/hyperlink" Target="https://www.crunchbase.com/organization/ecosync" TargetMode="External"/><Relationship Id="rId1023" Type="http://schemas.openxmlformats.org/officeDocument/2006/relationships/hyperlink" Target="https://www.crunchbase.com/funding_round/butterflymx-seed--8fc2f6b5" TargetMode="External"/><Relationship Id="rId2354" Type="http://schemas.openxmlformats.org/officeDocument/2006/relationships/hyperlink" Target="https://greyter.com/" TargetMode="External"/><Relationship Id="rId3684" Type="http://schemas.openxmlformats.org/officeDocument/2006/relationships/hyperlink" Target="https://wellfound.com/company/ecosync" TargetMode="External"/><Relationship Id="rId1024" Type="http://schemas.openxmlformats.org/officeDocument/2006/relationships/hyperlink" Target="https://www.crunchbase.com/funding_round/butterflymx-series-a--862d8c5b" TargetMode="External"/><Relationship Id="rId2355" Type="http://schemas.openxmlformats.org/officeDocument/2006/relationships/hyperlink" Target="https://www.crunchbase.com/funding_round/greyter-series-a--b9044dc2" TargetMode="External"/><Relationship Id="rId3687" Type="http://schemas.openxmlformats.org/officeDocument/2006/relationships/hyperlink" Target="https://www.crunchbase.com/funding_round/ecosync-pre-seed--35a8dab0" TargetMode="External"/><Relationship Id="rId1025" Type="http://schemas.openxmlformats.org/officeDocument/2006/relationships/hyperlink" Target="https://www.crunchbase.com/funding_round/butterflymx-series-b--a51399a1" TargetMode="External"/><Relationship Id="rId2356" Type="http://schemas.openxmlformats.org/officeDocument/2006/relationships/hyperlink" Target="https://www.crunchbase.com/funding_round/greyter-series-b--452ca53e" TargetMode="External"/><Relationship Id="rId3686" Type="http://schemas.openxmlformats.org/officeDocument/2006/relationships/hyperlink" Target="https://ecosync.energy/" TargetMode="External"/><Relationship Id="rId1090" Type="http://schemas.openxmlformats.org/officeDocument/2006/relationships/hyperlink" Target="https://angel.co/company/kitchen-united" TargetMode="External"/><Relationship Id="rId1091" Type="http://schemas.openxmlformats.org/officeDocument/2006/relationships/hyperlink" Target="https://www.crunchbase.com/organization/kitchen-united" TargetMode="External"/><Relationship Id="rId1092" Type="http://schemas.openxmlformats.org/officeDocument/2006/relationships/hyperlink" Target="https://www.kitchenunited.com/" TargetMode="External"/><Relationship Id="rId1093" Type="http://schemas.openxmlformats.org/officeDocument/2006/relationships/hyperlink" Target="https://angel.co/company/mint-house" TargetMode="External"/><Relationship Id="rId1094" Type="http://schemas.openxmlformats.org/officeDocument/2006/relationships/hyperlink" Target="https://www.crunchbase.com/organization/mint-house" TargetMode="External"/><Relationship Id="rId1095" Type="http://schemas.openxmlformats.org/officeDocument/2006/relationships/hyperlink" Target="https://www.minthouse.com/" TargetMode="External"/><Relationship Id="rId1096" Type="http://schemas.openxmlformats.org/officeDocument/2006/relationships/hyperlink" Target="https://www.crunchbase.com/funding_round/mint-house-series-a--dcd9f9b9" TargetMode="External"/><Relationship Id="rId1097" Type="http://schemas.openxmlformats.org/officeDocument/2006/relationships/hyperlink" Target="https://angel.co/passivelogic" TargetMode="External"/><Relationship Id="rId1098" Type="http://schemas.openxmlformats.org/officeDocument/2006/relationships/hyperlink" Target="https://www.crunchbase.com/organization/passivelogic" TargetMode="External"/><Relationship Id="rId1099" Type="http://schemas.openxmlformats.org/officeDocument/2006/relationships/hyperlink" Target="http://www.passivelogic.com/" TargetMode="External"/><Relationship Id="rId1080" Type="http://schemas.openxmlformats.org/officeDocument/2006/relationships/hyperlink" Target="https://angel.co/realpage" TargetMode="External"/><Relationship Id="rId1081" Type="http://schemas.openxmlformats.org/officeDocument/2006/relationships/hyperlink" Target="https://www.crunchbase.com/organization/realpage" TargetMode="External"/><Relationship Id="rId1082" Type="http://schemas.openxmlformats.org/officeDocument/2006/relationships/hyperlink" Target="http://www.realpage.com/" TargetMode="External"/><Relationship Id="rId1083" Type="http://schemas.openxmlformats.org/officeDocument/2006/relationships/hyperlink" Target="https://www.crunchbase.com/organization/selina-finance-limited" TargetMode="External"/><Relationship Id="rId1084" Type="http://schemas.openxmlformats.org/officeDocument/2006/relationships/hyperlink" Target="https://www.selinaadvance.com/" TargetMode="External"/><Relationship Id="rId1085" Type="http://schemas.openxmlformats.org/officeDocument/2006/relationships/hyperlink" Target="https://www.crunchbase.com/organization/capacityai" TargetMode="External"/><Relationship Id="rId1086" Type="http://schemas.openxmlformats.org/officeDocument/2006/relationships/hyperlink" Target="https://capacity.com/" TargetMode="External"/><Relationship Id="rId1087" Type="http://schemas.openxmlformats.org/officeDocument/2006/relationships/hyperlink" Target="https://angel.co/company/starcity" TargetMode="External"/><Relationship Id="rId1088" Type="http://schemas.openxmlformats.org/officeDocument/2006/relationships/hyperlink" Target="https://www.crunchbase.com/organization/starcity" TargetMode="External"/><Relationship Id="rId1089" Type="http://schemas.openxmlformats.org/officeDocument/2006/relationships/hyperlink" Target="http://www.starcity.com/" TargetMode="External"/><Relationship Id="rId2423" Type="http://schemas.openxmlformats.org/officeDocument/2006/relationships/hyperlink" Target="https://www.crunchbase.com/organization/route-b905" TargetMode="External"/><Relationship Id="rId3755" Type="http://schemas.openxmlformats.org/officeDocument/2006/relationships/hyperlink" Target="https://www.crunchbase.com/organization/billionbricks" TargetMode="External"/><Relationship Id="rId2424" Type="http://schemas.openxmlformats.org/officeDocument/2006/relationships/hyperlink" Target="https://route.com/" TargetMode="External"/><Relationship Id="rId3754" Type="http://schemas.openxmlformats.org/officeDocument/2006/relationships/hyperlink" Target="https://www.crunchbase.com/funding_round/accacia-seed--b18949fe" TargetMode="External"/><Relationship Id="rId2425" Type="http://schemas.openxmlformats.org/officeDocument/2006/relationships/hyperlink" Target="https://www.crunchbase.com/organization/smarten-spaces" TargetMode="External"/><Relationship Id="rId3757" Type="http://schemas.openxmlformats.org/officeDocument/2006/relationships/hyperlink" Target="https://www.crunchbase.com/funding_round/billionbricks-seed--f9f28b45" TargetMode="External"/><Relationship Id="rId2426" Type="http://schemas.openxmlformats.org/officeDocument/2006/relationships/hyperlink" Target="https://smartenspaces.com/" TargetMode="External"/><Relationship Id="rId3756" Type="http://schemas.openxmlformats.org/officeDocument/2006/relationships/hyperlink" Target="http://www.billionbricks.org/" TargetMode="External"/><Relationship Id="rId2427" Type="http://schemas.openxmlformats.org/officeDocument/2006/relationships/hyperlink" Target="https://www.crunchbase.com/funding_round/smarten-spaces-series-a--662c6e00" TargetMode="External"/><Relationship Id="rId3759" Type="http://schemas.openxmlformats.org/officeDocument/2006/relationships/hyperlink" Target="https://www.crunchbase.com/organization/raise-robotics" TargetMode="External"/><Relationship Id="rId2428" Type="http://schemas.openxmlformats.org/officeDocument/2006/relationships/hyperlink" Target="https://www.crunchbase.com/organization/bren-i-leri" TargetMode="External"/><Relationship Id="rId3758" Type="http://schemas.openxmlformats.org/officeDocument/2006/relationships/hyperlink" Target="https://wellfound.com/company/raise-robotics-2" TargetMode="External"/><Relationship Id="rId2429" Type="http://schemas.openxmlformats.org/officeDocument/2006/relationships/hyperlink" Target="https://www.brenpower.co/" TargetMode="External"/><Relationship Id="rId3751" Type="http://schemas.openxmlformats.org/officeDocument/2006/relationships/hyperlink" Target="https://www.crunchbase.com/funding_round/sensgreen-seed--b8a612e4" TargetMode="External"/><Relationship Id="rId2420" Type="http://schemas.openxmlformats.org/officeDocument/2006/relationships/hyperlink" Target="https://www.crunchbase.com/funding_round/desana-network-seed--763789df" TargetMode="External"/><Relationship Id="rId3750" Type="http://schemas.openxmlformats.org/officeDocument/2006/relationships/hyperlink" Target="https://www.sensgreen.com/" TargetMode="External"/><Relationship Id="rId2421" Type="http://schemas.openxmlformats.org/officeDocument/2006/relationships/hyperlink" Target="https://www.crunchbase.com/organization/entic" TargetMode="External"/><Relationship Id="rId3753" Type="http://schemas.openxmlformats.org/officeDocument/2006/relationships/hyperlink" Target="https://accacia.ai/" TargetMode="External"/><Relationship Id="rId2422" Type="http://schemas.openxmlformats.org/officeDocument/2006/relationships/hyperlink" Target="https://www.entic.com/" TargetMode="External"/><Relationship Id="rId3752" Type="http://schemas.openxmlformats.org/officeDocument/2006/relationships/hyperlink" Target="https://www.crunchbase.com/organization/accacia" TargetMode="External"/><Relationship Id="rId2412" Type="http://schemas.openxmlformats.org/officeDocument/2006/relationships/hyperlink" Target="https://www.crunchbase.com/funding_round/residently-pre-seed--e57e20a2" TargetMode="External"/><Relationship Id="rId3744" Type="http://schemas.openxmlformats.org/officeDocument/2006/relationships/hyperlink" Target="https://www.crunchbase.com/organization/outlaw" TargetMode="External"/><Relationship Id="rId2413" Type="http://schemas.openxmlformats.org/officeDocument/2006/relationships/hyperlink" Target="https://www.crunchbase.com/funding_round/residently-seed--88b729c4" TargetMode="External"/><Relationship Id="rId3743" Type="http://schemas.openxmlformats.org/officeDocument/2006/relationships/hyperlink" Target="https://angel.co/company/outlaw" TargetMode="External"/><Relationship Id="rId2414" Type="http://schemas.openxmlformats.org/officeDocument/2006/relationships/hyperlink" Target="https://www.crunchbase.com/organization/united-dwelling" TargetMode="External"/><Relationship Id="rId3746" Type="http://schemas.openxmlformats.org/officeDocument/2006/relationships/hyperlink" Target="https://www.crunchbase.com/organization/7analytics" TargetMode="External"/><Relationship Id="rId2415" Type="http://schemas.openxmlformats.org/officeDocument/2006/relationships/hyperlink" Target="http://www.uniteddwelling.com" TargetMode="External"/><Relationship Id="rId3745" Type="http://schemas.openxmlformats.org/officeDocument/2006/relationships/hyperlink" Target="http://getoutlaw.com/" TargetMode="External"/><Relationship Id="rId2416" Type="http://schemas.openxmlformats.org/officeDocument/2006/relationships/hyperlink" Target="https://wellfound.com/company/desana" TargetMode="External"/><Relationship Id="rId3748" Type="http://schemas.openxmlformats.org/officeDocument/2006/relationships/hyperlink" Target="https://www.crunchbase.com/funding_round/7analytics-seed--774fb052" TargetMode="External"/><Relationship Id="rId2417" Type="http://schemas.openxmlformats.org/officeDocument/2006/relationships/hyperlink" Target="https://www.crunchbase.com/organization/desana-network" TargetMode="External"/><Relationship Id="rId3747" Type="http://schemas.openxmlformats.org/officeDocument/2006/relationships/hyperlink" Target="https://www.7analytics.no/" TargetMode="External"/><Relationship Id="rId2418" Type="http://schemas.openxmlformats.org/officeDocument/2006/relationships/hyperlink" Target="https://desana.io/" TargetMode="External"/><Relationship Id="rId2419" Type="http://schemas.openxmlformats.org/officeDocument/2006/relationships/hyperlink" Target="https://www.crunchbase.com/funding_round/desana-network-pre-seed--b48c2285" TargetMode="External"/><Relationship Id="rId3749" Type="http://schemas.openxmlformats.org/officeDocument/2006/relationships/hyperlink" Target="https://www.crunchbase.com/organization/sensgreen" TargetMode="External"/><Relationship Id="rId3740" Type="http://schemas.openxmlformats.org/officeDocument/2006/relationships/hyperlink" Target="https://angel.co/company/pronto-housing" TargetMode="External"/><Relationship Id="rId2410" Type="http://schemas.openxmlformats.org/officeDocument/2006/relationships/hyperlink" Target="https://www.crunchbase.com/organization/residently" TargetMode="External"/><Relationship Id="rId3742" Type="http://schemas.openxmlformats.org/officeDocument/2006/relationships/hyperlink" Target="https://www.prontohousing.com/" TargetMode="External"/><Relationship Id="rId2411" Type="http://schemas.openxmlformats.org/officeDocument/2006/relationships/hyperlink" Target="https://residently.com/" TargetMode="External"/><Relationship Id="rId3741" Type="http://schemas.openxmlformats.org/officeDocument/2006/relationships/hyperlink" Target="https://www.crunchbase.com/organization/pronto-housing" TargetMode="External"/><Relationship Id="rId1114" Type="http://schemas.openxmlformats.org/officeDocument/2006/relationships/hyperlink" Target="https://angel.co/company/upkeep-maintenance-management" TargetMode="External"/><Relationship Id="rId2445" Type="http://schemas.openxmlformats.org/officeDocument/2006/relationships/hyperlink" Target="https://www.crunchbase.com/funding_round/airly-ddd4-seed--d2fdc756" TargetMode="External"/><Relationship Id="rId3777" Type="http://schemas.openxmlformats.org/officeDocument/2006/relationships/hyperlink" Target="https://www.branchfurniture.com/" TargetMode="External"/><Relationship Id="rId1115" Type="http://schemas.openxmlformats.org/officeDocument/2006/relationships/hyperlink" Target="https://www.crunchbase.com/organization/upkeep-maintenance-management" TargetMode="External"/><Relationship Id="rId2446" Type="http://schemas.openxmlformats.org/officeDocument/2006/relationships/hyperlink" Target="https://www.crunchbase.com/funding_round/airly-ddd4-series-unknown--d36d34df" TargetMode="External"/><Relationship Id="rId3776" Type="http://schemas.openxmlformats.org/officeDocument/2006/relationships/hyperlink" Target="https://www.crunchbase.com/organization/bureauwork" TargetMode="External"/><Relationship Id="rId1116" Type="http://schemas.openxmlformats.org/officeDocument/2006/relationships/hyperlink" Target="http://www.onupkeep.com" TargetMode="External"/><Relationship Id="rId2447" Type="http://schemas.openxmlformats.org/officeDocument/2006/relationships/hyperlink" Target="https://www.crunchbase.com/funding_round/airly-ddd4-series-a--abcf80dc" TargetMode="External"/><Relationship Id="rId3779" Type="http://schemas.openxmlformats.org/officeDocument/2006/relationships/hyperlink" Target="https://angel.co/company/irestify" TargetMode="External"/><Relationship Id="rId1117" Type="http://schemas.openxmlformats.org/officeDocument/2006/relationships/hyperlink" Target="https://angel.co/company/housecall" TargetMode="External"/><Relationship Id="rId2448" Type="http://schemas.openxmlformats.org/officeDocument/2006/relationships/hyperlink" Target="https://www.crunchbase.com/funding_round/airly-ddd4-grant--3eda651a" TargetMode="External"/><Relationship Id="rId3778" Type="http://schemas.openxmlformats.org/officeDocument/2006/relationships/hyperlink" Target="https://www.crunchbase.com/funding_round/bureauwork-seed--1e4bf1e0" TargetMode="External"/><Relationship Id="rId1118" Type="http://schemas.openxmlformats.org/officeDocument/2006/relationships/hyperlink" Target="https://www.crunchbase.com/organization/housecall" TargetMode="External"/><Relationship Id="rId2449" Type="http://schemas.openxmlformats.org/officeDocument/2006/relationships/hyperlink" Target="https://www.crunchbase.com/organization/sunroom-rentals" TargetMode="External"/><Relationship Id="rId1119" Type="http://schemas.openxmlformats.org/officeDocument/2006/relationships/hyperlink" Target="https://www.housecallpro.com/" TargetMode="External"/><Relationship Id="rId3771" Type="http://schemas.openxmlformats.org/officeDocument/2006/relationships/hyperlink" Target="https://spaceflow.io/en" TargetMode="External"/><Relationship Id="rId2440" Type="http://schemas.openxmlformats.org/officeDocument/2006/relationships/hyperlink" Target="https://www.crunchbase.com/organization/rugged-robotics" TargetMode="External"/><Relationship Id="rId3770" Type="http://schemas.openxmlformats.org/officeDocument/2006/relationships/hyperlink" Target="https://www.crunchbase.com/organization/spaceflow" TargetMode="External"/><Relationship Id="rId1110" Type="http://schemas.openxmlformats.org/officeDocument/2006/relationships/hyperlink" Target="https://www.joinsaltbox.com/" TargetMode="External"/><Relationship Id="rId2441" Type="http://schemas.openxmlformats.org/officeDocument/2006/relationships/hyperlink" Target="https://www.rugged-robotics.com/" TargetMode="External"/><Relationship Id="rId3773" Type="http://schemas.openxmlformats.org/officeDocument/2006/relationships/hyperlink" Target="https://www.crunchbase.com/organization/1aim-gmbh" TargetMode="External"/><Relationship Id="rId1111" Type="http://schemas.openxmlformats.org/officeDocument/2006/relationships/hyperlink" Target="https://www.crunchbase.com/funding_round/saltbox-com-seed--021c4378" TargetMode="External"/><Relationship Id="rId2442" Type="http://schemas.openxmlformats.org/officeDocument/2006/relationships/hyperlink" Target="https://angel.co/company/airly-3" TargetMode="External"/><Relationship Id="rId3772" Type="http://schemas.openxmlformats.org/officeDocument/2006/relationships/hyperlink" Target="https://angel.co/company/1aim" TargetMode="External"/><Relationship Id="rId1112" Type="http://schemas.openxmlformats.org/officeDocument/2006/relationships/hyperlink" Target="https://www.crunchbase.com/funding_round/saltbox-com-series-a--f1358399" TargetMode="External"/><Relationship Id="rId2443" Type="http://schemas.openxmlformats.org/officeDocument/2006/relationships/hyperlink" Target="https://www.crunchbase.com/organization/airly-ddd4" TargetMode="External"/><Relationship Id="rId3775" Type="http://schemas.openxmlformats.org/officeDocument/2006/relationships/hyperlink" Target="https://angel.co/company/branchfurniture" TargetMode="External"/><Relationship Id="rId1113" Type="http://schemas.openxmlformats.org/officeDocument/2006/relationships/hyperlink" Target="https://www.crunchbase.com/funding_round/saltbox-com-series-b--a83e991b" TargetMode="External"/><Relationship Id="rId2444" Type="http://schemas.openxmlformats.org/officeDocument/2006/relationships/hyperlink" Target="https://airly.org/en/" TargetMode="External"/><Relationship Id="rId3774" Type="http://schemas.openxmlformats.org/officeDocument/2006/relationships/hyperlink" Target="https://www.crunchbase.com/funding_round/1aim-gmbh-undisclosed--18a8f03f" TargetMode="External"/><Relationship Id="rId1103" Type="http://schemas.openxmlformats.org/officeDocument/2006/relationships/hyperlink" Target="https://www.crunchbase.com/funding_round/rentivity-seed--58d6647a" TargetMode="External"/><Relationship Id="rId2434" Type="http://schemas.openxmlformats.org/officeDocument/2006/relationships/hyperlink" Target="https://www.crunchbase.com/funding_round/stake-properties-seed--a9cfe109" TargetMode="External"/><Relationship Id="rId3766" Type="http://schemas.openxmlformats.org/officeDocument/2006/relationships/hyperlink" Target="https://www.crunchbase.com/organization/propi-9802" TargetMode="External"/><Relationship Id="rId1104" Type="http://schemas.openxmlformats.org/officeDocument/2006/relationships/hyperlink" Target="https://www.crunchbase.com/organization/homz-global" TargetMode="External"/><Relationship Id="rId2435" Type="http://schemas.openxmlformats.org/officeDocument/2006/relationships/hyperlink" Target="https://www.crunchbase.com/organization/teleo" TargetMode="External"/><Relationship Id="rId3765" Type="http://schemas.openxmlformats.org/officeDocument/2006/relationships/hyperlink" Target="https://www.crunchbase.com/funding_round/renovate-robotics-pre-seed--6a51bcc3" TargetMode="External"/><Relationship Id="rId1105" Type="http://schemas.openxmlformats.org/officeDocument/2006/relationships/hyperlink" Target="https://www.homzglobal.com/" TargetMode="External"/><Relationship Id="rId2436" Type="http://schemas.openxmlformats.org/officeDocument/2006/relationships/hyperlink" Target="https://www.teleo.ai/" TargetMode="External"/><Relationship Id="rId3768" Type="http://schemas.openxmlformats.org/officeDocument/2006/relationships/hyperlink" Target="https://www.crunchbase.com/funding_round/propi-9802-pre-seed--5edae6c4" TargetMode="External"/><Relationship Id="rId1106" Type="http://schemas.openxmlformats.org/officeDocument/2006/relationships/hyperlink" Target="https://www.crunchbase.com/funding_round/homz-global-pre-seed--bac78b88" TargetMode="External"/><Relationship Id="rId2437" Type="http://schemas.openxmlformats.org/officeDocument/2006/relationships/hyperlink" Target="https://angel.co/company/occupier" TargetMode="External"/><Relationship Id="rId3767" Type="http://schemas.openxmlformats.org/officeDocument/2006/relationships/hyperlink" Target="https://propilatam.com/" TargetMode="External"/><Relationship Id="rId1107" Type="http://schemas.openxmlformats.org/officeDocument/2006/relationships/hyperlink" Target="https://www.crunchbase.com/organization/buildops" TargetMode="External"/><Relationship Id="rId2438" Type="http://schemas.openxmlformats.org/officeDocument/2006/relationships/hyperlink" Target="https://www.crunchbase.com/organization/occupier" TargetMode="External"/><Relationship Id="rId1108" Type="http://schemas.openxmlformats.org/officeDocument/2006/relationships/hyperlink" Target="https://buildops.com/" TargetMode="External"/><Relationship Id="rId2439" Type="http://schemas.openxmlformats.org/officeDocument/2006/relationships/hyperlink" Target="http://occupier.com/" TargetMode="External"/><Relationship Id="rId3769" Type="http://schemas.openxmlformats.org/officeDocument/2006/relationships/hyperlink" Target="https://angel.co/projects/769754-spaceflow-app-for-android?src=startup_profile" TargetMode="External"/><Relationship Id="rId1109" Type="http://schemas.openxmlformats.org/officeDocument/2006/relationships/hyperlink" Target="https://www.crunchbase.com/organization/saltbox-com/company_financials" TargetMode="External"/><Relationship Id="rId3760" Type="http://schemas.openxmlformats.org/officeDocument/2006/relationships/hyperlink" Target="https://raiserobotics.ai/" TargetMode="External"/><Relationship Id="rId2430" Type="http://schemas.openxmlformats.org/officeDocument/2006/relationships/hyperlink" Target="https://www.crunchbase.com/funding_round/bren-i-leri-seed--2e9829c2" TargetMode="External"/><Relationship Id="rId3762" Type="http://schemas.openxmlformats.org/officeDocument/2006/relationships/hyperlink" Target="https://wellfound.com/company/renovate-robotics" TargetMode="External"/><Relationship Id="rId1100" Type="http://schemas.openxmlformats.org/officeDocument/2006/relationships/hyperlink" Target="https://www.crunchbase.com/funding_round/passivelogic-series-a--d208f836" TargetMode="External"/><Relationship Id="rId2431" Type="http://schemas.openxmlformats.org/officeDocument/2006/relationships/hyperlink" Target="https://angel.co/company/stake-6" TargetMode="External"/><Relationship Id="rId3761" Type="http://schemas.openxmlformats.org/officeDocument/2006/relationships/hyperlink" Target="https://www.crunchbase.com/funding_round/raise-robotics-pre-seed--2757844f" TargetMode="External"/><Relationship Id="rId1101" Type="http://schemas.openxmlformats.org/officeDocument/2006/relationships/hyperlink" Target="https://www.crunchbase.com/organization/rentivity" TargetMode="External"/><Relationship Id="rId2432" Type="http://schemas.openxmlformats.org/officeDocument/2006/relationships/hyperlink" Target="https://www.crunchbase.com/organization/stake-properties" TargetMode="External"/><Relationship Id="rId3764" Type="http://schemas.openxmlformats.org/officeDocument/2006/relationships/hyperlink" Target="https://renovaterobotics.com/" TargetMode="External"/><Relationship Id="rId1102" Type="http://schemas.openxmlformats.org/officeDocument/2006/relationships/hyperlink" Target="http://rentivity.com/" TargetMode="External"/><Relationship Id="rId2433" Type="http://schemas.openxmlformats.org/officeDocument/2006/relationships/hyperlink" Target="https://getstake.com/" TargetMode="External"/><Relationship Id="rId3763" Type="http://schemas.openxmlformats.org/officeDocument/2006/relationships/hyperlink" Target="https://www.crunchbase.com/organization/renovate-robotics" TargetMode="External"/><Relationship Id="rId3711" Type="http://schemas.openxmlformats.org/officeDocument/2006/relationships/hyperlink" Target="https://angel.co/company/casa-blanca" TargetMode="External"/><Relationship Id="rId3710" Type="http://schemas.openxmlformats.org/officeDocument/2006/relationships/hyperlink" Target="https://park-here.eu/" TargetMode="External"/><Relationship Id="rId3713" Type="http://schemas.openxmlformats.org/officeDocument/2006/relationships/hyperlink" Target="https://www.casa-blanca.com/" TargetMode="External"/><Relationship Id="rId3712" Type="http://schemas.openxmlformats.org/officeDocument/2006/relationships/hyperlink" Target="https://www.crunchbase.com/organization/casa-blanca" TargetMode="External"/><Relationship Id="rId3715" Type="http://schemas.openxmlformats.org/officeDocument/2006/relationships/hyperlink" Target="https://www.crunchbase.com/organization/gravy-bef9" TargetMode="External"/><Relationship Id="rId3714" Type="http://schemas.openxmlformats.org/officeDocument/2006/relationships/hyperlink" Target="https://procurepro.co/" TargetMode="External"/><Relationship Id="rId3717" Type="http://schemas.openxmlformats.org/officeDocument/2006/relationships/hyperlink" Target="https://www.crunchbase.com/organization/ownly-b53f" TargetMode="External"/><Relationship Id="rId3716" Type="http://schemas.openxmlformats.org/officeDocument/2006/relationships/hyperlink" Target="https://www.gravy.co/" TargetMode="External"/><Relationship Id="rId3719" Type="http://schemas.openxmlformats.org/officeDocument/2006/relationships/hyperlink" Target="https://www.crunchbase.com/funding_round/ownly-b53f-seed--2af1f3da" TargetMode="External"/><Relationship Id="rId3718" Type="http://schemas.openxmlformats.org/officeDocument/2006/relationships/hyperlink" Target="https://theownly.io/" TargetMode="External"/><Relationship Id="rId3700" Type="http://schemas.openxmlformats.org/officeDocument/2006/relationships/hyperlink" Target="https://wellfound.com/company/oculai" TargetMode="External"/><Relationship Id="rId3702" Type="http://schemas.openxmlformats.org/officeDocument/2006/relationships/hyperlink" Target="https://oculai.de/" TargetMode="External"/><Relationship Id="rId3701" Type="http://schemas.openxmlformats.org/officeDocument/2006/relationships/hyperlink" Target="https://www.crunchbase.com/organization/oculai" TargetMode="External"/><Relationship Id="rId3704" Type="http://schemas.openxmlformats.org/officeDocument/2006/relationships/hyperlink" Target="https://www.crunchbase.com/funding_round/oculai-seed--cc82af5b" TargetMode="External"/><Relationship Id="rId3703" Type="http://schemas.openxmlformats.org/officeDocument/2006/relationships/hyperlink" Target="https://www.crunchbase.com/funding_round/oculai-pre-seed--be0e4e71" TargetMode="External"/><Relationship Id="rId3706" Type="http://schemas.openxmlformats.org/officeDocument/2006/relationships/hyperlink" Target="https://www.crunchbase.com/organization/auctree" TargetMode="External"/><Relationship Id="rId3705" Type="http://schemas.openxmlformats.org/officeDocument/2006/relationships/hyperlink" Target="https://wellfound.com/company/auctree" TargetMode="External"/><Relationship Id="rId3708" Type="http://schemas.openxmlformats.org/officeDocument/2006/relationships/hyperlink" Target="https://www.crunchbase.com/funding_round/auctree-seed--f4d8eaef" TargetMode="External"/><Relationship Id="rId3707" Type="http://schemas.openxmlformats.org/officeDocument/2006/relationships/hyperlink" Target="https://auctree.com/" TargetMode="External"/><Relationship Id="rId3709" Type="http://schemas.openxmlformats.org/officeDocument/2006/relationships/hyperlink" Target="https://www.crunchbase.com/organization/parkhere-2" TargetMode="External"/><Relationship Id="rId2401" Type="http://schemas.openxmlformats.org/officeDocument/2006/relationships/hyperlink" Target="https://angel.co/company/bilt-1" TargetMode="External"/><Relationship Id="rId3733" Type="http://schemas.openxmlformats.org/officeDocument/2006/relationships/hyperlink" Target="https://angel.co/enodo-inc" TargetMode="External"/><Relationship Id="rId2402" Type="http://schemas.openxmlformats.org/officeDocument/2006/relationships/hyperlink" Target="https://www.crunchbase.com/organization/bilt" TargetMode="External"/><Relationship Id="rId3732" Type="http://schemas.openxmlformats.org/officeDocument/2006/relationships/hyperlink" Target="https://avvir.io/" TargetMode="External"/><Relationship Id="rId2403" Type="http://schemas.openxmlformats.org/officeDocument/2006/relationships/hyperlink" Target="http://www.biltapp.com/" TargetMode="External"/><Relationship Id="rId3735" Type="http://schemas.openxmlformats.org/officeDocument/2006/relationships/hyperlink" Target="http://www.enodoinc.com/" TargetMode="External"/><Relationship Id="rId2404" Type="http://schemas.openxmlformats.org/officeDocument/2006/relationships/hyperlink" Target="https://www.crunchbase.com/funding_round/bilt-series-unknown--ccca5c85" TargetMode="External"/><Relationship Id="rId3734" Type="http://schemas.openxmlformats.org/officeDocument/2006/relationships/hyperlink" Target="https://www.crunchbase.com/organization/enodo" TargetMode="External"/><Relationship Id="rId2405" Type="http://schemas.openxmlformats.org/officeDocument/2006/relationships/hyperlink" Target="https://www.crunchbase.com/funding_round/bilt-grant--30ddda07" TargetMode="External"/><Relationship Id="rId3737" Type="http://schemas.openxmlformats.org/officeDocument/2006/relationships/hyperlink" Target="https://www.crunchbase.com/organization/locale-5a6d" TargetMode="External"/><Relationship Id="rId2406" Type="http://schemas.openxmlformats.org/officeDocument/2006/relationships/hyperlink" Target="https://angel.co/company/extracker" TargetMode="External"/><Relationship Id="rId3736" Type="http://schemas.openxmlformats.org/officeDocument/2006/relationships/hyperlink" Target="https://angel.co/company/staywithlocale" TargetMode="External"/><Relationship Id="rId2407" Type="http://schemas.openxmlformats.org/officeDocument/2006/relationships/hyperlink" Target="https://www.crunchbase.com/organization/extracker" TargetMode="External"/><Relationship Id="rId3739" Type="http://schemas.openxmlformats.org/officeDocument/2006/relationships/hyperlink" Target="https://www.crunchbase.com/funding_round/locale-5a6d-seed--d301e36a" TargetMode="External"/><Relationship Id="rId2408" Type="http://schemas.openxmlformats.org/officeDocument/2006/relationships/hyperlink" Target="https://www.extracker.com/" TargetMode="External"/><Relationship Id="rId3738" Type="http://schemas.openxmlformats.org/officeDocument/2006/relationships/hyperlink" Target="https://locale.com/" TargetMode="External"/><Relationship Id="rId2409" Type="http://schemas.openxmlformats.org/officeDocument/2006/relationships/hyperlink" Target="https://angel.co/company/residently" TargetMode="External"/><Relationship Id="rId3731" Type="http://schemas.openxmlformats.org/officeDocument/2006/relationships/hyperlink" Target="https://www.crunchbase.com/organization/avvir" TargetMode="External"/><Relationship Id="rId2400" Type="http://schemas.openxmlformats.org/officeDocument/2006/relationships/hyperlink" Target="https://www.eyrus.com/" TargetMode="External"/><Relationship Id="rId3730" Type="http://schemas.openxmlformats.org/officeDocument/2006/relationships/hyperlink" Target="https://angel.co/company/avvir" TargetMode="External"/><Relationship Id="rId3722" Type="http://schemas.openxmlformats.org/officeDocument/2006/relationships/hyperlink" Target="https://www.crunchbase.com/organization/thing-technologies-llc" TargetMode="External"/><Relationship Id="rId3721" Type="http://schemas.openxmlformats.org/officeDocument/2006/relationships/hyperlink" Target="https://www.parvisinvest.com/" TargetMode="External"/><Relationship Id="rId3724" Type="http://schemas.openxmlformats.org/officeDocument/2006/relationships/hyperlink" Target="https://www.crunchbase.com/organization/downsizer" TargetMode="External"/><Relationship Id="rId3723" Type="http://schemas.openxmlformats.org/officeDocument/2006/relationships/hyperlink" Target="https://www.thing-it.com/" TargetMode="External"/><Relationship Id="rId3726" Type="http://schemas.openxmlformats.org/officeDocument/2006/relationships/hyperlink" Target="https://www.crunchbase.com/funding_round/downsizer-seed--8c96dee0" TargetMode="External"/><Relationship Id="rId3725" Type="http://schemas.openxmlformats.org/officeDocument/2006/relationships/hyperlink" Target="https://www.downsizer.com/" TargetMode="External"/><Relationship Id="rId3728" Type="http://schemas.openxmlformats.org/officeDocument/2006/relationships/hyperlink" Target="https://www.crunchbase.com/organization/3den" TargetMode="External"/><Relationship Id="rId3727" Type="http://schemas.openxmlformats.org/officeDocument/2006/relationships/hyperlink" Target="https://angel.co/3den" TargetMode="External"/><Relationship Id="rId3729" Type="http://schemas.openxmlformats.org/officeDocument/2006/relationships/hyperlink" Target="http://3denlounge.com/" TargetMode="External"/><Relationship Id="rId3720" Type="http://schemas.openxmlformats.org/officeDocument/2006/relationships/hyperlink" Target="https://www.crunchbase.com/organization/parvis-invest" TargetMode="External"/><Relationship Id="rId1170" Type="http://schemas.openxmlformats.org/officeDocument/2006/relationships/hyperlink" Target="https://www.crunchbase.com/funding_round/procore-technologies-series-e--f1a5e929" TargetMode="External"/><Relationship Id="rId1171" Type="http://schemas.openxmlformats.org/officeDocument/2006/relationships/hyperlink" Target="https://www.crunchbase.com/organization/terra-co2-technologies" TargetMode="External"/><Relationship Id="rId1172" Type="http://schemas.openxmlformats.org/officeDocument/2006/relationships/hyperlink" Target="https://www.terraco2.com/" TargetMode="External"/><Relationship Id="rId1173" Type="http://schemas.openxmlformats.org/officeDocument/2006/relationships/hyperlink" Target="https://www.crunchbase.com/funding_round/terra-co2-technologies-seed--2d4753c0" TargetMode="External"/><Relationship Id="rId1174" Type="http://schemas.openxmlformats.org/officeDocument/2006/relationships/hyperlink" Target="https://www.crunchbase.com/funding_round/terra-co2-technologies-series-a--65d9d4d3" TargetMode="External"/><Relationship Id="rId1175" Type="http://schemas.openxmlformats.org/officeDocument/2006/relationships/hyperlink" Target="http://zesty.ai/" TargetMode="External"/><Relationship Id="rId1176" Type="http://schemas.openxmlformats.org/officeDocument/2006/relationships/hyperlink" Target="https://angel.co/company/zesty-ai-1" TargetMode="External"/><Relationship Id="rId1177" Type="http://schemas.openxmlformats.org/officeDocument/2006/relationships/hyperlink" Target="https://www.crunchbase.com/organization/zesty-ai" TargetMode="External"/><Relationship Id="rId1178" Type="http://schemas.openxmlformats.org/officeDocument/2006/relationships/hyperlink" Target="https://zesty.ai/" TargetMode="External"/><Relationship Id="rId1179" Type="http://schemas.openxmlformats.org/officeDocument/2006/relationships/hyperlink" Target="https://www.crunchbase.com/funding_round/zesty-ai-series-a--a54d80ca" TargetMode="External"/><Relationship Id="rId1169" Type="http://schemas.openxmlformats.org/officeDocument/2006/relationships/hyperlink" Target="https://www.crunchbase.com/funding_round/procore-technologies-series-d--0bba124e" TargetMode="External"/><Relationship Id="rId2490" Type="http://schemas.openxmlformats.org/officeDocument/2006/relationships/hyperlink" Target="https://get.cortexintel.com/" TargetMode="External"/><Relationship Id="rId1160" Type="http://schemas.openxmlformats.org/officeDocument/2006/relationships/hyperlink" Target="https://www.crunchbase.com/funding_round/canary-technologies-seed--bbe3c090" TargetMode="External"/><Relationship Id="rId2491" Type="http://schemas.openxmlformats.org/officeDocument/2006/relationships/hyperlink" Target="https://www.crunchbase.com/funding_round/cortex-building-intelligence-seed--f95d0357" TargetMode="External"/><Relationship Id="rId1161" Type="http://schemas.openxmlformats.org/officeDocument/2006/relationships/hyperlink" Target="https://www.crunchbase.com/funding_round/canary-technologies-series-a--99b9086c" TargetMode="External"/><Relationship Id="rId2492" Type="http://schemas.openxmlformats.org/officeDocument/2006/relationships/hyperlink" Target="https://www.crunchbase.com/organization/sojo-9fff" TargetMode="External"/><Relationship Id="rId1162" Type="http://schemas.openxmlformats.org/officeDocument/2006/relationships/hyperlink" Target="https://www.crunchbase.com/funding_round/canary-technologies-series-b--26dcd16a" TargetMode="External"/><Relationship Id="rId2493" Type="http://schemas.openxmlformats.org/officeDocument/2006/relationships/hyperlink" Target="https://www.getsojo.com/" TargetMode="External"/><Relationship Id="rId1163" Type="http://schemas.openxmlformats.org/officeDocument/2006/relationships/hyperlink" Target="https://angel.co/company/sealed" TargetMode="External"/><Relationship Id="rId2494" Type="http://schemas.openxmlformats.org/officeDocument/2006/relationships/hyperlink" Target="https://www.crunchbase.com/funding_round/sojo-9fff-seed--e502c27c" TargetMode="External"/><Relationship Id="rId1164" Type="http://schemas.openxmlformats.org/officeDocument/2006/relationships/hyperlink" Target="https://www.crunchbase.com/organization/sealed" TargetMode="External"/><Relationship Id="rId2495" Type="http://schemas.openxmlformats.org/officeDocument/2006/relationships/hyperlink" Target="https://www.crunchbase.com/funding_round/sojo-9fff-series-a--a493e169" TargetMode="External"/><Relationship Id="rId1165" Type="http://schemas.openxmlformats.org/officeDocument/2006/relationships/hyperlink" Target="https://sealed.com/" TargetMode="External"/><Relationship Id="rId2496" Type="http://schemas.openxmlformats.org/officeDocument/2006/relationships/hyperlink" Target="https://wellfound.com/company/lun-3" TargetMode="External"/><Relationship Id="rId1166" Type="http://schemas.openxmlformats.org/officeDocument/2006/relationships/hyperlink" Target="https://angel.co/company/procore-technologies" TargetMode="External"/><Relationship Id="rId2497" Type="http://schemas.openxmlformats.org/officeDocument/2006/relationships/hyperlink" Target="https://www.crunchbase.com/organization/lun-e2b4" TargetMode="External"/><Relationship Id="rId1167" Type="http://schemas.openxmlformats.org/officeDocument/2006/relationships/hyperlink" Target="https://www.crunchbase.com/organization/procore-technologies-526d" TargetMode="External"/><Relationship Id="rId2498" Type="http://schemas.openxmlformats.org/officeDocument/2006/relationships/hyperlink" Target="https://www.lun.energy/" TargetMode="External"/><Relationship Id="rId1168" Type="http://schemas.openxmlformats.org/officeDocument/2006/relationships/hyperlink" Target="http://www.procorepr.com/" TargetMode="External"/><Relationship Id="rId2499" Type="http://schemas.openxmlformats.org/officeDocument/2006/relationships/hyperlink" Target="https://www.crunchbase.com/funding_round/lun-e2b4-pre-seed--64e8fa36" TargetMode="External"/><Relationship Id="rId1190" Type="http://schemas.openxmlformats.org/officeDocument/2006/relationships/hyperlink" Target="https://angel.co/company/cosuno-gmbh" TargetMode="External"/><Relationship Id="rId1191" Type="http://schemas.openxmlformats.org/officeDocument/2006/relationships/hyperlink" Target="https://www.crunchbase.com/organization/cosuno" TargetMode="External"/><Relationship Id="rId1192" Type="http://schemas.openxmlformats.org/officeDocument/2006/relationships/hyperlink" Target="https://www.cosuno.de/en/" TargetMode="External"/><Relationship Id="rId1193" Type="http://schemas.openxmlformats.org/officeDocument/2006/relationships/hyperlink" Target="https://angel.co/company/indiqube-1" TargetMode="External"/><Relationship Id="rId1194" Type="http://schemas.openxmlformats.org/officeDocument/2006/relationships/hyperlink" Target="https://www.crunchbase.com/organization/indiqube" TargetMode="External"/><Relationship Id="rId1195" Type="http://schemas.openxmlformats.org/officeDocument/2006/relationships/hyperlink" Target="https://indiqube.com/" TargetMode="External"/><Relationship Id="rId1196" Type="http://schemas.openxmlformats.org/officeDocument/2006/relationships/hyperlink" Target="https://angel.co/company/redfin" TargetMode="External"/><Relationship Id="rId1197" Type="http://schemas.openxmlformats.org/officeDocument/2006/relationships/hyperlink" Target="https://www.crunchbase.com/organization/redfin" TargetMode="External"/><Relationship Id="rId1198" Type="http://schemas.openxmlformats.org/officeDocument/2006/relationships/hyperlink" Target="https://www.redfin.com/" TargetMode="External"/><Relationship Id="rId1199" Type="http://schemas.openxmlformats.org/officeDocument/2006/relationships/hyperlink" Target="https://angel.co/company/beyondpricing" TargetMode="External"/><Relationship Id="rId1180" Type="http://schemas.openxmlformats.org/officeDocument/2006/relationships/hyperlink" Target="https://www.crunchbase.com/funding_round/zesty-ai-series-b--42f2963a" TargetMode="External"/><Relationship Id="rId1181" Type="http://schemas.openxmlformats.org/officeDocument/2006/relationships/hyperlink" Target="https://www.crunchbase.com/organization/mytraffic" TargetMode="External"/><Relationship Id="rId1182" Type="http://schemas.openxmlformats.org/officeDocument/2006/relationships/hyperlink" Target="https://www.mytraffic.io/" TargetMode="External"/><Relationship Id="rId1183" Type="http://schemas.openxmlformats.org/officeDocument/2006/relationships/hyperlink" Target="https://www.crunchbase.com/funding_round/mytraffic-seed--e6ee0135" TargetMode="External"/><Relationship Id="rId1184" Type="http://schemas.openxmlformats.org/officeDocument/2006/relationships/hyperlink" Target="https://www.crunchbase.com/funding_round/mytraffic-series-a--6343945a" TargetMode="External"/><Relationship Id="rId1185" Type="http://schemas.openxmlformats.org/officeDocument/2006/relationships/hyperlink" Target="https://www.crunchbase.com/funding_round/mytraffic-series-b--9634e7e1" TargetMode="External"/><Relationship Id="rId1186" Type="http://schemas.openxmlformats.org/officeDocument/2006/relationships/hyperlink" Target="https://angel.co/company/acretrader" TargetMode="External"/><Relationship Id="rId1187" Type="http://schemas.openxmlformats.org/officeDocument/2006/relationships/hyperlink" Target="https://www.crunchbase.com/organization/acretrader" TargetMode="External"/><Relationship Id="rId1188" Type="http://schemas.openxmlformats.org/officeDocument/2006/relationships/hyperlink" Target="https://www.acretrader.com/" TargetMode="External"/><Relationship Id="rId1189" Type="http://schemas.openxmlformats.org/officeDocument/2006/relationships/hyperlink" Target="https://www.crunchbase.com/funding_round/acretrader-seed--0e18838d" TargetMode="External"/><Relationship Id="rId1136" Type="http://schemas.openxmlformats.org/officeDocument/2006/relationships/hyperlink" Target="https://www.crunchbase.com/funding_round/welcome-homes-series-a--4b39f66a" TargetMode="External"/><Relationship Id="rId2467" Type="http://schemas.openxmlformats.org/officeDocument/2006/relationships/hyperlink" Target="https://www.crunchbase.com/organization/spaceiq" TargetMode="External"/><Relationship Id="rId3799" Type="http://schemas.openxmlformats.org/officeDocument/2006/relationships/hyperlink" Target="https://angel.co/innerspace" TargetMode="External"/><Relationship Id="rId1137" Type="http://schemas.openxmlformats.org/officeDocument/2006/relationships/hyperlink" Target="https://angel.co/company/alasco" TargetMode="External"/><Relationship Id="rId2468" Type="http://schemas.openxmlformats.org/officeDocument/2006/relationships/hyperlink" Target="https://spaceiq.com/" TargetMode="External"/><Relationship Id="rId3798" Type="http://schemas.openxmlformats.org/officeDocument/2006/relationships/hyperlink" Target="https://www.crunchbase.com/funding_round/rentvine-series-unknown--584155be" TargetMode="External"/><Relationship Id="rId1138" Type="http://schemas.openxmlformats.org/officeDocument/2006/relationships/hyperlink" Target="https://www.crunchbase.com/organization/alasco" TargetMode="External"/><Relationship Id="rId2469" Type="http://schemas.openxmlformats.org/officeDocument/2006/relationships/hyperlink" Target="https://angel.co/company/acorn-finance" TargetMode="External"/><Relationship Id="rId1139" Type="http://schemas.openxmlformats.org/officeDocument/2006/relationships/hyperlink" Target="https://www.alasco.de/en/" TargetMode="External"/><Relationship Id="rId3791" Type="http://schemas.openxmlformats.org/officeDocument/2006/relationships/hyperlink" Target="https://www.sunfi.co/" TargetMode="External"/><Relationship Id="rId2460" Type="http://schemas.openxmlformats.org/officeDocument/2006/relationships/hyperlink" Target="https://www.crunchbase.com/funding_round/indus-ai-seed--af965326" TargetMode="External"/><Relationship Id="rId3790" Type="http://schemas.openxmlformats.org/officeDocument/2006/relationships/hyperlink" Target="https://www.crunchbase.com/organization/sunfi" TargetMode="External"/><Relationship Id="rId1130" Type="http://schemas.openxmlformats.org/officeDocument/2006/relationships/hyperlink" Target="https://www.crunchbase.com/funding_round/myenergi-debt-financing--5a37eee1" TargetMode="External"/><Relationship Id="rId2461" Type="http://schemas.openxmlformats.org/officeDocument/2006/relationships/hyperlink" Target="https://www.crunchbase.com/funding_round/indus-ai-series-a--aa8d7ef8" TargetMode="External"/><Relationship Id="rId3793" Type="http://schemas.openxmlformats.org/officeDocument/2006/relationships/hyperlink" Target="https://www.crunchbase.com/funding_round/sunfi-seed--ac0e46c1" TargetMode="External"/><Relationship Id="rId1131" Type="http://schemas.openxmlformats.org/officeDocument/2006/relationships/hyperlink" Target="https://wellfound.com/company/welcome-homes" TargetMode="External"/><Relationship Id="rId2462" Type="http://schemas.openxmlformats.org/officeDocument/2006/relationships/hyperlink" Target="https://www.crunchbase.com/organization/markerr" TargetMode="External"/><Relationship Id="rId3792" Type="http://schemas.openxmlformats.org/officeDocument/2006/relationships/hyperlink" Target="https://www.crunchbase.com/funding_round/sunfi-pre-seed--580db686" TargetMode="External"/><Relationship Id="rId1132" Type="http://schemas.openxmlformats.org/officeDocument/2006/relationships/hyperlink" Target="https://www.crunchbase.com/organization/welcome-homes" TargetMode="External"/><Relationship Id="rId2463" Type="http://schemas.openxmlformats.org/officeDocument/2006/relationships/hyperlink" Target="https://markerr.com/" TargetMode="External"/><Relationship Id="rId3795" Type="http://schemas.openxmlformats.org/officeDocument/2006/relationships/hyperlink" Target="http://www.rentvine.com/" TargetMode="External"/><Relationship Id="rId1133" Type="http://schemas.openxmlformats.org/officeDocument/2006/relationships/hyperlink" Target="https://welcomehomes.com/" TargetMode="External"/><Relationship Id="rId2464" Type="http://schemas.openxmlformats.org/officeDocument/2006/relationships/hyperlink" Target="https://www.crunchbase.com/funding_round/markerr-series-a--cc967188" TargetMode="External"/><Relationship Id="rId3794" Type="http://schemas.openxmlformats.org/officeDocument/2006/relationships/hyperlink" Target="https://www.crunchbase.com/organization/rentvine" TargetMode="External"/><Relationship Id="rId1134" Type="http://schemas.openxmlformats.org/officeDocument/2006/relationships/hyperlink" Target="https://www.crunchbase.com/funding_round/welcome-homes-seed--1ab7b75c" TargetMode="External"/><Relationship Id="rId2465" Type="http://schemas.openxmlformats.org/officeDocument/2006/relationships/hyperlink" Target="https://www.crunchbase.com/funding_round/markerr-series-b--fec89acc" TargetMode="External"/><Relationship Id="rId3797" Type="http://schemas.openxmlformats.org/officeDocument/2006/relationships/hyperlink" Target="https://www.crunchbase.com/funding_round/rentvine-seed--dbcce1a9" TargetMode="External"/><Relationship Id="rId1135" Type="http://schemas.openxmlformats.org/officeDocument/2006/relationships/hyperlink" Target="https://www.crunchbase.com/funding_round/welcome-homes-convertible-note--0f3cbc48" TargetMode="External"/><Relationship Id="rId2466" Type="http://schemas.openxmlformats.org/officeDocument/2006/relationships/hyperlink" Target="https://angel.co/company/spaceiq/people" TargetMode="External"/><Relationship Id="rId3796" Type="http://schemas.openxmlformats.org/officeDocument/2006/relationships/hyperlink" Target="https://www.crunchbase.com/funding_round/rentvine-undisclosed--1b99c63b" TargetMode="External"/><Relationship Id="rId1125" Type="http://schemas.openxmlformats.org/officeDocument/2006/relationships/hyperlink" Target="https://angel.co/company/alice-technologies" TargetMode="External"/><Relationship Id="rId2456" Type="http://schemas.openxmlformats.org/officeDocument/2006/relationships/hyperlink" Target="https://www.crunchbase.com/funding_round/prevu3d-series-a--b94073c4" TargetMode="External"/><Relationship Id="rId3788" Type="http://schemas.openxmlformats.org/officeDocument/2006/relationships/hyperlink" Target="https://www.crunchbase.com/funding_round/apply-design-pre-seed--95c99653" TargetMode="External"/><Relationship Id="rId1126" Type="http://schemas.openxmlformats.org/officeDocument/2006/relationships/hyperlink" Target="https://www.crunchbase.com/organization/alice-technologies" TargetMode="External"/><Relationship Id="rId2457" Type="http://schemas.openxmlformats.org/officeDocument/2006/relationships/hyperlink" Target="http://indus.ai/" TargetMode="External"/><Relationship Id="rId3787" Type="http://schemas.openxmlformats.org/officeDocument/2006/relationships/hyperlink" Target="https://www.applydesign.io/" TargetMode="External"/><Relationship Id="rId1127" Type="http://schemas.openxmlformats.org/officeDocument/2006/relationships/hyperlink" Target="https://www.alicetechnologies.com/home" TargetMode="External"/><Relationship Id="rId2458" Type="http://schemas.openxmlformats.org/officeDocument/2006/relationships/hyperlink" Target="https://www.crunchbase.com/organization/indus-ai" TargetMode="External"/><Relationship Id="rId1128" Type="http://schemas.openxmlformats.org/officeDocument/2006/relationships/hyperlink" Target="https://www.crunchbase.com/funding_round/alice-technologies-series-a--813ccc86" TargetMode="External"/><Relationship Id="rId2459" Type="http://schemas.openxmlformats.org/officeDocument/2006/relationships/hyperlink" Target="https://www.indus.ai/" TargetMode="External"/><Relationship Id="rId3789" Type="http://schemas.openxmlformats.org/officeDocument/2006/relationships/hyperlink" Target="https://www.crunchbase.com/funding_round/apply-design-seed--e50a2c7b" TargetMode="External"/><Relationship Id="rId1129" Type="http://schemas.openxmlformats.org/officeDocument/2006/relationships/hyperlink" Target="https://www.crunchbase.com/funding_round/myenergi-debt-financing--5a37eee1" TargetMode="External"/><Relationship Id="rId3780" Type="http://schemas.openxmlformats.org/officeDocument/2006/relationships/hyperlink" Target="https://www.crunchbase.com/organization/irestify" TargetMode="External"/><Relationship Id="rId2450" Type="http://schemas.openxmlformats.org/officeDocument/2006/relationships/hyperlink" Target="https://sunroomrentals.com/" TargetMode="External"/><Relationship Id="rId3782" Type="http://schemas.openxmlformats.org/officeDocument/2006/relationships/hyperlink" Target="https://www.crunchbase.com/funding_round/irestify-seed--094cf580" TargetMode="External"/><Relationship Id="rId1120" Type="http://schemas.openxmlformats.org/officeDocument/2006/relationships/hyperlink" Target="https://www.crunchbase.com/organization/brainbox-ai" TargetMode="External"/><Relationship Id="rId2451" Type="http://schemas.openxmlformats.org/officeDocument/2006/relationships/hyperlink" Target="https://www.crunchbase.com/funding_round/sunroom-rentals-seed--6b14554a" TargetMode="External"/><Relationship Id="rId3781" Type="http://schemas.openxmlformats.org/officeDocument/2006/relationships/hyperlink" Target="https://irestify.com/" TargetMode="External"/><Relationship Id="rId1121" Type="http://schemas.openxmlformats.org/officeDocument/2006/relationships/hyperlink" Target="http://www.brainboxai.com/" TargetMode="External"/><Relationship Id="rId2452" Type="http://schemas.openxmlformats.org/officeDocument/2006/relationships/hyperlink" Target="https://www.crunchbase.com/funding_round/sunroom-rentals-series-a--195c4368" TargetMode="External"/><Relationship Id="rId3784" Type="http://schemas.openxmlformats.org/officeDocument/2006/relationships/hyperlink" Target="https://www.crunchbase.com/organization/rentlogic" TargetMode="External"/><Relationship Id="rId1122" Type="http://schemas.openxmlformats.org/officeDocument/2006/relationships/hyperlink" Target="https://www.crunchbase.com/funding_round/brainbox-ai-series-a--b50878dc" TargetMode="External"/><Relationship Id="rId2453" Type="http://schemas.openxmlformats.org/officeDocument/2006/relationships/hyperlink" Target="https://www.crunchbase.com/organization/prevu3d" TargetMode="External"/><Relationship Id="rId3783" Type="http://schemas.openxmlformats.org/officeDocument/2006/relationships/hyperlink" Target="https://angel.co/company/rentlogic" TargetMode="External"/><Relationship Id="rId1123" Type="http://schemas.openxmlformats.org/officeDocument/2006/relationships/hyperlink" Target="https://www.crunchbase.com/funding_round/brainbox-ai-series-unknown--9ac53ab0" TargetMode="External"/><Relationship Id="rId2454" Type="http://schemas.openxmlformats.org/officeDocument/2006/relationships/hyperlink" Target="https://www.prevu3d.com/" TargetMode="External"/><Relationship Id="rId3786" Type="http://schemas.openxmlformats.org/officeDocument/2006/relationships/hyperlink" Target="https://www.crunchbase.com/organization/apply-design" TargetMode="External"/><Relationship Id="rId1124" Type="http://schemas.openxmlformats.org/officeDocument/2006/relationships/hyperlink" Target="https://www.crunchbase.com/funding_round/brainbox-ai-grant--ece1d8df" TargetMode="External"/><Relationship Id="rId2455" Type="http://schemas.openxmlformats.org/officeDocument/2006/relationships/hyperlink" Target="https://www.crunchbase.com/funding_round/prevu3d-seed--c426a039" TargetMode="External"/><Relationship Id="rId3785" Type="http://schemas.openxmlformats.org/officeDocument/2006/relationships/hyperlink" Target="http://rentlogic.com/" TargetMode="External"/><Relationship Id="rId1158" Type="http://schemas.openxmlformats.org/officeDocument/2006/relationships/hyperlink" Target="https://www.crunchbase.com/organization/canary-technologies" TargetMode="External"/><Relationship Id="rId2489" Type="http://schemas.openxmlformats.org/officeDocument/2006/relationships/hyperlink" Target="https://www.crunchbase.com/organization/cortex-building-intelligence" TargetMode="External"/><Relationship Id="rId1159" Type="http://schemas.openxmlformats.org/officeDocument/2006/relationships/hyperlink" Target="https://www.canarytechnologies.com/" TargetMode="External"/><Relationship Id="rId2480" Type="http://schemas.openxmlformats.org/officeDocument/2006/relationships/hyperlink" Target="https://www.crunchbase.com/funding_round/estateguru-seed--0ee06a61" TargetMode="External"/><Relationship Id="rId1150" Type="http://schemas.openxmlformats.org/officeDocument/2006/relationships/hyperlink" Target="https://angel.co/company/huspy" TargetMode="External"/><Relationship Id="rId2481" Type="http://schemas.openxmlformats.org/officeDocument/2006/relationships/hyperlink" Target="https://www.crunchbase.com/funding_round/estateguru-series-a--d845c0e9" TargetMode="External"/><Relationship Id="rId1151" Type="http://schemas.openxmlformats.org/officeDocument/2006/relationships/hyperlink" Target="https://www.crunchbase.com/organization/huspy" TargetMode="External"/><Relationship Id="rId2482" Type="http://schemas.openxmlformats.org/officeDocument/2006/relationships/hyperlink" Target="https://www.crunchbase.com/funding_round/estateguru-undisclosed--da5a8b30" TargetMode="External"/><Relationship Id="rId1152" Type="http://schemas.openxmlformats.org/officeDocument/2006/relationships/hyperlink" Target="https://huspy.com/" TargetMode="External"/><Relationship Id="rId2483" Type="http://schemas.openxmlformats.org/officeDocument/2006/relationships/hyperlink" Target="https://angel.co/company/amber-solutions" TargetMode="External"/><Relationship Id="rId1153" Type="http://schemas.openxmlformats.org/officeDocument/2006/relationships/hyperlink" Target="https://angel.co/company/propshare-capital" TargetMode="External"/><Relationship Id="rId2484" Type="http://schemas.openxmlformats.org/officeDocument/2006/relationships/hyperlink" Target="https://www.crunchbase.com/organization/amber-solutions-inc" TargetMode="External"/><Relationship Id="rId1154" Type="http://schemas.openxmlformats.org/officeDocument/2006/relationships/hyperlink" Target="https://www.crunchbase.com/organization/property-share-online-platform" TargetMode="External"/><Relationship Id="rId2485" Type="http://schemas.openxmlformats.org/officeDocument/2006/relationships/hyperlink" Target="https://www.ambersi.com/" TargetMode="External"/><Relationship Id="rId1155" Type="http://schemas.openxmlformats.org/officeDocument/2006/relationships/hyperlink" Target="https://www.propsharecapital.com/" TargetMode="External"/><Relationship Id="rId2486" Type="http://schemas.openxmlformats.org/officeDocument/2006/relationships/hyperlink" Target="https://www.crunchbase.com/funding_round/amber-solutions-inc-series-a--174abade" TargetMode="External"/><Relationship Id="rId1156" Type="http://schemas.openxmlformats.org/officeDocument/2006/relationships/hyperlink" Target="https://www.crunchbase.com/funding_round/property-share-online-platform-series-b--373465b7" TargetMode="External"/><Relationship Id="rId2487" Type="http://schemas.openxmlformats.org/officeDocument/2006/relationships/hyperlink" Target="https://www.crunchbase.com/funding_round/amber-solutions-inc-series-b--72790b54" TargetMode="External"/><Relationship Id="rId1157" Type="http://schemas.openxmlformats.org/officeDocument/2006/relationships/hyperlink" Target="https://angel.co/company/canary-technologies" TargetMode="External"/><Relationship Id="rId2488" Type="http://schemas.openxmlformats.org/officeDocument/2006/relationships/hyperlink" Target="https://angel.co/company/cortex-2" TargetMode="External"/><Relationship Id="rId1147" Type="http://schemas.openxmlformats.org/officeDocument/2006/relationships/hyperlink" Target="https://angel.co/company/archipelago-analytics" TargetMode="External"/><Relationship Id="rId2478" Type="http://schemas.openxmlformats.org/officeDocument/2006/relationships/hyperlink" Target="https://estateguru.co/" TargetMode="External"/><Relationship Id="rId1148" Type="http://schemas.openxmlformats.org/officeDocument/2006/relationships/hyperlink" Target="https://www.crunchbase.com/organization/archipelago-analytics" TargetMode="External"/><Relationship Id="rId2479" Type="http://schemas.openxmlformats.org/officeDocument/2006/relationships/hyperlink" Target="https://www.crunchbase.com/funding_round/estateguru-pre-seed--edb4af77" TargetMode="External"/><Relationship Id="rId1149" Type="http://schemas.openxmlformats.org/officeDocument/2006/relationships/hyperlink" Target="https://www.onarchipelago.com/" TargetMode="External"/><Relationship Id="rId2470" Type="http://schemas.openxmlformats.org/officeDocument/2006/relationships/hyperlink" Target="https://www.crunchbase.com/organization/acorn-finance" TargetMode="External"/><Relationship Id="rId1140" Type="http://schemas.openxmlformats.org/officeDocument/2006/relationships/hyperlink" Target="https://angel.co/helloalfred" TargetMode="External"/><Relationship Id="rId2471" Type="http://schemas.openxmlformats.org/officeDocument/2006/relationships/hyperlink" Target="https://www.acornfinance.com/" TargetMode="External"/><Relationship Id="rId1141" Type="http://schemas.openxmlformats.org/officeDocument/2006/relationships/hyperlink" Target="https://www.crunchbase.com/organization/alfred" TargetMode="External"/><Relationship Id="rId2472" Type="http://schemas.openxmlformats.org/officeDocument/2006/relationships/hyperlink" Target="https://angel.co/company/great-jones" TargetMode="External"/><Relationship Id="rId1142" Type="http://schemas.openxmlformats.org/officeDocument/2006/relationships/hyperlink" Target="https://www.helloalfred.com" TargetMode="External"/><Relationship Id="rId2473" Type="http://schemas.openxmlformats.org/officeDocument/2006/relationships/hyperlink" Target="https://www.crunchbase.com/organization/great-jones" TargetMode="External"/><Relationship Id="rId1143" Type="http://schemas.openxmlformats.org/officeDocument/2006/relationships/hyperlink" Target="https://www.crunchbase.com/funding_round/alfred-series-b--39e386c5" TargetMode="External"/><Relationship Id="rId2474" Type="http://schemas.openxmlformats.org/officeDocument/2006/relationships/hyperlink" Target="https://www.greatjones.co" TargetMode="External"/><Relationship Id="rId1144" Type="http://schemas.openxmlformats.org/officeDocument/2006/relationships/hyperlink" Target="https://angel.co/company/goodlord" TargetMode="External"/><Relationship Id="rId2475" Type="http://schemas.openxmlformats.org/officeDocument/2006/relationships/hyperlink" Target="https://www.crunchbase.com/funding_round/great-jones-series-a--60784a84" TargetMode="External"/><Relationship Id="rId1145" Type="http://schemas.openxmlformats.org/officeDocument/2006/relationships/hyperlink" Target="https://www.crunchbase.com/organization/goodlord" TargetMode="External"/><Relationship Id="rId2476" Type="http://schemas.openxmlformats.org/officeDocument/2006/relationships/hyperlink" Target="https://wellfound.com/company/estateguru" TargetMode="External"/><Relationship Id="rId1146" Type="http://schemas.openxmlformats.org/officeDocument/2006/relationships/hyperlink" Target="https://www.goodlord.co/" TargetMode="External"/><Relationship Id="rId2477" Type="http://schemas.openxmlformats.org/officeDocument/2006/relationships/hyperlink" Target="https://www.crunchbase.com/organization/estateguru" TargetMode="External"/><Relationship Id="rId6009" Type="http://schemas.openxmlformats.org/officeDocument/2006/relationships/hyperlink" Target="https://www.soteriaintelligence.com/" TargetMode="External"/><Relationship Id="rId6000" Type="http://schemas.openxmlformats.org/officeDocument/2006/relationships/hyperlink" Target="https://www.crunchbase.com/organization/smartproperty" TargetMode="External"/><Relationship Id="rId6003" Type="http://schemas.openxmlformats.org/officeDocument/2006/relationships/hyperlink" Target="https://smsassist.com/" TargetMode="External"/><Relationship Id="rId6004" Type="http://schemas.openxmlformats.org/officeDocument/2006/relationships/hyperlink" Target="https://www.crunchbase.com/organization/soft4-realestate" TargetMode="External"/><Relationship Id="rId6001" Type="http://schemas.openxmlformats.org/officeDocument/2006/relationships/hyperlink" Target="https://smartproperty.com/" TargetMode="External"/><Relationship Id="rId6002" Type="http://schemas.openxmlformats.org/officeDocument/2006/relationships/hyperlink" Target="https://www.crunchbase.com/organization/sms-assist" TargetMode="External"/><Relationship Id="rId6007" Type="http://schemas.openxmlformats.org/officeDocument/2006/relationships/hyperlink" Target="https://angel.co/company/soteria-intelligence" TargetMode="External"/><Relationship Id="rId6008" Type="http://schemas.openxmlformats.org/officeDocument/2006/relationships/hyperlink" Target="https://www.crunchbase.com/organization/soteria-intelligence" TargetMode="External"/><Relationship Id="rId6005" Type="http://schemas.openxmlformats.org/officeDocument/2006/relationships/hyperlink" Target="https://soft4realestate.com/" TargetMode="External"/><Relationship Id="rId6006" Type="http://schemas.openxmlformats.org/officeDocument/2006/relationships/hyperlink" Target="https://www.soldbyair.com/" TargetMode="External"/><Relationship Id="rId6061" Type="http://schemas.openxmlformats.org/officeDocument/2006/relationships/hyperlink" Target="https://stratafolio.com/" TargetMode="External"/><Relationship Id="rId6062" Type="http://schemas.openxmlformats.org/officeDocument/2006/relationships/hyperlink" Target="https://www.crunchbase.com/organization/stratafy" TargetMode="External"/><Relationship Id="rId6060" Type="http://schemas.openxmlformats.org/officeDocument/2006/relationships/hyperlink" Target="https://www.crunchbase.com/organization/stratafolio" TargetMode="External"/><Relationship Id="rId6065" Type="http://schemas.openxmlformats.org/officeDocument/2006/relationships/hyperlink" Target="https://www.crunchbase.com/organization/stratis" TargetMode="External"/><Relationship Id="rId6066" Type="http://schemas.openxmlformats.org/officeDocument/2006/relationships/hyperlink" Target="https://stratisiot.com/" TargetMode="External"/><Relationship Id="rId6063" Type="http://schemas.openxmlformats.org/officeDocument/2006/relationships/hyperlink" Target="https://stratafyconnect.com/" TargetMode="External"/><Relationship Id="rId6064" Type="http://schemas.openxmlformats.org/officeDocument/2006/relationships/hyperlink" Target="https://angel.co/company/stratis-ems" TargetMode="External"/><Relationship Id="rId6069" Type="http://schemas.openxmlformats.org/officeDocument/2006/relationships/hyperlink" Target="http://en.studio11.by/" TargetMode="External"/><Relationship Id="rId6067" Type="http://schemas.openxmlformats.org/officeDocument/2006/relationships/hyperlink" Target="https://angel.co/company/stratodem-analytics" TargetMode="External"/><Relationship Id="rId6068" Type="http://schemas.openxmlformats.org/officeDocument/2006/relationships/hyperlink" Target="https://stratodem.com/" TargetMode="External"/><Relationship Id="rId6050" Type="http://schemas.openxmlformats.org/officeDocument/2006/relationships/hyperlink" Target="http://www.stealthforce.com/" TargetMode="External"/><Relationship Id="rId6051" Type="http://schemas.openxmlformats.org/officeDocument/2006/relationships/hyperlink" Target="http://stemlending.com" TargetMode="External"/><Relationship Id="rId6054" Type="http://schemas.openxmlformats.org/officeDocument/2006/relationships/hyperlink" Target="https://www.stemlending.com/" TargetMode="External"/><Relationship Id="rId6055" Type="http://schemas.openxmlformats.org/officeDocument/2006/relationships/hyperlink" Target="https://angel.co/company/stessa" TargetMode="External"/><Relationship Id="rId6052" Type="http://schemas.openxmlformats.org/officeDocument/2006/relationships/hyperlink" Target="https://angel.co/company/stem-lending" TargetMode="External"/><Relationship Id="rId6053" Type="http://schemas.openxmlformats.org/officeDocument/2006/relationships/hyperlink" Target="https://www.crunchbase.com/organization/stem-lending" TargetMode="External"/><Relationship Id="rId6058" Type="http://schemas.openxmlformats.org/officeDocument/2006/relationships/hyperlink" Target="https://www.crunchbase.com/organization/straight-north" TargetMode="External"/><Relationship Id="rId6059" Type="http://schemas.openxmlformats.org/officeDocument/2006/relationships/hyperlink" Target="https://www.straightnorth.com/" TargetMode="External"/><Relationship Id="rId6056" Type="http://schemas.openxmlformats.org/officeDocument/2006/relationships/hyperlink" Target="https://www.crunchbase.com/organization/stessa" TargetMode="External"/><Relationship Id="rId6057" Type="http://schemas.openxmlformats.org/officeDocument/2006/relationships/hyperlink" Target="https://www.stessa.com/" TargetMode="External"/><Relationship Id="rId3810" Type="http://schemas.openxmlformats.org/officeDocument/2006/relationships/hyperlink" Target="https://www.expetitle.com/" TargetMode="External"/><Relationship Id="rId3812" Type="http://schemas.openxmlformats.org/officeDocument/2006/relationships/hyperlink" Target="https://www.crunchbase.com/organization/embue" TargetMode="External"/><Relationship Id="rId3811" Type="http://schemas.openxmlformats.org/officeDocument/2006/relationships/hyperlink" Target="https://angel.co/embue" TargetMode="External"/><Relationship Id="rId3814" Type="http://schemas.openxmlformats.org/officeDocument/2006/relationships/hyperlink" Target="https://www.crunchbase.com/funding_round/embue-pre-seed--cfc6365a" TargetMode="External"/><Relationship Id="rId3813" Type="http://schemas.openxmlformats.org/officeDocument/2006/relationships/hyperlink" Target="http://embue.com/" TargetMode="External"/><Relationship Id="rId3816" Type="http://schemas.openxmlformats.org/officeDocument/2006/relationships/hyperlink" Target="https://angel.co/company/realxdata" TargetMode="External"/><Relationship Id="rId3815" Type="http://schemas.openxmlformats.org/officeDocument/2006/relationships/hyperlink" Target="https://www.crunchbase.com/funding_round/embue-seed--a3933425" TargetMode="External"/><Relationship Id="rId3818" Type="http://schemas.openxmlformats.org/officeDocument/2006/relationships/hyperlink" Target="http://www.realxdata.com" TargetMode="External"/><Relationship Id="rId3817" Type="http://schemas.openxmlformats.org/officeDocument/2006/relationships/hyperlink" Target="https://www.crunchbase.com/organization/realxdata" TargetMode="External"/><Relationship Id="rId3819" Type="http://schemas.openxmlformats.org/officeDocument/2006/relationships/hyperlink" Target="https://www.crunchbase.com/organization/turningart" TargetMode="External"/><Relationship Id="rId6090" Type="http://schemas.openxmlformats.org/officeDocument/2006/relationships/hyperlink" Target="https://hello.tapcap.co/" TargetMode="External"/><Relationship Id="rId6091" Type="http://schemas.openxmlformats.org/officeDocument/2006/relationships/hyperlink" Target="https://angel.co/company/tayloright-1" TargetMode="External"/><Relationship Id="rId6083" Type="http://schemas.openxmlformats.org/officeDocument/2006/relationships/hyperlink" Target="https://www.tangibledata.io/" TargetMode="External"/><Relationship Id="rId6084" Type="http://schemas.openxmlformats.org/officeDocument/2006/relationships/hyperlink" Target="https://www.crunchbase.com/organization/tango-analytics" TargetMode="External"/><Relationship Id="rId6081" Type="http://schemas.openxmlformats.org/officeDocument/2006/relationships/hyperlink" Target="https://www.crunchbase.com/organization/synlio" TargetMode="External"/><Relationship Id="rId6082" Type="http://schemas.openxmlformats.org/officeDocument/2006/relationships/hyperlink" Target="https://www.synlio.com/" TargetMode="External"/><Relationship Id="rId6087" Type="http://schemas.openxmlformats.org/officeDocument/2006/relationships/hyperlink" Target="https://tapreport.io/home/" TargetMode="External"/><Relationship Id="rId6088" Type="http://schemas.openxmlformats.org/officeDocument/2006/relationships/hyperlink" Target="https://www.tapa.cc/" TargetMode="External"/><Relationship Id="rId6085" Type="http://schemas.openxmlformats.org/officeDocument/2006/relationships/hyperlink" Target="https://tangoanalytics.com/" TargetMode="External"/><Relationship Id="rId6086" Type="http://schemas.openxmlformats.org/officeDocument/2006/relationships/hyperlink" Target="https://www.crunchbase.com/organization/tap-report" TargetMode="External"/><Relationship Id="rId6089" Type="http://schemas.openxmlformats.org/officeDocument/2006/relationships/hyperlink" Target="https://www.crunchbase.com/organization/tapcap" TargetMode="External"/><Relationship Id="rId3801" Type="http://schemas.openxmlformats.org/officeDocument/2006/relationships/hyperlink" Target="http://www.innerspace.io/" TargetMode="External"/><Relationship Id="rId3800" Type="http://schemas.openxmlformats.org/officeDocument/2006/relationships/hyperlink" Target="https://www.crunchbase.com/organization/innerspace-technology-inc" TargetMode="External"/><Relationship Id="rId3803" Type="http://schemas.openxmlformats.org/officeDocument/2006/relationships/hyperlink" Target="https://www.breeze4me.de/" TargetMode="External"/><Relationship Id="rId3802" Type="http://schemas.openxmlformats.org/officeDocument/2006/relationships/hyperlink" Target="https://www.crunchbase.com/organization/breeze-5f6a" TargetMode="External"/><Relationship Id="rId3805" Type="http://schemas.openxmlformats.org/officeDocument/2006/relationships/hyperlink" Target="https://angel.co/company/commloan" TargetMode="External"/><Relationship Id="rId3804" Type="http://schemas.openxmlformats.org/officeDocument/2006/relationships/hyperlink" Target="https://www.crunchbase.com/funding_round/breeze-5f6a-seed--cc8c5dc2" TargetMode="External"/><Relationship Id="rId3807" Type="http://schemas.openxmlformats.org/officeDocument/2006/relationships/hyperlink" Target="https://www.commloan.com/" TargetMode="External"/><Relationship Id="rId3806" Type="http://schemas.openxmlformats.org/officeDocument/2006/relationships/hyperlink" Target="https://www.crunchbase.com/organization/commloan-com" TargetMode="External"/><Relationship Id="rId3809" Type="http://schemas.openxmlformats.org/officeDocument/2006/relationships/hyperlink" Target="https://www.crunchbase.com/organization/expetitle" TargetMode="External"/><Relationship Id="rId3808" Type="http://schemas.openxmlformats.org/officeDocument/2006/relationships/hyperlink" Target="https://www.crunchbase.com/funding_round/commloan-com-seed--8581fbb0" TargetMode="External"/><Relationship Id="rId6080" Type="http://schemas.openxmlformats.org/officeDocument/2006/relationships/hyperlink" Target="https://angel.co/company/synlio" TargetMode="External"/><Relationship Id="rId6072" Type="http://schemas.openxmlformats.org/officeDocument/2006/relationships/hyperlink" Target="https://www.crunchbase.com/organization/suitespot-technology" TargetMode="External"/><Relationship Id="rId6073" Type="http://schemas.openxmlformats.org/officeDocument/2006/relationships/hyperlink" Target="https://www.suitespottechnology.com/" TargetMode="External"/><Relationship Id="rId6070" Type="http://schemas.openxmlformats.org/officeDocument/2006/relationships/hyperlink" Target="https://www.crunchbase.com/organization/studio-graphene" TargetMode="External"/><Relationship Id="rId6071" Type="http://schemas.openxmlformats.org/officeDocument/2006/relationships/hyperlink" Target="https://angel.co/company/suitespot" TargetMode="External"/><Relationship Id="rId6076" Type="http://schemas.openxmlformats.org/officeDocument/2006/relationships/hyperlink" Target="https://angel.co/company/swingspace" TargetMode="External"/><Relationship Id="rId6077" Type="http://schemas.openxmlformats.org/officeDocument/2006/relationships/hyperlink" Target="http://swingspace.com" TargetMode="External"/><Relationship Id="rId6074" Type="http://schemas.openxmlformats.org/officeDocument/2006/relationships/hyperlink" Target="https://www.crunchbase.com/organization/suffolk-construction" TargetMode="External"/><Relationship Id="rId6075" Type="http://schemas.openxmlformats.org/officeDocument/2006/relationships/hyperlink" Target="http://www.suffolk.com" TargetMode="External"/><Relationship Id="rId6078" Type="http://schemas.openxmlformats.org/officeDocument/2006/relationships/hyperlink" Target="https://www.crunchbase.com/organization/syndicationpro-com" TargetMode="External"/><Relationship Id="rId6079" Type="http://schemas.openxmlformats.org/officeDocument/2006/relationships/hyperlink" Target="https://syndicationpro.com/" TargetMode="External"/><Relationship Id="rId6021" Type="http://schemas.openxmlformats.org/officeDocument/2006/relationships/hyperlink" Target="https://angel.co/company/spaces-6" TargetMode="External"/><Relationship Id="rId6022" Type="http://schemas.openxmlformats.org/officeDocument/2006/relationships/hyperlink" Target="https://www.crunchbase.com/organization/spaces-works" TargetMode="External"/><Relationship Id="rId6020" Type="http://schemas.openxmlformats.org/officeDocument/2006/relationships/hyperlink" Target="https://spaceos.io/" TargetMode="External"/><Relationship Id="rId6025" Type="http://schemas.openxmlformats.org/officeDocument/2006/relationships/hyperlink" Target="http://www.spaceshare.vn" TargetMode="External"/><Relationship Id="rId6026" Type="http://schemas.openxmlformats.org/officeDocument/2006/relationships/hyperlink" Target="https://spaceus.co" TargetMode="External"/><Relationship Id="rId6023" Type="http://schemas.openxmlformats.org/officeDocument/2006/relationships/hyperlink" Target="http://www.spacesworks.com/" TargetMode="External"/><Relationship Id="rId6024" Type="http://schemas.openxmlformats.org/officeDocument/2006/relationships/hyperlink" Target="https://angel.co/company/spaceshare-3" TargetMode="External"/><Relationship Id="rId6029" Type="http://schemas.openxmlformats.org/officeDocument/2006/relationships/hyperlink" Target="http://spacie.ca" TargetMode="External"/><Relationship Id="rId6027" Type="http://schemas.openxmlformats.org/officeDocument/2006/relationships/hyperlink" Target="https://www.crunchbase.com/organization/spacie" TargetMode="External"/><Relationship Id="rId6028" Type="http://schemas.openxmlformats.org/officeDocument/2006/relationships/hyperlink" Target="https://www.spacie.ca/" TargetMode="External"/><Relationship Id="rId6010" Type="http://schemas.openxmlformats.org/officeDocument/2006/relationships/hyperlink" Target="https://www.crunchbase.com/organization/spacelogik" TargetMode="External"/><Relationship Id="rId6011" Type="http://schemas.openxmlformats.org/officeDocument/2006/relationships/hyperlink" Target="http://www.spacelogik.com/" TargetMode="External"/><Relationship Id="rId6014" Type="http://schemas.openxmlformats.org/officeDocument/2006/relationships/hyperlink" Target="https://www.spaceo.ca/" TargetMode="External"/><Relationship Id="rId6015" Type="http://schemas.openxmlformats.org/officeDocument/2006/relationships/hyperlink" Target="https://angel.co/company/spacelist" TargetMode="External"/><Relationship Id="rId6012" Type="http://schemas.openxmlformats.org/officeDocument/2006/relationships/hyperlink" Target="https://angel.co/u/space-o-canada" TargetMode="External"/><Relationship Id="rId6013" Type="http://schemas.openxmlformats.org/officeDocument/2006/relationships/hyperlink" Target="https://www.crunchbase.com/organization/space-o-technologies-canada" TargetMode="External"/><Relationship Id="rId6018" Type="http://schemas.openxmlformats.org/officeDocument/2006/relationships/hyperlink" Target="https://angel.co/company/spaceos" TargetMode="External"/><Relationship Id="rId6019" Type="http://schemas.openxmlformats.org/officeDocument/2006/relationships/hyperlink" Target="https://www.crunchbase.com/organization/spaceos" TargetMode="External"/><Relationship Id="rId6016" Type="http://schemas.openxmlformats.org/officeDocument/2006/relationships/hyperlink" Target="https://www.crunchbase.com/organization/spacelist" TargetMode="External"/><Relationship Id="rId6017" Type="http://schemas.openxmlformats.org/officeDocument/2006/relationships/hyperlink" Target="https://www.spacelist.co/" TargetMode="External"/><Relationship Id="rId6040" Type="http://schemas.openxmlformats.org/officeDocument/2006/relationships/hyperlink" Target="https://www.spatiometrics.com" TargetMode="External"/><Relationship Id="rId6043" Type="http://schemas.openxmlformats.org/officeDocument/2006/relationships/hyperlink" Target="https://www.crunchbase.com/organization/springboard-research-ltd" TargetMode="External"/><Relationship Id="rId6044" Type="http://schemas.openxmlformats.org/officeDocument/2006/relationships/hyperlink" Target="https://www.spring-board.info/" TargetMode="External"/><Relationship Id="rId6041" Type="http://schemas.openxmlformats.org/officeDocument/2006/relationships/hyperlink" Target="https://angel.co/u/spillfix" TargetMode="External"/><Relationship Id="rId6042" Type="http://schemas.openxmlformats.org/officeDocument/2006/relationships/hyperlink" Target="https://spillfix.com/" TargetMode="External"/><Relationship Id="rId6047" Type="http://schemas.openxmlformats.org/officeDocument/2006/relationships/hyperlink" Target="http://gostarry.com/" TargetMode="External"/><Relationship Id="rId6048" Type="http://schemas.openxmlformats.org/officeDocument/2006/relationships/hyperlink" Target="https://angel.co/stealthforce" TargetMode="External"/><Relationship Id="rId6045" Type="http://schemas.openxmlformats.org/officeDocument/2006/relationships/hyperlink" Target="https://angel.co/company/starry" TargetMode="External"/><Relationship Id="rId6046" Type="http://schemas.openxmlformats.org/officeDocument/2006/relationships/hyperlink" Target="https://www.crunchbase.com/organization/starry-2" TargetMode="External"/><Relationship Id="rId6049" Type="http://schemas.openxmlformats.org/officeDocument/2006/relationships/hyperlink" Target="https://www.crunchbase.com/organization/stealthforce" TargetMode="External"/><Relationship Id="rId6032" Type="http://schemas.openxmlformats.org/officeDocument/2006/relationships/hyperlink" Target="https://angel.co/company/sparkline-2" TargetMode="External"/><Relationship Id="rId6033" Type="http://schemas.openxmlformats.org/officeDocument/2006/relationships/hyperlink" Target="https://www.crunchbase.com/organization/sparkline-inc" TargetMode="External"/><Relationship Id="rId6030" Type="http://schemas.openxmlformats.org/officeDocument/2006/relationships/hyperlink" Target="https://www.crunchbase.com/organization/spareroom" TargetMode="External"/><Relationship Id="rId6031" Type="http://schemas.openxmlformats.org/officeDocument/2006/relationships/hyperlink" Target="https://www.spareroom.com/" TargetMode="External"/><Relationship Id="rId6036" Type="http://schemas.openxmlformats.org/officeDocument/2006/relationships/hyperlink" Target="https://sparkoffer.com/" TargetMode="External"/><Relationship Id="rId6037" Type="http://schemas.openxmlformats.org/officeDocument/2006/relationships/hyperlink" Target="https://angel.co/company/spatial-first" TargetMode="External"/><Relationship Id="rId6034" Type="http://schemas.openxmlformats.org/officeDocument/2006/relationships/hyperlink" Target="https://www.sparkline.ai/" TargetMode="External"/><Relationship Id="rId6035" Type="http://schemas.openxmlformats.org/officeDocument/2006/relationships/hyperlink" Target="https://www.crunchbase.com/organization/sparkoffer" TargetMode="External"/><Relationship Id="rId6038" Type="http://schemas.openxmlformats.org/officeDocument/2006/relationships/hyperlink" Target="https://www.crunchbase.com/organization/spatialfirst" TargetMode="External"/><Relationship Id="rId6039" Type="http://schemas.openxmlformats.org/officeDocument/2006/relationships/hyperlink" Target="https://www.spatialfirst.com/" TargetMode="External"/><Relationship Id="rId1213" Type="http://schemas.openxmlformats.org/officeDocument/2006/relationships/hyperlink" Target="https://www.crunchbase.com/funding_round/qvantum-3e44-series-b--a2177d8c" TargetMode="External"/><Relationship Id="rId2544" Type="http://schemas.openxmlformats.org/officeDocument/2006/relationships/hyperlink" Target="https://www.crunchbase.com/organization/adeptmind" TargetMode="External"/><Relationship Id="rId3876" Type="http://schemas.openxmlformats.org/officeDocument/2006/relationships/hyperlink" Target="https://www.crunchbase.com/organization/swiftmile-inc" TargetMode="External"/><Relationship Id="rId1214" Type="http://schemas.openxmlformats.org/officeDocument/2006/relationships/hyperlink" Target="https://angel.co/company/qventus" TargetMode="External"/><Relationship Id="rId2545" Type="http://schemas.openxmlformats.org/officeDocument/2006/relationships/hyperlink" Target="https://adeptmind.ai/" TargetMode="External"/><Relationship Id="rId3875" Type="http://schemas.openxmlformats.org/officeDocument/2006/relationships/hyperlink" Target="https://angel.co/company/swiftmile" TargetMode="External"/><Relationship Id="rId1215" Type="http://schemas.openxmlformats.org/officeDocument/2006/relationships/hyperlink" Target="https://www.crunchbase.com/organization/analyticsmd" TargetMode="External"/><Relationship Id="rId2546" Type="http://schemas.openxmlformats.org/officeDocument/2006/relationships/hyperlink" Target="https://angel.co/company/realblocks" TargetMode="External"/><Relationship Id="rId3878" Type="http://schemas.openxmlformats.org/officeDocument/2006/relationships/hyperlink" Target="https://angel.co/company/whoseyourlandlord" TargetMode="External"/><Relationship Id="rId1216" Type="http://schemas.openxmlformats.org/officeDocument/2006/relationships/hyperlink" Target="https://qventus.com/" TargetMode="External"/><Relationship Id="rId2547" Type="http://schemas.openxmlformats.org/officeDocument/2006/relationships/hyperlink" Target="http://crunchbase.com/organization/realblocks" TargetMode="External"/><Relationship Id="rId3877" Type="http://schemas.openxmlformats.org/officeDocument/2006/relationships/hyperlink" Target="http://www.swiftmile.com" TargetMode="External"/><Relationship Id="rId1217" Type="http://schemas.openxmlformats.org/officeDocument/2006/relationships/hyperlink" Target="https://angel.co/company/euclid" TargetMode="External"/><Relationship Id="rId2548" Type="http://schemas.openxmlformats.org/officeDocument/2006/relationships/hyperlink" Target="https://www.realblocks.com/" TargetMode="External"/><Relationship Id="rId1218" Type="http://schemas.openxmlformats.org/officeDocument/2006/relationships/hyperlink" Target="https://www.crunchbase.com/organization/euclid" TargetMode="External"/><Relationship Id="rId2549" Type="http://schemas.openxmlformats.org/officeDocument/2006/relationships/hyperlink" Target="https://www.crunchbase.com/funding_round/realblocks-series-a--5f4b1e0e" TargetMode="External"/><Relationship Id="rId3879" Type="http://schemas.openxmlformats.org/officeDocument/2006/relationships/hyperlink" Target="https://www.crunchbase.com/organization/whose-your-landlord" TargetMode="External"/><Relationship Id="rId1219" Type="http://schemas.openxmlformats.org/officeDocument/2006/relationships/hyperlink" Target="https://geteuclid.com/" TargetMode="External"/><Relationship Id="rId3870" Type="http://schemas.openxmlformats.org/officeDocument/2006/relationships/hyperlink" Target="https://www.crunchbase.com/funding_round/senseware-seed--9c02a658" TargetMode="External"/><Relationship Id="rId2540" Type="http://schemas.openxmlformats.org/officeDocument/2006/relationships/hyperlink" Target="https://www.landeed.com/" TargetMode="External"/><Relationship Id="rId3872" Type="http://schemas.openxmlformats.org/officeDocument/2006/relationships/hyperlink" Target="https://www.crunchbase.com/organization/spatial-ai" TargetMode="External"/><Relationship Id="rId1210" Type="http://schemas.openxmlformats.org/officeDocument/2006/relationships/hyperlink" Target="https://www.crunchbase.com/organization/qvantum-3e44" TargetMode="External"/><Relationship Id="rId2541" Type="http://schemas.openxmlformats.org/officeDocument/2006/relationships/hyperlink" Target="https://www.crunchbase.com/funding_round/landeed-pre-seed--cc25fb06" TargetMode="External"/><Relationship Id="rId3871" Type="http://schemas.openxmlformats.org/officeDocument/2006/relationships/hyperlink" Target="http://spatial.ai" TargetMode="External"/><Relationship Id="rId1211" Type="http://schemas.openxmlformats.org/officeDocument/2006/relationships/hyperlink" Target="https://www.qvantum.com/" TargetMode="External"/><Relationship Id="rId2542" Type="http://schemas.openxmlformats.org/officeDocument/2006/relationships/hyperlink" Target="https://www.crunchbase.com/funding_round/landeed-seed--cb9e2cf0" TargetMode="External"/><Relationship Id="rId3874" Type="http://schemas.openxmlformats.org/officeDocument/2006/relationships/hyperlink" Target="https://www.crunchbase.com/funding_round/spatial-ai-seed--6042a35f" TargetMode="External"/><Relationship Id="rId1212" Type="http://schemas.openxmlformats.org/officeDocument/2006/relationships/hyperlink" Target="https://www.crunchbase.com/funding_round/qvantum-3e44-series-unknown--79822998" TargetMode="External"/><Relationship Id="rId2543" Type="http://schemas.openxmlformats.org/officeDocument/2006/relationships/hyperlink" Target="https://angel.co/company/adeptmind-1" TargetMode="External"/><Relationship Id="rId3873" Type="http://schemas.openxmlformats.org/officeDocument/2006/relationships/hyperlink" Target="http://spatial.ai" TargetMode="External"/><Relationship Id="rId1202" Type="http://schemas.openxmlformats.org/officeDocument/2006/relationships/hyperlink" Target="https://www.crunchbase.com/organization/foxen" TargetMode="External"/><Relationship Id="rId2533" Type="http://schemas.openxmlformats.org/officeDocument/2006/relationships/hyperlink" Target="https://www.crunchbase.com/funding_round/nodalview-series-a--1c015aa0" TargetMode="External"/><Relationship Id="rId3865" Type="http://schemas.openxmlformats.org/officeDocument/2006/relationships/hyperlink" Target="https://www.crunchbase.com/organization/audience-town" TargetMode="External"/><Relationship Id="rId1203" Type="http://schemas.openxmlformats.org/officeDocument/2006/relationships/hyperlink" Target="https://www.foxen.com/" TargetMode="External"/><Relationship Id="rId2534" Type="http://schemas.openxmlformats.org/officeDocument/2006/relationships/hyperlink" Target="https://www.crunchbase.com/funding_round/nodalview-series-unknown--43ff11fc" TargetMode="External"/><Relationship Id="rId3864" Type="http://schemas.openxmlformats.org/officeDocument/2006/relationships/hyperlink" Target="https://www.crunchbase.com/funding_round/marble-2d24-seed--0bd89b78" TargetMode="External"/><Relationship Id="rId1204" Type="http://schemas.openxmlformats.org/officeDocument/2006/relationships/hyperlink" Target="https://www.crunchbase.com/organization/reggora" TargetMode="External"/><Relationship Id="rId2535" Type="http://schemas.openxmlformats.org/officeDocument/2006/relationships/hyperlink" Target="https://angel.co/company/nexkey" TargetMode="External"/><Relationship Id="rId3867" Type="http://schemas.openxmlformats.org/officeDocument/2006/relationships/hyperlink" Target="https://angel.co/company/senseware" TargetMode="External"/><Relationship Id="rId1205" Type="http://schemas.openxmlformats.org/officeDocument/2006/relationships/hyperlink" Target="https://www.reggora.com/" TargetMode="External"/><Relationship Id="rId2536" Type="http://schemas.openxmlformats.org/officeDocument/2006/relationships/hyperlink" Target="https://www.crunchbase.com/organization/nexkey-inc" TargetMode="External"/><Relationship Id="rId3866" Type="http://schemas.openxmlformats.org/officeDocument/2006/relationships/hyperlink" Target="https://www.audiencetown.com/" TargetMode="External"/><Relationship Id="rId1206" Type="http://schemas.openxmlformats.org/officeDocument/2006/relationships/hyperlink" Target="https://www.crunchbase.com/funding_round/reggora-pre-seed--7f2242bc" TargetMode="External"/><Relationship Id="rId2537" Type="http://schemas.openxmlformats.org/officeDocument/2006/relationships/hyperlink" Target="https://www.nexkey.com/" TargetMode="External"/><Relationship Id="rId3869" Type="http://schemas.openxmlformats.org/officeDocument/2006/relationships/hyperlink" Target="https://www.senseware.co/" TargetMode="External"/><Relationship Id="rId1207" Type="http://schemas.openxmlformats.org/officeDocument/2006/relationships/hyperlink" Target="https://www.crunchbase.com/funding_round/reggora-seed--7af6b8a0" TargetMode="External"/><Relationship Id="rId2538" Type="http://schemas.openxmlformats.org/officeDocument/2006/relationships/hyperlink" Target="https://wellfound.com/company/landeed" TargetMode="External"/><Relationship Id="rId3868" Type="http://schemas.openxmlformats.org/officeDocument/2006/relationships/hyperlink" Target="https://www.crunchbase.com/organization/senseware" TargetMode="External"/><Relationship Id="rId1208" Type="http://schemas.openxmlformats.org/officeDocument/2006/relationships/hyperlink" Target="https://www.crunchbase.com/funding_round/reggora-series-a--5d97185c" TargetMode="External"/><Relationship Id="rId2539" Type="http://schemas.openxmlformats.org/officeDocument/2006/relationships/hyperlink" Target="https://www.crunchbase.com/organization/landeed" TargetMode="External"/><Relationship Id="rId1209" Type="http://schemas.openxmlformats.org/officeDocument/2006/relationships/hyperlink" Target="https://www.reggora.com/reggora-secures-30-million-in-series-b-funding-led-by-spark-capital/" TargetMode="External"/><Relationship Id="rId3861" Type="http://schemas.openxmlformats.org/officeDocument/2006/relationships/hyperlink" Target="https://www.crunchbase.com/organization/marble-2d24" TargetMode="External"/><Relationship Id="rId2530" Type="http://schemas.openxmlformats.org/officeDocument/2006/relationships/hyperlink" Target="https://www.crunchbase.com/organization/nodalview" TargetMode="External"/><Relationship Id="rId3860" Type="http://schemas.openxmlformats.org/officeDocument/2006/relationships/hyperlink" Target="https://www.crunchbase.com/funding_round/vista-rooms-seed--450f1948" TargetMode="External"/><Relationship Id="rId1200" Type="http://schemas.openxmlformats.org/officeDocument/2006/relationships/hyperlink" Target="https://www.crunchbase.com/organization/beyond-pricing" TargetMode="External"/><Relationship Id="rId2531" Type="http://schemas.openxmlformats.org/officeDocument/2006/relationships/hyperlink" Target="http://production.combell.mkt.nodalview.com/en" TargetMode="External"/><Relationship Id="rId3863" Type="http://schemas.openxmlformats.org/officeDocument/2006/relationships/hyperlink" Target="https://www.crunchbase.com/funding_round/marble-2d24-pre-seed--5d8e9ac3" TargetMode="External"/><Relationship Id="rId1201" Type="http://schemas.openxmlformats.org/officeDocument/2006/relationships/hyperlink" Target="http://beyondpricing.com/" TargetMode="External"/><Relationship Id="rId2532" Type="http://schemas.openxmlformats.org/officeDocument/2006/relationships/hyperlink" Target="https://www.crunchbase.com/funding_round/nodalview-seed--f5fa4898" TargetMode="External"/><Relationship Id="rId3862" Type="http://schemas.openxmlformats.org/officeDocument/2006/relationships/hyperlink" Target="https://www.rentmarble.com/" TargetMode="External"/><Relationship Id="rId1235" Type="http://schemas.openxmlformats.org/officeDocument/2006/relationships/hyperlink" Target="https://funnelleasing.com" TargetMode="External"/><Relationship Id="rId2566" Type="http://schemas.openxmlformats.org/officeDocument/2006/relationships/hyperlink" Target="https://www.crunchbase.com/funding_round/brick-bolt-seed--5ece1591" TargetMode="External"/><Relationship Id="rId3898" Type="http://schemas.openxmlformats.org/officeDocument/2006/relationships/hyperlink" Target="http://www.getcompound.com/" TargetMode="External"/><Relationship Id="rId1236" Type="http://schemas.openxmlformats.org/officeDocument/2006/relationships/hyperlink" Target="https://www.crunchbase.com/funding_round/nestio-seed--c16998ab" TargetMode="External"/><Relationship Id="rId2567" Type="http://schemas.openxmlformats.org/officeDocument/2006/relationships/hyperlink" Target="https://www.crunchbase.com/funding_round/brick-bolt-series-a--bc357fe0" TargetMode="External"/><Relationship Id="rId3897" Type="http://schemas.openxmlformats.org/officeDocument/2006/relationships/hyperlink" Target="https://www.crunchbase.com/organization/stayawhile-inc" TargetMode="External"/><Relationship Id="rId1237" Type="http://schemas.openxmlformats.org/officeDocument/2006/relationships/hyperlink" Target="https://www.crunchbase.com/funding_round/nestio-series-a--4efbbd0b" TargetMode="External"/><Relationship Id="rId2568" Type="http://schemas.openxmlformats.org/officeDocument/2006/relationships/hyperlink" Target="https://angel.co/company/zibo-2" TargetMode="External"/><Relationship Id="rId1238" Type="http://schemas.openxmlformats.org/officeDocument/2006/relationships/hyperlink" Target="https://angel.co/facilio-2" TargetMode="External"/><Relationship Id="rId2569" Type="http://schemas.openxmlformats.org/officeDocument/2006/relationships/hyperlink" Target="https://www.crunchbase.com/organization/zibo" TargetMode="External"/><Relationship Id="rId3899" Type="http://schemas.openxmlformats.org/officeDocument/2006/relationships/hyperlink" Target="https://angel.co/company/envelope-3" TargetMode="External"/><Relationship Id="rId1239" Type="http://schemas.openxmlformats.org/officeDocument/2006/relationships/hyperlink" Target="https://www.crunchbase.com/organization/facilio" TargetMode="External"/><Relationship Id="rId3890" Type="http://schemas.openxmlformats.org/officeDocument/2006/relationships/hyperlink" Target="https://www.getaptly.com/" TargetMode="External"/><Relationship Id="rId2560" Type="http://schemas.openxmlformats.org/officeDocument/2006/relationships/hyperlink" Target="https://www.crunchbase.com/funding_round/aunt-flow-seed--749921d8" TargetMode="External"/><Relationship Id="rId3892" Type="http://schemas.openxmlformats.org/officeDocument/2006/relationships/hyperlink" Target="https://angel.co/company/architrave" TargetMode="External"/><Relationship Id="rId1230" Type="http://schemas.openxmlformats.org/officeDocument/2006/relationships/hyperlink" Target="https://www.crunchbase.com/organization/setpoint-io" TargetMode="External"/><Relationship Id="rId2561" Type="http://schemas.openxmlformats.org/officeDocument/2006/relationships/hyperlink" Target="https://www.crunchbase.com/funding_round/aunt-flow-series-a--0fd8e079" TargetMode="External"/><Relationship Id="rId3891" Type="http://schemas.openxmlformats.org/officeDocument/2006/relationships/hyperlink" Target="https://www.crunchbase.com/funding_round/aptly-seed--5ead7f15" TargetMode="External"/><Relationship Id="rId1231" Type="http://schemas.openxmlformats.org/officeDocument/2006/relationships/hyperlink" Target="https://www.setpoint.io/" TargetMode="External"/><Relationship Id="rId2562" Type="http://schemas.openxmlformats.org/officeDocument/2006/relationships/hyperlink" Target="https://wellfound.com/company/brick-bolt" TargetMode="External"/><Relationship Id="rId3894" Type="http://schemas.openxmlformats.org/officeDocument/2006/relationships/hyperlink" Target="http://www.archilogic.com" TargetMode="External"/><Relationship Id="rId1232" Type="http://schemas.openxmlformats.org/officeDocument/2006/relationships/hyperlink" Target="https://www.crunchbase.com/funding_round/setpoint-io-series-a--3b71026a" TargetMode="External"/><Relationship Id="rId2563" Type="http://schemas.openxmlformats.org/officeDocument/2006/relationships/hyperlink" Target="https://www.crunchbase.com/organization/brick-bolt" TargetMode="External"/><Relationship Id="rId3893" Type="http://schemas.openxmlformats.org/officeDocument/2006/relationships/hyperlink" Target="https://www.crunchbase.com/organization/architrave" TargetMode="External"/><Relationship Id="rId1233" Type="http://schemas.openxmlformats.org/officeDocument/2006/relationships/hyperlink" Target="https://angel.co/company/nestio" TargetMode="External"/><Relationship Id="rId2564" Type="http://schemas.openxmlformats.org/officeDocument/2006/relationships/hyperlink" Target="https://www.bricknbolt.com/" TargetMode="External"/><Relationship Id="rId3896" Type="http://schemas.openxmlformats.org/officeDocument/2006/relationships/hyperlink" Target="https://angel.co/getcompound" TargetMode="External"/><Relationship Id="rId1234" Type="http://schemas.openxmlformats.org/officeDocument/2006/relationships/hyperlink" Target="https://www.crunchbase.com/organization/nestio" TargetMode="External"/><Relationship Id="rId2565" Type="http://schemas.openxmlformats.org/officeDocument/2006/relationships/hyperlink" Target="https://www.crunchbase.com/funding_round/brick-bolt-pre-seed--d64c7364" TargetMode="External"/><Relationship Id="rId3895" Type="http://schemas.openxmlformats.org/officeDocument/2006/relationships/hyperlink" Target="https://www.crunchbase.com/funding_round/architrave-series-b--031a1676" TargetMode="External"/><Relationship Id="rId1224" Type="http://schemas.openxmlformats.org/officeDocument/2006/relationships/hyperlink" Target="https://www.crunchbase.com/funding_round/brickschain-series-a--7a4564bc" TargetMode="External"/><Relationship Id="rId2555" Type="http://schemas.openxmlformats.org/officeDocument/2006/relationships/hyperlink" Target="https://www.crunchbase.com/funding_round/aos-series-a--35d97995" TargetMode="External"/><Relationship Id="rId3887" Type="http://schemas.openxmlformats.org/officeDocument/2006/relationships/hyperlink" Target="https://www.crunchbase.com/funding_round/agorafy-seed--1151fe91" TargetMode="External"/><Relationship Id="rId1225" Type="http://schemas.openxmlformats.org/officeDocument/2006/relationships/hyperlink" Target="https://www.crunchbase.com/organization/willow-inc" TargetMode="External"/><Relationship Id="rId2556" Type="http://schemas.openxmlformats.org/officeDocument/2006/relationships/hyperlink" Target="https://angel.co/company/goauntflow" TargetMode="External"/><Relationship Id="rId3886" Type="http://schemas.openxmlformats.org/officeDocument/2006/relationships/hyperlink" Target="http://agorafy.com/" TargetMode="External"/><Relationship Id="rId1226" Type="http://schemas.openxmlformats.org/officeDocument/2006/relationships/hyperlink" Target="https://www.willowinc.com/" TargetMode="External"/><Relationship Id="rId2557" Type="http://schemas.openxmlformats.org/officeDocument/2006/relationships/hyperlink" Target="https://www.crunchbase.com/organization/aunt-flow" TargetMode="External"/><Relationship Id="rId3889" Type="http://schemas.openxmlformats.org/officeDocument/2006/relationships/hyperlink" Target="https://www.crunchbase.com/organization/aptly" TargetMode="External"/><Relationship Id="rId1227" Type="http://schemas.openxmlformats.org/officeDocument/2006/relationships/hyperlink" Target="https://www.crunchbase.com/organization/kaiyo" TargetMode="External"/><Relationship Id="rId2558" Type="http://schemas.openxmlformats.org/officeDocument/2006/relationships/hyperlink" Target="http://www.goauntflow.com/" TargetMode="External"/><Relationship Id="rId3888" Type="http://schemas.openxmlformats.org/officeDocument/2006/relationships/hyperlink" Target="https://angel.co/company/aptly-1" TargetMode="External"/><Relationship Id="rId1228" Type="http://schemas.openxmlformats.org/officeDocument/2006/relationships/hyperlink" Target="https://kaiyo.com/" TargetMode="External"/><Relationship Id="rId2559" Type="http://schemas.openxmlformats.org/officeDocument/2006/relationships/hyperlink" Target="https://www.crunchbase.com/funding_round/aunt-flow-pre-seed--5239c23f" TargetMode="External"/><Relationship Id="rId1229" Type="http://schemas.openxmlformats.org/officeDocument/2006/relationships/hyperlink" Target="https://wellfound.com/company/setpoint" TargetMode="External"/><Relationship Id="rId3881" Type="http://schemas.openxmlformats.org/officeDocument/2006/relationships/hyperlink" Target="https://angel.co/company/modulize-2" TargetMode="External"/><Relationship Id="rId2550" Type="http://schemas.openxmlformats.org/officeDocument/2006/relationships/hyperlink" Target="https://angel.co/tenantbase" TargetMode="External"/><Relationship Id="rId3880" Type="http://schemas.openxmlformats.org/officeDocument/2006/relationships/hyperlink" Target="https://wyl.co/" TargetMode="External"/><Relationship Id="rId1220" Type="http://schemas.openxmlformats.org/officeDocument/2006/relationships/hyperlink" Target="https://angel.co/company/brickschain-construction-blockchain" TargetMode="External"/><Relationship Id="rId2551" Type="http://schemas.openxmlformats.org/officeDocument/2006/relationships/hyperlink" Target="https://www.crunchbase.com/organization/tenantbase" TargetMode="External"/><Relationship Id="rId3883" Type="http://schemas.openxmlformats.org/officeDocument/2006/relationships/hyperlink" Target="https://www.modulize.io/" TargetMode="External"/><Relationship Id="rId1221" Type="http://schemas.openxmlformats.org/officeDocument/2006/relationships/hyperlink" Target="https://www.crunchbase.com/organization/brickschain" TargetMode="External"/><Relationship Id="rId2552" Type="http://schemas.openxmlformats.org/officeDocument/2006/relationships/hyperlink" Target="http://www.tenantbase.com/" TargetMode="External"/><Relationship Id="rId3882" Type="http://schemas.openxmlformats.org/officeDocument/2006/relationships/hyperlink" Target="https://www.crunchbase.com/organization/modulize" TargetMode="External"/><Relationship Id="rId1222" Type="http://schemas.openxmlformats.org/officeDocument/2006/relationships/hyperlink" Target="https://www.br.iq/" TargetMode="External"/><Relationship Id="rId2553" Type="http://schemas.openxmlformats.org/officeDocument/2006/relationships/hyperlink" Target="https://www.crunchbase.com/organization/aos" TargetMode="External"/><Relationship Id="rId3885" Type="http://schemas.openxmlformats.org/officeDocument/2006/relationships/hyperlink" Target="https://www.crunchbase.com/organization/agorafy" TargetMode="External"/><Relationship Id="rId1223" Type="http://schemas.openxmlformats.org/officeDocument/2006/relationships/hyperlink" Target="https://www.crunchbase.com/funding_round/brickschain-seed--5b39d974" TargetMode="External"/><Relationship Id="rId2554" Type="http://schemas.openxmlformats.org/officeDocument/2006/relationships/hyperlink" Target="https://saqara.com/en/aos" TargetMode="External"/><Relationship Id="rId3884" Type="http://schemas.openxmlformats.org/officeDocument/2006/relationships/hyperlink" Target="https://angel.co/company/agorafy-3" TargetMode="External"/><Relationship Id="rId2500" Type="http://schemas.openxmlformats.org/officeDocument/2006/relationships/hyperlink" Target="https://www.crunchbase.com/funding_round/lun-e2b4-seed--d07a2bab" TargetMode="External"/><Relationship Id="rId3832" Type="http://schemas.openxmlformats.org/officeDocument/2006/relationships/hyperlink" Target="https://www.crunchbase.com/organization/warehouse-exchange" TargetMode="External"/><Relationship Id="rId2501" Type="http://schemas.openxmlformats.org/officeDocument/2006/relationships/hyperlink" Target="https://www.crunchbase.com/organization/3e-nano" TargetMode="External"/><Relationship Id="rId3831" Type="http://schemas.openxmlformats.org/officeDocument/2006/relationships/hyperlink" Target="https://angel.co/company/warehouse-exchange" TargetMode="External"/><Relationship Id="rId2502" Type="http://schemas.openxmlformats.org/officeDocument/2006/relationships/hyperlink" Target="http://www.3enano.com/" TargetMode="External"/><Relationship Id="rId3834" Type="http://schemas.openxmlformats.org/officeDocument/2006/relationships/hyperlink" Target="https://www.crunchbase.com/organization/evo-7f38" TargetMode="External"/><Relationship Id="rId2503" Type="http://schemas.openxmlformats.org/officeDocument/2006/relationships/hyperlink" Target="https://www.crunchbase.com/funding_round/3e-nano-seed--be304c3f" TargetMode="External"/><Relationship Id="rId3833" Type="http://schemas.openxmlformats.org/officeDocument/2006/relationships/hyperlink" Target="http://www.warehouseexchange.com/" TargetMode="External"/><Relationship Id="rId2504" Type="http://schemas.openxmlformats.org/officeDocument/2006/relationships/hyperlink" Target="https://www.crunchbase.com/funding_round/3e-nano-grant--7b6cf920" TargetMode="External"/><Relationship Id="rId3836" Type="http://schemas.openxmlformats.org/officeDocument/2006/relationships/hyperlink" Target="https://www.crunchbase.com/funding_round/evo-7f38-pre-seed--08965e26" TargetMode="External"/><Relationship Id="rId2505" Type="http://schemas.openxmlformats.org/officeDocument/2006/relationships/hyperlink" Target="https://angel.co/helloavail" TargetMode="External"/><Relationship Id="rId3835" Type="http://schemas.openxmlformats.org/officeDocument/2006/relationships/hyperlink" Target="https://evo-pm.com/" TargetMode="External"/><Relationship Id="rId2506" Type="http://schemas.openxmlformats.org/officeDocument/2006/relationships/hyperlink" Target="https://www.crunchbase.com/organization/helloavail" TargetMode="External"/><Relationship Id="rId3838" Type="http://schemas.openxmlformats.org/officeDocument/2006/relationships/hyperlink" Target="https://proptechconnect.com/evo-raises-to-capitalise-on-30bn-market-opportunity/" TargetMode="External"/><Relationship Id="rId2507" Type="http://schemas.openxmlformats.org/officeDocument/2006/relationships/hyperlink" Target="http://www.avail.co/" TargetMode="External"/><Relationship Id="rId3837" Type="http://schemas.openxmlformats.org/officeDocument/2006/relationships/hyperlink" Target="https://www.crunchbase.com/funding_round/evo-7f38-seed--452cad19" TargetMode="External"/><Relationship Id="rId2508" Type="http://schemas.openxmlformats.org/officeDocument/2006/relationships/hyperlink" Target="https://www.crunchbase.com/funding_round/automated-insights-series-b--0a45e4ce" TargetMode="External"/><Relationship Id="rId2509" Type="http://schemas.openxmlformats.org/officeDocument/2006/relationships/hyperlink" Target="https://angel.co/company/branchfurniture" TargetMode="External"/><Relationship Id="rId3839" Type="http://schemas.openxmlformats.org/officeDocument/2006/relationships/hyperlink" Target="https://wellfound.com/company/roots-homes" TargetMode="External"/><Relationship Id="rId3830" Type="http://schemas.openxmlformats.org/officeDocument/2006/relationships/hyperlink" Target="https://www.crunchbase.com/funding_round/prevu-seed--e0aed982" TargetMode="External"/><Relationship Id="rId3821" Type="http://schemas.openxmlformats.org/officeDocument/2006/relationships/hyperlink" Target="https://www.crunchbase.com/organization/far-homes" TargetMode="External"/><Relationship Id="rId3820" Type="http://schemas.openxmlformats.org/officeDocument/2006/relationships/hyperlink" Target="https://www.turningart.com/" TargetMode="External"/><Relationship Id="rId3823" Type="http://schemas.openxmlformats.org/officeDocument/2006/relationships/hyperlink" Target="https://www.crunchbase.com/funding_round/far-homes-seed--df9c25f6" TargetMode="External"/><Relationship Id="rId3822" Type="http://schemas.openxmlformats.org/officeDocument/2006/relationships/hyperlink" Target="https://farhomes.com/" TargetMode="External"/><Relationship Id="rId3825" Type="http://schemas.openxmlformats.org/officeDocument/2006/relationships/hyperlink" Target="https://www.crunchbase.com/organization/geniebelt" TargetMode="External"/><Relationship Id="rId3824" Type="http://schemas.openxmlformats.org/officeDocument/2006/relationships/hyperlink" Target="https://angel.co/company/geniebelt" TargetMode="External"/><Relationship Id="rId3827" Type="http://schemas.openxmlformats.org/officeDocument/2006/relationships/hyperlink" Target="https://angel.co/company/prevuapp" TargetMode="External"/><Relationship Id="rId3826" Type="http://schemas.openxmlformats.org/officeDocument/2006/relationships/hyperlink" Target="https://geniebelt.com/us" TargetMode="External"/><Relationship Id="rId3829" Type="http://schemas.openxmlformats.org/officeDocument/2006/relationships/hyperlink" Target="https://www.prevu.com/" TargetMode="External"/><Relationship Id="rId3828" Type="http://schemas.openxmlformats.org/officeDocument/2006/relationships/hyperlink" Target="https://www.crunchbase.com/organization/prevu" TargetMode="External"/><Relationship Id="rId6094" Type="http://schemas.openxmlformats.org/officeDocument/2006/relationships/hyperlink" Target="https://www.techdad.com/techmenity" TargetMode="External"/><Relationship Id="rId6095" Type="http://schemas.openxmlformats.org/officeDocument/2006/relationships/hyperlink" Target="https://angel.co/company/teksystems" TargetMode="External"/><Relationship Id="rId6092" Type="http://schemas.openxmlformats.org/officeDocument/2006/relationships/hyperlink" Target="https://www.tbicom.com/" TargetMode="External"/><Relationship Id="rId6093" Type="http://schemas.openxmlformats.org/officeDocument/2006/relationships/hyperlink" Target="https://www.crunchbase.com/organization/techmenity" TargetMode="External"/><Relationship Id="rId6098" Type="http://schemas.openxmlformats.org/officeDocument/2006/relationships/hyperlink" Target="https://www.crunchbase.com/organization/temboo" TargetMode="External"/><Relationship Id="rId6099" Type="http://schemas.openxmlformats.org/officeDocument/2006/relationships/hyperlink" Target="https://temboo.com/" TargetMode="External"/><Relationship Id="rId6096" Type="http://schemas.openxmlformats.org/officeDocument/2006/relationships/hyperlink" Target="https://www.crunchbase.com/organization/teksystems" TargetMode="External"/><Relationship Id="rId6097" Type="http://schemas.openxmlformats.org/officeDocument/2006/relationships/hyperlink" Target="https://www.teksystems.com/" TargetMode="External"/><Relationship Id="rId2522" Type="http://schemas.openxmlformats.org/officeDocument/2006/relationships/hyperlink" Target="https://angel.co/company/clarityai" TargetMode="External"/><Relationship Id="rId3854" Type="http://schemas.openxmlformats.org/officeDocument/2006/relationships/hyperlink" Target="https://angel.co/booqed" TargetMode="External"/><Relationship Id="rId2523" Type="http://schemas.openxmlformats.org/officeDocument/2006/relationships/hyperlink" Target="https://www.crunchbase.com/organization/clarity-ai" TargetMode="External"/><Relationship Id="rId3853" Type="http://schemas.openxmlformats.org/officeDocument/2006/relationships/hyperlink" Target="http://www.construyo.de/" TargetMode="External"/><Relationship Id="rId2524" Type="http://schemas.openxmlformats.org/officeDocument/2006/relationships/hyperlink" Target="https://clarity.ai/" TargetMode="External"/><Relationship Id="rId3856" Type="http://schemas.openxmlformats.org/officeDocument/2006/relationships/hyperlink" Target="http://booqed.com/" TargetMode="External"/><Relationship Id="rId2525" Type="http://schemas.openxmlformats.org/officeDocument/2006/relationships/hyperlink" Target="https://angel.co/company/properti-ag" TargetMode="External"/><Relationship Id="rId3855" Type="http://schemas.openxmlformats.org/officeDocument/2006/relationships/hyperlink" Target="https://www.crunchbase.com/organization/booqed-ltd" TargetMode="External"/><Relationship Id="rId2526" Type="http://schemas.openxmlformats.org/officeDocument/2006/relationships/hyperlink" Target="https://www.crunchbase.com/organization/properti" TargetMode="External"/><Relationship Id="rId3858" Type="http://schemas.openxmlformats.org/officeDocument/2006/relationships/hyperlink" Target="https://www.crunchbase.com/organization/vista-rooms" TargetMode="External"/><Relationship Id="rId2527" Type="http://schemas.openxmlformats.org/officeDocument/2006/relationships/hyperlink" Target="https://www.properti.ch/de/" TargetMode="External"/><Relationship Id="rId3857" Type="http://schemas.openxmlformats.org/officeDocument/2006/relationships/hyperlink" Target="https://angel.co/company/stayvista-1" TargetMode="External"/><Relationship Id="rId2528" Type="http://schemas.openxmlformats.org/officeDocument/2006/relationships/hyperlink" Target="https://www.crunchbase.com/funding_round/properti-seed--e637e32a" TargetMode="External"/><Relationship Id="rId2529" Type="http://schemas.openxmlformats.org/officeDocument/2006/relationships/hyperlink" Target="https://wellfound.com/company/nodalview" TargetMode="External"/><Relationship Id="rId3859" Type="http://schemas.openxmlformats.org/officeDocument/2006/relationships/hyperlink" Target="https://www.stayvista.com/" TargetMode="External"/><Relationship Id="rId3850" Type="http://schemas.openxmlformats.org/officeDocument/2006/relationships/hyperlink" Target="https://www.crunchbase.com/funding_round/buildstream-equity-crowdfunding--828a0732" TargetMode="External"/><Relationship Id="rId2520" Type="http://schemas.openxmlformats.org/officeDocument/2006/relationships/hyperlink" Target="https://www.beti-safety.com/" TargetMode="External"/><Relationship Id="rId3852" Type="http://schemas.openxmlformats.org/officeDocument/2006/relationships/hyperlink" Target="https://www.crunchbase.com/organization/construyo" TargetMode="External"/><Relationship Id="rId2521" Type="http://schemas.openxmlformats.org/officeDocument/2006/relationships/hyperlink" Target="https://www.crunchbase.com/funding_round/beti-digital-services-series-a--faa75ba4" TargetMode="External"/><Relationship Id="rId3851" Type="http://schemas.openxmlformats.org/officeDocument/2006/relationships/hyperlink" Target="https://angel.co/company/partum" TargetMode="External"/><Relationship Id="rId2511" Type="http://schemas.openxmlformats.org/officeDocument/2006/relationships/hyperlink" Target="https://www.branch.technology/" TargetMode="External"/><Relationship Id="rId3843" Type="http://schemas.openxmlformats.org/officeDocument/2006/relationships/hyperlink" Target="https://angel.co/company/scaled-robotics" TargetMode="External"/><Relationship Id="rId2512" Type="http://schemas.openxmlformats.org/officeDocument/2006/relationships/hyperlink" Target="https://branch-technology.medium.com/branch-technology-raises-11m-to-expand-capabilities-for-enterprise-partnerships-eed4bb00bffd" TargetMode="External"/><Relationship Id="rId3842" Type="http://schemas.openxmlformats.org/officeDocument/2006/relationships/hyperlink" Target="https://www.crunchbase.com/funding_round/roots-homes-seed--fdaf5ddb" TargetMode="External"/><Relationship Id="rId2513" Type="http://schemas.openxmlformats.org/officeDocument/2006/relationships/hyperlink" Target="https://angel.co/company/localize-city" TargetMode="External"/><Relationship Id="rId3845" Type="http://schemas.openxmlformats.org/officeDocument/2006/relationships/hyperlink" Target="https://www.scaledrobotics.com/" TargetMode="External"/><Relationship Id="rId2514" Type="http://schemas.openxmlformats.org/officeDocument/2006/relationships/hyperlink" Target="https://www.crunchbase.com/organization/localize-city" TargetMode="External"/><Relationship Id="rId3844" Type="http://schemas.openxmlformats.org/officeDocument/2006/relationships/hyperlink" Target="https://www.crunchbase.com/organization/scaled-robotics" TargetMode="External"/><Relationship Id="rId2515" Type="http://schemas.openxmlformats.org/officeDocument/2006/relationships/hyperlink" Target="https://www.localize.city/" TargetMode="External"/><Relationship Id="rId3847" Type="http://schemas.openxmlformats.org/officeDocument/2006/relationships/hyperlink" Target="https://www.crunchbase.com/organization/buildstream" TargetMode="External"/><Relationship Id="rId2516" Type="http://schemas.openxmlformats.org/officeDocument/2006/relationships/hyperlink" Target="https://angel.co/company/replica" TargetMode="External"/><Relationship Id="rId3846" Type="http://schemas.openxmlformats.org/officeDocument/2006/relationships/hyperlink" Target="https://angel.co/company/buildstream1" TargetMode="External"/><Relationship Id="rId2517" Type="http://schemas.openxmlformats.org/officeDocument/2006/relationships/hyperlink" Target="https://www.crunchbase.com/organization/replica" TargetMode="External"/><Relationship Id="rId3849" Type="http://schemas.openxmlformats.org/officeDocument/2006/relationships/hyperlink" Target="https://www.crunchbase.com/funding_round/buildstream-pre-seed--e2a44d5d" TargetMode="External"/><Relationship Id="rId2518" Type="http://schemas.openxmlformats.org/officeDocument/2006/relationships/hyperlink" Target="https://replicahq.com/" TargetMode="External"/><Relationship Id="rId3848" Type="http://schemas.openxmlformats.org/officeDocument/2006/relationships/hyperlink" Target="http://www.buildstream.co.uk/" TargetMode="External"/><Relationship Id="rId2519" Type="http://schemas.openxmlformats.org/officeDocument/2006/relationships/hyperlink" Target="https://www.crunchbase.com/organization/beti-digital-services" TargetMode="External"/><Relationship Id="rId3841" Type="http://schemas.openxmlformats.org/officeDocument/2006/relationships/hyperlink" Target="https://roots.homes/" TargetMode="External"/><Relationship Id="rId2510" Type="http://schemas.openxmlformats.org/officeDocument/2006/relationships/hyperlink" Target="https://www.crunchbase.com/organization/branch-technology" TargetMode="External"/><Relationship Id="rId3840" Type="http://schemas.openxmlformats.org/officeDocument/2006/relationships/hyperlink" Target="https://www.crunchbase.com/organization/roots-homes" TargetMode="External"/><Relationship Id="rId1290" Type="http://schemas.openxmlformats.org/officeDocument/2006/relationships/hyperlink" Target="https://wellfound.com/company/gradient-7" TargetMode="External"/><Relationship Id="rId1291" Type="http://schemas.openxmlformats.org/officeDocument/2006/relationships/hyperlink" Target="https://www.crunchbase.com/organization/treau-inc" TargetMode="External"/><Relationship Id="rId1292" Type="http://schemas.openxmlformats.org/officeDocument/2006/relationships/hyperlink" Target="https://www.gradientcomfort.com/" TargetMode="External"/><Relationship Id="rId1293" Type="http://schemas.openxmlformats.org/officeDocument/2006/relationships/hyperlink" Target="https://www.crunchbase.com/funding_round/treau-inc-pre-seed--6ece1c82" TargetMode="External"/><Relationship Id="rId1294" Type="http://schemas.openxmlformats.org/officeDocument/2006/relationships/hyperlink" Target="https://www.crunchbase.com/funding_round/treau-inc-seed--3dab8981" TargetMode="External"/><Relationship Id="rId1295" Type="http://schemas.openxmlformats.org/officeDocument/2006/relationships/hyperlink" Target="https://www.crunchbase.com/funding_round/treau-inc-series-a--19309aed" TargetMode="External"/><Relationship Id="rId1296" Type="http://schemas.openxmlformats.org/officeDocument/2006/relationships/hyperlink" Target="https://www.crunchbase.com/funding_round/treau-inc-grant--2bfb32ab" TargetMode="External"/><Relationship Id="rId1297" Type="http://schemas.openxmlformats.org/officeDocument/2006/relationships/hyperlink" Target="https://angel.co/alice-12/" TargetMode="External"/><Relationship Id="rId1298" Type="http://schemas.openxmlformats.org/officeDocument/2006/relationships/hyperlink" Target="https://www.crunchbase.com/organization/alice-app" TargetMode="External"/><Relationship Id="rId1299" Type="http://schemas.openxmlformats.org/officeDocument/2006/relationships/hyperlink" Target="https://www.aliceplatform.com/" TargetMode="External"/><Relationship Id="rId1280" Type="http://schemas.openxmlformats.org/officeDocument/2006/relationships/hyperlink" Target="https://sublime-systems.com/" TargetMode="External"/><Relationship Id="rId1281" Type="http://schemas.openxmlformats.org/officeDocument/2006/relationships/hyperlink" Target="https://www.crunchbase.com/funding_round/sublime-systems-seed--18245d1b" TargetMode="External"/><Relationship Id="rId1282" Type="http://schemas.openxmlformats.org/officeDocument/2006/relationships/hyperlink" Target="https://www.crunchbase.com/funding_round/sublime-systems-series-a--e81866dd" TargetMode="External"/><Relationship Id="rId1283" Type="http://schemas.openxmlformats.org/officeDocument/2006/relationships/hyperlink" Target="https://angel.co/company/entera-1" TargetMode="External"/><Relationship Id="rId1284" Type="http://schemas.openxmlformats.org/officeDocument/2006/relationships/hyperlink" Target="https://www.crunchbase.com/organization/entera-holdings" TargetMode="External"/><Relationship Id="rId1285" Type="http://schemas.openxmlformats.org/officeDocument/2006/relationships/hyperlink" Target="https://www.entera.ai/" TargetMode="External"/><Relationship Id="rId1286" Type="http://schemas.openxmlformats.org/officeDocument/2006/relationships/hyperlink" Target="https://www.crunchbase.com/organization/ukio" TargetMode="External"/><Relationship Id="rId1287" Type="http://schemas.openxmlformats.org/officeDocument/2006/relationships/hyperlink" Target="https://www.ukio.com/" TargetMode="External"/><Relationship Id="rId1288" Type="http://schemas.openxmlformats.org/officeDocument/2006/relationships/hyperlink" Target="https://www.crunchbase.com/funding_round/ukio-series-a--96f835b9" TargetMode="External"/><Relationship Id="rId1289" Type="http://schemas.openxmlformats.org/officeDocument/2006/relationships/hyperlink" Target="https://www.crunchbase.com/funding_round/ukio-debt-financing--3e438fd3" TargetMode="External"/><Relationship Id="rId1257" Type="http://schemas.openxmlformats.org/officeDocument/2006/relationships/hyperlink" Target="https://www.crunchbase.com/funding_round/affinity-inc-series-b--9744971d" TargetMode="External"/><Relationship Id="rId2588" Type="http://schemas.openxmlformats.org/officeDocument/2006/relationships/hyperlink" Target="https://www.crunchbase.com/organization/gearflow" TargetMode="External"/><Relationship Id="rId1258" Type="http://schemas.openxmlformats.org/officeDocument/2006/relationships/hyperlink" Target="https://www.crunchbase.com/organization/keyway" TargetMode="External"/><Relationship Id="rId2589" Type="http://schemas.openxmlformats.org/officeDocument/2006/relationships/hyperlink" Target="https://www.gearflow.com/" TargetMode="External"/><Relationship Id="rId1259" Type="http://schemas.openxmlformats.org/officeDocument/2006/relationships/hyperlink" Target="https://whykeyway.com/" TargetMode="External"/><Relationship Id="rId2580" Type="http://schemas.openxmlformats.org/officeDocument/2006/relationships/hyperlink" Target="https://angel.co/company/buildforce-2" TargetMode="External"/><Relationship Id="rId1250" Type="http://schemas.openxmlformats.org/officeDocument/2006/relationships/hyperlink" Target="https://www.crunchbase.com/funding_round/operto-guest-technologies-seed--ab81045c" TargetMode="External"/><Relationship Id="rId2581" Type="http://schemas.openxmlformats.org/officeDocument/2006/relationships/hyperlink" Target="https://www.crunchbase.com/organization/buildforce" TargetMode="External"/><Relationship Id="rId1251" Type="http://schemas.openxmlformats.org/officeDocument/2006/relationships/hyperlink" Target="https://www.crunchbase.com/funding_round/operto-guest-technologies-series-a--bbd1f437" TargetMode="External"/><Relationship Id="rId2582" Type="http://schemas.openxmlformats.org/officeDocument/2006/relationships/hyperlink" Target="https://buildforce.com/" TargetMode="External"/><Relationship Id="rId1252" Type="http://schemas.openxmlformats.org/officeDocument/2006/relationships/hyperlink" Target="https://www.crunchbase.com/funding_round/operto-guest-technologies-series-b--3f28a3c2" TargetMode="External"/><Relationship Id="rId2583" Type="http://schemas.openxmlformats.org/officeDocument/2006/relationships/hyperlink" Target="https://www.crunchbase.com/funding_round/buildforce-seed--09399cea" TargetMode="External"/><Relationship Id="rId1253" Type="http://schemas.openxmlformats.org/officeDocument/2006/relationships/hyperlink" Target="https://angel.co/company/affinityinc" TargetMode="External"/><Relationship Id="rId2584" Type="http://schemas.openxmlformats.org/officeDocument/2006/relationships/hyperlink" Target="https://www.crunchbase.com/funding_round/buildforce-series-unknown--fab05507" TargetMode="External"/><Relationship Id="rId1254" Type="http://schemas.openxmlformats.org/officeDocument/2006/relationships/hyperlink" Target="https://www.crunchbase.com/organization/affinity-inc" TargetMode="External"/><Relationship Id="rId2585" Type="http://schemas.openxmlformats.org/officeDocument/2006/relationships/hyperlink" Target="https://www.crunchbase.com/organization/sumutasu" TargetMode="External"/><Relationship Id="rId1255" Type="http://schemas.openxmlformats.org/officeDocument/2006/relationships/hyperlink" Target="https://www.affinity.co/" TargetMode="External"/><Relationship Id="rId2586" Type="http://schemas.openxmlformats.org/officeDocument/2006/relationships/hyperlink" Target="https://sumutasu.co.jp/" TargetMode="External"/><Relationship Id="rId1256" Type="http://schemas.openxmlformats.org/officeDocument/2006/relationships/hyperlink" Target="https://www.crunchbase.com/funding_round/affinity-inc-series-a--c121ea46" TargetMode="External"/><Relationship Id="rId2587" Type="http://schemas.openxmlformats.org/officeDocument/2006/relationships/hyperlink" Target="https://angel.co/company/gearflow" TargetMode="External"/><Relationship Id="rId1246" Type="http://schemas.openxmlformats.org/officeDocument/2006/relationships/hyperlink" Target="https://www.jetty.com/" TargetMode="External"/><Relationship Id="rId2577" Type="http://schemas.openxmlformats.org/officeDocument/2006/relationships/hyperlink" Target="https://www.crunchbase.com/funding_round/audette-pre-seed--91a05611" TargetMode="External"/><Relationship Id="rId1247" Type="http://schemas.openxmlformats.org/officeDocument/2006/relationships/hyperlink" Target="https://wellfound.com/company/slick-spaces" TargetMode="External"/><Relationship Id="rId2578" Type="http://schemas.openxmlformats.org/officeDocument/2006/relationships/hyperlink" Target="https://www.crunchbase.com/funding_round/audette-seed--3edd5102" TargetMode="External"/><Relationship Id="rId1248" Type="http://schemas.openxmlformats.org/officeDocument/2006/relationships/hyperlink" Target="https://www.crunchbase.com/organization/operto-guest-technologies" TargetMode="External"/><Relationship Id="rId2579" Type="http://schemas.openxmlformats.org/officeDocument/2006/relationships/hyperlink" Target="https://www.crunchbase.com/funding_round/audette-grant--2baf95b1" TargetMode="External"/><Relationship Id="rId1249" Type="http://schemas.openxmlformats.org/officeDocument/2006/relationships/hyperlink" Target="https://www.operto.com/" TargetMode="External"/><Relationship Id="rId2570" Type="http://schemas.openxmlformats.org/officeDocument/2006/relationships/hyperlink" Target="https://www.zibo.co/" TargetMode="External"/><Relationship Id="rId1240" Type="http://schemas.openxmlformats.org/officeDocument/2006/relationships/hyperlink" Target="https://www.crunchbase.com/organization/punch-list-5ac0" TargetMode="External"/><Relationship Id="rId2571" Type="http://schemas.openxmlformats.org/officeDocument/2006/relationships/hyperlink" Target="https://www.crunchbase.com/funding_round/zibo-seed--58a0b417" TargetMode="External"/><Relationship Id="rId1241" Type="http://schemas.openxmlformats.org/officeDocument/2006/relationships/hyperlink" Target="https://www.punchlistusa.com/" TargetMode="External"/><Relationship Id="rId2572" Type="http://schemas.openxmlformats.org/officeDocument/2006/relationships/hyperlink" Target="https://www.crunchbase.com/organization/rheaply" TargetMode="External"/><Relationship Id="rId1242" Type="http://schemas.openxmlformats.org/officeDocument/2006/relationships/hyperlink" Target="https://www.crunchbase.com/funding_round/punch-list-5ac0-seed--45c5fde1" TargetMode="External"/><Relationship Id="rId2573" Type="http://schemas.openxmlformats.org/officeDocument/2006/relationships/hyperlink" Target="https://rheaply.com/" TargetMode="External"/><Relationship Id="rId1243" Type="http://schemas.openxmlformats.org/officeDocument/2006/relationships/hyperlink" Target="https://www.crunchbase.com/funding_round/punch-list-5ac0-series-a--a216b580" TargetMode="External"/><Relationship Id="rId2574" Type="http://schemas.openxmlformats.org/officeDocument/2006/relationships/hyperlink" Target="https://angel.co/company/audette" TargetMode="External"/><Relationship Id="rId1244" Type="http://schemas.openxmlformats.org/officeDocument/2006/relationships/hyperlink" Target="https://angel.co/company/jettyinsurance" TargetMode="External"/><Relationship Id="rId2575" Type="http://schemas.openxmlformats.org/officeDocument/2006/relationships/hyperlink" Target="https://www.crunchbase.com/organization/audette" TargetMode="External"/><Relationship Id="rId1245" Type="http://schemas.openxmlformats.org/officeDocument/2006/relationships/hyperlink" Target="https://www.crunchbase.com/organization/jetty-2" TargetMode="External"/><Relationship Id="rId2576" Type="http://schemas.openxmlformats.org/officeDocument/2006/relationships/hyperlink" Target="https://www.audette.io/" TargetMode="External"/><Relationship Id="rId1279" Type="http://schemas.openxmlformats.org/officeDocument/2006/relationships/hyperlink" Target="https://www.crunchbase.com/organization/sublime-systems" TargetMode="External"/><Relationship Id="rId1270" Type="http://schemas.openxmlformats.org/officeDocument/2006/relationships/hyperlink" Target="https://www.ergeon.com/" TargetMode="External"/><Relationship Id="rId1271" Type="http://schemas.openxmlformats.org/officeDocument/2006/relationships/hyperlink" Target="https://angel.co/company/modern-electron" TargetMode="External"/><Relationship Id="rId1272" Type="http://schemas.openxmlformats.org/officeDocument/2006/relationships/hyperlink" Target="https://www.crunchbase.com/organization/modern-electron" TargetMode="External"/><Relationship Id="rId1273" Type="http://schemas.openxmlformats.org/officeDocument/2006/relationships/hyperlink" Target="https://modernelectron.com/" TargetMode="External"/><Relationship Id="rId1274" Type="http://schemas.openxmlformats.org/officeDocument/2006/relationships/hyperlink" Target="https://www.crunchbase.com/organization/perenna" TargetMode="External"/><Relationship Id="rId1275" Type="http://schemas.openxmlformats.org/officeDocument/2006/relationships/hyperlink" Target="https://www.perenna.co.uk/" TargetMode="External"/><Relationship Id="rId1276" Type="http://schemas.openxmlformats.org/officeDocument/2006/relationships/hyperlink" Target="https://www.crunchbase.com/funding_round/perenna-seed--9f479a9a" TargetMode="External"/><Relationship Id="rId1277" Type="http://schemas.openxmlformats.org/officeDocument/2006/relationships/hyperlink" Target="https://www.crunchbase.com/funding_round/perenna-series-a--04fa1236" TargetMode="External"/><Relationship Id="rId1278" Type="http://schemas.openxmlformats.org/officeDocument/2006/relationships/hyperlink" Target="https://wellfound.com/company/sublime-systems" TargetMode="External"/><Relationship Id="rId1268" Type="http://schemas.openxmlformats.org/officeDocument/2006/relationships/hyperlink" Target="https://www.crunchbase.com/funding_round/skyrise-seed--246fbf4c" TargetMode="External"/><Relationship Id="rId2599" Type="http://schemas.openxmlformats.org/officeDocument/2006/relationships/hyperlink" Target="https://www.crunchbase.com/search/organizations/field/organizations/location_identifiers/fort-collins-colorado" TargetMode="External"/><Relationship Id="rId1269" Type="http://schemas.openxmlformats.org/officeDocument/2006/relationships/hyperlink" Target="https://www.crunchbase.com/organization/ergeon" TargetMode="External"/><Relationship Id="rId2590" Type="http://schemas.openxmlformats.org/officeDocument/2006/relationships/hyperlink" Target="https://www.crunchbase.com/funding_round/gearflow-pre-seed--c3915648" TargetMode="External"/><Relationship Id="rId1260" Type="http://schemas.openxmlformats.org/officeDocument/2006/relationships/hyperlink" Target="https://www.crunchbase.com/funding_round/keyway-series-a--f922888b" TargetMode="External"/><Relationship Id="rId2591" Type="http://schemas.openxmlformats.org/officeDocument/2006/relationships/hyperlink" Target="https://www.crunchbase.com/funding_round/gearflow-seed--b019d49d" TargetMode="External"/><Relationship Id="rId1261" Type="http://schemas.openxmlformats.org/officeDocument/2006/relationships/hyperlink" Target="https://angel.co/company/leasequery" TargetMode="External"/><Relationship Id="rId2592" Type="http://schemas.openxmlformats.org/officeDocument/2006/relationships/hyperlink" Target="https://www.crunchbase.com/funding_round/gearflow-series-a--6b3ad878" TargetMode="External"/><Relationship Id="rId1262" Type="http://schemas.openxmlformats.org/officeDocument/2006/relationships/hyperlink" Target="https://www.crunchbase.com/organization/leasequery-com" TargetMode="External"/><Relationship Id="rId2593" Type="http://schemas.openxmlformats.org/officeDocument/2006/relationships/hyperlink" Target="https://angel.co/company/proportunity" TargetMode="External"/><Relationship Id="rId1263" Type="http://schemas.openxmlformats.org/officeDocument/2006/relationships/hyperlink" Target="https://leasequery.com/" TargetMode="External"/><Relationship Id="rId2594" Type="http://schemas.openxmlformats.org/officeDocument/2006/relationships/hyperlink" Target="https://www.crunchbase.com/organization/proportunity" TargetMode="External"/><Relationship Id="rId1264" Type="http://schemas.openxmlformats.org/officeDocument/2006/relationships/hyperlink" Target="https://www.crunchbase.com/funding_round/leasequery-com-series-a--63a8a2a0" TargetMode="External"/><Relationship Id="rId2595" Type="http://schemas.openxmlformats.org/officeDocument/2006/relationships/hyperlink" Target="https://proportunity.co/" TargetMode="External"/><Relationship Id="rId1265" Type="http://schemas.openxmlformats.org/officeDocument/2006/relationships/hyperlink" Target="https://angel.co/company/skyrise" TargetMode="External"/><Relationship Id="rId2596" Type="http://schemas.openxmlformats.org/officeDocument/2006/relationships/hyperlink" Target="https://angel.co/company/turbo-tenant" TargetMode="External"/><Relationship Id="rId1266" Type="http://schemas.openxmlformats.org/officeDocument/2006/relationships/hyperlink" Target="https://www.crunchbase.com/organization/skyrise" TargetMode="External"/><Relationship Id="rId2597" Type="http://schemas.openxmlformats.org/officeDocument/2006/relationships/hyperlink" Target="https://www.crunchbase.com/organization/turbo-tenant-llc" TargetMode="External"/><Relationship Id="rId1267" Type="http://schemas.openxmlformats.org/officeDocument/2006/relationships/hyperlink" Target="http://www.skyriseapp.com/" TargetMode="External"/><Relationship Id="rId2598" Type="http://schemas.openxmlformats.org/officeDocument/2006/relationships/hyperlink" Target="http://www.turbotenant.com" TargetMode="External"/><Relationship Id="rId3070" Type="http://schemas.openxmlformats.org/officeDocument/2006/relationships/hyperlink" Target="https://www.crunchbase.com/organization/archilogic" TargetMode="External"/><Relationship Id="rId3072" Type="http://schemas.openxmlformats.org/officeDocument/2006/relationships/hyperlink" Target="https://www.crunchbase.com/funding_round/archilogic-seed--ef4e93a0" TargetMode="External"/><Relationship Id="rId3071" Type="http://schemas.openxmlformats.org/officeDocument/2006/relationships/hyperlink" Target="https://www.archilogic.com/" TargetMode="External"/><Relationship Id="rId3074" Type="http://schemas.openxmlformats.org/officeDocument/2006/relationships/hyperlink" Target="https://angel.co/company/genea" TargetMode="External"/><Relationship Id="rId3073" Type="http://schemas.openxmlformats.org/officeDocument/2006/relationships/hyperlink" Target="https://www.crunchbase.com/funding_round/archilogic-series-a--a43c7586" TargetMode="External"/><Relationship Id="rId3076" Type="http://schemas.openxmlformats.org/officeDocument/2006/relationships/hyperlink" Target="http://www.getgenea.com/" TargetMode="External"/><Relationship Id="rId3075" Type="http://schemas.openxmlformats.org/officeDocument/2006/relationships/hyperlink" Target="https://www.crunchbase.com/organization/genea-energy" TargetMode="External"/><Relationship Id="rId3078" Type="http://schemas.openxmlformats.org/officeDocument/2006/relationships/hyperlink" Target="https://www.crunchbase.com/organization/realized-holdings" TargetMode="External"/><Relationship Id="rId3077" Type="http://schemas.openxmlformats.org/officeDocument/2006/relationships/hyperlink" Target="https://angel.co/company/realized" TargetMode="External"/><Relationship Id="rId3079" Type="http://schemas.openxmlformats.org/officeDocument/2006/relationships/hyperlink" Target="https://www.realized1031.com/" TargetMode="External"/><Relationship Id="rId4390" Type="http://schemas.openxmlformats.org/officeDocument/2006/relationships/hyperlink" Target="https://www.crunchbase.com/funding_round/frameless-seed--f69daf65" TargetMode="External"/><Relationship Id="rId3061" Type="http://schemas.openxmlformats.org/officeDocument/2006/relationships/hyperlink" Target="https://angel.co/company/traceair" TargetMode="External"/><Relationship Id="rId4392" Type="http://schemas.openxmlformats.org/officeDocument/2006/relationships/hyperlink" Target="https://www.crunchbase.com/organization/radiator-labs-inc" TargetMode="External"/><Relationship Id="rId3060" Type="http://schemas.openxmlformats.org/officeDocument/2006/relationships/hyperlink" Target="https://www.curri.com/" TargetMode="External"/><Relationship Id="rId4391" Type="http://schemas.openxmlformats.org/officeDocument/2006/relationships/hyperlink" Target="https://angel.co/company/radiator-labs" TargetMode="External"/><Relationship Id="rId3063" Type="http://schemas.openxmlformats.org/officeDocument/2006/relationships/hyperlink" Target="https://traceair.net/" TargetMode="External"/><Relationship Id="rId4394" Type="http://schemas.openxmlformats.org/officeDocument/2006/relationships/hyperlink" Target="https://www.crunchbase.com/organization/sharplaunch" TargetMode="External"/><Relationship Id="rId3062" Type="http://schemas.openxmlformats.org/officeDocument/2006/relationships/hyperlink" Target="https://www.crunchbase.com/organization/traceair" TargetMode="External"/><Relationship Id="rId4393" Type="http://schemas.openxmlformats.org/officeDocument/2006/relationships/hyperlink" Target="https://angel.co/sharplaunch" TargetMode="External"/><Relationship Id="rId3065" Type="http://schemas.openxmlformats.org/officeDocument/2006/relationships/hyperlink" Target="https://www.crunchbase.com/organization/wreno" TargetMode="External"/><Relationship Id="rId4396" Type="http://schemas.openxmlformats.org/officeDocument/2006/relationships/hyperlink" Target="https://www.crunchbase.com/organization/biome" TargetMode="External"/><Relationship Id="rId3064" Type="http://schemas.openxmlformats.org/officeDocument/2006/relationships/hyperlink" Target="https://angel.co/company/wreno" TargetMode="External"/><Relationship Id="rId4395" Type="http://schemas.openxmlformats.org/officeDocument/2006/relationships/hyperlink" Target="http://www.sharplaunch.com/" TargetMode="External"/><Relationship Id="rId3067" Type="http://schemas.openxmlformats.org/officeDocument/2006/relationships/hyperlink" Target="https://www.crunchbase.com/funding_round/wreno-seed--c8e34345" TargetMode="External"/><Relationship Id="rId4398" Type="http://schemas.openxmlformats.org/officeDocument/2006/relationships/hyperlink" Target="https://angel.co/company/loanbase" TargetMode="External"/><Relationship Id="rId3066" Type="http://schemas.openxmlformats.org/officeDocument/2006/relationships/hyperlink" Target="https://www.wreno.io/" TargetMode="External"/><Relationship Id="rId4397" Type="http://schemas.openxmlformats.org/officeDocument/2006/relationships/hyperlink" Target="http://www.biome.us/" TargetMode="External"/><Relationship Id="rId3069" Type="http://schemas.openxmlformats.org/officeDocument/2006/relationships/hyperlink" Target="https://angel.co/company/archilogic" TargetMode="External"/><Relationship Id="rId3068" Type="http://schemas.openxmlformats.org/officeDocument/2006/relationships/hyperlink" Target="https://www.crunchbase.com/organization/disruptive-technologies-2" TargetMode="External"/><Relationship Id="rId4399" Type="http://schemas.openxmlformats.org/officeDocument/2006/relationships/hyperlink" Target="https://www.crunchbase.com/organization/loanbase" TargetMode="External"/><Relationship Id="rId3090" Type="http://schemas.openxmlformats.org/officeDocument/2006/relationships/hyperlink" Target="https://www.crunchbase.com/organization/flexspace-technologies-inc" TargetMode="External"/><Relationship Id="rId3092" Type="http://schemas.openxmlformats.org/officeDocument/2006/relationships/hyperlink" Target="https://www.crunchbase.com/organization/willow-servicing" TargetMode="External"/><Relationship Id="rId3091" Type="http://schemas.openxmlformats.org/officeDocument/2006/relationships/hyperlink" Target="https://flexspace.ai/" TargetMode="External"/><Relationship Id="rId3094" Type="http://schemas.openxmlformats.org/officeDocument/2006/relationships/hyperlink" Target="https://www.crunchbase.com/funding_round/willow-servicing-seed--9bdf4c8b" TargetMode="External"/><Relationship Id="rId3093" Type="http://schemas.openxmlformats.org/officeDocument/2006/relationships/hyperlink" Target="https://www.willowservicing.com/" TargetMode="External"/><Relationship Id="rId3096" Type="http://schemas.openxmlformats.org/officeDocument/2006/relationships/hyperlink" Target="https://www.crunchbase.com/organization/dwellwell-afb6" TargetMode="External"/><Relationship Id="rId3095" Type="http://schemas.openxmlformats.org/officeDocument/2006/relationships/hyperlink" Target="https://angel.co/company/dwellwell-2" TargetMode="External"/><Relationship Id="rId3098" Type="http://schemas.openxmlformats.org/officeDocument/2006/relationships/hyperlink" Target="https://www.crunchbase.com/funding_round/dwellwell-afb6-seed--4c136673" TargetMode="External"/><Relationship Id="rId3097" Type="http://schemas.openxmlformats.org/officeDocument/2006/relationships/hyperlink" Target="https://www.dwellwell.com/" TargetMode="External"/><Relationship Id="rId3099" Type="http://schemas.openxmlformats.org/officeDocument/2006/relationships/hyperlink" Target="https://wellfound.com/company/wattcarbon" TargetMode="External"/><Relationship Id="rId3081" Type="http://schemas.openxmlformats.org/officeDocument/2006/relationships/hyperlink" Target="https://www.crunchbase.com/funding_round/realized-holdings-series-a--c2ca2121" TargetMode="External"/><Relationship Id="rId3080" Type="http://schemas.openxmlformats.org/officeDocument/2006/relationships/hyperlink" Target="https://www.crunchbase.com/funding_round/realized-holdings-seed--7e98defc" TargetMode="External"/><Relationship Id="rId3083" Type="http://schemas.openxmlformats.org/officeDocument/2006/relationships/hyperlink" Target="https://www.rodradar.com/" TargetMode="External"/><Relationship Id="rId3082" Type="http://schemas.openxmlformats.org/officeDocument/2006/relationships/hyperlink" Target="https://www.crunchbase.com/organization/rod-radar" TargetMode="External"/><Relationship Id="rId3085" Type="http://schemas.openxmlformats.org/officeDocument/2006/relationships/hyperlink" Target="https://www.crunchbase.com/organization/ubimax-gmbh" TargetMode="External"/><Relationship Id="rId3084" Type="http://schemas.openxmlformats.org/officeDocument/2006/relationships/hyperlink" Target="https://angel.co/company/ubimax-1" TargetMode="External"/><Relationship Id="rId3087" Type="http://schemas.openxmlformats.org/officeDocument/2006/relationships/hyperlink" Target="https://www.crunchbase.com/funding_round/ubimax-gmbh-series-a--8eb5f186" TargetMode="External"/><Relationship Id="rId3086" Type="http://schemas.openxmlformats.org/officeDocument/2006/relationships/hyperlink" Target="https://www.ubimax.com/" TargetMode="External"/><Relationship Id="rId3089" Type="http://schemas.openxmlformats.org/officeDocument/2006/relationships/hyperlink" Target="https://www.courted.io/" TargetMode="External"/><Relationship Id="rId3088" Type="http://schemas.openxmlformats.org/officeDocument/2006/relationships/hyperlink" Target="https://www.crunchbase.com/organization/courted" TargetMode="External"/><Relationship Id="rId3039" Type="http://schemas.openxmlformats.org/officeDocument/2006/relationships/hyperlink" Target="https://www.crunchbase.com/funding_round/constrafor-series-unknown--e213907b" TargetMode="External"/><Relationship Id="rId5691" Type="http://schemas.openxmlformats.org/officeDocument/2006/relationships/hyperlink" Target="https://premisesaas.com/" TargetMode="External"/><Relationship Id="rId5692" Type="http://schemas.openxmlformats.org/officeDocument/2006/relationships/hyperlink" Target="https://angel.co/prescriptive-data" TargetMode="External"/><Relationship Id="rId3030" Type="http://schemas.openxmlformats.org/officeDocument/2006/relationships/hyperlink" Target="https://www.crunchbase.com/funding_round/keyzy-9dcb-pre-seed--75e22209" TargetMode="External"/><Relationship Id="rId4361" Type="http://schemas.openxmlformats.org/officeDocument/2006/relationships/hyperlink" Target="https://www.crunchbase.com/organization/movegenius" TargetMode="External"/><Relationship Id="rId4360" Type="http://schemas.openxmlformats.org/officeDocument/2006/relationships/hyperlink" Target="https://www.lightlinedelivery.com/" TargetMode="External"/><Relationship Id="rId5690" Type="http://schemas.openxmlformats.org/officeDocument/2006/relationships/hyperlink" Target="https://predict.re" TargetMode="External"/><Relationship Id="rId3032" Type="http://schemas.openxmlformats.org/officeDocument/2006/relationships/hyperlink" Target="https://www.crunchbase.com/organization/seedinvest" TargetMode="External"/><Relationship Id="rId4363" Type="http://schemas.openxmlformats.org/officeDocument/2006/relationships/hyperlink" Target="https://www.crunchbase.com/funding_round/movegenius-pre-seed--5c7d6b48" TargetMode="External"/><Relationship Id="rId5695" Type="http://schemas.openxmlformats.org/officeDocument/2006/relationships/hyperlink" Target="https://angel.co/company/privy-5" TargetMode="External"/><Relationship Id="rId3031" Type="http://schemas.openxmlformats.org/officeDocument/2006/relationships/hyperlink" Target="https://www.crunchbase.com/funding_round/keyzy-9dcb-seed--fd56ec44" TargetMode="External"/><Relationship Id="rId4362" Type="http://schemas.openxmlformats.org/officeDocument/2006/relationships/hyperlink" Target="https://www.movegenius.com/" TargetMode="External"/><Relationship Id="rId5696" Type="http://schemas.openxmlformats.org/officeDocument/2006/relationships/hyperlink" Target="https://www.getprivynow.com/" TargetMode="External"/><Relationship Id="rId3034" Type="http://schemas.openxmlformats.org/officeDocument/2006/relationships/hyperlink" Target="https://www.crunchbase.com/funding_round/seedinvest-seed--46fb8350" TargetMode="External"/><Relationship Id="rId4365" Type="http://schemas.openxmlformats.org/officeDocument/2006/relationships/hyperlink" Target="https://www.inpoi.it/" TargetMode="External"/><Relationship Id="rId5693" Type="http://schemas.openxmlformats.org/officeDocument/2006/relationships/hyperlink" Target="https://www.crunchbase.com/organization/prescriptive-data" TargetMode="External"/><Relationship Id="rId3033" Type="http://schemas.openxmlformats.org/officeDocument/2006/relationships/hyperlink" Target="https://www.seedinvest.com/padlist/seed" TargetMode="External"/><Relationship Id="rId4364" Type="http://schemas.openxmlformats.org/officeDocument/2006/relationships/hyperlink" Target="https://www.crunchbase.com/organization/inpoi" TargetMode="External"/><Relationship Id="rId5694" Type="http://schemas.openxmlformats.org/officeDocument/2006/relationships/hyperlink" Target="http://www.prescriptivedata.io/" TargetMode="External"/><Relationship Id="rId3036" Type="http://schemas.openxmlformats.org/officeDocument/2006/relationships/hyperlink" Target="https://www.crunchbase.com/funding_round/seedinvest-series-b--ce55b11e" TargetMode="External"/><Relationship Id="rId4367" Type="http://schemas.openxmlformats.org/officeDocument/2006/relationships/hyperlink" Target="https://angel.co/company/reallyai" TargetMode="External"/><Relationship Id="rId5699" Type="http://schemas.openxmlformats.org/officeDocument/2006/relationships/hyperlink" Target="https://angel.co/company/pronet-group" TargetMode="External"/><Relationship Id="rId3035" Type="http://schemas.openxmlformats.org/officeDocument/2006/relationships/hyperlink" Target="https://www.crunchbase.com/funding_round/seedinvest-series-a--2f3ecbd4" TargetMode="External"/><Relationship Id="rId4366" Type="http://schemas.openxmlformats.org/officeDocument/2006/relationships/hyperlink" Target="https://www.crunchbase.com/funding_round/inpoi-convertible-note--125a7b5a" TargetMode="External"/><Relationship Id="rId3038" Type="http://schemas.openxmlformats.org/officeDocument/2006/relationships/hyperlink" Target="https://www.constrafor.com/landing/" TargetMode="External"/><Relationship Id="rId4369" Type="http://schemas.openxmlformats.org/officeDocument/2006/relationships/hyperlink" Target="https://really.ai/" TargetMode="External"/><Relationship Id="rId5697" Type="http://schemas.openxmlformats.org/officeDocument/2006/relationships/hyperlink" Target="https://proformap.com/" TargetMode="External"/><Relationship Id="rId3037" Type="http://schemas.openxmlformats.org/officeDocument/2006/relationships/hyperlink" Target="https://www.crunchbase.com/organization/constrafor" TargetMode="External"/><Relationship Id="rId4368" Type="http://schemas.openxmlformats.org/officeDocument/2006/relationships/hyperlink" Target="https://www.crunchbase.com/organization/really-really-inc" TargetMode="External"/><Relationship Id="rId5698" Type="http://schemas.openxmlformats.org/officeDocument/2006/relationships/hyperlink" Target="https://prominencesupport.co.uk/" TargetMode="External"/><Relationship Id="rId3029" Type="http://schemas.openxmlformats.org/officeDocument/2006/relationships/hyperlink" Target="https://www.keyzy.com/" TargetMode="External"/><Relationship Id="rId3028" Type="http://schemas.openxmlformats.org/officeDocument/2006/relationships/hyperlink" Target="https://www.crunchbase.com/organization/keyzy-9dcb" TargetMode="External"/><Relationship Id="rId4359" Type="http://schemas.openxmlformats.org/officeDocument/2006/relationships/hyperlink" Target="https://www.crunchbase.com/organization/light-line-delivery" TargetMode="External"/><Relationship Id="rId5680" Type="http://schemas.openxmlformats.org/officeDocument/2006/relationships/hyperlink" Target="https://www.pointguardtech.com/" TargetMode="External"/><Relationship Id="rId5681" Type="http://schemas.openxmlformats.org/officeDocument/2006/relationships/hyperlink" Target="https://angel.co/company/pointr" TargetMode="External"/><Relationship Id="rId4350" Type="http://schemas.openxmlformats.org/officeDocument/2006/relationships/hyperlink" Target="https://angel.co/company/owal-inc" TargetMode="External"/><Relationship Id="rId3021" Type="http://schemas.openxmlformats.org/officeDocument/2006/relationships/hyperlink" Target="http://www.alphaflow.com/" TargetMode="External"/><Relationship Id="rId4352" Type="http://schemas.openxmlformats.org/officeDocument/2006/relationships/hyperlink" Target="http://owal.io/" TargetMode="External"/><Relationship Id="rId5684" Type="http://schemas.openxmlformats.org/officeDocument/2006/relationships/hyperlink" Target="https://angel.co/company/positionptt" TargetMode="External"/><Relationship Id="rId3020" Type="http://schemas.openxmlformats.org/officeDocument/2006/relationships/hyperlink" Target="https://www.crunchbase.com/organization/alphaflow" TargetMode="External"/><Relationship Id="rId4351" Type="http://schemas.openxmlformats.org/officeDocument/2006/relationships/hyperlink" Target="https://www.crunchbase.com/organization/owal" TargetMode="External"/><Relationship Id="rId5685" Type="http://schemas.openxmlformats.org/officeDocument/2006/relationships/hyperlink" Target="https://www.crunchbase.com/organization/positionptt-push-to-talk" TargetMode="External"/><Relationship Id="rId3023" Type="http://schemas.openxmlformats.org/officeDocument/2006/relationships/hyperlink" Target="https://www.floored.com/" TargetMode="External"/><Relationship Id="rId4354" Type="http://schemas.openxmlformats.org/officeDocument/2006/relationships/hyperlink" Target="https://www.crunchbase.com/organization/servusconnect" TargetMode="External"/><Relationship Id="rId5682" Type="http://schemas.openxmlformats.org/officeDocument/2006/relationships/hyperlink" Target="https://www.crunchbase.com/organization/pointr" TargetMode="External"/><Relationship Id="rId3022" Type="http://schemas.openxmlformats.org/officeDocument/2006/relationships/hyperlink" Target="https://www.crunchbase.com/organization/floored" TargetMode="External"/><Relationship Id="rId4353" Type="http://schemas.openxmlformats.org/officeDocument/2006/relationships/hyperlink" Target="https://angel.co/servus-2" TargetMode="External"/><Relationship Id="rId5683" Type="http://schemas.openxmlformats.org/officeDocument/2006/relationships/hyperlink" Target="https://www.pointr.tech/" TargetMode="External"/><Relationship Id="rId3025" Type="http://schemas.openxmlformats.org/officeDocument/2006/relationships/hyperlink" Target="https://flowliving.com/" TargetMode="External"/><Relationship Id="rId4356" Type="http://schemas.openxmlformats.org/officeDocument/2006/relationships/hyperlink" Target="https://www.crunchbase.com/organization/fourstay" TargetMode="External"/><Relationship Id="rId5688" Type="http://schemas.openxmlformats.org/officeDocument/2006/relationships/hyperlink" Target="https://www.crunchbase.com/organization/precision-software" TargetMode="External"/><Relationship Id="rId3024" Type="http://schemas.openxmlformats.org/officeDocument/2006/relationships/hyperlink" Target="https://www.crunchbase.com/organization/flow-961a" TargetMode="External"/><Relationship Id="rId4355" Type="http://schemas.openxmlformats.org/officeDocument/2006/relationships/hyperlink" Target="http://www.servusconnect.com/" TargetMode="External"/><Relationship Id="rId5689" Type="http://schemas.openxmlformats.org/officeDocument/2006/relationships/hyperlink" Target="https://www.precisionsoftware.com/solutions/multi-carrier-shipping-software" TargetMode="External"/><Relationship Id="rId3027" Type="http://schemas.openxmlformats.org/officeDocument/2006/relationships/hyperlink" Target="https://wellfound.com/company/keyzy-1" TargetMode="External"/><Relationship Id="rId4358" Type="http://schemas.openxmlformats.org/officeDocument/2006/relationships/hyperlink" Target="https://angel.co/company/light-line-delivery-corp" TargetMode="External"/><Relationship Id="rId5686" Type="http://schemas.openxmlformats.org/officeDocument/2006/relationships/hyperlink" Target="https://positionptt.com/" TargetMode="External"/><Relationship Id="rId3026" Type="http://schemas.openxmlformats.org/officeDocument/2006/relationships/hyperlink" Target="https://www.crunchbase.com/funding_round/flow-961a-seed--4b7f3850" TargetMode="External"/><Relationship Id="rId4357" Type="http://schemas.openxmlformats.org/officeDocument/2006/relationships/hyperlink" Target="https://4stay.com/" TargetMode="External"/><Relationship Id="rId5687" Type="http://schemas.openxmlformats.org/officeDocument/2006/relationships/hyperlink" Target="https://powersiot.com/" TargetMode="External"/><Relationship Id="rId3050" Type="http://schemas.openxmlformats.org/officeDocument/2006/relationships/hyperlink" Target="https://www.crunchbase.com/funding_round/helloavail-series-a--4a0e82ca" TargetMode="External"/><Relationship Id="rId4381" Type="http://schemas.openxmlformats.org/officeDocument/2006/relationships/hyperlink" Target="http://www.vairt.com/" TargetMode="External"/><Relationship Id="rId4380" Type="http://schemas.openxmlformats.org/officeDocument/2006/relationships/hyperlink" Target="https://www.crunchbase.com/organization/vairt-inc" TargetMode="External"/><Relationship Id="rId3052" Type="http://schemas.openxmlformats.org/officeDocument/2006/relationships/hyperlink" Target="https://www.crunchbase.com/organization/shepherd-a537" TargetMode="External"/><Relationship Id="rId4383" Type="http://schemas.openxmlformats.org/officeDocument/2006/relationships/hyperlink" Target="https://angel.co/company/rented" TargetMode="External"/><Relationship Id="rId3051" Type="http://schemas.openxmlformats.org/officeDocument/2006/relationships/hyperlink" Target="https://angel.co/company/withshepherd" TargetMode="External"/><Relationship Id="rId4382" Type="http://schemas.openxmlformats.org/officeDocument/2006/relationships/hyperlink" Target="http://rented.com/" TargetMode="External"/><Relationship Id="rId3054" Type="http://schemas.openxmlformats.org/officeDocument/2006/relationships/hyperlink" Target="https://angel.co/company/carbon-re" TargetMode="External"/><Relationship Id="rId4385" Type="http://schemas.openxmlformats.org/officeDocument/2006/relationships/hyperlink" Target="https://www.rented.com" TargetMode="External"/><Relationship Id="rId3053" Type="http://schemas.openxmlformats.org/officeDocument/2006/relationships/hyperlink" Target="https://withshepherd.com/" TargetMode="External"/><Relationship Id="rId4384" Type="http://schemas.openxmlformats.org/officeDocument/2006/relationships/hyperlink" Target="https://www.crunchbase.com/organization/rented-com" TargetMode="External"/><Relationship Id="rId3056" Type="http://schemas.openxmlformats.org/officeDocument/2006/relationships/hyperlink" Target="https://www.carbonre.tech/" TargetMode="External"/><Relationship Id="rId4387" Type="http://schemas.openxmlformats.org/officeDocument/2006/relationships/hyperlink" Target="https://angel.co/company/frameless-1" TargetMode="External"/><Relationship Id="rId3055" Type="http://schemas.openxmlformats.org/officeDocument/2006/relationships/hyperlink" Target="https://www.crunchbase.com/organization/carbon-re" TargetMode="External"/><Relationship Id="rId4386" Type="http://schemas.openxmlformats.org/officeDocument/2006/relationships/hyperlink" Target="https://www.crunchbase.com/funding_round/rented-com-seed--200204d3" TargetMode="External"/><Relationship Id="rId3058" Type="http://schemas.openxmlformats.org/officeDocument/2006/relationships/hyperlink" Target="https://www.crunchbase.com/funding_round/carbon-re-seed--17693cb0" TargetMode="External"/><Relationship Id="rId4389" Type="http://schemas.openxmlformats.org/officeDocument/2006/relationships/hyperlink" Target="http://ww38.frameless.me/" TargetMode="External"/><Relationship Id="rId3057" Type="http://schemas.openxmlformats.org/officeDocument/2006/relationships/hyperlink" Target="https://www.crunchbase.com/funding_round/carbon-re-pre-seed--d6ef3917" TargetMode="External"/><Relationship Id="rId4388" Type="http://schemas.openxmlformats.org/officeDocument/2006/relationships/hyperlink" Target="https://www.crunchbase.com/organization/frameless" TargetMode="External"/><Relationship Id="rId3059" Type="http://schemas.openxmlformats.org/officeDocument/2006/relationships/hyperlink" Target="https://www.crunchbase.com/organization/curri" TargetMode="External"/><Relationship Id="rId4370" Type="http://schemas.openxmlformats.org/officeDocument/2006/relationships/hyperlink" Target="https://www.crunchbase.com/funding_round/really-really-inc-seed--615d3333" TargetMode="External"/><Relationship Id="rId3041" Type="http://schemas.openxmlformats.org/officeDocument/2006/relationships/hyperlink" Target="https://angel.co/company/gocontractor" TargetMode="External"/><Relationship Id="rId4372" Type="http://schemas.openxmlformats.org/officeDocument/2006/relationships/hyperlink" Target="https://www.crunchbase.com/organization/cubicasa-oy" TargetMode="External"/><Relationship Id="rId3040" Type="http://schemas.openxmlformats.org/officeDocument/2006/relationships/hyperlink" Target="https://www.crunchbase.com/funding_round/constrafor-debt-financing--1519e0e0" TargetMode="External"/><Relationship Id="rId4371" Type="http://schemas.openxmlformats.org/officeDocument/2006/relationships/hyperlink" Target="https://angel.co/company/cubicasa" TargetMode="External"/><Relationship Id="rId3043" Type="http://schemas.openxmlformats.org/officeDocument/2006/relationships/hyperlink" Target="https://gocontractor.com/" TargetMode="External"/><Relationship Id="rId4374" Type="http://schemas.openxmlformats.org/officeDocument/2006/relationships/hyperlink" Target="https://www.crunchbase.com/funding_round/cubicasa-oy-seed--8cc80562" TargetMode="External"/><Relationship Id="rId3042" Type="http://schemas.openxmlformats.org/officeDocument/2006/relationships/hyperlink" Target="https://www.crunchbase.com/organization/induction-manager/company_financials" TargetMode="External"/><Relationship Id="rId4373" Type="http://schemas.openxmlformats.org/officeDocument/2006/relationships/hyperlink" Target="https://www.cubi.casa/" TargetMode="External"/><Relationship Id="rId3045" Type="http://schemas.openxmlformats.org/officeDocument/2006/relationships/hyperlink" Target="https://www.crunchbase.com/funding_round/induction-manager-series-a--3b79f933" TargetMode="External"/><Relationship Id="rId4376" Type="http://schemas.openxmlformats.org/officeDocument/2006/relationships/hyperlink" Target="https://angel.co/company/proximi-io" TargetMode="External"/><Relationship Id="rId3044" Type="http://schemas.openxmlformats.org/officeDocument/2006/relationships/hyperlink" Target="https://www.crunchbase.com/funding_round/induction-manager-seed--db652f2e" TargetMode="External"/><Relationship Id="rId4375" Type="http://schemas.openxmlformats.org/officeDocument/2006/relationships/hyperlink" Target="http://proximi.io/" TargetMode="External"/><Relationship Id="rId3047" Type="http://schemas.openxmlformats.org/officeDocument/2006/relationships/hyperlink" Target="https://www.crunchbase.com/organization/helloavail" TargetMode="External"/><Relationship Id="rId4378" Type="http://schemas.openxmlformats.org/officeDocument/2006/relationships/hyperlink" Target="https://proximi.io/" TargetMode="External"/><Relationship Id="rId3046" Type="http://schemas.openxmlformats.org/officeDocument/2006/relationships/hyperlink" Target="https://angel.co/company/helloavail" TargetMode="External"/><Relationship Id="rId4377" Type="http://schemas.openxmlformats.org/officeDocument/2006/relationships/hyperlink" Target="https://www.crunchbase.com/organization/proximi-io" TargetMode="External"/><Relationship Id="rId3049" Type="http://schemas.openxmlformats.org/officeDocument/2006/relationships/hyperlink" Target="https://www.crunchbase.com/funding_round/helloavail-seed--0c195923" TargetMode="External"/><Relationship Id="rId3048" Type="http://schemas.openxmlformats.org/officeDocument/2006/relationships/hyperlink" Target="https://www.avail.co/" TargetMode="External"/><Relationship Id="rId4379" Type="http://schemas.openxmlformats.org/officeDocument/2006/relationships/hyperlink" Target="https://angel.co/company/vairt" TargetMode="External"/><Relationship Id="rId5714" Type="http://schemas.openxmlformats.org/officeDocument/2006/relationships/hyperlink" Target="https://propertybook.nyc/" TargetMode="External"/><Relationship Id="rId5715" Type="http://schemas.openxmlformats.org/officeDocument/2006/relationships/hyperlink" Target="https://www.crunchbase.com/organization/propertyidx" TargetMode="External"/><Relationship Id="rId5712" Type="http://schemas.openxmlformats.org/officeDocument/2006/relationships/hyperlink" Target="http://www.propertyshark.com/" TargetMode="External"/><Relationship Id="rId5713" Type="http://schemas.openxmlformats.org/officeDocument/2006/relationships/hyperlink" Target="https://www.crunchbase.com/organization/propertybook-nyc" TargetMode="External"/><Relationship Id="rId5718" Type="http://schemas.openxmlformats.org/officeDocument/2006/relationships/hyperlink" Target="https://www.crunchbase.com/organization/propertyquants" TargetMode="External"/><Relationship Id="rId5719" Type="http://schemas.openxmlformats.org/officeDocument/2006/relationships/hyperlink" Target="https://propertyquants.com/" TargetMode="External"/><Relationship Id="rId5716" Type="http://schemas.openxmlformats.org/officeDocument/2006/relationships/hyperlink" Target="https://www.propertyidx.com/" TargetMode="External"/><Relationship Id="rId5717" Type="http://schemas.openxmlformats.org/officeDocument/2006/relationships/hyperlink" Target="https://angel.co/company/propertyquants" TargetMode="External"/><Relationship Id="rId5710" Type="http://schemas.openxmlformats.org/officeDocument/2006/relationships/hyperlink" Target="https://angel.co/propertyshark" TargetMode="External"/><Relationship Id="rId5711" Type="http://schemas.openxmlformats.org/officeDocument/2006/relationships/hyperlink" Target="https://www.crunchbase.com/organization/propertyshark" TargetMode="External"/><Relationship Id="rId5703" Type="http://schemas.openxmlformats.org/officeDocument/2006/relationships/hyperlink" Target="https://www.crunchbase.com/organization/propergate" TargetMode="External"/><Relationship Id="rId5704" Type="http://schemas.openxmlformats.org/officeDocument/2006/relationships/hyperlink" Target="https://www.propergate.co/" TargetMode="External"/><Relationship Id="rId5701" Type="http://schemas.openxmlformats.org/officeDocument/2006/relationships/hyperlink" Target="https://www.pronetgroup.com/" TargetMode="External"/><Relationship Id="rId5702" Type="http://schemas.openxmlformats.org/officeDocument/2006/relationships/hyperlink" Target="https://angel.co/company/propergate" TargetMode="External"/><Relationship Id="rId5707" Type="http://schemas.openxmlformats.org/officeDocument/2006/relationships/hyperlink" Target="http://propertycapsule.com/" TargetMode="External"/><Relationship Id="rId5708" Type="http://schemas.openxmlformats.org/officeDocument/2006/relationships/hyperlink" Target="https://www.crunchbase.com/organization/property-platform" TargetMode="External"/><Relationship Id="rId5705" Type="http://schemas.openxmlformats.org/officeDocument/2006/relationships/hyperlink" Target="https://angel.co/property-capsule" TargetMode="External"/><Relationship Id="rId5706" Type="http://schemas.openxmlformats.org/officeDocument/2006/relationships/hyperlink" Target="https://www.crunchbase.com/organization/property-capsule" TargetMode="External"/><Relationship Id="rId5709" Type="http://schemas.openxmlformats.org/officeDocument/2006/relationships/hyperlink" Target="https://propertyplatform.com/" TargetMode="External"/><Relationship Id="rId5700" Type="http://schemas.openxmlformats.org/officeDocument/2006/relationships/hyperlink" Target="https://www.crunchbase.com/organization/pronet-group" TargetMode="External"/><Relationship Id="rId3117" Type="http://schemas.openxmlformats.org/officeDocument/2006/relationships/hyperlink" Target="https://flyp.co/" TargetMode="External"/><Relationship Id="rId4448" Type="http://schemas.openxmlformats.org/officeDocument/2006/relationships/hyperlink" Target="https://www.crunchbase.com/organization/buildscience" TargetMode="External"/><Relationship Id="rId3116" Type="http://schemas.openxmlformats.org/officeDocument/2006/relationships/hyperlink" Target="https://www.crunchbase.com/organization/flyp-co" TargetMode="External"/><Relationship Id="rId4447" Type="http://schemas.openxmlformats.org/officeDocument/2006/relationships/hyperlink" Target="https://angel.co/company/buildscience" TargetMode="External"/><Relationship Id="rId3119" Type="http://schemas.openxmlformats.org/officeDocument/2006/relationships/hyperlink" Target="https://angel.co/company/habyt" TargetMode="External"/><Relationship Id="rId5778" Type="http://schemas.openxmlformats.org/officeDocument/2006/relationships/hyperlink" Target="https://angel.co/company/real-capital-markets" TargetMode="External"/><Relationship Id="rId3118" Type="http://schemas.openxmlformats.org/officeDocument/2006/relationships/hyperlink" Target="https://www.crunchbase.com/funding_round/flyp-co-seed--1a09f215" TargetMode="External"/><Relationship Id="rId4449" Type="http://schemas.openxmlformats.org/officeDocument/2006/relationships/hyperlink" Target="http://buildscience.com/" TargetMode="External"/><Relationship Id="rId5779" Type="http://schemas.openxmlformats.org/officeDocument/2006/relationships/hyperlink" Target="https://www.crunchbase.com/organization/real-capital-markets" TargetMode="External"/><Relationship Id="rId4440" Type="http://schemas.openxmlformats.org/officeDocument/2006/relationships/hyperlink" Target="https://angel.co/permitzone/" TargetMode="External"/><Relationship Id="rId5772" Type="http://schemas.openxmlformats.org/officeDocument/2006/relationships/hyperlink" Target="https://angel.co/company/re-trax-2" TargetMode="External"/><Relationship Id="rId5773" Type="http://schemas.openxmlformats.org/officeDocument/2006/relationships/hyperlink" Target="https://www.crunchbase.com/organization/re-trax" TargetMode="External"/><Relationship Id="rId3111" Type="http://schemas.openxmlformats.org/officeDocument/2006/relationships/hyperlink" Target="https://www.ownwell.com/" TargetMode="External"/><Relationship Id="rId4442" Type="http://schemas.openxmlformats.org/officeDocument/2006/relationships/hyperlink" Target="http://permitzone.com/" TargetMode="External"/><Relationship Id="rId5770" Type="http://schemas.openxmlformats.org/officeDocument/2006/relationships/hyperlink" Target="https://www.crunchbase.com/organization/re-leased-property-software" TargetMode="External"/><Relationship Id="rId3110" Type="http://schemas.openxmlformats.org/officeDocument/2006/relationships/hyperlink" Target="https://www.crunchbase.com/organization/ownwell" TargetMode="External"/><Relationship Id="rId4441" Type="http://schemas.openxmlformats.org/officeDocument/2006/relationships/hyperlink" Target="https://www.crunchbase.com/organization/permitzone" TargetMode="External"/><Relationship Id="rId5771" Type="http://schemas.openxmlformats.org/officeDocument/2006/relationships/hyperlink" Target="https://www.re-leased.com/" TargetMode="External"/><Relationship Id="rId3113" Type="http://schemas.openxmlformats.org/officeDocument/2006/relationships/hyperlink" Target="https://www.crunchbase.com/organization/skipper-54b6" TargetMode="External"/><Relationship Id="rId4444" Type="http://schemas.openxmlformats.org/officeDocument/2006/relationships/hyperlink" Target="https://www.crunchbase.com/organization/birdnest" TargetMode="External"/><Relationship Id="rId5776" Type="http://schemas.openxmlformats.org/officeDocument/2006/relationships/hyperlink" Target="https://re-viv.com/" TargetMode="External"/><Relationship Id="rId3112" Type="http://schemas.openxmlformats.org/officeDocument/2006/relationships/hyperlink" Target="https://angel.co/company/hiskipper" TargetMode="External"/><Relationship Id="rId4443" Type="http://schemas.openxmlformats.org/officeDocument/2006/relationships/hyperlink" Target="https://angel.co/company/birdnestspaces" TargetMode="External"/><Relationship Id="rId5777" Type="http://schemas.openxmlformats.org/officeDocument/2006/relationships/hyperlink" Target="https://reactiv.io/" TargetMode="External"/><Relationship Id="rId3115" Type="http://schemas.openxmlformats.org/officeDocument/2006/relationships/hyperlink" Target="https://skift.com/blog/travel-tech-firm-skipper-raises-5-million-to-help-independent-hotels/" TargetMode="External"/><Relationship Id="rId4446" Type="http://schemas.openxmlformats.org/officeDocument/2006/relationships/hyperlink" Target="https://www.crunchbase.com/funding_round/birdnest-seed--c64c90a3" TargetMode="External"/><Relationship Id="rId5774" Type="http://schemas.openxmlformats.org/officeDocument/2006/relationships/hyperlink" Target="http://re-trax.com/" TargetMode="External"/><Relationship Id="rId3114" Type="http://schemas.openxmlformats.org/officeDocument/2006/relationships/hyperlink" Target="https://www.skipperhospitality.com/" TargetMode="External"/><Relationship Id="rId4445" Type="http://schemas.openxmlformats.org/officeDocument/2006/relationships/hyperlink" Target="https://thebirdnest.co/" TargetMode="External"/><Relationship Id="rId5775" Type="http://schemas.openxmlformats.org/officeDocument/2006/relationships/hyperlink" Target="https://angel.co/company/re-viv" TargetMode="External"/><Relationship Id="rId3106" Type="http://schemas.openxmlformats.org/officeDocument/2006/relationships/hyperlink" Target="https://angel.co/company/myplaceapp" TargetMode="External"/><Relationship Id="rId4437" Type="http://schemas.openxmlformats.org/officeDocument/2006/relationships/hyperlink" Target="https://www.outsite.co/" TargetMode="External"/><Relationship Id="rId5769" Type="http://schemas.openxmlformats.org/officeDocument/2006/relationships/hyperlink" Target="https://www.re-cities.org/" TargetMode="External"/><Relationship Id="rId3105" Type="http://schemas.openxmlformats.org/officeDocument/2006/relationships/hyperlink" Target="https://www.ivy.homes/" TargetMode="External"/><Relationship Id="rId4436" Type="http://schemas.openxmlformats.org/officeDocument/2006/relationships/hyperlink" Target="https://www.crunchbase.com/organization/outsite" TargetMode="External"/><Relationship Id="rId3108" Type="http://schemas.openxmlformats.org/officeDocument/2006/relationships/hyperlink" Target="https://myplace.co/" TargetMode="External"/><Relationship Id="rId4439" Type="http://schemas.openxmlformats.org/officeDocument/2006/relationships/hyperlink" Target="http://permits.com" TargetMode="External"/><Relationship Id="rId5767" Type="http://schemas.openxmlformats.org/officeDocument/2006/relationships/hyperlink" Target="https://www.buildingengines.com/" TargetMode="External"/><Relationship Id="rId3107" Type="http://schemas.openxmlformats.org/officeDocument/2006/relationships/hyperlink" Target="https://www.crunchbase.com/organization/myplace" TargetMode="External"/><Relationship Id="rId4438" Type="http://schemas.openxmlformats.org/officeDocument/2006/relationships/hyperlink" Target="https://www.crunchbase.com/funding_round/outsite-seed--4702e5a5" TargetMode="External"/><Relationship Id="rId5768" Type="http://schemas.openxmlformats.org/officeDocument/2006/relationships/hyperlink" Target="https://angel.co/company/re-imagining-cities-foundation" TargetMode="External"/><Relationship Id="rId3109" Type="http://schemas.openxmlformats.org/officeDocument/2006/relationships/hyperlink" Target="https://angel.co/company/ownwell" TargetMode="External"/><Relationship Id="rId5761" Type="http://schemas.openxmlformats.org/officeDocument/2006/relationships/hyperlink" Target="https://angel.co/ravti" TargetMode="External"/><Relationship Id="rId5762" Type="http://schemas.openxmlformats.org/officeDocument/2006/relationships/hyperlink" Target="https://www.crunchbase.com/organization/ravti" TargetMode="External"/><Relationship Id="rId3100" Type="http://schemas.openxmlformats.org/officeDocument/2006/relationships/hyperlink" Target="https://www.crunchbase.com/organization/wattcarbon" TargetMode="External"/><Relationship Id="rId4431" Type="http://schemas.openxmlformats.org/officeDocument/2006/relationships/hyperlink" Target="https://www.crunchbase.com/organization/virtual-xperience-inc" TargetMode="External"/><Relationship Id="rId4430" Type="http://schemas.openxmlformats.org/officeDocument/2006/relationships/hyperlink" Target="https://angel.co/company/virtual-xperience" TargetMode="External"/><Relationship Id="rId5760" Type="http://schemas.openxmlformats.org/officeDocument/2006/relationships/hyperlink" Target="https://raven.re/" TargetMode="External"/><Relationship Id="rId3102" Type="http://schemas.openxmlformats.org/officeDocument/2006/relationships/hyperlink" Target="https://www.crunchbase.com/funding_round/wattcarbon-pre-seed--5b91c855" TargetMode="External"/><Relationship Id="rId4433" Type="http://schemas.openxmlformats.org/officeDocument/2006/relationships/hyperlink" Target="https://angel.co/projects/553265-hypersay" TargetMode="External"/><Relationship Id="rId5765" Type="http://schemas.openxmlformats.org/officeDocument/2006/relationships/hyperlink" Target="https://angel.co/company/building-engines-3" TargetMode="External"/><Relationship Id="rId3101" Type="http://schemas.openxmlformats.org/officeDocument/2006/relationships/hyperlink" Target="https://www.wattcarbon.co/" TargetMode="External"/><Relationship Id="rId4432" Type="http://schemas.openxmlformats.org/officeDocument/2006/relationships/hyperlink" Target="https://www.crunchbase.com/funding_round/virtual-xperience-inc-seed--b693aaed" TargetMode="External"/><Relationship Id="rId5766" Type="http://schemas.openxmlformats.org/officeDocument/2006/relationships/hyperlink" Target="https://www.crunchbase.com/organization/building-engines" TargetMode="External"/><Relationship Id="rId3104" Type="http://schemas.openxmlformats.org/officeDocument/2006/relationships/hyperlink" Target="https://www.crunchbase.com/organization/ivy-homes" TargetMode="External"/><Relationship Id="rId4435" Type="http://schemas.openxmlformats.org/officeDocument/2006/relationships/hyperlink" Target="https://hypersay.com/" TargetMode="External"/><Relationship Id="rId5763" Type="http://schemas.openxmlformats.org/officeDocument/2006/relationships/hyperlink" Target="http://www.ravti.com/" TargetMode="External"/><Relationship Id="rId3103" Type="http://schemas.openxmlformats.org/officeDocument/2006/relationships/hyperlink" Target="https://www.crunchbase.com/funding_round/wattcarbon-series-unknown--13d164d3" TargetMode="External"/><Relationship Id="rId4434" Type="http://schemas.openxmlformats.org/officeDocument/2006/relationships/hyperlink" Target="https://www.crunchbase.com/organization/hypersay" TargetMode="External"/><Relationship Id="rId5764" Type="http://schemas.openxmlformats.org/officeDocument/2006/relationships/hyperlink" Target="https://www.crunchbase.com/organization/raybased" TargetMode="External"/><Relationship Id="rId3139" Type="http://schemas.openxmlformats.org/officeDocument/2006/relationships/hyperlink" Target="https://www.crunhbase.com/organization/naya-homes" TargetMode="External"/><Relationship Id="rId3138" Type="http://schemas.openxmlformats.org/officeDocument/2006/relationships/hyperlink" Target="https://angel.co/company/naya-homes" TargetMode="External"/><Relationship Id="rId4469" Type="http://schemas.openxmlformats.org/officeDocument/2006/relationships/hyperlink" Target="https://www.crunchbase.com/funding_round/pikme-seed--638c4097" TargetMode="External"/><Relationship Id="rId5790" Type="http://schemas.openxmlformats.org/officeDocument/2006/relationships/hyperlink" Target="http://realisti.co/" TargetMode="External"/><Relationship Id="rId5791" Type="http://schemas.openxmlformats.org/officeDocument/2006/relationships/hyperlink" Target="https://www.crunchbase.com/organization/realisti-co-s-r-l" TargetMode="External"/><Relationship Id="rId4460" Type="http://schemas.openxmlformats.org/officeDocument/2006/relationships/hyperlink" Target="https://angel.co/company/fantasmo" TargetMode="External"/><Relationship Id="rId3131" Type="http://schemas.openxmlformats.org/officeDocument/2006/relationships/hyperlink" Target="https://www.crunchbase.com/organization/leverton-gmbh" TargetMode="External"/><Relationship Id="rId4462" Type="http://schemas.openxmlformats.org/officeDocument/2006/relationships/hyperlink" Target="https://www.fantasmo.io/" TargetMode="External"/><Relationship Id="rId5794" Type="http://schemas.openxmlformats.org/officeDocument/2006/relationships/hyperlink" Target="https://www.crunchbase.com/organization/real-liquidity" TargetMode="External"/><Relationship Id="rId3130" Type="http://schemas.openxmlformats.org/officeDocument/2006/relationships/hyperlink" Target="https://angel.co/leverton" TargetMode="External"/><Relationship Id="rId4461" Type="http://schemas.openxmlformats.org/officeDocument/2006/relationships/hyperlink" Target="https://www.crunchbase.com/organization/fantasmo-studios" TargetMode="External"/><Relationship Id="rId5795" Type="http://schemas.openxmlformats.org/officeDocument/2006/relationships/hyperlink" Target="http://realliquidity.com/" TargetMode="External"/><Relationship Id="rId3133" Type="http://schemas.openxmlformats.org/officeDocument/2006/relationships/hyperlink" Target="https://angel.co/company/athena-security-1" TargetMode="External"/><Relationship Id="rId4464" Type="http://schemas.openxmlformats.org/officeDocument/2006/relationships/hyperlink" Target="https://www.crunchbase.com/organization/orbmaps" TargetMode="External"/><Relationship Id="rId5792" Type="http://schemas.openxmlformats.org/officeDocument/2006/relationships/hyperlink" Target="https://www.realisti.co/es/" TargetMode="External"/><Relationship Id="rId3132" Type="http://schemas.openxmlformats.org/officeDocument/2006/relationships/hyperlink" Target="http://www.leverton.ai/" TargetMode="External"/><Relationship Id="rId4463" Type="http://schemas.openxmlformats.org/officeDocument/2006/relationships/hyperlink" Target="https://angel.co/orbmaps" TargetMode="External"/><Relationship Id="rId5793" Type="http://schemas.openxmlformats.org/officeDocument/2006/relationships/hyperlink" Target="https://angel.co/realliquidity" TargetMode="External"/><Relationship Id="rId3135" Type="http://schemas.openxmlformats.org/officeDocument/2006/relationships/hyperlink" Target="https://athena-security.com/" TargetMode="External"/><Relationship Id="rId4466" Type="http://schemas.openxmlformats.org/officeDocument/2006/relationships/hyperlink" Target="https://angel.co/company/pikmeio" TargetMode="External"/><Relationship Id="rId5798" Type="http://schemas.openxmlformats.org/officeDocument/2006/relationships/hyperlink" Target="https://angel.co/company/realpad-software" TargetMode="External"/><Relationship Id="rId3134" Type="http://schemas.openxmlformats.org/officeDocument/2006/relationships/hyperlink" Target="https://www.crunchbase.com/organization/athena-security-inc" TargetMode="External"/><Relationship Id="rId4465" Type="http://schemas.openxmlformats.org/officeDocument/2006/relationships/hyperlink" Target="http://orbmaps.com/" TargetMode="External"/><Relationship Id="rId5799" Type="http://schemas.openxmlformats.org/officeDocument/2006/relationships/hyperlink" Target="https://www.crunchbase.com/organization/realpad" TargetMode="External"/><Relationship Id="rId3137" Type="http://schemas.openxmlformats.org/officeDocument/2006/relationships/hyperlink" Target="https://www.crunchbase.com/funding_round/athena-security-inc-seed--0805eeae" TargetMode="External"/><Relationship Id="rId4468" Type="http://schemas.openxmlformats.org/officeDocument/2006/relationships/hyperlink" Target="https://pikme.io/" TargetMode="External"/><Relationship Id="rId5796" Type="http://schemas.openxmlformats.org/officeDocument/2006/relationships/hyperlink" Target="https://www.crunchbase.com/organization/realnex" TargetMode="External"/><Relationship Id="rId3136" Type="http://schemas.openxmlformats.org/officeDocument/2006/relationships/hyperlink" Target="https://www.crunchbase.com/funding_round/athena-security-inc-pre-seed--81b78f4e" TargetMode="External"/><Relationship Id="rId4467" Type="http://schemas.openxmlformats.org/officeDocument/2006/relationships/hyperlink" Target="https://www.crunchbase.com/organization/pikme" TargetMode="External"/><Relationship Id="rId5797" Type="http://schemas.openxmlformats.org/officeDocument/2006/relationships/hyperlink" Target="https://www.realnex.com" TargetMode="External"/><Relationship Id="rId3128" Type="http://schemas.openxmlformats.org/officeDocument/2006/relationships/hyperlink" Target="https://www.crunchbase.com/organization/sooper" TargetMode="External"/><Relationship Id="rId4459" Type="http://schemas.openxmlformats.org/officeDocument/2006/relationships/hyperlink" Target="https://www.crunchbase.com/funding_round/newarc-srl-pre-seed--1bc3f1ab" TargetMode="External"/><Relationship Id="rId3127" Type="http://schemas.openxmlformats.org/officeDocument/2006/relationships/hyperlink" Target="https://www.crunchbase.com/funding_round/isthara-series-a--2a7b982b" TargetMode="External"/><Relationship Id="rId4458" Type="http://schemas.openxmlformats.org/officeDocument/2006/relationships/hyperlink" Target="https://www.newarc.it/" TargetMode="External"/><Relationship Id="rId5789" Type="http://schemas.openxmlformats.org/officeDocument/2006/relationships/hyperlink" Target="https://www.realinsight.com/" TargetMode="External"/><Relationship Id="rId3129" Type="http://schemas.openxmlformats.org/officeDocument/2006/relationships/hyperlink" Target="https://www.sooper.com.br/" TargetMode="External"/><Relationship Id="rId5780" Type="http://schemas.openxmlformats.org/officeDocument/2006/relationships/hyperlink" Target="https://www.rcm1.com" TargetMode="External"/><Relationship Id="rId3120" Type="http://schemas.openxmlformats.org/officeDocument/2006/relationships/hyperlink" Target="https://www.crunchbase.com/organization/projects" TargetMode="External"/><Relationship Id="rId4451" Type="http://schemas.openxmlformats.org/officeDocument/2006/relationships/hyperlink" Target="https://angel.co/company/realar" TargetMode="External"/><Relationship Id="rId5783" Type="http://schemas.openxmlformats.org/officeDocument/2006/relationships/hyperlink" Target="https://angel.co/realdash" TargetMode="External"/><Relationship Id="rId4450" Type="http://schemas.openxmlformats.org/officeDocument/2006/relationships/hyperlink" Target="https://www.crunchbase.com/funding_round/buildscience-seed--8f575787" TargetMode="External"/><Relationship Id="rId5784" Type="http://schemas.openxmlformats.org/officeDocument/2006/relationships/hyperlink" Target="https://www.crunchbase.com/organization/realdash" TargetMode="External"/><Relationship Id="rId3122" Type="http://schemas.openxmlformats.org/officeDocument/2006/relationships/hyperlink" Target="https://angel.co/company/doorkee" TargetMode="External"/><Relationship Id="rId4453" Type="http://schemas.openxmlformats.org/officeDocument/2006/relationships/hyperlink" Target="https://www.realar.com/" TargetMode="External"/><Relationship Id="rId5781" Type="http://schemas.openxmlformats.org/officeDocument/2006/relationships/hyperlink" Target="https://www.crunchbase.com/organization/realcore" TargetMode="External"/><Relationship Id="rId3121" Type="http://schemas.openxmlformats.org/officeDocument/2006/relationships/hyperlink" Target="https://www.habyt.com/" TargetMode="External"/><Relationship Id="rId4452" Type="http://schemas.openxmlformats.org/officeDocument/2006/relationships/hyperlink" Target="https://www.crunchbase.com/organization/realar" TargetMode="External"/><Relationship Id="rId5782" Type="http://schemas.openxmlformats.org/officeDocument/2006/relationships/hyperlink" Target="https://www.realcoreapps.com/error.aspx?aspxerrorpath=/index.aspx" TargetMode="External"/><Relationship Id="rId3124" Type="http://schemas.openxmlformats.org/officeDocument/2006/relationships/hyperlink" Target="http://www.doorkee.com/" TargetMode="External"/><Relationship Id="rId4455" Type="http://schemas.openxmlformats.org/officeDocument/2006/relationships/hyperlink" Target="https://www.crunchbase.com/organization/joyhub" TargetMode="External"/><Relationship Id="rId5787" Type="http://schemas.openxmlformats.org/officeDocument/2006/relationships/hyperlink" Target="http://www.realfactors.com/" TargetMode="External"/><Relationship Id="rId3123" Type="http://schemas.openxmlformats.org/officeDocument/2006/relationships/hyperlink" Target="https://www.crunchbase.com/organization/doorkee" TargetMode="External"/><Relationship Id="rId4454" Type="http://schemas.openxmlformats.org/officeDocument/2006/relationships/hyperlink" Target="https://www.crunchbase.com/funding_round/realar-seed--1350b644" TargetMode="External"/><Relationship Id="rId5788" Type="http://schemas.openxmlformats.org/officeDocument/2006/relationships/hyperlink" Target="https://angel.co/company/realinsight" TargetMode="External"/><Relationship Id="rId3126" Type="http://schemas.openxmlformats.org/officeDocument/2006/relationships/hyperlink" Target="https://isthara.com/" TargetMode="External"/><Relationship Id="rId4457" Type="http://schemas.openxmlformats.org/officeDocument/2006/relationships/hyperlink" Target="https://www.crunchbase.com/organization/newarc-srl" TargetMode="External"/><Relationship Id="rId5785" Type="http://schemas.openxmlformats.org/officeDocument/2006/relationships/hyperlink" Target="https://angel.co/company/real-factors" TargetMode="External"/><Relationship Id="rId3125" Type="http://schemas.openxmlformats.org/officeDocument/2006/relationships/hyperlink" Target="https://www.crunchbase.com/organization/isthara" TargetMode="External"/><Relationship Id="rId4456" Type="http://schemas.openxmlformats.org/officeDocument/2006/relationships/hyperlink" Target="https://www.joyhub.io/" TargetMode="External"/><Relationship Id="rId5786" Type="http://schemas.openxmlformats.org/officeDocument/2006/relationships/hyperlink" Target="https://www.crunchbase.com/organization/real-factors" TargetMode="External"/><Relationship Id="rId4404" Type="http://schemas.openxmlformats.org/officeDocument/2006/relationships/hyperlink" Target="https://www.crunchbase.com/funding_round/easy-floor-robotics-pre-seed--79739270" TargetMode="External"/><Relationship Id="rId5736" Type="http://schemas.openxmlformats.org/officeDocument/2006/relationships/hyperlink" Target="https://www.crunchbase.com/organization/qobo-group-ltd" TargetMode="External"/><Relationship Id="rId4403" Type="http://schemas.openxmlformats.org/officeDocument/2006/relationships/hyperlink" Target="https://www.easyfloorrobotics.com/" TargetMode="External"/><Relationship Id="rId5737" Type="http://schemas.openxmlformats.org/officeDocument/2006/relationships/hyperlink" Target="https://qobrix.com/" TargetMode="External"/><Relationship Id="rId4406" Type="http://schemas.openxmlformats.org/officeDocument/2006/relationships/hyperlink" Target="https://www.crunchbase.com/organization/faber-connect" TargetMode="External"/><Relationship Id="rId5734" Type="http://schemas.openxmlformats.org/officeDocument/2006/relationships/hyperlink" Target="https://www.crunchbase.com/organization/qlair" TargetMode="External"/><Relationship Id="rId4405" Type="http://schemas.openxmlformats.org/officeDocument/2006/relationships/hyperlink" Target="https://angel.co/faberconnect" TargetMode="External"/><Relationship Id="rId5735" Type="http://schemas.openxmlformats.org/officeDocument/2006/relationships/hyperlink" Target="http://www.i-qlair.com/" TargetMode="External"/><Relationship Id="rId4408" Type="http://schemas.openxmlformats.org/officeDocument/2006/relationships/hyperlink" Target="https://angel.co/company/coworkr-1" TargetMode="External"/><Relationship Id="rId4407" Type="http://schemas.openxmlformats.org/officeDocument/2006/relationships/hyperlink" Target="http://www.faberconnect.com/" TargetMode="External"/><Relationship Id="rId5738" Type="http://schemas.openxmlformats.org/officeDocument/2006/relationships/hyperlink" Target="https://www.crunchbase.com/organization/qualit-one-llc" TargetMode="External"/><Relationship Id="rId4409" Type="http://schemas.openxmlformats.org/officeDocument/2006/relationships/hyperlink" Target="https://www.crunchbase.com/organization/coworkr" TargetMode="External"/><Relationship Id="rId5739" Type="http://schemas.openxmlformats.org/officeDocument/2006/relationships/hyperlink" Target="https://www.qit1.com/" TargetMode="External"/><Relationship Id="rId4400" Type="http://schemas.openxmlformats.org/officeDocument/2006/relationships/hyperlink" Target="https://www.loanbase.com/" TargetMode="External"/><Relationship Id="rId5732" Type="http://schemas.openxmlformats.org/officeDocument/2006/relationships/hyperlink" Target="https://www.crunchbase.com/organization/purple-olive-labs" TargetMode="External"/><Relationship Id="rId5733" Type="http://schemas.openxmlformats.org/officeDocument/2006/relationships/hyperlink" Target="https://www.purpleolivelabs.com/" TargetMode="External"/><Relationship Id="rId4402" Type="http://schemas.openxmlformats.org/officeDocument/2006/relationships/hyperlink" Target="https://www.crunchbase.com/organization/easy-floor-robotics" TargetMode="External"/><Relationship Id="rId5730" Type="http://schemas.openxmlformats.org/officeDocument/2006/relationships/hyperlink" Target="https://www.publicassets.com/" TargetMode="External"/><Relationship Id="rId4401" Type="http://schemas.openxmlformats.org/officeDocument/2006/relationships/hyperlink" Target="https://angel.co/company/easy-floor-robotics" TargetMode="External"/><Relationship Id="rId5731" Type="http://schemas.openxmlformats.org/officeDocument/2006/relationships/hyperlink" Target="https://angel.co/company/purple-olive-labs" TargetMode="External"/><Relationship Id="rId5725" Type="http://schemas.openxmlformats.org/officeDocument/2006/relationships/hyperlink" Target="https://angel.co/company/prospectnow" TargetMode="External"/><Relationship Id="rId5726" Type="http://schemas.openxmlformats.org/officeDocument/2006/relationships/hyperlink" Target="https://www.crunchbase.com/organization/prospectnow" TargetMode="External"/><Relationship Id="rId5723" Type="http://schemas.openxmlformats.org/officeDocument/2006/relationships/hyperlink" Target="https://www.crunchbase.com/organization/proplend" TargetMode="External"/><Relationship Id="rId5724" Type="http://schemas.openxmlformats.org/officeDocument/2006/relationships/hyperlink" Target="https://www.proplend.com/" TargetMode="External"/><Relationship Id="rId5729" Type="http://schemas.openxmlformats.org/officeDocument/2006/relationships/hyperlink" Target="https://www.crunchbase.com/organization/publicassets" TargetMode="External"/><Relationship Id="rId5727" Type="http://schemas.openxmlformats.org/officeDocument/2006/relationships/hyperlink" Target="https://www.prospectnow.com/" TargetMode="External"/><Relationship Id="rId5728" Type="http://schemas.openxmlformats.org/officeDocument/2006/relationships/hyperlink" Target="https://angel.co/company/publicassets" TargetMode="External"/><Relationship Id="rId5721" Type="http://schemas.openxmlformats.org/officeDocument/2006/relationships/hyperlink" Target="https://www.prophix.com/" TargetMode="External"/><Relationship Id="rId5722" Type="http://schemas.openxmlformats.org/officeDocument/2006/relationships/hyperlink" Target="https://angel.co/company/proplend-1" TargetMode="External"/><Relationship Id="rId5720" Type="http://schemas.openxmlformats.org/officeDocument/2006/relationships/hyperlink" Target="https://www.crunchbase.com/organization/prophix-software" TargetMode="External"/><Relationship Id="rId4426" Type="http://schemas.openxmlformats.org/officeDocument/2006/relationships/hyperlink" Target="https://www.crunchbase.com/funding_round/homestead-seed--c471d002" TargetMode="External"/><Relationship Id="rId5758" Type="http://schemas.openxmlformats.org/officeDocument/2006/relationships/hyperlink" Target="http://www.rankontechnologies.com/seo-company-india/" TargetMode="External"/><Relationship Id="rId4425" Type="http://schemas.openxmlformats.org/officeDocument/2006/relationships/hyperlink" Target="https://www.homestead.is/" TargetMode="External"/><Relationship Id="rId5759" Type="http://schemas.openxmlformats.org/officeDocument/2006/relationships/hyperlink" Target="https://angel.co/company/raven-8" TargetMode="External"/><Relationship Id="rId4428" Type="http://schemas.openxmlformats.org/officeDocument/2006/relationships/hyperlink" Target="https://www.crunchbase.com/organization/mycoop" TargetMode="External"/><Relationship Id="rId5756" Type="http://schemas.openxmlformats.org/officeDocument/2006/relationships/hyperlink" Target="http://www.radix.com" TargetMode="External"/><Relationship Id="rId4427" Type="http://schemas.openxmlformats.org/officeDocument/2006/relationships/hyperlink" Target="https://angel.co/company/mycoop" TargetMode="External"/><Relationship Id="rId5757" Type="http://schemas.openxmlformats.org/officeDocument/2006/relationships/hyperlink" Target="https://angel.co/u/rankontech" TargetMode="External"/><Relationship Id="rId4429" Type="http://schemas.openxmlformats.org/officeDocument/2006/relationships/hyperlink" Target="http://www.mycoop.com/" TargetMode="External"/><Relationship Id="rId5750" Type="http://schemas.openxmlformats.org/officeDocument/2006/relationships/hyperlink" Target="https://queentessence.io/" TargetMode="External"/><Relationship Id="rId5751" Type="http://schemas.openxmlformats.org/officeDocument/2006/relationships/hyperlink" Target="http://www.quickspace.com" TargetMode="External"/><Relationship Id="rId4420" Type="http://schemas.openxmlformats.org/officeDocument/2006/relationships/hyperlink" Target="https://www.crunchbase.com/organization/argus" TargetMode="External"/><Relationship Id="rId4422" Type="http://schemas.openxmlformats.org/officeDocument/2006/relationships/hyperlink" Target="https://www.crunchbase.com/organization/homejab" TargetMode="External"/><Relationship Id="rId5754" Type="http://schemas.openxmlformats.org/officeDocument/2006/relationships/hyperlink" Target="http://www.quikshow.com/" TargetMode="External"/><Relationship Id="rId4421" Type="http://schemas.openxmlformats.org/officeDocument/2006/relationships/hyperlink" Target="https://angel.co/company/homejab" TargetMode="External"/><Relationship Id="rId5755" Type="http://schemas.openxmlformats.org/officeDocument/2006/relationships/hyperlink" Target="https://www.crunchbase.com/organization/radix-4326" TargetMode="External"/><Relationship Id="rId4424" Type="http://schemas.openxmlformats.org/officeDocument/2006/relationships/hyperlink" Target="https://www.crunchbase.com/organization/homestead" TargetMode="External"/><Relationship Id="rId5752" Type="http://schemas.openxmlformats.org/officeDocument/2006/relationships/hyperlink" Target="https://angel.co/company/quikshow" TargetMode="External"/><Relationship Id="rId4423" Type="http://schemas.openxmlformats.org/officeDocument/2006/relationships/hyperlink" Target="https://www.homejab.com/" TargetMode="External"/><Relationship Id="rId5753" Type="http://schemas.openxmlformats.org/officeDocument/2006/relationships/hyperlink" Target="https://www.crunchbase.com/organization/quikshow" TargetMode="External"/><Relationship Id="rId4415" Type="http://schemas.openxmlformats.org/officeDocument/2006/relationships/hyperlink" Target="https://www.crunchbase.com/funding_round/sunnovations-seed--8f525987" TargetMode="External"/><Relationship Id="rId5747" Type="http://schemas.openxmlformats.org/officeDocument/2006/relationships/hyperlink" Target="https://www.quix.ps" TargetMode="External"/><Relationship Id="rId4414" Type="http://schemas.openxmlformats.org/officeDocument/2006/relationships/hyperlink" Target="https://aquanta.io/" TargetMode="External"/><Relationship Id="rId5748" Type="http://schemas.openxmlformats.org/officeDocument/2006/relationships/hyperlink" Target="https://angel.co/company/queentessenceio" TargetMode="External"/><Relationship Id="rId4417" Type="http://schemas.openxmlformats.org/officeDocument/2006/relationships/hyperlink" Target="https://www.crunchbase.com/organization/bright-spaces" TargetMode="External"/><Relationship Id="rId5745" Type="http://schemas.openxmlformats.org/officeDocument/2006/relationships/hyperlink" Target="https://quarters.com/" TargetMode="External"/><Relationship Id="rId4416" Type="http://schemas.openxmlformats.org/officeDocument/2006/relationships/hyperlink" Target="https://www.crunchbase.com/funding_round/sunnovations-series-unknown--552beb68" TargetMode="External"/><Relationship Id="rId5746" Type="http://schemas.openxmlformats.org/officeDocument/2006/relationships/hyperlink" Target="https://www.crunchbase.com/search/organizations/field/organizations/location_identifiers/berlin-berlin" TargetMode="External"/><Relationship Id="rId4419" Type="http://schemas.openxmlformats.org/officeDocument/2006/relationships/hyperlink" Target="https://www.crunchbase.com/funding_round/bright-spaces-pre-seed--efc6ecf5" TargetMode="External"/><Relationship Id="rId4418" Type="http://schemas.openxmlformats.org/officeDocument/2006/relationships/hyperlink" Target="https://brightspaces.tech/" TargetMode="External"/><Relationship Id="rId5749" Type="http://schemas.openxmlformats.org/officeDocument/2006/relationships/hyperlink" Target="https://www.crunchbase.com/organization/queentessence-inc" TargetMode="External"/><Relationship Id="rId5740" Type="http://schemas.openxmlformats.org/officeDocument/2006/relationships/hyperlink" Target="https://www.crunchbase.com/organization/quantumlisting" TargetMode="External"/><Relationship Id="rId4411" Type="http://schemas.openxmlformats.org/officeDocument/2006/relationships/hyperlink" Target="https://www.crunchbase.com/funding_round/coworkr-seed--9e4ca243" TargetMode="External"/><Relationship Id="rId5743" Type="http://schemas.openxmlformats.org/officeDocument/2006/relationships/hyperlink" Target="https://www.quarem.com/" TargetMode="External"/><Relationship Id="rId4410" Type="http://schemas.openxmlformats.org/officeDocument/2006/relationships/hyperlink" Target="https://coworkr.co/" TargetMode="External"/><Relationship Id="rId5744" Type="http://schemas.openxmlformats.org/officeDocument/2006/relationships/hyperlink" Target="https://www.crunchbase.com/organization/quarters" TargetMode="External"/><Relationship Id="rId4413" Type="http://schemas.openxmlformats.org/officeDocument/2006/relationships/hyperlink" Target="https://www.crunchbase.com/organization/sunnovations" TargetMode="External"/><Relationship Id="rId5741" Type="http://schemas.openxmlformats.org/officeDocument/2006/relationships/hyperlink" Target="https://quantumlisting.com/" TargetMode="External"/><Relationship Id="rId4412" Type="http://schemas.openxmlformats.org/officeDocument/2006/relationships/hyperlink" Target="https://angel.co/company/sunnovations" TargetMode="External"/><Relationship Id="rId5742" Type="http://schemas.openxmlformats.org/officeDocument/2006/relationships/hyperlink" Target="https://www.crunchbase.com/organization/quarem" TargetMode="External"/><Relationship Id="rId3191" Type="http://schemas.openxmlformats.org/officeDocument/2006/relationships/hyperlink" Target="https://www.crunchbase.com/organization/get-jones" TargetMode="External"/><Relationship Id="rId3190" Type="http://schemas.openxmlformats.org/officeDocument/2006/relationships/hyperlink" Target="https://angel.co/company/jones1" TargetMode="External"/><Relationship Id="rId3193" Type="http://schemas.openxmlformats.org/officeDocument/2006/relationships/hyperlink" Target="https://angel.co/company/travtus-workforce-pte-1" TargetMode="External"/><Relationship Id="rId3192" Type="http://schemas.openxmlformats.org/officeDocument/2006/relationships/hyperlink" Target="https://getjones.com/" TargetMode="External"/><Relationship Id="rId3195" Type="http://schemas.openxmlformats.org/officeDocument/2006/relationships/hyperlink" Target="http://www.travtus.com/" TargetMode="External"/><Relationship Id="rId3194" Type="http://schemas.openxmlformats.org/officeDocument/2006/relationships/hyperlink" Target="https://www.crunchbase.com/organization/travtus-2" TargetMode="External"/><Relationship Id="rId3197" Type="http://schemas.openxmlformats.org/officeDocument/2006/relationships/hyperlink" Target="https://angel.co/company/arcol-technology" TargetMode="External"/><Relationship Id="rId3196" Type="http://schemas.openxmlformats.org/officeDocument/2006/relationships/hyperlink" Target="https://www.crunchbase.com/funding_round/travtus-2-seed--50d913bc" TargetMode="External"/><Relationship Id="rId3199" Type="http://schemas.openxmlformats.org/officeDocument/2006/relationships/hyperlink" Target="https://arcol.io/" TargetMode="External"/><Relationship Id="rId3198" Type="http://schemas.openxmlformats.org/officeDocument/2006/relationships/hyperlink" Target="https://www.crunchbase.com/organization/arcol-7292" TargetMode="External"/><Relationship Id="rId3180" Type="http://schemas.openxmlformats.org/officeDocument/2006/relationships/hyperlink" Target="https://www.crunchbase.com/organization/weaver-tech" TargetMode="External"/><Relationship Id="rId3182" Type="http://schemas.openxmlformats.org/officeDocument/2006/relationships/hyperlink" Target="https://www.crunchbase.com/organization/augmenta-ai" TargetMode="External"/><Relationship Id="rId3181" Type="http://schemas.openxmlformats.org/officeDocument/2006/relationships/hyperlink" Target="https://weaver.build/" TargetMode="External"/><Relationship Id="rId3184" Type="http://schemas.openxmlformats.org/officeDocument/2006/relationships/hyperlink" Target="https://www.crunchbase.com/funding_round/augmenta-ai-seed--2d9037c5" TargetMode="External"/><Relationship Id="rId3183" Type="http://schemas.openxmlformats.org/officeDocument/2006/relationships/hyperlink" Target="https://www.augmenta.ai/" TargetMode="External"/><Relationship Id="rId3186" Type="http://schemas.openxmlformats.org/officeDocument/2006/relationships/hyperlink" Target="https://managedapp.com.au/" TargetMode="External"/><Relationship Id="rId3185" Type="http://schemas.openxmlformats.org/officeDocument/2006/relationships/hyperlink" Target="https://www.crunchbase.com/organization/managed-app" TargetMode="External"/><Relationship Id="rId3188" Type="http://schemas.openxmlformats.org/officeDocument/2006/relationships/hyperlink" Target="https://www.crunchbase.com/organization/foyr" TargetMode="External"/><Relationship Id="rId3187" Type="http://schemas.openxmlformats.org/officeDocument/2006/relationships/hyperlink" Target="https://angel.co/company/foyr" TargetMode="External"/><Relationship Id="rId3189" Type="http://schemas.openxmlformats.org/officeDocument/2006/relationships/hyperlink" Target="https://foyr.com/" TargetMode="External"/><Relationship Id="rId4480" Type="http://schemas.openxmlformats.org/officeDocument/2006/relationships/hyperlink" Target="https://www.crunchbase.com/organization/capital-engine-inc" TargetMode="External"/><Relationship Id="rId3151" Type="http://schemas.openxmlformats.org/officeDocument/2006/relationships/hyperlink" Target="https://keyo.com/form?page=AddressPage" TargetMode="External"/><Relationship Id="rId4482" Type="http://schemas.openxmlformats.org/officeDocument/2006/relationships/hyperlink" Target="https://www.crunchbase.com/funding_round/capital-engine-inc-seed--5e4ccae4" TargetMode="External"/><Relationship Id="rId3150" Type="http://schemas.openxmlformats.org/officeDocument/2006/relationships/hyperlink" Target="https://www.crunchbase.com/organization/keyo-ai" TargetMode="External"/><Relationship Id="rId4481" Type="http://schemas.openxmlformats.org/officeDocument/2006/relationships/hyperlink" Target="https://capitalengine.io/home" TargetMode="External"/><Relationship Id="rId3153" Type="http://schemas.openxmlformats.org/officeDocument/2006/relationships/hyperlink" Target="https://www.crunchbase.com/organization/transactly" TargetMode="External"/><Relationship Id="rId4484" Type="http://schemas.openxmlformats.org/officeDocument/2006/relationships/hyperlink" Target="https://www.crunchbase.com/organization/naava" TargetMode="External"/><Relationship Id="rId3152" Type="http://schemas.openxmlformats.org/officeDocument/2006/relationships/hyperlink" Target="https://angel.co/company/transactly" TargetMode="External"/><Relationship Id="rId4483" Type="http://schemas.openxmlformats.org/officeDocument/2006/relationships/hyperlink" Target="https://angel.co/company/naava_ltd" TargetMode="External"/><Relationship Id="rId3155" Type="http://schemas.openxmlformats.org/officeDocument/2006/relationships/hyperlink" Target="https://angel.co/company/boom-bucket" TargetMode="External"/><Relationship Id="rId4486" Type="http://schemas.openxmlformats.org/officeDocument/2006/relationships/hyperlink" Target="https://www.crunchbase.com/organization/singularity-energy" TargetMode="External"/><Relationship Id="rId3154" Type="http://schemas.openxmlformats.org/officeDocument/2006/relationships/hyperlink" Target="https://transactly.com/" TargetMode="External"/><Relationship Id="rId4485" Type="http://schemas.openxmlformats.org/officeDocument/2006/relationships/hyperlink" Target="https://www.naava.io/en/" TargetMode="External"/><Relationship Id="rId3157" Type="http://schemas.openxmlformats.org/officeDocument/2006/relationships/hyperlink" Target="https://www.boomandbucket.com/" TargetMode="External"/><Relationship Id="rId4488" Type="http://schemas.openxmlformats.org/officeDocument/2006/relationships/hyperlink" Target="https://www.crunchbase.com/funding_round/singularity-energy-seed--a76558dd" TargetMode="External"/><Relationship Id="rId3156" Type="http://schemas.openxmlformats.org/officeDocument/2006/relationships/hyperlink" Target="https://www.crunchbase.com/organization/boom-and-bucket" TargetMode="External"/><Relationship Id="rId4487" Type="http://schemas.openxmlformats.org/officeDocument/2006/relationships/hyperlink" Target="https://www.singularity.energy/" TargetMode="External"/><Relationship Id="rId3159" Type="http://schemas.openxmlformats.org/officeDocument/2006/relationships/hyperlink" Target="https://www.crunchbase.com/organization/measurable-energy" TargetMode="External"/><Relationship Id="rId3158" Type="http://schemas.openxmlformats.org/officeDocument/2006/relationships/hyperlink" Target="https://wellfound.com/company/measurable-energy" TargetMode="External"/><Relationship Id="rId4489" Type="http://schemas.openxmlformats.org/officeDocument/2006/relationships/hyperlink" Target="https://www.crunchbase.com/organization/roomhero" TargetMode="External"/><Relationship Id="rId3149" Type="http://schemas.openxmlformats.org/officeDocument/2006/relationships/hyperlink" Target="https://www.instashowing.com/" TargetMode="External"/><Relationship Id="rId3140" Type="http://schemas.openxmlformats.org/officeDocument/2006/relationships/hyperlink" Target="https://nayahomes.co/" TargetMode="External"/><Relationship Id="rId4471" Type="http://schemas.openxmlformats.org/officeDocument/2006/relationships/hyperlink" Target="https://www.crunchbase.com/organization/retrolux" TargetMode="External"/><Relationship Id="rId4470" Type="http://schemas.openxmlformats.org/officeDocument/2006/relationships/hyperlink" Target="https://angel.co/company/retrolux" TargetMode="External"/><Relationship Id="rId3142" Type="http://schemas.openxmlformats.org/officeDocument/2006/relationships/hyperlink" Target="https://www.crunchbase.com/funding_round/naya-homes-seed--8d7088e2" TargetMode="External"/><Relationship Id="rId4473" Type="http://schemas.openxmlformats.org/officeDocument/2006/relationships/hyperlink" Target="https://www.crunchbase.com/funding_round/retrolux-seed--f8c31604" TargetMode="External"/><Relationship Id="rId3141" Type="http://schemas.openxmlformats.org/officeDocument/2006/relationships/hyperlink" Target="https://www.crunchbase.com/funding_round/naya-homes-pre-seed--9d134cfe" TargetMode="External"/><Relationship Id="rId4472" Type="http://schemas.openxmlformats.org/officeDocument/2006/relationships/hyperlink" Target="https://retrolux.com/" TargetMode="External"/><Relationship Id="rId3144" Type="http://schemas.openxmlformats.org/officeDocument/2006/relationships/hyperlink" Target="https://www.crunchbase.com/organization/fractional" TargetMode="External"/><Relationship Id="rId4475" Type="http://schemas.openxmlformats.org/officeDocument/2006/relationships/hyperlink" Target="http://hilocorp.com/" TargetMode="External"/><Relationship Id="rId3143" Type="http://schemas.openxmlformats.org/officeDocument/2006/relationships/hyperlink" Target="https://angel.co/company/fractional-2" TargetMode="External"/><Relationship Id="rId4474" Type="http://schemas.openxmlformats.org/officeDocument/2006/relationships/hyperlink" Target="https://www.crunchbase.com/organization/hilo-743a" TargetMode="External"/><Relationship Id="rId3146" Type="http://schemas.openxmlformats.org/officeDocument/2006/relationships/hyperlink" Target="http://instashowing.com/" TargetMode="External"/><Relationship Id="rId4477" Type="http://schemas.openxmlformats.org/officeDocument/2006/relationships/hyperlink" Target="https://www.crunchbase.com/organization/touchlight-innovations" TargetMode="External"/><Relationship Id="rId3145" Type="http://schemas.openxmlformats.org/officeDocument/2006/relationships/hyperlink" Target="https://www.fractional.app/" TargetMode="External"/><Relationship Id="rId4476" Type="http://schemas.openxmlformats.org/officeDocument/2006/relationships/hyperlink" Target="https://angel.co/company/touchlight-innovations" TargetMode="External"/><Relationship Id="rId3148" Type="http://schemas.openxmlformats.org/officeDocument/2006/relationships/hyperlink" Target="https://www.crunchbase.com/organization/instashowing" TargetMode="External"/><Relationship Id="rId4479" Type="http://schemas.openxmlformats.org/officeDocument/2006/relationships/hyperlink" Target="https://angel.co/company/capitalengine" TargetMode="External"/><Relationship Id="rId3147" Type="http://schemas.openxmlformats.org/officeDocument/2006/relationships/hyperlink" Target="https://angel.co/company/instashowing" TargetMode="External"/><Relationship Id="rId4478" Type="http://schemas.openxmlformats.org/officeDocument/2006/relationships/hyperlink" Target="http://touchlightinnovations.com/" TargetMode="External"/><Relationship Id="rId3171" Type="http://schemas.openxmlformats.org/officeDocument/2006/relationships/hyperlink" Target="https://angel.co/company/relogix-1" TargetMode="External"/><Relationship Id="rId3170" Type="http://schemas.openxmlformats.org/officeDocument/2006/relationships/hyperlink" Target="https://www.crunchbase.com/funding_round/locuslabs-series-a--b5060368" TargetMode="External"/><Relationship Id="rId3173" Type="http://schemas.openxmlformats.org/officeDocument/2006/relationships/hyperlink" Target="https://relogix.com/" TargetMode="External"/><Relationship Id="rId3172" Type="http://schemas.openxmlformats.org/officeDocument/2006/relationships/hyperlink" Target="https://www.crunchbase.com/organization/relogix" TargetMode="External"/><Relationship Id="rId3175" Type="http://schemas.openxmlformats.org/officeDocument/2006/relationships/hyperlink" Target="https://www.crunchbase.com/funding_round/relogix-series-a--e76a107b" TargetMode="External"/><Relationship Id="rId3174" Type="http://schemas.openxmlformats.org/officeDocument/2006/relationships/hyperlink" Target="https://www.crunchbase.com/funding_round/relogix-seed--22611cc6" TargetMode="External"/><Relationship Id="rId3177" Type="http://schemas.openxmlformats.org/officeDocument/2006/relationships/hyperlink" Target="https://www.zavvie.com/" TargetMode="External"/><Relationship Id="rId3176" Type="http://schemas.openxmlformats.org/officeDocument/2006/relationships/hyperlink" Target="https://www.crunchbase.com/organization/zavvie" TargetMode="External"/><Relationship Id="rId3179" Type="http://schemas.openxmlformats.org/officeDocument/2006/relationships/hyperlink" Target="https://www.crunchbase.com/funding_round/zavvie-convertible-note--604164af" TargetMode="External"/><Relationship Id="rId3178" Type="http://schemas.openxmlformats.org/officeDocument/2006/relationships/hyperlink" Target="https://www.crunchbase.com/funding_round/zavvie-seed--97a751bf" TargetMode="External"/><Relationship Id="rId3160" Type="http://schemas.openxmlformats.org/officeDocument/2006/relationships/hyperlink" Target="https://measurable.energy/" TargetMode="External"/><Relationship Id="rId4491" Type="http://schemas.openxmlformats.org/officeDocument/2006/relationships/hyperlink" Target="https://www.crunchbase.com/organization/agentpair" TargetMode="External"/><Relationship Id="rId4490" Type="http://schemas.openxmlformats.org/officeDocument/2006/relationships/hyperlink" Target="https://www.roomhero.de/" TargetMode="External"/><Relationship Id="rId3162" Type="http://schemas.openxmlformats.org/officeDocument/2006/relationships/hyperlink" Target="https://www.crunchbase.com/organization/jumba-8b27" TargetMode="External"/><Relationship Id="rId4493" Type="http://schemas.openxmlformats.org/officeDocument/2006/relationships/hyperlink" Target="https://angel.co/company/asset-dynamics" TargetMode="External"/><Relationship Id="rId3161" Type="http://schemas.openxmlformats.org/officeDocument/2006/relationships/hyperlink" Target="https://www.crunchbase.com/funding_round/measurable-energy-series-a--fb1418e0" TargetMode="External"/><Relationship Id="rId4492" Type="http://schemas.openxmlformats.org/officeDocument/2006/relationships/hyperlink" Target="https://www.crunchbase.com/funding_round/agentpair-seed--e0bb8220" TargetMode="External"/><Relationship Id="rId3164" Type="http://schemas.openxmlformats.org/officeDocument/2006/relationships/hyperlink" Target="https://www.crunchbase.com/funding_round/jumba-8b27-pre-seed--505c29e8" TargetMode="External"/><Relationship Id="rId4495" Type="http://schemas.openxmlformats.org/officeDocument/2006/relationships/hyperlink" Target="http://www.assetdynamics.co/" TargetMode="External"/><Relationship Id="rId3163" Type="http://schemas.openxmlformats.org/officeDocument/2006/relationships/hyperlink" Target="https://www.thejumba.com/" TargetMode="External"/><Relationship Id="rId4494" Type="http://schemas.openxmlformats.org/officeDocument/2006/relationships/hyperlink" Target="https://www.crunchbase.com/organization/asset-dynamics" TargetMode="External"/><Relationship Id="rId3166" Type="http://schemas.openxmlformats.org/officeDocument/2006/relationships/hyperlink" Target="https://angel.co/company/locuslabs" TargetMode="External"/><Relationship Id="rId4497" Type="http://schemas.openxmlformats.org/officeDocument/2006/relationships/hyperlink" Target="https://angel.co/company/jack_ai" TargetMode="External"/><Relationship Id="rId3165" Type="http://schemas.openxmlformats.org/officeDocument/2006/relationships/hyperlink" Target="https://www.crunchbase.com/funding_round/jumba-8b27-seed--16c99ab1" TargetMode="External"/><Relationship Id="rId4496" Type="http://schemas.openxmlformats.org/officeDocument/2006/relationships/hyperlink" Target="https://www.crunchbase.com/funding_round/asset-dynamics-seed--c3d222f1" TargetMode="External"/><Relationship Id="rId3168" Type="http://schemas.openxmlformats.org/officeDocument/2006/relationships/hyperlink" Target="https://locuslabs.com/" TargetMode="External"/><Relationship Id="rId4499" Type="http://schemas.openxmlformats.org/officeDocument/2006/relationships/hyperlink" Target="https://247jack.com/" TargetMode="External"/><Relationship Id="rId3167" Type="http://schemas.openxmlformats.org/officeDocument/2006/relationships/hyperlink" Target="https://www.crunchbase.com/organization/locuslabs" TargetMode="External"/><Relationship Id="rId4498" Type="http://schemas.openxmlformats.org/officeDocument/2006/relationships/hyperlink" Target="https://www.crunchbase.com/organization/jack-3" TargetMode="External"/><Relationship Id="rId3169" Type="http://schemas.openxmlformats.org/officeDocument/2006/relationships/hyperlink" Target="https://www.crunchbase.com/funding_round/locuslabs-seed--4696cf61" TargetMode="External"/><Relationship Id="rId5813" Type="http://schemas.openxmlformats.org/officeDocument/2006/relationships/hyperlink" Target="https://www.crunchbase.com/organization/realtyzapp" TargetMode="External"/><Relationship Id="rId5814" Type="http://schemas.openxmlformats.org/officeDocument/2006/relationships/hyperlink" Target="https://realtyzapp.com/" TargetMode="External"/><Relationship Id="rId5811" Type="http://schemas.openxmlformats.org/officeDocument/2006/relationships/hyperlink" Target="https://www.crunchbase.com/organization/realtypad" TargetMode="External"/><Relationship Id="rId5812" Type="http://schemas.openxmlformats.org/officeDocument/2006/relationships/hyperlink" Target="http://realtypad.net/" TargetMode="External"/><Relationship Id="rId5817" Type="http://schemas.openxmlformats.org/officeDocument/2006/relationships/hyperlink" Target="https://www.realvantage.co/" TargetMode="External"/><Relationship Id="rId5818" Type="http://schemas.openxmlformats.org/officeDocument/2006/relationships/hyperlink" Target="https://angel.co/company/realvectors" TargetMode="External"/><Relationship Id="rId5815" Type="http://schemas.openxmlformats.org/officeDocument/2006/relationships/hyperlink" Target="https://angel.co/company/realvantage" TargetMode="External"/><Relationship Id="rId5816" Type="http://schemas.openxmlformats.org/officeDocument/2006/relationships/hyperlink" Target="https://www.crunchbase.com/organization/realvantage" TargetMode="External"/><Relationship Id="rId5819" Type="http://schemas.openxmlformats.org/officeDocument/2006/relationships/hyperlink" Target="https://www.crunchbase.com/organization/realvectors" TargetMode="External"/><Relationship Id="rId5810" Type="http://schemas.openxmlformats.org/officeDocument/2006/relationships/hyperlink" Target="https://realtyhive.com/" TargetMode="External"/><Relationship Id="rId5802" Type="http://schemas.openxmlformats.org/officeDocument/2006/relationships/hyperlink" Target="https://www.crunchbase.com/organization/realpropti" TargetMode="External"/><Relationship Id="rId5803" Type="http://schemas.openxmlformats.org/officeDocument/2006/relationships/hyperlink" Target="https://agentmarketing.com/" TargetMode="External"/><Relationship Id="rId5800" Type="http://schemas.openxmlformats.org/officeDocument/2006/relationships/hyperlink" Target="https://realpadsoftware.com/" TargetMode="External"/><Relationship Id="rId5801" Type="http://schemas.openxmlformats.org/officeDocument/2006/relationships/hyperlink" Target="https://angel.co/company/realpropti" TargetMode="External"/><Relationship Id="rId5806" Type="http://schemas.openxmlformats.org/officeDocument/2006/relationships/hyperlink" Target="https://www.realtyads.com/" TargetMode="External"/><Relationship Id="rId5807" Type="http://schemas.openxmlformats.org/officeDocument/2006/relationships/hyperlink" Target="https://angel.co/company/realtyevest" TargetMode="External"/><Relationship Id="rId5804" Type="http://schemas.openxmlformats.org/officeDocument/2006/relationships/hyperlink" Target="https://angel.co/company/realstax" TargetMode="External"/><Relationship Id="rId5805" Type="http://schemas.openxmlformats.org/officeDocument/2006/relationships/hyperlink" Target="https://www.crunchbase.com/organization/realstax" TargetMode="External"/><Relationship Id="rId5808" Type="http://schemas.openxmlformats.org/officeDocument/2006/relationships/hyperlink" Target="https://www.crunchbase.com/organization/realtyevest" TargetMode="External"/><Relationship Id="rId5809" Type="http://schemas.openxmlformats.org/officeDocument/2006/relationships/hyperlink" Target="https://www.crunchbase.com/organization/realtyhive" TargetMode="External"/><Relationship Id="rId4503" Type="http://schemas.openxmlformats.org/officeDocument/2006/relationships/hyperlink" Target="https://angel.co/company/virtspaces" TargetMode="External"/><Relationship Id="rId5835" Type="http://schemas.openxmlformats.org/officeDocument/2006/relationships/hyperlink" Target="http://www.refinere.net/" TargetMode="External"/><Relationship Id="rId4502" Type="http://schemas.openxmlformats.org/officeDocument/2006/relationships/hyperlink" Target="http://strytex.com/" TargetMode="External"/><Relationship Id="rId5836" Type="http://schemas.openxmlformats.org/officeDocument/2006/relationships/hyperlink" Target="https://angel.co/company/reinno" TargetMode="External"/><Relationship Id="rId4505" Type="http://schemas.openxmlformats.org/officeDocument/2006/relationships/hyperlink" Target="https://www.virtualspaces.tech" TargetMode="External"/><Relationship Id="rId5833" Type="http://schemas.openxmlformats.org/officeDocument/2006/relationships/hyperlink" Target="https://angel.co/refinere" TargetMode="External"/><Relationship Id="rId4504" Type="http://schemas.openxmlformats.org/officeDocument/2006/relationships/hyperlink" Target="https://www.crunchbase.com/organization/virtualspaces-inc" TargetMode="External"/><Relationship Id="rId5834" Type="http://schemas.openxmlformats.org/officeDocument/2006/relationships/hyperlink" Target="https://www.crunchbase.com/organization/refinere" TargetMode="External"/><Relationship Id="rId4507" Type="http://schemas.openxmlformats.org/officeDocument/2006/relationships/hyperlink" Target="https://angel.co/atlasx" TargetMode="External"/><Relationship Id="rId5839" Type="http://schemas.openxmlformats.org/officeDocument/2006/relationships/hyperlink" Target="https://www.crunchbase.com/organization/re-meter" TargetMode="External"/><Relationship Id="rId4506" Type="http://schemas.openxmlformats.org/officeDocument/2006/relationships/hyperlink" Target="https://www.crunchbase.com/funding_round/virtualspaces-inc-seed--45698b9b" TargetMode="External"/><Relationship Id="rId4509" Type="http://schemas.openxmlformats.org/officeDocument/2006/relationships/hyperlink" Target="http://atlasx.co/" TargetMode="External"/><Relationship Id="rId5837" Type="http://schemas.openxmlformats.org/officeDocument/2006/relationships/hyperlink" Target="https://www.crunchbase.com/organization/reinno" TargetMode="External"/><Relationship Id="rId4508" Type="http://schemas.openxmlformats.org/officeDocument/2006/relationships/hyperlink" Target="https://www.crunchbase.com/organization/atlasx" TargetMode="External"/><Relationship Id="rId5838" Type="http://schemas.openxmlformats.org/officeDocument/2006/relationships/hyperlink" Target="https://reinno.io/" TargetMode="External"/><Relationship Id="rId5831" Type="http://schemas.openxmlformats.org/officeDocument/2006/relationships/hyperlink" Target="https://www.crunchbase.com/organization/refined-data-solutions" TargetMode="External"/><Relationship Id="rId5832" Type="http://schemas.openxmlformats.org/officeDocument/2006/relationships/hyperlink" Target="https://www.refineddata.com/" TargetMode="External"/><Relationship Id="rId4501" Type="http://schemas.openxmlformats.org/officeDocument/2006/relationships/hyperlink" Target="https://www.crunchbase.com/organization/strytex" TargetMode="External"/><Relationship Id="rId4500" Type="http://schemas.openxmlformats.org/officeDocument/2006/relationships/hyperlink" Target="https://angel.co/company/strytex" TargetMode="External"/><Relationship Id="rId5830" Type="http://schemas.openxmlformats.org/officeDocument/2006/relationships/hyperlink" Target="http://www.redvision.com/" TargetMode="External"/><Relationship Id="rId5824" Type="http://schemas.openxmlformats.org/officeDocument/2006/relationships/hyperlink" Target="https://www.crunchbase.com/organization/redevly" TargetMode="External"/><Relationship Id="rId5825" Type="http://schemas.openxmlformats.org/officeDocument/2006/relationships/hyperlink" Target="https://www.redevly.com/landing" TargetMode="External"/><Relationship Id="rId5822" Type="http://schemas.openxmlformats.org/officeDocument/2006/relationships/hyperlink" Target="https://www.crunchbase.com/organization/rebeltech" TargetMode="External"/><Relationship Id="rId5823" Type="http://schemas.openxmlformats.org/officeDocument/2006/relationships/hyperlink" Target="https://www.rebeltech.io/" TargetMode="External"/><Relationship Id="rId5828" Type="http://schemas.openxmlformats.org/officeDocument/2006/relationships/hyperlink" Target="https://angel.co/company/redvision-systems" TargetMode="External"/><Relationship Id="rId5829" Type="http://schemas.openxmlformats.org/officeDocument/2006/relationships/hyperlink" Target="https://www.crunchbase.com/organization/redvision-system" TargetMode="External"/><Relationship Id="rId5826" Type="http://schemas.openxmlformats.org/officeDocument/2006/relationships/hyperlink" Target="https://angel.co/company/rediq" TargetMode="External"/><Relationship Id="rId5827" Type="http://schemas.openxmlformats.org/officeDocument/2006/relationships/hyperlink" Target="https://www.crunchbase.com/organization/resimodel" TargetMode="External"/><Relationship Id="rId5820" Type="http://schemas.openxmlformats.org/officeDocument/2006/relationships/hyperlink" Target="http://www.realvectors.com/" TargetMode="External"/><Relationship Id="rId5821" Type="http://schemas.openxmlformats.org/officeDocument/2006/relationships/hyperlink" Target="https://www.crunchbase.com/organization/realx-pro" TargetMode="External"/><Relationship Id="rId3238" Type="http://schemas.openxmlformats.org/officeDocument/2006/relationships/hyperlink" Target="https://angel.co/company/trueface" TargetMode="External"/><Relationship Id="rId4569" Type="http://schemas.openxmlformats.org/officeDocument/2006/relationships/hyperlink" Target="http://www.aretailspace.com/" TargetMode="External"/><Relationship Id="rId3237" Type="http://schemas.openxmlformats.org/officeDocument/2006/relationships/hyperlink" Target="http://site1001.com/" TargetMode="External"/><Relationship Id="rId4568" Type="http://schemas.openxmlformats.org/officeDocument/2006/relationships/hyperlink" Target="https://www.crunchbase.com/organization/aretailspace" TargetMode="External"/><Relationship Id="rId5899" Type="http://schemas.openxmlformats.org/officeDocument/2006/relationships/hyperlink" Target="https://www.crunchbase.com/organization/revpart" TargetMode="External"/><Relationship Id="rId3239" Type="http://schemas.openxmlformats.org/officeDocument/2006/relationships/hyperlink" Target="https://www.crunchbase.com/organization/trueface-ai" TargetMode="External"/><Relationship Id="rId5890" Type="http://schemas.openxmlformats.org/officeDocument/2006/relationships/hyperlink" Target="https://retransform.com/" TargetMode="External"/><Relationship Id="rId3230" Type="http://schemas.openxmlformats.org/officeDocument/2006/relationships/hyperlink" Target="https://www.paritygo.com/" TargetMode="External"/><Relationship Id="rId4561" Type="http://schemas.openxmlformats.org/officeDocument/2006/relationships/hyperlink" Target="https://www.3dteam.co.nz/" TargetMode="External"/><Relationship Id="rId5893" Type="http://schemas.openxmlformats.org/officeDocument/2006/relationships/hyperlink" Target="https://www.rettex.com/home" TargetMode="External"/><Relationship Id="rId4560" Type="http://schemas.openxmlformats.org/officeDocument/2006/relationships/hyperlink" Target="https://www.crunchbase.com/organization/3d-team" TargetMode="External"/><Relationship Id="rId5894" Type="http://schemas.openxmlformats.org/officeDocument/2006/relationships/hyperlink" Target="https://angel.co/company/reviewpush" TargetMode="External"/><Relationship Id="rId3232" Type="http://schemas.openxmlformats.org/officeDocument/2006/relationships/hyperlink" Target="https://www.crunchbase.com/organization/realmassive" TargetMode="External"/><Relationship Id="rId4563" Type="http://schemas.openxmlformats.org/officeDocument/2006/relationships/hyperlink" Target="https://www.crunchbase.com/organization/4tell-solutions" TargetMode="External"/><Relationship Id="rId5891" Type="http://schemas.openxmlformats.org/officeDocument/2006/relationships/hyperlink" Target="https://angel.co/company/rettex" TargetMode="External"/><Relationship Id="rId3231" Type="http://schemas.openxmlformats.org/officeDocument/2006/relationships/hyperlink" Target="https://angel.co/company/realmassive" TargetMode="External"/><Relationship Id="rId4562" Type="http://schemas.openxmlformats.org/officeDocument/2006/relationships/hyperlink" Target="https://angel.co/company/4tell-solutions" TargetMode="External"/><Relationship Id="rId5892" Type="http://schemas.openxmlformats.org/officeDocument/2006/relationships/hyperlink" Target="https://www.crunchbase.com/organization/rettex" TargetMode="External"/><Relationship Id="rId3234" Type="http://schemas.openxmlformats.org/officeDocument/2006/relationships/hyperlink" Target="https://www.crunchbase.com/funding_round/realmassive-series-a--b84d885a" TargetMode="External"/><Relationship Id="rId4565" Type="http://schemas.openxmlformats.org/officeDocument/2006/relationships/hyperlink" Target="https://www.crunchbase.com/organization/4urspace" TargetMode="External"/><Relationship Id="rId5897" Type="http://schemas.openxmlformats.org/officeDocument/2006/relationships/hyperlink" Target="https://revivrr.com/home/" TargetMode="External"/><Relationship Id="rId3233" Type="http://schemas.openxmlformats.org/officeDocument/2006/relationships/hyperlink" Target="https://www.realmassive.com/" TargetMode="External"/><Relationship Id="rId4564" Type="http://schemas.openxmlformats.org/officeDocument/2006/relationships/hyperlink" Target="https://angel.co/company/4urspace" TargetMode="External"/><Relationship Id="rId5898" Type="http://schemas.openxmlformats.org/officeDocument/2006/relationships/hyperlink" Target="https://angel.co/company/revpart" TargetMode="External"/><Relationship Id="rId3236" Type="http://schemas.openxmlformats.org/officeDocument/2006/relationships/hyperlink" Target="https://www.crunchbase.com/organization/site-1001-inc" TargetMode="External"/><Relationship Id="rId4567" Type="http://schemas.openxmlformats.org/officeDocument/2006/relationships/hyperlink" Target="https://angel.co/a-retail-space" TargetMode="External"/><Relationship Id="rId5895" Type="http://schemas.openxmlformats.org/officeDocument/2006/relationships/hyperlink" Target="https://www.crunchbase.com/organization/reviewpush" TargetMode="External"/><Relationship Id="rId3235" Type="http://schemas.openxmlformats.org/officeDocument/2006/relationships/hyperlink" Target="https://angel.co/site-1001-1" TargetMode="External"/><Relationship Id="rId4566" Type="http://schemas.openxmlformats.org/officeDocument/2006/relationships/hyperlink" Target="https://4urspace.com/" TargetMode="External"/><Relationship Id="rId5896" Type="http://schemas.openxmlformats.org/officeDocument/2006/relationships/hyperlink" Target="https://www.reviewpush.com/" TargetMode="External"/><Relationship Id="rId3227" Type="http://schemas.openxmlformats.org/officeDocument/2006/relationships/hyperlink" Target="http://www.knockapp.co/" TargetMode="External"/><Relationship Id="rId4558" Type="http://schemas.openxmlformats.org/officeDocument/2006/relationships/hyperlink" Target="https://www.crunchbase.com/organization/10-min-realty" TargetMode="External"/><Relationship Id="rId3226" Type="http://schemas.openxmlformats.org/officeDocument/2006/relationships/hyperlink" Target="https://www.crunchbase.com/organization/knockapp-co" TargetMode="External"/><Relationship Id="rId4557" Type="http://schemas.openxmlformats.org/officeDocument/2006/relationships/hyperlink" Target="https://angel.co/company/10minrealty-1" TargetMode="External"/><Relationship Id="rId3229" Type="http://schemas.openxmlformats.org/officeDocument/2006/relationships/hyperlink" Target="https://www.crunchbase.com/organization/parity-3249" TargetMode="External"/><Relationship Id="rId5888" Type="http://schemas.openxmlformats.org/officeDocument/2006/relationships/hyperlink" Target="https://www.rethinksolutions.com/" TargetMode="External"/><Relationship Id="rId3228" Type="http://schemas.openxmlformats.org/officeDocument/2006/relationships/hyperlink" Target="https://angel.co/company/paritygo" TargetMode="External"/><Relationship Id="rId4559" Type="http://schemas.openxmlformats.org/officeDocument/2006/relationships/hyperlink" Target="https://angel.co/company/3d-team" TargetMode="External"/><Relationship Id="rId5889" Type="http://schemas.openxmlformats.org/officeDocument/2006/relationships/hyperlink" Target="https://www.crunchbase.com/organization/retransform" TargetMode="External"/><Relationship Id="rId4550" Type="http://schemas.openxmlformats.org/officeDocument/2006/relationships/hyperlink" Target="https://www.crunchbase.com/organization/visual-feeder" TargetMode="External"/><Relationship Id="rId5882" Type="http://schemas.openxmlformats.org/officeDocument/2006/relationships/hyperlink" Target="https://www.crunchbase.com/organization/reterro-inc-" TargetMode="External"/><Relationship Id="rId5883" Type="http://schemas.openxmlformats.org/officeDocument/2006/relationships/hyperlink" Target="http://www.reterro.com/" TargetMode="External"/><Relationship Id="rId3221" Type="http://schemas.openxmlformats.org/officeDocument/2006/relationships/hyperlink" Target="http://infotycoon.com/" TargetMode="External"/><Relationship Id="rId4552" Type="http://schemas.openxmlformats.org/officeDocument/2006/relationships/hyperlink" Target="https://www.crunchbase.com/organization/ascend-build" TargetMode="External"/><Relationship Id="rId5880" Type="http://schemas.openxmlformats.org/officeDocument/2006/relationships/hyperlink" Target="https://www.crunchbase.com/organization/retailmatch" TargetMode="External"/><Relationship Id="rId3220" Type="http://schemas.openxmlformats.org/officeDocument/2006/relationships/hyperlink" Target="https://www.crunchbase.com/organization/infotycoon" TargetMode="External"/><Relationship Id="rId4551" Type="http://schemas.openxmlformats.org/officeDocument/2006/relationships/hyperlink" Target="https://www.visualfeeder.com/" TargetMode="External"/><Relationship Id="rId5881" Type="http://schemas.openxmlformats.org/officeDocument/2006/relationships/hyperlink" Target="https://www.retailmatch.io/" TargetMode="External"/><Relationship Id="rId3223" Type="http://schemas.openxmlformats.org/officeDocument/2006/relationships/hyperlink" Target="https://www.crunchbase.com/organization/kaboodle" TargetMode="External"/><Relationship Id="rId4554" Type="http://schemas.openxmlformats.org/officeDocument/2006/relationships/hyperlink" Target="https://angel.co/company/onboard-data" TargetMode="External"/><Relationship Id="rId5886" Type="http://schemas.openxmlformats.org/officeDocument/2006/relationships/hyperlink" Target="http://www.rethinkcrm.com/" TargetMode="External"/><Relationship Id="rId3222" Type="http://schemas.openxmlformats.org/officeDocument/2006/relationships/hyperlink" Target="https://angel.co/company/kaboodle" TargetMode="External"/><Relationship Id="rId4553" Type="http://schemas.openxmlformats.org/officeDocument/2006/relationships/hyperlink" Target="https://ascendbuild.co/" TargetMode="External"/><Relationship Id="rId5887" Type="http://schemas.openxmlformats.org/officeDocument/2006/relationships/hyperlink" Target="https://www.crunchbase.com/organization/rethink-solutions" TargetMode="External"/><Relationship Id="rId3225" Type="http://schemas.openxmlformats.org/officeDocument/2006/relationships/hyperlink" Target="https://angel.co/company/knock-app-1" TargetMode="External"/><Relationship Id="rId4556" Type="http://schemas.openxmlformats.org/officeDocument/2006/relationships/hyperlink" Target="https://www.onboarddata.io/" TargetMode="External"/><Relationship Id="rId5884" Type="http://schemas.openxmlformats.org/officeDocument/2006/relationships/hyperlink" Target="https://angel.co/rethinkcrm" TargetMode="External"/><Relationship Id="rId3224" Type="http://schemas.openxmlformats.org/officeDocument/2006/relationships/hyperlink" Target="https://www.kaboodle.com/" TargetMode="External"/><Relationship Id="rId4555" Type="http://schemas.openxmlformats.org/officeDocument/2006/relationships/hyperlink" Target="https://www.crunchbase.com/organization/onboard-4668" TargetMode="External"/><Relationship Id="rId5885" Type="http://schemas.openxmlformats.org/officeDocument/2006/relationships/hyperlink" Target="https://www.crunchbase.com/organization/rethink-real-estate-crm" TargetMode="External"/><Relationship Id="rId3259" Type="http://schemas.openxmlformats.org/officeDocument/2006/relationships/hyperlink" Target="http://pashouses.id/" TargetMode="External"/><Relationship Id="rId3250" Type="http://schemas.openxmlformats.org/officeDocument/2006/relationships/hyperlink" Target="https://www.crunchbase.com/organization/kopperfield" TargetMode="External"/><Relationship Id="rId4581" Type="http://schemas.openxmlformats.org/officeDocument/2006/relationships/hyperlink" Target="https://www.addressreport.com/" TargetMode="External"/><Relationship Id="rId4580" Type="http://schemas.openxmlformats.org/officeDocument/2006/relationships/hyperlink" Target="https://www.crunchbase.com/organization/addressreport" TargetMode="External"/><Relationship Id="rId3252" Type="http://schemas.openxmlformats.org/officeDocument/2006/relationships/hyperlink" Target="https://www.crunchbase.com/funding_round/kopperfield-seed--39af3b1e" TargetMode="External"/><Relationship Id="rId4583" Type="http://schemas.openxmlformats.org/officeDocument/2006/relationships/hyperlink" Target="https://www.crunchbase.com/organization/adexai" TargetMode="External"/><Relationship Id="rId3251" Type="http://schemas.openxmlformats.org/officeDocument/2006/relationships/hyperlink" Target="https://www.kopperfield.com/" TargetMode="External"/><Relationship Id="rId4582" Type="http://schemas.openxmlformats.org/officeDocument/2006/relationships/hyperlink" Target="https://angel.co/company/adexai" TargetMode="External"/><Relationship Id="rId3254" Type="http://schemas.openxmlformats.org/officeDocument/2006/relationships/hyperlink" Target="https://www.crunchbase.com/organization/revere-cre" TargetMode="External"/><Relationship Id="rId4585" Type="http://schemas.openxmlformats.org/officeDocument/2006/relationships/hyperlink" Target="https://angel.co/company/adexpro-1" TargetMode="External"/><Relationship Id="rId3253" Type="http://schemas.openxmlformats.org/officeDocument/2006/relationships/hyperlink" Target="https://angel.co/company/revere-cre" TargetMode="External"/><Relationship Id="rId4584" Type="http://schemas.openxmlformats.org/officeDocument/2006/relationships/hyperlink" Target="https://www.intelease.com" TargetMode="External"/><Relationship Id="rId3256" Type="http://schemas.openxmlformats.org/officeDocument/2006/relationships/hyperlink" Target="https://www.crunchbase.com/organization/prophone" TargetMode="External"/><Relationship Id="rId4587" Type="http://schemas.openxmlformats.org/officeDocument/2006/relationships/hyperlink" Target="https://www.crunchbase.com/organization/aditum" TargetMode="External"/><Relationship Id="rId3255" Type="http://schemas.openxmlformats.org/officeDocument/2006/relationships/hyperlink" Target="https://reverecre.com/" TargetMode="External"/><Relationship Id="rId4586" Type="http://schemas.openxmlformats.org/officeDocument/2006/relationships/hyperlink" Target="https://www.crunchbase.com/organization/adexpro-com" TargetMode="External"/><Relationship Id="rId3258" Type="http://schemas.openxmlformats.org/officeDocument/2006/relationships/hyperlink" Target="https://www.crunchbase.com/funding_round/prophone-seed--1f1e6bb4" TargetMode="External"/><Relationship Id="rId4589" Type="http://schemas.openxmlformats.org/officeDocument/2006/relationships/hyperlink" Target="https://angel.co/company/advancedrei" TargetMode="External"/><Relationship Id="rId3257" Type="http://schemas.openxmlformats.org/officeDocument/2006/relationships/hyperlink" Target="https://www.toplinepro.com/" TargetMode="External"/><Relationship Id="rId4588" Type="http://schemas.openxmlformats.org/officeDocument/2006/relationships/hyperlink" Target="https://aditumims.com/" TargetMode="External"/><Relationship Id="rId3249" Type="http://schemas.openxmlformats.org/officeDocument/2006/relationships/hyperlink" Target="https://angel.co/company/kopperfield" TargetMode="External"/><Relationship Id="rId3248" Type="http://schemas.openxmlformats.org/officeDocument/2006/relationships/hyperlink" Target="https://www.jiafinance.com/" TargetMode="External"/><Relationship Id="rId4579" Type="http://schemas.openxmlformats.org/officeDocument/2006/relationships/hyperlink" Target="https://adappt.com/" TargetMode="External"/><Relationship Id="rId4570" Type="http://schemas.openxmlformats.org/officeDocument/2006/relationships/hyperlink" Target="https://angel.co/company/abundant-power" TargetMode="External"/><Relationship Id="rId3241" Type="http://schemas.openxmlformats.org/officeDocument/2006/relationships/hyperlink" Target="https://angel.co/spaceti" TargetMode="External"/><Relationship Id="rId4572" Type="http://schemas.openxmlformats.org/officeDocument/2006/relationships/hyperlink" Target="http://www.abundent.com/" TargetMode="External"/><Relationship Id="rId3240" Type="http://schemas.openxmlformats.org/officeDocument/2006/relationships/hyperlink" Target="http://www.trueface.ai/" TargetMode="External"/><Relationship Id="rId4571" Type="http://schemas.openxmlformats.org/officeDocument/2006/relationships/hyperlink" Target="https://www.crunchbase.com/organization/abundent" TargetMode="External"/><Relationship Id="rId3243" Type="http://schemas.openxmlformats.org/officeDocument/2006/relationships/hyperlink" Target="http://spaceti.com/" TargetMode="External"/><Relationship Id="rId4574" Type="http://schemas.openxmlformats.org/officeDocument/2006/relationships/hyperlink" Target="https://www.accessoneinc.com/data-network-services/software-defined-networks/" TargetMode="External"/><Relationship Id="rId3242" Type="http://schemas.openxmlformats.org/officeDocument/2006/relationships/hyperlink" Target="https://www.crunchbase.com/organization/spaceti" TargetMode="External"/><Relationship Id="rId4573" Type="http://schemas.openxmlformats.org/officeDocument/2006/relationships/hyperlink" Target="https://www.crunchbase.com/organization/access-one" TargetMode="External"/><Relationship Id="rId3245" Type="http://schemas.openxmlformats.org/officeDocument/2006/relationships/hyperlink" Target="https://www.infima.io/" TargetMode="External"/><Relationship Id="rId4576" Type="http://schemas.openxmlformats.org/officeDocument/2006/relationships/hyperlink" Target="https://www.crunchbase.com/organization/actovia" TargetMode="External"/><Relationship Id="rId3244" Type="http://schemas.openxmlformats.org/officeDocument/2006/relationships/hyperlink" Target="https://www.crunchbase.com/organization/infima" TargetMode="External"/><Relationship Id="rId4575" Type="http://schemas.openxmlformats.org/officeDocument/2006/relationships/hyperlink" Target="https://acelabusa.com" TargetMode="External"/><Relationship Id="rId3247" Type="http://schemas.openxmlformats.org/officeDocument/2006/relationships/hyperlink" Target="https://www.crunchbase.com/organization/jia-finance" TargetMode="External"/><Relationship Id="rId4578" Type="http://schemas.openxmlformats.org/officeDocument/2006/relationships/hyperlink" Target="https://angel.co/company/adappt-intelligence" TargetMode="External"/><Relationship Id="rId3246" Type="http://schemas.openxmlformats.org/officeDocument/2006/relationships/hyperlink" Target="https://www.digitaljournal.com/pr/infima-appoints-fintech-and-esg-veteran-hendrik-bartel-as-ceo-closes-early-stage-investment-led-by-radical-ventures" TargetMode="External"/><Relationship Id="rId4577" Type="http://schemas.openxmlformats.org/officeDocument/2006/relationships/hyperlink" Target="https://actoviacmi.com/" TargetMode="External"/><Relationship Id="rId4525" Type="http://schemas.openxmlformats.org/officeDocument/2006/relationships/hyperlink" Target="https://groundbreaker.co/" TargetMode="External"/><Relationship Id="rId5857" Type="http://schemas.openxmlformats.org/officeDocument/2006/relationships/hyperlink" Target="https://www.rentalads.com/" TargetMode="External"/><Relationship Id="rId4524" Type="http://schemas.openxmlformats.org/officeDocument/2006/relationships/hyperlink" Target="https://www.crunchbase.com/organization/groundbreaker" TargetMode="External"/><Relationship Id="rId5858" Type="http://schemas.openxmlformats.org/officeDocument/2006/relationships/hyperlink" Target="https://www.crunchbase.com/organization/rentec-direct" TargetMode="External"/><Relationship Id="rId4527" Type="http://schemas.openxmlformats.org/officeDocument/2006/relationships/hyperlink" Target="https://www.crunchbase.com/organization/rialto" TargetMode="External"/><Relationship Id="rId5855" Type="http://schemas.openxmlformats.org/officeDocument/2006/relationships/hyperlink" Target="https://rentalbeast.com/" TargetMode="External"/><Relationship Id="rId4526" Type="http://schemas.openxmlformats.org/officeDocument/2006/relationships/hyperlink" Target="https://angel.co/company/getrialto" TargetMode="External"/><Relationship Id="rId5856" Type="http://schemas.openxmlformats.org/officeDocument/2006/relationships/hyperlink" Target="https://angel.co/company/rentalads" TargetMode="External"/><Relationship Id="rId4529" Type="http://schemas.openxmlformats.org/officeDocument/2006/relationships/hyperlink" Target="https://www.crunchbase.com/funding_round/rialto-seed--dd33f243" TargetMode="External"/><Relationship Id="rId4528" Type="http://schemas.openxmlformats.org/officeDocument/2006/relationships/hyperlink" Target="https://www.getrialto.com/" TargetMode="External"/><Relationship Id="rId5859" Type="http://schemas.openxmlformats.org/officeDocument/2006/relationships/hyperlink" Target="http://www.rentecdirect.com/" TargetMode="External"/><Relationship Id="rId5850" Type="http://schemas.openxmlformats.org/officeDocument/2006/relationships/hyperlink" Target="https://www.crunchbase.com/organization/rent-manager" TargetMode="External"/><Relationship Id="rId4521" Type="http://schemas.openxmlformats.org/officeDocument/2006/relationships/hyperlink" Target="https://shop.dezignable.com/swankbiz/" TargetMode="External"/><Relationship Id="rId5853" Type="http://schemas.openxmlformats.org/officeDocument/2006/relationships/hyperlink" Target="https://angel.co/company/rental-beast" TargetMode="External"/><Relationship Id="rId4520" Type="http://schemas.openxmlformats.org/officeDocument/2006/relationships/hyperlink" Target="https://www.crunchbase.com/organization/dezignable" TargetMode="External"/><Relationship Id="rId5854" Type="http://schemas.openxmlformats.org/officeDocument/2006/relationships/hyperlink" Target="https://www.crunchbase.com/organization/rental-beast" TargetMode="External"/><Relationship Id="rId4523" Type="http://schemas.openxmlformats.org/officeDocument/2006/relationships/hyperlink" Target="https://angel.co/company/groundbreaker" TargetMode="External"/><Relationship Id="rId5851" Type="http://schemas.openxmlformats.org/officeDocument/2006/relationships/hyperlink" Target="http://www.rentmanager.com/" TargetMode="External"/><Relationship Id="rId4522" Type="http://schemas.openxmlformats.org/officeDocument/2006/relationships/hyperlink" Target="https://www.crunchbase.com/funding_round/dezignable-seed--6a32482d" TargetMode="External"/><Relationship Id="rId5852" Type="http://schemas.openxmlformats.org/officeDocument/2006/relationships/hyperlink" Target="https://www.rentpotential.com/" TargetMode="External"/><Relationship Id="rId4514" Type="http://schemas.openxmlformats.org/officeDocument/2006/relationships/hyperlink" Target="https://vizcab.io/accueil" TargetMode="External"/><Relationship Id="rId5846" Type="http://schemas.openxmlformats.org/officeDocument/2006/relationships/hyperlink" Target="http://www.remoteroofing.com/" TargetMode="External"/><Relationship Id="rId4513" Type="http://schemas.openxmlformats.org/officeDocument/2006/relationships/hyperlink" Target="https://www.crunchbase.com/organization/combo-solutions" TargetMode="External"/><Relationship Id="rId5847" Type="http://schemas.openxmlformats.org/officeDocument/2006/relationships/hyperlink" Target="https://angel.co/company/remzy" TargetMode="External"/><Relationship Id="rId4516" Type="http://schemas.openxmlformats.org/officeDocument/2006/relationships/hyperlink" Target="https://angel.co/company/fitspotwellness" TargetMode="External"/><Relationship Id="rId5844" Type="http://schemas.openxmlformats.org/officeDocument/2006/relationships/hyperlink" Target="https://angel.co/company/remote-roofing-2" TargetMode="External"/><Relationship Id="rId4515" Type="http://schemas.openxmlformats.org/officeDocument/2006/relationships/hyperlink" Target="https://www.crunchbase.com/funding_round/combo-solutions-series-a--7c293b65" TargetMode="External"/><Relationship Id="rId5845" Type="http://schemas.openxmlformats.org/officeDocument/2006/relationships/hyperlink" Target="https://www.crunchbase.com/organization/remote-roofing" TargetMode="External"/><Relationship Id="rId4518" Type="http://schemas.openxmlformats.org/officeDocument/2006/relationships/hyperlink" Target="https://fitspotwellness.com/" TargetMode="External"/><Relationship Id="rId4517" Type="http://schemas.openxmlformats.org/officeDocument/2006/relationships/hyperlink" Target="https://www.crunchbase.com/organization/fitspot" TargetMode="External"/><Relationship Id="rId5848" Type="http://schemas.openxmlformats.org/officeDocument/2006/relationships/hyperlink" Target="https://www.crunchbase.com/organization/remzy" TargetMode="External"/><Relationship Id="rId4519" Type="http://schemas.openxmlformats.org/officeDocument/2006/relationships/hyperlink" Target="https://angel.co/company/dezignable" TargetMode="External"/><Relationship Id="rId5849" Type="http://schemas.openxmlformats.org/officeDocument/2006/relationships/hyperlink" Target="https://remzy.com/" TargetMode="External"/><Relationship Id="rId4510" Type="http://schemas.openxmlformats.org/officeDocument/2006/relationships/hyperlink" Target="https://angel.co/company/findspace-pl" TargetMode="External"/><Relationship Id="rId5842" Type="http://schemas.openxmlformats.org/officeDocument/2006/relationships/hyperlink" Target="https://www.crunchbase.com/organization/remotedesk" TargetMode="External"/><Relationship Id="rId5843" Type="http://schemas.openxmlformats.org/officeDocument/2006/relationships/hyperlink" Target="https://remotedesk.me/" TargetMode="External"/><Relationship Id="rId4512" Type="http://schemas.openxmlformats.org/officeDocument/2006/relationships/hyperlink" Target="http://findspace.pl/" TargetMode="External"/><Relationship Id="rId5840" Type="http://schemas.openxmlformats.org/officeDocument/2006/relationships/hyperlink" Target="http://www.re-meter.com/" TargetMode="External"/><Relationship Id="rId4511" Type="http://schemas.openxmlformats.org/officeDocument/2006/relationships/hyperlink" Target="https://www.crunchbase.com/organization/findspace" TargetMode="External"/><Relationship Id="rId5841" Type="http://schemas.openxmlformats.org/officeDocument/2006/relationships/hyperlink" Target="https://www.remlogics.net/" TargetMode="External"/><Relationship Id="rId3216" Type="http://schemas.openxmlformats.org/officeDocument/2006/relationships/hyperlink" Target="https://www.crunchbase.com/organization/regen-energy" TargetMode="External"/><Relationship Id="rId4547" Type="http://schemas.openxmlformats.org/officeDocument/2006/relationships/hyperlink" Target="https://www.crunchbase.com/organization/mast-afa7" TargetMode="External"/><Relationship Id="rId5879" Type="http://schemas.openxmlformats.org/officeDocument/2006/relationships/hyperlink" Target="https://www.resumego.net/" TargetMode="External"/><Relationship Id="rId3215" Type="http://schemas.openxmlformats.org/officeDocument/2006/relationships/hyperlink" Target="https://www.crunchbase.com/funding_round/global-data-machine-series-a--cc355db5" TargetMode="External"/><Relationship Id="rId4546" Type="http://schemas.openxmlformats.org/officeDocument/2006/relationships/hyperlink" Target="https://angel.co/company/mast-tech" TargetMode="External"/><Relationship Id="rId3218" Type="http://schemas.openxmlformats.org/officeDocument/2006/relationships/hyperlink" Target="https://haystacks.ai/" TargetMode="External"/><Relationship Id="rId4549" Type="http://schemas.openxmlformats.org/officeDocument/2006/relationships/hyperlink" Target="https://www.crunchbase.com/funding_round/mast-afa7-pre-seed--d5d967d1" TargetMode="External"/><Relationship Id="rId5877" Type="http://schemas.openxmlformats.org/officeDocument/2006/relationships/hyperlink" Target="https://www.crunchbase.com/organization/rest-solution" TargetMode="External"/><Relationship Id="rId3217" Type="http://schemas.openxmlformats.org/officeDocument/2006/relationships/hyperlink" Target="https://www.crunchbase.com/organization/realpha-5f31" TargetMode="External"/><Relationship Id="rId4548" Type="http://schemas.openxmlformats.org/officeDocument/2006/relationships/hyperlink" Target="https://www.usemast.com/" TargetMode="External"/><Relationship Id="rId5878" Type="http://schemas.openxmlformats.org/officeDocument/2006/relationships/hyperlink" Target="https://www.restsolution.co/" TargetMode="External"/><Relationship Id="rId3219" Type="http://schemas.openxmlformats.org/officeDocument/2006/relationships/hyperlink" Target="https://angel.co/infotycoon" TargetMode="External"/><Relationship Id="rId5871" Type="http://schemas.openxmlformats.org/officeDocument/2006/relationships/hyperlink" Target="https://www.crunchbase.com/organization/rescan" TargetMode="External"/><Relationship Id="rId5872" Type="http://schemas.openxmlformats.org/officeDocument/2006/relationships/hyperlink" Target="https://www.rescan360.com/" TargetMode="External"/><Relationship Id="rId3210" Type="http://schemas.openxmlformats.org/officeDocument/2006/relationships/hyperlink" Target="https://www.crunchbase.com/funding_round/divdot-seed--8773c03d" TargetMode="External"/><Relationship Id="rId4541" Type="http://schemas.openxmlformats.org/officeDocument/2006/relationships/hyperlink" Target="https://www.apis-cor.com/copy-of-home" TargetMode="External"/><Relationship Id="rId4540" Type="http://schemas.openxmlformats.org/officeDocument/2006/relationships/hyperlink" Target="https://www.crunchbase.com/organization/apis-cor" TargetMode="External"/><Relationship Id="rId5870" Type="http://schemas.openxmlformats.org/officeDocument/2006/relationships/hyperlink" Target="https://angel.co/company/rescan_inc" TargetMode="External"/><Relationship Id="rId3212" Type="http://schemas.openxmlformats.org/officeDocument/2006/relationships/hyperlink" Target="https://angel.co/company/building-radar" TargetMode="External"/><Relationship Id="rId4543" Type="http://schemas.openxmlformats.org/officeDocument/2006/relationships/hyperlink" Target="https://www.cove.is/" TargetMode="External"/><Relationship Id="rId5875" Type="http://schemas.openxmlformats.org/officeDocument/2006/relationships/hyperlink" Target="https://angel.co/company/resquared" TargetMode="External"/><Relationship Id="rId3211" Type="http://schemas.openxmlformats.org/officeDocument/2006/relationships/hyperlink" Target="https://www.crunchbase.com/funding_round/divdot-series-unknown--13c50bd7" TargetMode="External"/><Relationship Id="rId4542" Type="http://schemas.openxmlformats.org/officeDocument/2006/relationships/hyperlink" Target="https://www.crunchbase.com/organization/cove-2" TargetMode="External"/><Relationship Id="rId5876" Type="http://schemas.openxmlformats.org/officeDocument/2006/relationships/hyperlink" Target="https://re2.ai/" TargetMode="External"/><Relationship Id="rId3214" Type="http://schemas.openxmlformats.org/officeDocument/2006/relationships/hyperlink" Target="https://buildingradar.com/" TargetMode="External"/><Relationship Id="rId4545" Type="http://schemas.openxmlformats.org/officeDocument/2006/relationships/hyperlink" Target="https://ecovadis.com/" TargetMode="External"/><Relationship Id="rId5873" Type="http://schemas.openxmlformats.org/officeDocument/2006/relationships/hyperlink" Target="https://www.crunchbase.com/organization/resonai" TargetMode="External"/><Relationship Id="rId3213" Type="http://schemas.openxmlformats.org/officeDocument/2006/relationships/hyperlink" Target="https://www.crunchbase.com/organization/global-data-machine" TargetMode="External"/><Relationship Id="rId4544" Type="http://schemas.openxmlformats.org/officeDocument/2006/relationships/hyperlink" Target="https://www.crunchbase.com/organization/ecovadis" TargetMode="External"/><Relationship Id="rId5874" Type="http://schemas.openxmlformats.org/officeDocument/2006/relationships/hyperlink" Target="https://www.resonai.com/" TargetMode="External"/><Relationship Id="rId3205" Type="http://schemas.openxmlformats.org/officeDocument/2006/relationships/hyperlink" Target="https://spark.re/" TargetMode="External"/><Relationship Id="rId4536" Type="http://schemas.openxmlformats.org/officeDocument/2006/relationships/hyperlink" Target="https://www.crunchbase.com/funding_round/tenantcloud-2-seed--07b1c976" TargetMode="External"/><Relationship Id="rId5868" Type="http://schemas.openxmlformats.org/officeDocument/2006/relationships/hyperlink" Target="https://www.crunchbase.com/organization/republic-co" TargetMode="External"/><Relationship Id="rId3204" Type="http://schemas.openxmlformats.org/officeDocument/2006/relationships/hyperlink" Target="https://www.crunchbase.com/organization/spark-crm" TargetMode="External"/><Relationship Id="rId4535" Type="http://schemas.openxmlformats.org/officeDocument/2006/relationships/hyperlink" Target="https://www.tenantcloud.com" TargetMode="External"/><Relationship Id="rId5869" Type="http://schemas.openxmlformats.org/officeDocument/2006/relationships/hyperlink" Target="https://republic.co/contact" TargetMode="External"/><Relationship Id="rId3207" Type="http://schemas.openxmlformats.org/officeDocument/2006/relationships/hyperlink" Target="https://www.crunchbase.com/organization/divdot" TargetMode="External"/><Relationship Id="rId4538" Type="http://schemas.openxmlformats.org/officeDocument/2006/relationships/hyperlink" Target="https://www.buildingvibe.com/" TargetMode="External"/><Relationship Id="rId5866" Type="http://schemas.openxmlformats.org/officeDocument/2006/relationships/hyperlink" Target="http://rentpath.com/" TargetMode="External"/><Relationship Id="rId3206" Type="http://schemas.openxmlformats.org/officeDocument/2006/relationships/hyperlink" Target="https://angel.co/company/mazumago" TargetMode="External"/><Relationship Id="rId4537" Type="http://schemas.openxmlformats.org/officeDocument/2006/relationships/hyperlink" Target="https://www.crunchbase.com/organization/buildingvibe" TargetMode="External"/><Relationship Id="rId5867" Type="http://schemas.openxmlformats.org/officeDocument/2006/relationships/hyperlink" Target="https://angel.co/company/republic" TargetMode="External"/><Relationship Id="rId3209" Type="http://schemas.openxmlformats.org/officeDocument/2006/relationships/hyperlink" Target="https://www.crunchbase.com/funding_round/divdot-pre-seed--37884c1a" TargetMode="External"/><Relationship Id="rId3208" Type="http://schemas.openxmlformats.org/officeDocument/2006/relationships/hyperlink" Target="https://www.mazumago.com/" TargetMode="External"/><Relationship Id="rId4539" Type="http://schemas.openxmlformats.org/officeDocument/2006/relationships/hyperlink" Target="https://angel.co/company/apiscor" TargetMode="External"/><Relationship Id="rId5860" Type="http://schemas.openxmlformats.org/officeDocument/2006/relationships/hyperlink" Target="https://angel.co/company/rentigo-1" TargetMode="External"/><Relationship Id="rId5861" Type="http://schemas.openxmlformats.org/officeDocument/2006/relationships/hyperlink" Target="https://www.crunchbase.com/organization/rentigo-inc" TargetMode="External"/><Relationship Id="rId4530" Type="http://schemas.openxmlformats.org/officeDocument/2006/relationships/hyperlink" Target="https://angel.co/company/dadshed" TargetMode="External"/><Relationship Id="rId3201" Type="http://schemas.openxmlformats.org/officeDocument/2006/relationships/hyperlink" Target="https://www.crunchbase.com/organization/skillit-e75a" TargetMode="External"/><Relationship Id="rId4532" Type="http://schemas.openxmlformats.org/officeDocument/2006/relationships/hyperlink" Target="https://roomagree.com/" TargetMode="External"/><Relationship Id="rId5864" Type="http://schemas.openxmlformats.org/officeDocument/2006/relationships/hyperlink" Target="https://angel.co/rentpath" TargetMode="External"/><Relationship Id="rId3200" Type="http://schemas.openxmlformats.org/officeDocument/2006/relationships/hyperlink" Target="https://wellfound.com/company/skillit-8" TargetMode="External"/><Relationship Id="rId4531" Type="http://schemas.openxmlformats.org/officeDocument/2006/relationships/hyperlink" Target="https://www.crunchbase.com/organization/dadshed" TargetMode="External"/><Relationship Id="rId5865" Type="http://schemas.openxmlformats.org/officeDocument/2006/relationships/hyperlink" Target="https://www.crunchbase.com/organization/rentpath" TargetMode="External"/><Relationship Id="rId3203" Type="http://schemas.openxmlformats.org/officeDocument/2006/relationships/hyperlink" Target="https://www.crunchbase.com/funding_round/skillit-e75a-seed--84b42f08" TargetMode="External"/><Relationship Id="rId4534" Type="http://schemas.openxmlformats.org/officeDocument/2006/relationships/hyperlink" Target="https://www.crunchbase.com/organization/tenantcloud-2" TargetMode="External"/><Relationship Id="rId5862" Type="http://schemas.openxmlformats.org/officeDocument/2006/relationships/hyperlink" Target="https://rentigo.com/" TargetMode="External"/><Relationship Id="rId3202" Type="http://schemas.openxmlformats.org/officeDocument/2006/relationships/hyperlink" Target="https://www.skillit.com/" TargetMode="External"/><Relationship Id="rId4533" Type="http://schemas.openxmlformats.org/officeDocument/2006/relationships/hyperlink" Target="https://angel.co/company/tenantcloud/funding" TargetMode="External"/><Relationship Id="rId5863" Type="http://schemas.openxmlformats.org/officeDocument/2006/relationships/hyperlink" Target="https://www.rentivate.io/" TargetMode="External"/><Relationship Id="rId190" Type="http://schemas.openxmlformats.org/officeDocument/2006/relationships/hyperlink" Target="https://orchard.com/" TargetMode="External"/><Relationship Id="rId194" Type="http://schemas.openxmlformats.org/officeDocument/2006/relationships/hyperlink" Target="https://www.crunchbase.com/organization/nobroker" TargetMode="External"/><Relationship Id="rId193" Type="http://schemas.openxmlformats.org/officeDocument/2006/relationships/hyperlink" Target="https://angel.co/company/nobroker-2" TargetMode="External"/><Relationship Id="rId192" Type="http://schemas.openxmlformats.org/officeDocument/2006/relationships/hyperlink" Target="https://www.crunchbase.com/funding_round/orchardhomes-debt-financing--716b3a18" TargetMode="External"/><Relationship Id="rId191" Type="http://schemas.openxmlformats.org/officeDocument/2006/relationships/hyperlink" Target="https://www.google.com/url?sa=t&amp;rct=j&amp;q=&amp;esrc=s&amp;source=web&amp;cd=&amp;ved=2ahUKEwichZv71Oj-AhX1lIkEHV3XCOkQFnoECA8QAQ&amp;url=https%3A%2F%2Fwww.bloomberg.com%2Fnews%2Farticles%2F2021-09-09%2Fhomebuying-startup-orchard-reaches-1-billion-unicorn-valuation&amp;usg=AOvVaw1tvf5jSqE1Xm1YEqClqsvW" TargetMode="External"/><Relationship Id="rId187" Type="http://schemas.openxmlformats.org/officeDocument/2006/relationships/hyperlink" Target="https://www.crunchbase.com/funding_round/solar-mosaic-private-equity--42ea9fb7" TargetMode="External"/><Relationship Id="rId186" Type="http://schemas.openxmlformats.org/officeDocument/2006/relationships/hyperlink" Target="https://www.crunchbase.com/funding_round/solar-mosaic-series-unknown--384eaee3" TargetMode="External"/><Relationship Id="rId185" Type="http://schemas.openxmlformats.org/officeDocument/2006/relationships/hyperlink" Target="https://www.crunchbase.com/funding_round/solar-mosaic-series-b--f34a5967" TargetMode="External"/><Relationship Id="rId184" Type="http://schemas.openxmlformats.org/officeDocument/2006/relationships/hyperlink" Target="https://www.crunchbase.com/funding_round/solar-mosaic-series-a--f0c3b379" TargetMode="External"/><Relationship Id="rId189" Type="http://schemas.openxmlformats.org/officeDocument/2006/relationships/hyperlink" Target="https://www.crunchbase.com/organization/orchardhomes" TargetMode="External"/><Relationship Id="rId188" Type="http://schemas.openxmlformats.org/officeDocument/2006/relationships/hyperlink" Target="https://angel.co/company/orchardhomes" TargetMode="External"/><Relationship Id="rId183" Type="http://schemas.openxmlformats.org/officeDocument/2006/relationships/hyperlink" Target="https://www.google.com/url?sa=t&amp;rct=j&amp;q=&amp;esrc=s&amp;source=web&amp;cd=&amp;ved=2ahUKEwi_oLycnun-AhWVAzQIHTL_AEcQFnoECEIQAQ&amp;url=https%3A%2F%2Fwww.axios.com%2F2022%2F07%2F01%2Fjared-kushner-affinity-partners-mosaic-solar&amp;usg=AOvVaw0gKCB-UEGv-g925P0LeZ73" TargetMode="External"/><Relationship Id="rId182" Type="http://schemas.openxmlformats.org/officeDocument/2006/relationships/hyperlink" Target="https://joinmosaic.com/homeowners/" TargetMode="External"/><Relationship Id="rId181" Type="http://schemas.openxmlformats.org/officeDocument/2006/relationships/hyperlink" Target="https://www.crunchbase.com/organization/solar-mosaic" TargetMode="External"/><Relationship Id="rId180" Type="http://schemas.openxmlformats.org/officeDocument/2006/relationships/hyperlink" Target="https://angel.co/company/mosaic" TargetMode="External"/><Relationship Id="rId176" Type="http://schemas.openxmlformats.org/officeDocument/2006/relationships/hyperlink" Target="https://www.privateequitywire.co.uk/2022/06/15/315319/turntide-technologies-exceeds-1bn-valuation-following-80m-funding-round-round-led" TargetMode="External"/><Relationship Id="rId175" Type="http://schemas.openxmlformats.org/officeDocument/2006/relationships/hyperlink" Target="https://turntide.com/" TargetMode="External"/><Relationship Id="rId174" Type="http://schemas.openxmlformats.org/officeDocument/2006/relationships/hyperlink" Target="https://www.crunchbase.com/organization/software-motor-company" TargetMode="External"/><Relationship Id="rId173" Type="http://schemas.openxmlformats.org/officeDocument/2006/relationships/hyperlink" Target="https://www.crunchbase.com/funding_round/habi-fefd-debt-financing--1a1fc36c" TargetMode="External"/><Relationship Id="rId179" Type="http://schemas.openxmlformats.org/officeDocument/2006/relationships/hyperlink" Target="https://www.crunchbase.com/funding_round/software-motor-company-convertible-note--8c975830" TargetMode="External"/><Relationship Id="rId178" Type="http://schemas.openxmlformats.org/officeDocument/2006/relationships/hyperlink" Target="https://www.crunchbase.com/funding_round/software-motor-company-series-unknown--eb1f8d51" TargetMode="External"/><Relationship Id="rId177" Type="http://schemas.openxmlformats.org/officeDocument/2006/relationships/hyperlink" Target="https://www.crunchbase.com/funding_round/software-motor-company-series-b--8c9599f7" TargetMode="External"/><Relationship Id="rId198" Type="http://schemas.openxmlformats.org/officeDocument/2006/relationships/hyperlink" Target="https://www.crunchbase.com/funding_round/nobroker-angel--8a1cece0" TargetMode="External"/><Relationship Id="rId197" Type="http://schemas.openxmlformats.org/officeDocument/2006/relationships/hyperlink" Target="https://www.crunchbase.com/funding_round/nobroker-seed--b530dd77" TargetMode="External"/><Relationship Id="rId196" Type="http://schemas.openxmlformats.org/officeDocument/2006/relationships/hyperlink" Target="https://www.business-standard.com/article/companies/nobroker-com-becomes-unicorn-raises-210-mn-at-1-bn-valuation-121112300649_1.html" TargetMode="External"/><Relationship Id="rId195" Type="http://schemas.openxmlformats.org/officeDocument/2006/relationships/hyperlink" Target="https://www.nobroker.in/" TargetMode="External"/><Relationship Id="rId199" Type="http://schemas.openxmlformats.org/officeDocument/2006/relationships/hyperlink" Target="https://www.crunchbase.com/funding_round/nobroker-series-a--fe5baa66" TargetMode="External"/><Relationship Id="rId150" Type="http://schemas.openxmlformats.org/officeDocument/2006/relationships/hyperlink" Target="https://www.crunchbase.com/funding_round/h2-green-steel-series-a--d8fa1ee9" TargetMode="External"/><Relationship Id="rId149" Type="http://schemas.openxmlformats.org/officeDocument/2006/relationships/hyperlink" Target="https://www.h2greensteel.com/" TargetMode="External"/><Relationship Id="rId148" Type="http://schemas.openxmlformats.org/officeDocument/2006/relationships/hyperlink" Target="https://www.crunchbase.com/organization/h2-green-steel" TargetMode="External"/><Relationship Id="rId3270" Type="http://schemas.openxmlformats.org/officeDocument/2006/relationships/hyperlink" Target="http://togal.ai/" TargetMode="External"/><Relationship Id="rId3272" Type="http://schemas.openxmlformats.org/officeDocument/2006/relationships/hyperlink" Target="https://www.crunchbase.com/organization/togal-ai" TargetMode="External"/><Relationship Id="rId3271" Type="http://schemas.openxmlformats.org/officeDocument/2006/relationships/hyperlink" Target="https://wellfound.com/company/togal-ai" TargetMode="External"/><Relationship Id="rId143" Type="http://schemas.openxmlformats.org/officeDocument/2006/relationships/hyperlink" Target="https://angel.co/company/density" TargetMode="External"/><Relationship Id="rId3274" Type="http://schemas.openxmlformats.org/officeDocument/2006/relationships/hyperlink" Target="https://www.crunchbase.com/funding_round/togal-ai-seed--3c1a7167" TargetMode="External"/><Relationship Id="rId142" Type="http://schemas.openxmlformats.org/officeDocument/2006/relationships/hyperlink" Target="https://techcrunch.com/2022/06/08/insurtech-branch-becomes-a-unicorn2331736/" TargetMode="External"/><Relationship Id="rId3273" Type="http://schemas.openxmlformats.org/officeDocument/2006/relationships/hyperlink" Target="https://togal.ai/" TargetMode="External"/><Relationship Id="rId141" Type="http://schemas.openxmlformats.org/officeDocument/2006/relationships/hyperlink" Target="https://www.ourbranch.com/" TargetMode="External"/><Relationship Id="rId3276" Type="http://schemas.openxmlformats.org/officeDocument/2006/relationships/hyperlink" Target="https://estater.com/" TargetMode="External"/><Relationship Id="rId140" Type="http://schemas.openxmlformats.org/officeDocument/2006/relationships/hyperlink" Target="https://www.crunchbase.com/organization/branch-financial" TargetMode="External"/><Relationship Id="rId3275" Type="http://schemas.openxmlformats.org/officeDocument/2006/relationships/hyperlink" Target="https://www.crunchbase.com/organization/estater-3264" TargetMode="External"/><Relationship Id="rId147" Type="http://schemas.openxmlformats.org/officeDocument/2006/relationships/hyperlink" Target="https://www.crunchbase.com/funding_round/density-series-unknown--948283ed" TargetMode="External"/><Relationship Id="rId3278" Type="http://schemas.openxmlformats.org/officeDocument/2006/relationships/hyperlink" Target="https://angel.co/company/realconnex" TargetMode="External"/><Relationship Id="rId146" Type="http://schemas.openxmlformats.org/officeDocument/2006/relationships/hyperlink" Target="https://www.google.com/url?sa=t&amp;rct=j&amp;q=&amp;esrc=s&amp;source=web&amp;cd=&amp;ved=2ahUKEwiwye6h6ej-AhVOjYkEHcXYADIQFnoECA8QAQ&amp;url=https%3A%2F%2Fwww.prnewswire.com%2Fnews-releases%2Fdensity-secures-125-million-in-series-d-funding-to-accelerate-growth-acquires-helix-re-301421033.html&amp;usg=AOvVaw2eyxzuRkc1S_K5aahL_2za" TargetMode="External"/><Relationship Id="rId3277" Type="http://schemas.openxmlformats.org/officeDocument/2006/relationships/hyperlink" Target="https://www.crunchbase.com/funding_round/estater-3264-series-a--eab856d0" TargetMode="External"/><Relationship Id="rId145" Type="http://schemas.openxmlformats.org/officeDocument/2006/relationships/hyperlink" Target="https://www.density.io/" TargetMode="External"/><Relationship Id="rId144" Type="http://schemas.openxmlformats.org/officeDocument/2006/relationships/hyperlink" Target="https://www.crunchbase.com/organization/density" TargetMode="External"/><Relationship Id="rId3279" Type="http://schemas.openxmlformats.org/officeDocument/2006/relationships/hyperlink" Target="https://www.crunchbase.com/organization/realconnex-com" TargetMode="External"/><Relationship Id="rId139" Type="http://schemas.openxmlformats.org/officeDocument/2006/relationships/hyperlink" Target="https://www.crunchbase.com/funding_round/1komma5-series-b--918e3748" TargetMode="External"/><Relationship Id="rId138" Type="http://schemas.openxmlformats.org/officeDocument/2006/relationships/hyperlink" Target="https://www.crunchbase.com/funding_round/1komma5-series-a--c9af88f2" TargetMode="External"/><Relationship Id="rId137" Type="http://schemas.openxmlformats.org/officeDocument/2006/relationships/hyperlink" Target="https://siliconcanals.com/news/startups/1komma5-secures-430m/" TargetMode="External"/><Relationship Id="rId4590" Type="http://schemas.openxmlformats.org/officeDocument/2006/relationships/hyperlink" Target="https://www.crunchbase.com/organization/advancedrei" TargetMode="External"/><Relationship Id="rId3261" Type="http://schemas.openxmlformats.org/officeDocument/2006/relationships/hyperlink" Target="https://pashouses.id/" TargetMode="External"/><Relationship Id="rId4592" Type="http://schemas.openxmlformats.org/officeDocument/2006/relationships/hyperlink" Target="https://angel.co/company/agentdrive" TargetMode="External"/><Relationship Id="rId3260" Type="http://schemas.openxmlformats.org/officeDocument/2006/relationships/hyperlink" Target="https://www.crunchbase.com/organization/pashouses-id" TargetMode="External"/><Relationship Id="rId4591" Type="http://schemas.openxmlformats.org/officeDocument/2006/relationships/hyperlink" Target="http://advancedrei.com/" TargetMode="External"/><Relationship Id="rId132" Type="http://schemas.openxmlformats.org/officeDocument/2006/relationships/hyperlink" Target="https://www.google.com/url?sa=t&amp;rct=j&amp;q=&amp;esrc=s&amp;source=web&amp;cd=&amp;ved=2ahUKEwj1ttStoYb8AhUQkIkEHcmEASQQFnoECBkQAw&amp;url=https%3A%2F%2Ffinancialpost.com%2Ffp-finance%2Falphabets-sidewalk-labs-offshoot-is-now-a-unicorn&amp;usg=AOvVaw3zh_srKfugAjlaQnMflaNI" TargetMode="External"/><Relationship Id="rId3263" Type="http://schemas.openxmlformats.org/officeDocument/2006/relationships/hyperlink" Target="https://www.crunchbase.com/funding_round/pashouses-id-grant--786a053a" TargetMode="External"/><Relationship Id="rId4594" Type="http://schemas.openxmlformats.org/officeDocument/2006/relationships/hyperlink" Target="https://www.agentdrive.com/" TargetMode="External"/><Relationship Id="rId131" Type="http://schemas.openxmlformats.org/officeDocument/2006/relationships/hyperlink" Target="https://www.sidewalkinfra.com/" TargetMode="External"/><Relationship Id="rId3262" Type="http://schemas.openxmlformats.org/officeDocument/2006/relationships/hyperlink" Target="https://www.crunchbase.com/funding_round/pashouses-id-series-b--1dea573d" TargetMode="External"/><Relationship Id="rId4593" Type="http://schemas.openxmlformats.org/officeDocument/2006/relationships/hyperlink" Target="https://www.crunchbase.com/organization/agentdrive" TargetMode="External"/><Relationship Id="rId130" Type="http://schemas.openxmlformats.org/officeDocument/2006/relationships/hyperlink" Target="https://www.crunchbase.com/organization/sidewalk-infrastructure-partners/investor_financials" TargetMode="External"/><Relationship Id="rId3265" Type="http://schemas.openxmlformats.org/officeDocument/2006/relationships/hyperlink" Target="https://www.wiseday.com/" TargetMode="External"/><Relationship Id="rId4596" Type="http://schemas.openxmlformats.org/officeDocument/2006/relationships/hyperlink" Target="https://agilquest.com/" TargetMode="External"/><Relationship Id="rId3264" Type="http://schemas.openxmlformats.org/officeDocument/2006/relationships/hyperlink" Target="https://www.crunchbase.com/organization/wiseday" TargetMode="External"/><Relationship Id="rId4595" Type="http://schemas.openxmlformats.org/officeDocument/2006/relationships/hyperlink" Target="https://www.crunchbase.com/organization/agilquest" TargetMode="External"/><Relationship Id="rId136" Type="http://schemas.openxmlformats.org/officeDocument/2006/relationships/hyperlink" Target="https://www.1komma5grad.com/" TargetMode="External"/><Relationship Id="rId3267" Type="http://schemas.openxmlformats.org/officeDocument/2006/relationships/hyperlink" Target="https://www.crunchbase.com/organization/pulppo" TargetMode="External"/><Relationship Id="rId4598" Type="http://schemas.openxmlformats.org/officeDocument/2006/relationships/hyperlink" Target="http://airconnect.ai/" TargetMode="External"/><Relationship Id="rId135" Type="http://schemas.openxmlformats.org/officeDocument/2006/relationships/hyperlink" Target="https://www.crunchbase.com/organization/1komma5" TargetMode="External"/><Relationship Id="rId3266" Type="http://schemas.openxmlformats.org/officeDocument/2006/relationships/hyperlink" Target="https://www.finsmes.com/2022/11/wiseday-raises-5m-in-seed-funding.html" TargetMode="External"/><Relationship Id="rId4597" Type="http://schemas.openxmlformats.org/officeDocument/2006/relationships/hyperlink" Target="https://www.crunchbase.com/organization/david-jones-58f8" TargetMode="External"/><Relationship Id="rId134" Type="http://schemas.openxmlformats.org/officeDocument/2006/relationships/hyperlink" Target="https://www.crunchbase.com/funding_round/sidewalk-infrastructure-partners-series-unknown--3808f83f" TargetMode="External"/><Relationship Id="rId3269" Type="http://schemas.openxmlformats.org/officeDocument/2006/relationships/hyperlink" Target="https://www.crunchbase.com/funding_round/pulppo-seed--6995bb6c" TargetMode="External"/><Relationship Id="rId133" Type="http://schemas.openxmlformats.org/officeDocument/2006/relationships/hyperlink" Target="https://www.crunchbase.com/funding_round/sidewalk-infrastructure-partners-series-a--8763283f" TargetMode="External"/><Relationship Id="rId3268" Type="http://schemas.openxmlformats.org/officeDocument/2006/relationships/hyperlink" Target="https://www.pulppo.com/" TargetMode="External"/><Relationship Id="rId4599" Type="http://schemas.openxmlformats.org/officeDocument/2006/relationships/hyperlink" Target="https://www.crunchbase.com/organization/airspace-5ee1" TargetMode="External"/><Relationship Id="rId172" Type="http://schemas.openxmlformats.org/officeDocument/2006/relationships/hyperlink" Target="https://techcrunch.com/2022/05/11/colombian-proptech-habi-reaches-unicorn-status-with-200m-raise-co-led-by-softbank-and-homebrew/" TargetMode="External"/><Relationship Id="rId171" Type="http://schemas.openxmlformats.org/officeDocument/2006/relationships/hyperlink" Target="https://habi.co/" TargetMode="External"/><Relationship Id="rId170" Type="http://schemas.openxmlformats.org/officeDocument/2006/relationships/hyperlink" Target="https://www.crunchbase.com/organization/habi-fefd" TargetMode="External"/><Relationship Id="rId3290" Type="http://schemas.openxmlformats.org/officeDocument/2006/relationships/hyperlink" Target="https://www.proper.ai" TargetMode="External"/><Relationship Id="rId3292" Type="http://schemas.openxmlformats.org/officeDocument/2006/relationships/hyperlink" Target="https://angel.co/company/tfliving" TargetMode="External"/><Relationship Id="rId3291" Type="http://schemas.openxmlformats.org/officeDocument/2006/relationships/hyperlink" Target="https://www.crunchbase.com/funding_round/proper-cb14-seed--634e36d6" TargetMode="External"/><Relationship Id="rId3294" Type="http://schemas.openxmlformats.org/officeDocument/2006/relationships/hyperlink" Target="http://tfliving.com" TargetMode="External"/><Relationship Id="rId3293" Type="http://schemas.openxmlformats.org/officeDocument/2006/relationships/hyperlink" Target="https://www.crunchbase.com/organization/tfliving" TargetMode="External"/><Relationship Id="rId165" Type="http://schemas.openxmlformats.org/officeDocument/2006/relationships/hyperlink" Target="https://www.eh2.com/" TargetMode="External"/><Relationship Id="rId3296" Type="http://schemas.openxmlformats.org/officeDocument/2006/relationships/hyperlink" Target="https://www.crunchbase.com/organization/mero-technologies" TargetMode="External"/><Relationship Id="rId164" Type="http://schemas.openxmlformats.org/officeDocument/2006/relationships/hyperlink" Target="https://www.crunchbase.com/organization/electric-hydrogen-co" TargetMode="External"/><Relationship Id="rId3295" Type="http://schemas.openxmlformats.org/officeDocument/2006/relationships/hyperlink" Target="https://wellfound.com/company/merotechq" TargetMode="External"/><Relationship Id="rId163" Type="http://schemas.openxmlformats.org/officeDocument/2006/relationships/hyperlink" Target="https://www.crunchbase.com/funding_round/palmetto-debt-financing--35f2c2c2" TargetMode="External"/><Relationship Id="rId3298" Type="http://schemas.openxmlformats.org/officeDocument/2006/relationships/hyperlink" Target="https://www.crunchbase.com/funding_round/mero-technologies-pre-seed--c484be10" TargetMode="External"/><Relationship Id="rId162" Type="http://schemas.openxmlformats.org/officeDocument/2006/relationships/hyperlink" Target="https://www.crunchbase.com/funding_round/palmetto-private-equity--d1debb24" TargetMode="External"/><Relationship Id="rId3297" Type="http://schemas.openxmlformats.org/officeDocument/2006/relationships/hyperlink" Target="https://mero.co/" TargetMode="External"/><Relationship Id="rId169" Type="http://schemas.openxmlformats.org/officeDocument/2006/relationships/hyperlink" Target="https://www.crunchbase.com/funding_round/electric-hydrogen-co-series-c--17173c08" TargetMode="External"/><Relationship Id="rId168" Type="http://schemas.openxmlformats.org/officeDocument/2006/relationships/hyperlink" Target="https://www.crunchbase.com/funding_round/electric-hydrogen-co-series-b--b4d74edf" TargetMode="External"/><Relationship Id="rId3299" Type="http://schemas.openxmlformats.org/officeDocument/2006/relationships/hyperlink" Target="https://www.crunchbase.com/funding_round/mero-technologies-seed--c682537a" TargetMode="External"/><Relationship Id="rId167" Type="http://schemas.openxmlformats.org/officeDocument/2006/relationships/hyperlink" Target="https://www.crunchbase.com/funding_round/electric-hydrogen-co-series-a--5fe9d0c6" TargetMode="External"/><Relationship Id="rId166" Type="http://schemas.openxmlformats.org/officeDocument/2006/relationships/hyperlink" Target="https://www.reuters.com/sustainability/climate-energy/electric-hydrogen-raises-380-mln-latest-funding-round-2023-10-03/" TargetMode="External"/><Relationship Id="rId161" Type="http://schemas.openxmlformats.org/officeDocument/2006/relationships/hyperlink" Target="https://www.crunchbase.com/funding_round/palmetto-series-c--905d1165" TargetMode="External"/><Relationship Id="rId160" Type="http://schemas.openxmlformats.org/officeDocument/2006/relationships/hyperlink" Target="https://www.crunchbase.com/funding_round/palmetto-series-b--6f58a22a" TargetMode="External"/><Relationship Id="rId159" Type="http://schemas.openxmlformats.org/officeDocument/2006/relationships/hyperlink" Target="https://www.crunchbase.com/funding_round/palmetto-series-a--319ee2ee" TargetMode="External"/><Relationship Id="rId3281" Type="http://schemas.openxmlformats.org/officeDocument/2006/relationships/hyperlink" Target="https://www.crunchbase.com/funding_round/realconnex-com-seed--34642324" TargetMode="External"/><Relationship Id="rId3280" Type="http://schemas.openxmlformats.org/officeDocument/2006/relationships/hyperlink" Target="https://www.realconnex.com/" TargetMode="External"/><Relationship Id="rId3283" Type="http://schemas.openxmlformats.org/officeDocument/2006/relationships/hyperlink" Target="https://www.crunchbase.com/organization/solarsquare-energy" TargetMode="External"/><Relationship Id="rId3282" Type="http://schemas.openxmlformats.org/officeDocument/2006/relationships/hyperlink" Target="https://www.crunchbase.com/funding_round/realconnex-com-series-a--9986cb7a" TargetMode="External"/><Relationship Id="rId154" Type="http://schemas.openxmlformats.org/officeDocument/2006/relationships/hyperlink" Target="https://www.sagesure.com/" TargetMode="External"/><Relationship Id="rId3285" Type="http://schemas.openxmlformats.org/officeDocument/2006/relationships/hyperlink" Target="https://www.crunchbase.com/funding_round/solarsquare-energy-seed--b41246c8" TargetMode="External"/><Relationship Id="rId153" Type="http://schemas.openxmlformats.org/officeDocument/2006/relationships/hyperlink" Target="https://www.crunchbase.com/organization/sagesure-insurance-managers" TargetMode="External"/><Relationship Id="rId3284" Type="http://schemas.openxmlformats.org/officeDocument/2006/relationships/hyperlink" Target="https://www.solarsquare.in/" TargetMode="External"/><Relationship Id="rId152" Type="http://schemas.openxmlformats.org/officeDocument/2006/relationships/hyperlink" Target="https://www.crunchbase.com/funding_round/h2-green-steel-debt-financing--88b98a40" TargetMode="External"/><Relationship Id="rId3287" Type="http://schemas.openxmlformats.org/officeDocument/2006/relationships/hyperlink" Target="https://www.crunchbase.com/organization/versapay" TargetMode="External"/><Relationship Id="rId151" Type="http://schemas.openxmlformats.org/officeDocument/2006/relationships/hyperlink" Target="https://www.crunchbase.com/funding_round/h2-green-steel-series-b--bd44e526" TargetMode="External"/><Relationship Id="rId3286" Type="http://schemas.openxmlformats.org/officeDocument/2006/relationships/hyperlink" Target="https://angel.co/company/versapay" TargetMode="External"/><Relationship Id="rId158" Type="http://schemas.openxmlformats.org/officeDocument/2006/relationships/hyperlink" Target="https://www.bloomberg.com/news/articles/2022-02-24/palihapitiya-s-social-capital-leads-375-million-palmetto-round?leadSource=uverify%20wall" TargetMode="External"/><Relationship Id="rId3289" Type="http://schemas.openxmlformats.org/officeDocument/2006/relationships/hyperlink" Target="https://www.crunchbase.com/organization/proper-cb14" TargetMode="External"/><Relationship Id="rId157" Type="http://schemas.openxmlformats.org/officeDocument/2006/relationships/hyperlink" Target="http://www.palmetto.com/" TargetMode="External"/><Relationship Id="rId3288" Type="http://schemas.openxmlformats.org/officeDocument/2006/relationships/hyperlink" Target="http://www.versapay.com/" TargetMode="External"/><Relationship Id="rId156" Type="http://schemas.openxmlformats.org/officeDocument/2006/relationships/hyperlink" Target="https://www.crunchbase.com/organization/palmetto" TargetMode="External"/><Relationship Id="rId155" Type="http://schemas.openxmlformats.org/officeDocument/2006/relationships/hyperlink" Target="https://www.reuters.com/article/sagesure-funding-idUSKBN2X7188/" TargetMode="External"/><Relationship Id="rId4602" Type="http://schemas.openxmlformats.org/officeDocument/2006/relationships/hyperlink" Target="https://www.airwavz.com/" TargetMode="External"/><Relationship Id="rId5934" Type="http://schemas.openxmlformats.org/officeDocument/2006/relationships/hyperlink" Target="https://www.crunchbase.com/organization/select-leaders" TargetMode="External"/><Relationship Id="rId4601" Type="http://schemas.openxmlformats.org/officeDocument/2006/relationships/hyperlink" Target="https://www.crunchbase.com/organization/airwavz-solutions" TargetMode="External"/><Relationship Id="rId5935" Type="http://schemas.openxmlformats.org/officeDocument/2006/relationships/hyperlink" Target="https://www.selectleaders.com/" TargetMode="External"/><Relationship Id="rId4604" Type="http://schemas.openxmlformats.org/officeDocument/2006/relationships/hyperlink" Target="https://www.airoasis.com/" TargetMode="External"/><Relationship Id="rId5932" Type="http://schemas.openxmlformats.org/officeDocument/2006/relationships/hyperlink" Target="https://www.seasiainfotech.com/" TargetMode="External"/><Relationship Id="rId4603" Type="http://schemas.openxmlformats.org/officeDocument/2006/relationships/hyperlink" Target="https://www.crunchbase.com/organization/air-oasis" TargetMode="External"/><Relationship Id="rId5933" Type="http://schemas.openxmlformats.org/officeDocument/2006/relationships/hyperlink" Target="https://www.selectamortgagebroker.com.au/" TargetMode="External"/><Relationship Id="rId4606" Type="http://schemas.openxmlformats.org/officeDocument/2006/relationships/hyperlink" Target="https://akular.com/" TargetMode="External"/><Relationship Id="rId5938" Type="http://schemas.openxmlformats.org/officeDocument/2006/relationships/hyperlink" Target="https://angel.co/company/sentient-buildings/people" TargetMode="External"/><Relationship Id="rId4605" Type="http://schemas.openxmlformats.org/officeDocument/2006/relationships/hyperlink" Target="https://www.crunchbase.com/organization/akular" TargetMode="External"/><Relationship Id="rId5939" Type="http://schemas.openxmlformats.org/officeDocument/2006/relationships/hyperlink" Target="http://www.sentientbuildings.com/about-us/" TargetMode="External"/><Relationship Id="rId4608" Type="http://schemas.openxmlformats.org/officeDocument/2006/relationships/hyperlink" Target="https://www.allprotechnologies.com/" TargetMode="External"/><Relationship Id="rId5936" Type="http://schemas.openxmlformats.org/officeDocument/2006/relationships/hyperlink" Target="https://www.crunchbase.com/organization/sensing-labs" TargetMode="External"/><Relationship Id="rId4607" Type="http://schemas.openxmlformats.org/officeDocument/2006/relationships/hyperlink" Target="https://www.crunchbase.com/organization/allpro-technologies-e4c6" TargetMode="External"/><Relationship Id="rId5937" Type="http://schemas.openxmlformats.org/officeDocument/2006/relationships/hyperlink" Target="https://sensing-labs.com/" TargetMode="External"/><Relationship Id="rId4609" Type="http://schemas.openxmlformats.org/officeDocument/2006/relationships/hyperlink" Target="https://www.alosant.com/" TargetMode="External"/><Relationship Id="rId5930" Type="http://schemas.openxmlformats.org/officeDocument/2006/relationships/hyperlink" Target="https://angel.co/company/seasia-infotech" TargetMode="External"/><Relationship Id="rId5931" Type="http://schemas.openxmlformats.org/officeDocument/2006/relationships/hyperlink" Target="https://www.crunchbase.com/organization/seasia-infotech" TargetMode="External"/><Relationship Id="rId4600" Type="http://schemas.openxmlformats.org/officeDocument/2006/relationships/hyperlink" Target="https://www.airspaceoffice.co/" TargetMode="External"/><Relationship Id="rId5923" Type="http://schemas.openxmlformats.org/officeDocument/2006/relationships/hyperlink" Target="https://www.saastrax.com/" TargetMode="External"/><Relationship Id="rId5924" Type="http://schemas.openxmlformats.org/officeDocument/2006/relationships/hyperlink" Target="https://www.crunchbase.com/organization/sagegreenlife" TargetMode="External"/><Relationship Id="rId5921" Type="http://schemas.openxmlformats.org/officeDocument/2006/relationships/hyperlink" Target="https://www.crunchbase.com/organization/rsquared-cre" TargetMode="External"/><Relationship Id="rId5922" Type="http://schemas.openxmlformats.org/officeDocument/2006/relationships/hyperlink" Target="https://rsquaredcre.com/" TargetMode="External"/><Relationship Id="rId5927" Type="http://schemas.openxmlformats.org/officeDocument/2006/relationships/hyperlink" Target="https://www.salesleadsinc.com/" TargetMode="External"/><Relationship Id="rId5928" Type="http://schemas.openxmlformats.org/officeDocument/2006/relationships/hyperlink" Target="https://www.crunchbase.com/organization/schedulemyrent" TargetMode="External"/><Relationship Id="rId5925" Type="http://schemas.openxmlformats.org/officeDocument/2006/relationships/hyperlink" Target="http://www.sagegreenlife.com/" TargetMode="External"/><Relationship Id="rId5926" Type="http://schemas.openxmlformats.org/officeDocument/2006/relationships/hyperlink" Target="https://www.crunchbase.com/organization/salesleads" TargetMode="External"/><Relationship Id="rId5929" Type="http://schemas.openxmlformats.org/officeDocument/2006/relationships/hyperlink" Target="https://www.schedulemyrent.com/" TargetMode="External"/><Relationship Id="rId5920" Type="http://schemas.openxmlformats.org/officeDocument/2006/relationships/hyperlink" Target="https://www.rs-tec.jp/" TargetMode="External"/><Relationship Id="rId4624" Type="http://schemas.openxmlformats.org/officeDocument/2006/relationships/hyperlink" Target="https://www.ambius.com/" TargetMode="External"/><Relationship Id="rId5956" Type="http://schemas.openxmlformats.org/officeDocument/2006/relationships/hyperlink" Target="https://shutterswa.com.au/" TargetMode="External"/><Relationship Id="rId4623" Type="http://schemas.openxmlformats.org/officeDocument/2006/relationships/hyperlink" Target="https://www.crunchbase.com/organization/ambius-2" TargetMode="External"/><Relationship Id="rId5957" Type="http://schemas.openxmlformats.org/officeDocument/2006/relationships/hyperlink" Target="https://angel.co/u/sandsinvestment" TargetMode="External"/><Relationship Id="rId4626" Type="http://schemas.openxmlformats.org/officeDocument/2006/relationships/hyperlink" Target="http://www.amscad.com" TargetMode="External"/><Relationship Id="rId5954" Type="http://schemas.openxmlformats.org/officeDocument/2006/relationships/hyperlink" Target="https://www.crunchbase.com/organization/shufti-pro" TargetMode="External"/><Relationship Id="rId4625" Type="http://schemas.openxmlformats.org/officeDocument/2006/relationships/hyperlink" Target="https://www.crunchbase.com/organization/ams-cad-cafm-solutions" TargetMode="External"/><Relationship Id="rId5955" Type="http://schemas.openxmlformats.org/officeDocument/2006/relationships/hyperlink" Target="https://shuftipro.com/" TargetMode="External"/><Relationship Id="rId4628" Type="http://schemas.openxmlformats.org/officeDocument/2006/relationships/hyperlink" Target="https://amstrow.com/" TargetMode="External"/><Relationship Id="rId4627" Type="http://schemas.openxmlformats.org/officeDocument/2006/relationships/hyperlink" Target="https://angel.co/u/amstrow" TargetMode="External"/><Relationship Id="rId5958" Type="http://schemas.openxmlformats.org/officeDocument/2006/relationships/hyperlink" Target="https://signnn.com/" TargetMode="External"/><Relationship Id="rId4629" Type="http://schemas.openxmlformats.org/officeDocument/2006/relationships/hyperlink" Target="https://angel.co/company/anabode" TargetMode="External"/><Relationship Id="rId5959" Type="http://schemas.openxmlformats.org/officeDocument/2006/relationships/hyperlink" Target="https://angel.co/company/sightplan" TargetMode="External"/><Relationship Id="rId4620" Type="http://schemas.openxmlformats.org/officeDocument/2006/relationships/hyperlink" Target="https://angel.co/company/argus-software-altus-group" TargetMode="External"/><Relationship Id="rId5952" Type="http://schemas.openxmlformats.org/officeDocument/2006/relationships/hyperlink" Target="https://www.shomerapp.com/" TargetMode="External"/><Relationship Id="rId5953" Type="http://schemas.openxmlformats.org/officeDocument/2006/relationships/hyperlink" Target="https://angel.co/company/shuftiproltd" TargetMode="External"/><Relationship Id="rId4622" Type="http://schemas.openxmlformats.org/officeDocument/2006/relationships/hyperlink" Target="https://www.altusgroup.com/" TargetMode="External"/><Relationship Id="rId5950" Type="http://schemas.openxmlformats.org/officeDocument/2006/relationships/hyperlink" Target="https://angel.co/company/shomer" TargetMode="External"/><Relationship Id="rId4621" Type="http://schemas.openxmlformats.org/officeDocument/2006/relationships/hyperlink" Target="https://www.crunchbase.com/organization/altus-group" TargetMode="External"/><Relationship Id="rId5951" Type="http://schemas.openxmlformats.org/officeDocument/2006/relationships/hyperlink" Target="https://www.crunchbase.com/organization/shomer" TargetMode="External"/><Relationship Id="rId4613" Type="http://schemas.openxmlformats.org/officeDocument/2006/relationships/hyperlink" Target="https://altanova.io/" TargetMode="External"/><Relationship Id="rId5945" Type="http://schemas.openxmlformats.org/officeDocument/2006/relationships/hyperlink" Target="https://angel.co/u/sesame-access" TargetMode="External"/><Relationship Id="rId4612" Type="http://schemas.openxmlformats.org/officeDocument/2006/relationships/hyperlink" Target="http://www.alphaavenueadvisors.com/" TargetMode="External"/><Relationship Id="rId5946" Type="http://schemas.openxmlformats.org/officeDocument/2006/relationships/hyperlink" Target="https://www.sesameaccess.com/" TargetMode="External"/><Relationship Id="rId4615" Type="http://schemas.openxmlformats.org/officeDocument/2006/relationships/hyperlink" Target="https://www.altergroup.com/" TargetMode="External"/><Relationship Id="rId5943" Type="http://schemas.openxmlformats.org/officeDocument/2006/relationships/hyperlink" Target="https://www.crunchbase.com/organization/servicetrade" TargetMode="External"/><Relationship Id="rId4614" Type="http://schemas.openxmlformats.org/officeDocument/2006/relationships/hyperlink" Target="https://www.crunchbase.com/organization/the-alter-group" TargetMode="External"/><Relationship Id="rId5944" Type="http://schemas.openxmlformats.org/officeDocument/2006/relationships/hyperlink" Target="https://servicetrade.com/" TargetMode="External"/><Relationship Id="rId4617" Type="http://schemas.openxmlformats.org/officeDocument/2006/relationships/hyperlink" Target="https://www.alternova.co/realestate/english" TargetMode="External"/><Relationship Id="rId5949" Type="http://schemas.openxmlformats.org/officeDocument/2006/relationships/hyperlink" Target="https://sharedspace.work/" TargetMode="External"/><Relationship Id="rId4616" Type="http://schemas.openxmlformats.org/officeDocument/2006/relationships/hyperlink" Target="https://www.crunchbase.com/organization/alternova" TargetMode="External"/><Relationship Id="rId4619" Type="http://schemas.openxmlformats.org/officeDocument/2006/relationships/hyperlink" Target="http://altrlabs.com/" TargetMode="External"/><Relationship Id="rId5947" Type="http://schemas.openxmlformats.org/officeDocument/2006/relationships/hyperlink" Target="https://angel.co/company/sharedspace" TargetMode="External"/><Relationship Id="rId4618" Type="http://schemas.openxmlformats.org/officeDocument/2006/relationships/hyperlink" Target="https://www.crunchbase.com/organization/altr-labs" TargetMode="External"/><Relationship Id="rId5948" Type="http://schemas.openxmlformats.org/officeDocument/2006/relationships/hyperlink" Target="https://www.crunchbase.com/organization/sharedspace" TargetMode="External"/><Relationship Id="rId5941" Type="http://schemas.openxmlformats.org/officeDocument/2006/relationships/hyperlink" Target="https://www.crunchbase.com/organization/serfy" TargetMode="External"/><Relationship Id="rId5942" Type="http://schemas.openxmlformats.org/officeDocument/2006/relationships/hyperlink" Target="https://serfy.io/" TargetMode="External"/><Relationship Id="rId4611" Type="http://schemas.openxmlformats.org/officeDocument/2006/relationships/hyperlink" Target="https://www.alphaainc.com/" TargetMode="External"/><Relationship Id="rId4610" Type="http://schemas.openxmlformats.org/officeDocument/2006/relationships/hyperlink" Target="https://www.crunchbase.com/organization/gera%C3%A7%C3%A3o-alpha" TargetMode="External"/><Relationship Id="rId5940" Type="http://schemas.openxmlformats.org/officeDocument/2006/relationships/hyperlink" Target="https://angel.co/company/serfy" TargetMode="External"/><Relationship Id="rId5912" Type="http://schemas.openxmlformats.org/officeDocument/2006/relationships/hyperlink" Target="https://www.rockportval.com/" TargetMode="External"/><Relationship Id="rId5913" Type="http://schemas.openxmlformats.org/officeDocument/2006/relationships/hyperlink" Target="https://www.roofscapes.studio" TargetMode="External"/><Relationship Id="rId5910" Type="http://schemas.openxmlformats.org/officeDocument/2006/relationships/hyperlink" Target="https://www.rivur.com/" TargetMode="External"/><Relationship Id="rId5911" Type="http://schemas.openxmlformats.org/officeDocument/2006/relationships/hyperlink" Target="https://www.crunchbase.com/organization/rockport-val-llc" TargetMode="External"/><Relationship Id="rId5916" Type="http://schemas.openxmlformats.org/officeDocument/2006/relationships/hyperlink" Target="https://www.crunchbase.com/organization/roomored" TargetMode="External"/><Relationship Id="rId5917" Type="http://schemas.openxmlformats.org/officeDocument/2006/relationships/hyperlink" Target="https://roomored.com/" TargetMode="External"/><Relationship Id="rId5914" Type="http://schemas.openxmlformats.org/officeDocument/2006/relationships/hyperlink" Target="https://roomestate.com/" TargetMode="External"/><Relationship Id="rId5915" Type="http://schemas.openxmlformats.org/officeDocument/2006/relationships/hyperlink" Target="https://angel.co/company/roomored" TargetMode="External"/><Relationship Id="rId5918" Type="http://schemas.openxmlformats.org/officeDocument/2006/relationships/hyperlink" Target="https://www.roundhound.com/" TargetMode="External"/><Relationship Id="rId5919" Type="http://schemas.openxmlformats.org/officeDocument/2006/relationships/hyperlink" Target="https://www.crunchbase.com/organization/rs-technologies" TargetMode="External"/><Relationship Id="rId5901" Type="http://schemas.openxmlformats.org/officeDocument/2006/relationships/hyperlink" Target="https://www.ricohtours.com/es/" TargetMode="External"/><Relationship Id="rId5902" Type="http://schemas.openxmlformats.org/officeDocument/2006/relationships/hyperlink" Target="https://angel.co/company/rise-software-1" TargetMode="External"/><Relationship Id="rId5900" Type="http://schemas.openxmlformats.org/officeDocument/2006/relationships/hyperlink" Target="https://revpart.com/services/molding-services/" TargetMode="External"/><Relationship Id="rId5905" Type="http://schemas.openxmlformats.org/officeDocument/2006/relationships/hyperlink" Target="https://angel.co/company/riseio" TargetMode="External"/><Relationship Id="rId5906" Type="http://schemas.openxmlformats.org/officeDocument/2006/relationships/hyperlink" Target="https://www.crunchbase.com/organization/riseio" TargetMode="External"/><Relationship Id="rId5903" Type="http://schemas.openxmlformats.org/officeDocument/2006/relationships/hyperlink" Target="https://www.crunchbase.com/organization/rise-buildings" TargetMode="External"/><Relationship Id="rId5904" Type="http://schemas.openxmlformats.org/officeDocument/2006/relationships/hyperlink" Target="http://www.risebuildings.com" TargetMode="External"/><Relationship Id="rId5909" Type="http://schemas.openxmlformats.org/officeDocument/2006/relationships/hyperlink" Target="https://www.crunchbase.com/organization/rivur" TargetMode="External"/><Relationship Id="rId5907" Type="http://schemas.openxmlformats.org/officeDocument/2006/relationships/hyperlink" Target="https://www.riseio.com/" TargetMode="External"/><Relationship Id="rId5908" Type="http://schemas.openxmlformats.org/officeDocument/2006/relationships/hyperlink" Target="https://angel.co/company/rivur" TargetMode="External"/><Relationship Id="rId2027" Type="http://schemas.openxmlformats.org/officeDocument/2006/relationships/hyperlink" Target="https://www.crunchbase.com/organization/splitero" TargetMode="External"/><Relationship Id="rId3359" Type="http://schemas.openxmlformats.org/officeDocument/2006/relationships/hyperlink" Target="https://www.crunchbase.com/organization/shifted-energy" TargetMode="External"/><Relationship Id="rId2028" Type="http://schemas.openxmlformats.org/officeDocument/2006/relationships/hyperlink" Target="https://splitero.com/" TargetMode="External"/><Relationship Id="rId3358" Type="http://schemas.openxmlformats.org/officeDocument/2006/relationships/hyperlink" Target="https://www.crunchbase.com/funding_round/investnext-series-a--a56b1595" TargetMode="External"/><Relationship Id="rId4689" Type="http://schemas.openxmlformats.org/officeDocument/2006/relationships/hyperlink" Target="https://angel.co/company/assignment-ace-uk" TargetMode="External"/><Relationship Id="rId2029" Type="http://schemas.openxmlformats.org/officeDocument/2006/relationships/hyperlink" Target="https://www.crunchbase.com/funding_round/splitero-series-a--d65a5130" TargetMode="External"/><Relationship Id="rId107" Type="http://schemas.openxmlformats.org/officeDocument/2006/relationships/hyperlink" Target="https://www.crunchbase.com/funding_round/built-technologies-inc-series-unknown--f6493ae5" TargetMode="External"/><Relationship Id="rId106" Type="http://schemas.openxmlformats.org/officeDocument/2006/relationships/hyperlink" Target="https://getbuilt.com/news/building-momentum-2021/" TargetMode="External"/><Relationship Id="rId105" Type="http://schemas.openxmlformats.org/officeDocument/2006/relationships/hyperlink" Target="https://getbuilt.com/" TargetMode="External"/><Relationship Id="rId104" Type="http://schemas.openxmlformats.org/officeDocument/2006/relationships/hyperlink" Target="https://www.crunchbase.com/organization/built-technologies-inc" TargetMode="External"/><Relationship Id="rId109" Type="http://schemas.openxmlformats.org/officeDocument/2006/relationships/hyperlink" Target="https://www.biltrewards.com/" TargetMode="External"/><Relationship Id="rId4680" Type="http://schemas.openxmlformats.org/officeDocument/2006/relationships/hyperlink" Target="http://assetdrone.com/" TargetMode="External"/><Relationship Id="rId108" Type="http://schemas.openxmlformats.org/officeDocument/2006/relationships/hyperlink" Target="https://www.crunchbase.com/organization/bilt-technologies" TargetMode="External"/><Relationship Id="rId3351" Type="http://schemas.openxmlformats.org/officeDocument/2006/relationships/hyperlink" Target="https://www.crunchbase.com/organization/pulley-5b0d" TargetMode="External"/><Relationship Id="rId4682" Type="http://schemas.openxmlformats.org/officeDocument/2006/relationships/hyperlink" Target="https://www.crunchbase.com/organization/asset-infinity" TargetMode="External"/><Relationship Id="rId2020" Type="http://schemas.openxmlformats.org/officeDocument/2006/relationships/hyperlink" Target="https://www.crunchbase.com/funding_round/vivacity-labs-series-unknown--639020b1" TargetMode="External"/><Relationship Id="rId3350" Type="http://schemas.openxmlformats.org/officeDocument/2006/relationships/hyperlink" Target="https://www.crunchbase.com/funding_round/sucasa-seed--d7187a14" TargetMode="External"/><Relationship Id="rId4681" Type="http://schemas.openxmlformats.org/officeDocument/2006/relationships/hyperlink" Target="https://angel.co/company/pcsinfinity" TargetMode="External"/><Relationship Id="rId2021" Type="http://schemas.openxmlformats.org/officeDocument/2006/relationships/hyperlink" Target="https://www.crunchbase.com/funding_round/vivacity-labs-grant--980f406d" TargetMode="External"/><Relationship Id="rId3353" Type="http://schemas.openxmlformats.org/officeDocument/2006/relationships/hyperlink" Target="https://www.crunchbase.com/organization/glimpse-1ee9" TargetMode="External"/><Relationship Id="rId4684" Type="http://schemas.openxmlformats.org/officeDocument/2006/relationships/hyperlink" Target="https://angel.co/company/assetsoft" TargetMode="External"/><Relationship Id="rId2022" Type="http://schemas.openxmlformats.org/officeDocument/2006/relationships/hyperlink" Target="https://www.crunchbase.com/organization/everyscape" TargetMode="External"/><Relationship Id="rId3352" Type="http://schemas.openxmlformats.org/officeDocument/2006/relationships/hyperlink" Target="https://www.withpulley.com/" TargetMode="External"/><Relationship Id="rId4683" Type="http://schemas.openxmlformats.org/officeDocument/2006/relationships/hyperlink" Target="https://www.assetinfinity.com/" TargetMode="External"/><Relationship Id="rId103" Type="http://schemas.openxmlformats.org/officeDocument/2006/relationships/hyperlink" Target="https://angel.co/company/built-technologies" TargetMode="External"/><Relationship Id="rId2023" Type="http://schemas.openxmlformats.org/officeDocument/2006/relationships/hyperlink" Target="http://www.everyscape.com/" TargetMode="External"/><Relationship Id="rId3355" Type="http://schemas.openxmlformats.org/officeDocument/2006/relationships/hyperlink" Target="https://angel.co/company/investnext" TargetMode="External"/><Relationship Id="rId4686" Type="http://schemas.openxmlformats.org/officeDocument/2006/relationships/hyperlink" Target="https://www.assetsoft.biz/" TargetMode="External"/><Relationship Id="rId102" Type="http://schemas.openxmlformats.org/officeDocument/2006/relationships/hyperlink" Target="https://www.crunchbase.com/funding_round/updater-debt-financing--f0eddf68" TargetMode="External"/><Relationship Id="rId2024" Type="http://schemas.openxmlformats.org/officeDocument/2006/relationships/hyperlink" Target="https://angel.co/company/doorvest" TargetMode="External"/><Relationship Id="rId3354" Type="http://schemas.openxmlformats.org/officeDocument/2006/relationships/hyperlink" Target="https://www.tryglimpse.com/" TargetMode="External"/><Relationship Id="rId4685" Type="http://schemas.openxmlformats.org/officeDocument/2006/relationships/hyperlink" Target="https://www.crunchbase.com/organization/assetsoft" TargetMode="External"/><Relationship Id="rId101" Type="http://schemas.openxmlformats.org/officeDocument/2006/relationships/hyperlink" Target="https://www.crunchbase.com/funding_round/updater-series-unknown--66cd5786" TargetMode="External"/><Relationship Id="rId2025" Type="http://schemas.openxmlformats.org/officeDocument/2006/relationships/hyperlink" Target="https://www.crunchbase.com/organization/doorvest" TargetMode="External"/><Relationship Id="rId3357" Type="http://schemas.openxmlformats.org/officeDocument/2006/relationships/hyperlink" Target="https://www.investnext.com/" TargetMode="External"/><Relationship Id="rId4688" Type="http://schemas.openxmlformats.org/officeDocument/2006/relationships/hyperlink" Target="https://www.crunchbase.com/organization/assetti" TargetMode="External"/><Relationship Id="rId100" Type="http://schemas.openxmlformats.org/officeDocument/2006/relationships/hyperlink" Target="https://www.google.com/url?sa=t&amp;rct=j&amp;q=&amp;esrc=s&amp;source=web&amp;cd=&amp;ved=2ahUKEwiI89jJ0Oj-AhXrkYkEHaeQDmYQFnoECBEQAQ&amp;url=https%3A%2F%2Fwww.bloomberg.com%2Fnews%2Farticles%2F2022-05-17%2Fmoving-app-updater-secures-215-million-in-vista-equity-backing&amp;usg=AOvVaw0RFM5Lh2pGAnddTVzzPfEN" TargetMode="External"/><Relationship Id="rId2026" Type="http://schemas.openxmlformats.org/officeDocument/2006/relationships/hyperlink" Target="https://doorvest.com/" TargetMode="External"/><Relationship Id="rId3356" Type="http://schemas.openxmlformats.org/officeDocument/2006/relationships/hyperlink" Target="https://www.crunchbase.com/organization/investnext" TargetMode="External"/><Relationship Id="rId4687" Type="http://schemas.openxmlformats.org/officeDocument/2006/relationships/hyperlink" Target="https://angel.co/company/assetti-by-nasta-technologies-oy" TargetMode="External"/><Relationship Id="rId2016" Type="http://schemas.openxmlformats.org/officeDocument/2006/relationships/hyperlink" Target="https://wellfound.com/company/vivacity-labs" TargetMode="External"/><Relationship Id="rId3348" Type="http://schemas.openxmlformats.org/officeDocument/2006/relationships/hyperlink" Target="https://www.crunchbase.com/organization/sucasa" TargetMode="External"/><Relationship Id="rId4679" Type="http://schemas.openxmlformats.org/officeDocument/2006/relationships/hyperlink" Target="https://angel.co/company/drone-assets" TargetMode="External"/><Relationship Id="rId2017" Type="http://schemas.openxmlformats.org/officeDocument/2006/relationships/hyperlink" Target="https://www.crunchbase.com/organization/vivacity-labs" TargetMode="External"/><Relationship Id="rId3347" Type="http://schemas.openxmlformats.org/officeDocument/2006/relationships/hyperlink" Target="https://www.crunchbase.com/funding_round/oneroof-4d7a-seed--c7962b7e" TargetMode="External"/><Relationship Id="rId4678" Type="http://schemas.openxmlformats.org/officeDocument/2006/relationships/hyperlink" Target="https://ascendix.com/" TargetMode="External"/><Relationship Id="rId2018" Type="http://schemas.openxmlformats.org/officeDocument/2006/relationships/hyperlink" Target="https://vivacitylabs.com/" TargetMode="External"/><Relationship Id="rId2019" Type="http://schemas.openxmlformats.org/officeDocument/2006/relationships/hyperlink" Target="https://www.crunchbase.com/funding_round/vivacity-labs-series-a--2f8b9d1a" TargetMode="External"/><Relationship Id="rId3349" Type="http://schemas.openxmlformats.org/officeDocument/2006/relationships/hyperlink" Target="https://getaway.co/" TargetMode="External"/><Relationship Id="rId3340" Type="http://schemas.openxmlformats.org/officeDocument/2006/relationships/hyperlink" Target="https://angel.co/company/kukun-1" TargetMode="External"/><Relationship Id="rId4671" Type="http://schemas.openxmlformats.org/officeDocument/2006/relationships/hyperlink" Target="https://arkmortgage.com/" TargetMode="External"/><Relationship Id="rId4670" Type="http://schemas.openxmlformats.org/officeDocument/2006/relationships/hyperlink" Target="https://www.altusgroup.com/argus/" TargetMode="External"/><Relationship Id="rId2010" Type="http://schemas.openxmlformats.org/officeDocument/2006/relationships/hyperlink" Target="https://www.crunchbase.com/funding_round/tour24-debt-financing--772849cc" TargetMode="External"/><Relationship Id="rId3342" Type="http://schemas.openxmlformats.org/officeDocument/2006/relationships/hyperlink" Target="https://staykukun.com/" TargetMode="External"/><Relationship Id="rId4673" Type="http://schemas.openxmlformats.org/officeDocument/2006/relationships/hyperlink" Target="https://angel.co/company/aryze" TargetMode="External"/><Relationship Id="rId2011" Type="http://schemas.openxmlformats.org/officeDocument/2006/relationships/hyperlink" Target="https://www.crunchbase.com/organization/virgil-33ce" TargetMode="External"/><Relationship Id="rId3341" Type="http://schemas.openxmlformats.org/officeDocument/2006/relationships/hyperlink" Target="https://www.crunchbase.com/organization/kukun-915a" TargetMode="External"/><Relationship Id="rId4672" Type="http://schemas.openxmlformats.org/officeDocument/2006/relationships/hyperlink" Target="https://www.crunchbase.com/organization/ark-fund" TargetMode="External"/><Relationship Id="rId2012" Type="http://schemas.openxmlformats.org/officeDocument/2006/relationships/hyperlink" Target="https://www.wearevirgil.com/" TargetMode="External"/><Relationship Id="rId3344" Type="http://schemas.openxmlformats.org/officeDocument/2006/relationships/hyperlink" Target="https://angel.co/company/oneroof-3" TargetMode="External"/><Relationship Id="rId4675" Type="http://schemas.openxmlformats.org/officeDocument/2006/relationships/hyperlink" Target="https://aryze.io/" TargetMode="External"/><Relationship Id="rId2013" Type="http://schemas.openxmlformats.org/officeDocument/2006/relationships/hyperlink" Target="https://www.crunchbase.com/funding_round/virgil-33ce-seed--e332c65e" TargetMode="External"/><Relationship Id="rId3343" Type="http://schemas.openxmlformats.org/officeDocument/2006/relationships/hyperlink" Target="https://www.crunchbase.com/funding_round/kukun-915a-seed--2f75c731" TargetMode="External"/><Relationship Id="rId4674" Type="http://schemas.openxmlformats.org/officeDocument/2006/relationships/hyperlink" Target="https://www.crunchbase.com/organization/aryze" TargetMode="External"/><Relationship Id="rId2014" Type="http://schemas.openxmlformats.org/officeDocument/2006/relationships/hyperlink" Target="https://www.crunchbase.com/funding_round/virgil-33ce-series-a--4e5029a2" TargetMode="External"/><Relationship Id="rId3346" Type="http://schemas.openxmlformats.org/officeDocument/2006/relationships/hyperlink" Target="https://www.oneroofapp.com/" TargetMode="External"/><Relationship Id="rId4677" Type="http://schemas.openxmlformats.org/officeDocument/2006/relationships/hyperlink" Target="https://www.crunchbase.com/organization/ascendix-technologies" TargetMode="External"/><Relationship Id="rId2015" Type="http://schemas.openxmlformats.org/officeDocument/2006/relationships/hyperlink" Target="https://www.crunchbase.com/organization/closetbox" TargetMode="External"/><Relationship Id="rId3345" Type="http://schemas.openxmlformats.org/officeDocument/2006/relationships/hyperlink" Target="https://www.crunchbase.com/organization/oneroof-4d7a" TargetMode="External"/><Relationship Id="rId4676" Type="http://schemas.openxmlformats.org/officeDocument/2006/relationships/hyperlink" Target="https://angel.co/company/ascendix-technologies" TargetMode="External"/><Relationship Id="rId2049" Type="http://schemas.openxmlformats.org/officeDocument/2006/relationships/hyperlink" Target="https://www.crunchbase.com/funding_round/reef-technology-seed--4d165bab" TargetMode="External"/><Relationship Id="rId129" Type="http://schemas.openxmlformats.org/officeDocument/2006/relationships/hyperlink" Target="https://www.crunchbase.com/funding_round/travelperk-debt-financing--1b5e39ad" TargetMode="External"/><Relationship Id="rId128" Type="http://schemas.openxmlformats.org/officeDocument/2006/relationships/hyperlink" Target="https://www.crunchbase.com/funding_round/travelperk-series-unknown--8575d0cd" TargetMode="External"/><Relationship Id="rId127" Type="http://schemas.openxmlformats.org/officeDocument/2006/relationships/hyperlink" Target="https://techcrunch.com/2022/01/12/travelperk-series-d-unicorn/" TargetMode="External"/><Relationship Id="rId126" Type="http://schemas.openxmlformats.org/officeDocument/2006/relationships/hyperlink" Target="https://www.travelperk.com/" TargetMode="External"/><Relationship Id="rId3371" Type="http://schemas.openxmlformats.org/officeDocument/2006/relationships/hyperlink" Target="https://www.crunchbase.com/funding_round/billy-7023-seed--032f63f7" TargetMode="External"/><Relationship Id="rId2040" Type="http://schemas.openxmlformats.org/officeDocument/2006/relationships/hyperlink" Target="https://www.crunchbase.com/funding_round/lucid-design-group-series-a--021827b8" TargetMode="External"/><Relationship Id="rId3370" Type="http://schemas.openxmlformats.org/officeDocument/2006/relationships/hyperlink" Target="https://billyforinsurance.com/" TargetMode="External"/><Relationship Id="rId121" Type="http://schemas.openxmlformats.org/officeDocument/2006/relationships/hyperlink" Target="https://www.google.com/url?sa=t&amp;rct=j&amp;q=&amp;esrc=s&amp;source=web&amp;cd=&amp;ved=2ahUKEwiC2tf1p4b8AhX5nWoFHZerDiQQFnoECA4QAw&amp;url=https%3A%2F%2Fapp.dealroom.co%2Fcompanies%2Fgreenlight_planet&amp;usg=AOvVaw0fHy9cqJoJ118rV4qquWlg" TargetMode="External"/><Relationship Id="rId2041" Type="http://schemas.openxmlformats.org/officeDocument/2006/relationships/hyperlink" Target="https://www.crunchbase.com/funding_round/lucid-design-group-series-b--2a85ec41" TargetMode="External"/><Relationship Id="rId3373" Type="http://schemas.openxmlformats.org/officeDocument/2006/relationships/hyperlink" Target="https://www.crunchbase.com/organization/pinktada" TargetMode="External"/><Relationship Id="rId120" Type="http://schemas.openxmlformats.org/officeDocument/2006/relationships/hyperlink" Target="https://sunking.com/" TargetMode="External"/><Relationship Id="rId2042" Type="http://schemas.openxmlformats.org/officeDocument/2006/relationships/hyperlink" Target="https://angel.co/company/bowery-real-estate-systems" TargetMode="External"/><Relationship Id="rId3372" Type="http://schemas.openxmlformats.org/officeDocument/2006/relationships/hyperlink" Target="https://angel.co/company/firstclasset-trading-as-pinktada" TargetMode="External"/><Relationship Id="rId2043" Type="http://schemas.openxmlformats.org/officeDocument/2006/relationships/hyperlink" Target="https://www.crunchbase.com/organization/bowery-2" TargetMode="External"/><Relationship Id="rId3375" Type="http://schemas.openxmlformats.org/officeDocument/2006/relationships/hyperlink" Target="https://www.crunchbase.com/funding_round/pinktada-pre-seed--7e6e62dc" TargetMode="External"/><Relationship Id="rId2044" Type="http://schemas.openxmlformats.org/officeDocument/2006/relationships/hyperlink" Target="https://www.boweryvaluation.com/" TargetMode="External"/><Relationship Id="rId3374" Type="http://schemas.openxmlformats.org/officeDocument/2006/relationships/hyperlink" Target="https://pinktada.com/" TargetMode="External"/><Relationship Id="rId125" Type="http://schemas.openxmlformats.org/officeDocument/2006/relationships/hyperlink" Target="https://www.crunchbase.com/organization/travelperk" TargetMode="External"/><Relationship Id="rId2045" Type="http://schemas.openxmlformats.org/officeDocument/2006/relationships/hyperlink" Target="https://www.crunchbase.com/funding_round/bowery-2-seed--11d574e9" TargetMode="External"/><Relationship Id="rId3377" Type="http://schemas.openxmlformats.org/officeDocument/2006/relationships/hyperlink" Target="https://angel.co/company/brck" TargetMode="External"/><Relationship Id="rId124" Type="http://schemas.openxmlformats.org/officeDocument/2006/relationships/hyperlink" Target="https://angel.co/company/travelperk" TargetMode="External"/><Relationship Id="rId2046" Type="http://schemas.openxmlformats.org/officeDocument/2006/relationships/hyperlink" Target="https://www.crunchbase.com/funding_round/bowery-2-series-a--ea34709e" TargetMode="External"/><Relationship Id="rId3376" Type="http://schemas.openxmlformats.org/officeDocument/2006/relationships/hyperlink" Target="https://www.crunchbase.com/funding_round/pinktada-seed--26d51045" TargetMode="External"/><Relationship Id="rId123" Type="http://schemas.openxmlformats.org/officeDocument/2006/relationships/hyperlink" Target="https://www.crunchbase.com/funding_round/greenlight-planet-debt-financing--f286c0d3" TargetMode="External"/><Relationship Id="rId2047" Type="http://schemas.openxmlformats.org/officeDocument/2006/relationships/hyperlink" Target="https://www.crunchbase.com/organization/reef-technology" TargetMode="External"/><Relationship Id="rId3379" Type="http://schemas.openxmlformats.org/officeDocument/2006/relationships/hyperlink" Target="http://www.brck.com/" TargetMode="External"/><Relationship Id="rId122" Type="http://schemas.openxmlformats.org/officeDocument/2006/relationships/hyperlink" Target="https://www.crunchbase.com/funding_round/greenlight-planet-series-d--69670824" TargetMode="External"/><Relationship Id="rId2048" Type="http://schemas.openxmlformats.org/officeDocument/2006/relationships/hyperlink" Target="https://reeftechnology.com/" TargetMode="External"/><Relationship Id="rId3378" Type="http://schemas.openxmlformats.org/officeDocument/2006/relationships/hyperlink" Target="https://www.crunchbase.com/organization/brck-inc" TargetMode="External"/><Relationship Id="rId2038" Type="http://schemas.openxmlformats.org/officeDocument/2006/relationships/hyperlink" Target="https://www.crunchbase.com/organization/lucid-design-group" TargetMode="External"/><Relationship Id="rId2039" Type="http://schemas.openxmlformats.org/officeDocument/2006/relationships/hyperlink" Target="https://lucidconnects.com/solutions" TargetMode="External"/><Relationship Id="rId3369" Type="http://schemas.openxmlformats.org/officeDocument/2006/relationships/hyperlink" Target="https://www.crunchbase.com/organization/billy-7023" TargetMode="External"/><Relationship Id="rId118" Type="http://schemas.openxmlformats.org/officeDocument/2006/relationships/hyperlink" Target="https://www.businesswire.com/news/home/20220111005565/en/Envoy-Raises-111-Million-in-Series-C-Financing-to-Help-Companies-Navigate-COVID-and-Rebuild-Community-in-the-Workplace" TargetMode="External"/><Relationship Id="rId117" Type="http://schemas.openxmlformats.org/officeDocument/2006/relationships/hyperlink" Target="https://envoy.com/" TargetMode="External"/><Relationship Id="rId116" Type="http://schemas.openxmlformats.org/officeDocument/2006/relationships/hyperlink" Target="https://www.crunchbase.com/organization/envoy" TargetMode="External"/><Relationship Id="rId115" Type="http://schemas.openxmlformats.org/officeDocument/2006/relationships/hyperlink" Target="https://angel.co/company/envoy" TargetMode="External"/><Relationship Id="rId3360" Type="http://schemas.openxmlformats.org/officeDocument/2006/relationships/hyperlink" Target="http://shiftedenergy.com/" TargetMode="External"/><Relationship Id="rId4691" Type="http://schemas.openxmlformats.org/officeDocument/2006/relationships/hyperlink" Target="https://www.assignmentace.co.uk/" TargetMode="External"/><Relationship Id="rId119" Type="http://schemas.openxmlformats.org/officeDocument/2006/relationships/hyperlink" Target="https://www.crunchbase.com/organization/greenlight-planet" TargetMode="External"/><Relationship Id="rId4690" Type="http://schemas.openxmlformats.org/officeDocument/2006/relationships/hyperlink" Target="https://www.crunchbase.com/organization/assignment-ace" TargetMode="External"/><Relationship Id="rId110" Type="http://schemas.openxmlformats.org/officeDocument/2006/relationships/hyperlink" Target="https://techcrunch.com/2022/10/25/bilt-rewards-valuation-1-5b-renter-credit-card/" TargetMode="External"/><Relationship Id="rId2030" Type="http://schemas.openxmlformats.org/officeDocument/2006/relationships/hyperlink" Target="https://www.crunchbase.com/organization/fuergy" TargetMode="External"/><Relationship Id="rId3362" Type="http://schemas.openxmlformats.org/officeDocument/2006/relationships/hyperlink" Target="https://www.crunchbase.com/funding_round/shifted-energy-seed--21965202" TargetMode="External"/><Relationship Id="rId4693" Type="http://schemas.openxmlformats.org/officeDocument/2006/relationships/hyperlink" Target="https://www.crunchbase.com/organization/asteroom" TargetMode="External"/><Relationship Id="rId2031" Type="http://schemas.openxmlformats.org/officeDocument/2006/relationships/hyperlink" Target="https://www.fuergy.com/" TargetMode="External"/><Relationship Id="rId3361" Type="http://schemas.openxmlformats.org/officeDocument/2006/relationships/hyperlink" Target="https://www.crunchbase.com/funding_round/shifted-energy-seed--ed459dd9" TargetMode="External"/><Relationship Id="rId4692" Type="http://schemas.openxmlformats.org/officeDocument/2006/relationships/hyperlink" Target="https://angel.co/company/asteroom" TargetMode="External"/><Relationship Id="rId2032" Type="http://schemas.openxmlformats.org/officeDocument/2006/relationships/hyperlink" Target="https://www.crunchbase.com/funding_round/fuergy-series-unknown--65dd4dd9" TargetMode="External"/><Relationship Id="rId3364" Type="http://schemas.openxmlformats.org/officeDocument/2006/relationships/hyperlink" Target="https://angel.co/company/domatic" TargetMode="External"/><Relationship Id="rId4695" Type="http://schemas.openxmlformats.org/officeDocument/2006/relationships/hyperlink" Target="https://angel.co/company/atcarta" TargetMode="External"/><Relationship Id="rId2033" Type="http://schemas.openxmlformats.org/officeDocument/2006/relationships/hyperlink" Target="https://www.crunchbase.com/organization/42floors" TargetMode="External"/><Relationship Id="rId3363" Type="http://schemas.openxmlformats.org/officeDocument/2006/relationships/hyperlink" Target="https://www.crunchbase.com/funding_round/shifted-energy-grant--248624be" TargetMode="External"/><Relationship Id="rId4694" Type="http://schemas.openxmlformats.org/officeDocument/2006/relationships/hyperlink" Target="https://www.asteroom.com/" TargetMode="External"/><Relationship Id="rId114" Type="http://schemas.openxmlformats.org/officeDocument/2006/relationships/hyperlink" Target="https://www.crunchbase.com/funding_round/bilt-technologies-series-unknown--81915979" TargetMode="External"/><Relationship Id="rId2034" Type="http://schemas.openxmlformats.org/officeDocument/2006/relationships/hyperlink" Target="https://angel.co/company/social-construct-1" TargetMode="External"/><Relationship Id="rId3366" Type="http://schemas.openxmlformats.org/officeDocument/2006/relationships/hyperlink" Target="http://www.domatic.io/" TargetMode="External"/><Relationship Id="rId4697" Type="http://schemas.openxmlformats.org/officeDocument/2006/relationships/hyperlink" Target="https://angel.co/company/atharva-system" TargetMode="External"/><Relationship Id="rId113" Type="http://schemas.openxmlformats.org/officeDocument/2006/relationships/hyperlink" Target="https://www.crunchbase.com/funding_round/bilt-technologies-series-unknown--51b1bee6" TargetMode="External"/><Relationship Id="rId2035" Type="http://schemas.openxmlformats.org/officeDocument/2006/relationships/hyperlink" Target="https://www.crunchbase.com/organization/social-construct-company" TargetMode="External"/><Relationship Id="rId3365" Type="http://schemas.openxmlformats.org/officeDocument/2006/relationships/hyperlink" Target="https://www.crunchbase.com/organization/domatic" TargetMode="External"/><Relationship Id="rId4696" Type="http://schemas.openxmlformats.org/officeDocument/2006/relationships/hyperlink" Target="https://www.crunchbase.com/organization/atcarta-inc" TargetMode="External"/><Relationship Id="rId112" Type="http://schemas.openxmlformats.org/officeDocument/2006/relationships/hyperlink" Target="https://www.crunchbase.com/funding_round/bilt-technologies-seed--494dbbc5" TargetMode="External"/><Relationship Id="rId2036" Type="http://schemas.openxmlformats.org/officeDocument/2006/relationships/hyperlink" Target="https://www.socialconstructco.com/" TargetMode="External"/><Relationship Id="rId3368" Type="http://schemas.openxmlformats.org/officeDocument/2006/relationships/hyperlink" Target="https://www.crunchbase.com/funding_round/domatic-series-unknown--f15ecdbc" TargetMode="External"/><Relationship Id="rId4699" Type="http://schemas.openxmlformats.org/officeDocument/2006/relationships/hyperlink" Target="https://www.atharvasystem.com/" TargetMode="External"/><Relationship Id="rId111" Type="http://schemas.openxmlformats.org/officeDocument/2006/relationships/hyperlink" Target="https://www.crunchbase.com/funding_round/bilt-technologies-pre-seed--e11bad63" TargetMode="External"/><Relationship Id="rId2037" Type="http://schemas.openxmlformats.org/officeDocument/2006/relationships/hyperlink" Target="https://angel.co/company/lucid" TargetMode="External"/><Relationship Id="rId3367" Type="http://schemas.openxmlformats.org/officeDocument/2006/relationships/hyperlink" Target="https://www.crunchbase.com/funding_round/domatic-pre-seed--7c824d6d" TargetMode="External"/><Relationship Id="rId4698" Type="http://schemas.openxmlformats.org/officeDocument/2006/relationships/hyperlink" Target="https://www.crunchbase.com/organization/atharva-system" TargetMode="External"/><Relationship Id="rId3315" Type="http://schemas.openxmlformats.org/officeDocument/2006/relationships/hyperlink" Target="https://www.crunchbase.com/funding_round/mercator-ai-pre-seed--845ed2bd" TargetMode="External"/><Relationship Id="rId4646" Type="http://schemas.openxmlformats.org/officeDocument/2006/relationships/hyperlink" Target="https://www.apadmi.com/contact/london/" TargetMode="External"/><Relationship Id="rId5978" Type="http://schemas.openxmlformats.org/officeDocument/2006/relationships/hyperlink" Target="https://www.crunchbase.com/organization/sitestuff" TargetMode="External"/><Relationship Id="rId3314" Type="http://schemas.openxmlformats.org/officeDocument/2006/relationships/hyperlink" Target="https://www.mercator.ai/" TargetMode="External"/><Relationship Id="rId4645" Type="http://schemas.openxmlformats.org/officeDocument/2006/relationships/hyperlink" Target="https://www.crunchbase.com/organization/apadmi" TargetMode="External"/><Relationship Id="rId5979" Type="http://schemas.openxmlformats.org/officeDocument/2006/relationships/hyperlink" Target="http://www.sitestuff.com/" TargetMode="External"/><Relationship Id="rId3317" Type="http://schemas.openxmlformats.org/officeDocument/2006/relationships/hyperlink" Target="https://angel.co/citybldr" TargetMode="External"/><Relationship Id="rId4648" Type="http://schemas.openxmlformats.org/officeDocument/2006/relationships/hyperlink" Target="https://www.crunchbase.com/organization/apartment-data-services" TargetMode="External"/><Relationship Id="rId5976" Type="http://schemas.openxmlformats.org/officeDocument/2006/relationships/hyperlink" Target="https://sitecompli.com/" TargetMode="External"/><Relationship Id="rId3316" Type="http://schemas.openxmlformats.org/officeDocument/2006/relationships/hyperlink" Target="https://www.crunchbase.com/funding_round/mercator-ai-seed--c87b43a4" TargetMode="External"/><Relationship Id="rId4647" Type="http://schemas.openxmlformats.org/officeDocument/2006/relationships/hyperlink" Target="http://apartmentdata.com" TargetMode="External"/><Relationship Id="rId5977" Type="http://schemas.openxmlformats.org/officeDocument/2006/relationships/hyperlink" Target="https://angel.co/sitestuff" TargetMode="External"/><Relationship Id="rId3319" Type="http://schemas.openxmlformats.org/officeDocument/2006/relationships/hyperlink" Target="https://koloapp.in/" TargetMode="External"/><Relationship Id="rId3318" Type="http://schemas.openxmlformats.org/officeDocument/2006/relationships/hyperlink" Target="https://www.crunchbase.com/organization/kolo-app" TargetMode="External"/><Relationship Id="rId4649" Type="http://schemas.openxmlformats.org/officeDocument/2006/relationships/hyperlink" Target="http://apartmentdata.com" TargetMode="External"/><Relationship Id="rId5970" Type="http://schemas.openxmlformats.org/officeDocument/2006/relationships/hyperlink" Target="https://www.sine.co/" TargetMode="External"/><Relationship Id="rId5971" Type="http://schemas.openxmlformats.org/officeDocument/2006/relationships/hyperlink" Target="https://angel.co/company/site-technologies" TargetMode="External"/><Relationship Id="rId4640" Type="http://schemas.openxmlformats.org/officeDocument/2006/relationships/hyperlink" Target="https://angel.co/company/angus-systems" TargetMode="External"/><Relationship Id="rId3311" Type="http://schemas.openxmlformats.org/officeDocument/2006/relationships/hyperlink" Target="https://www.crunchbase.com/funding_round/prodeal360-seed--2a2e9455" TargetMode="External"/><Relationship Id="rId4642" Type="http://schemas.openxmlformats.org/officeDocument/2006/relationships/hyperlink" Target="http://www.angus-systems.com/" TargetMode="External"/><Relationship Id="rId5974" Type="http://schemas.openxmlformats.org/officeDocument/2006/relationships/hyperlink" Target="https://angel.co/company/sitecompli-2" TargetMode="External"/><Relationship Id="rId3310" Type="http://schemas.openxmlformats.org/officeDocument/2006/relationships/hyperlink" Target="https://prodeal360.com" TargetMode="External"/><Relationship Id="rId4641" Type="http://schemas.openxmlformats.org/officeDocument/2006/relationships/hyperlink" Target="https://www.crunchbase.com/organization/angus-systems" TargetMode="External"/><Relationship Id="rId5975" Type="http://schemas.openxmlformats.org/officeDocument/2006/relationships/hyperlink" Target="https://www.crunchbase.com/organization/sitecompli" TargetMode="External"/><Relationship Id="rId3313" Type="http://schemas.openxmlformats.org/officeDocument/2006/relationships/hyperlink" Target="https://www.crunchbase.com/organization/mercator-ai" TargetMode="External"/><Relationship Id="rId4644" Type="http://schemas.openxmlformats.org/officeDocument/2006/relationships/hyperlink" Target="https://anysizedealsweek.com/" TargetMode="External"/><Relationship Id="rId5972" Type="http://schemas.openxmlformats.org/officeDocument/2006/relationships/hyperlink" Target="https://www.crunchbase.com/organization/site-technologies" TargetMode="External"/><Relationship Id="rId3312" Type="http://schemas.openxmlformats.org/officeDocument/2006/relationships/hyperlink" Target="https://wellfound.com/company/mercator-ai" TargetMode="External"/><Relationship Id="rId4643" Type="http://schemas.openxmlformats.org/officeDocument/2006/relationships/hyperlink" Target="https://angel.co/company/anysizedeals" TargetMode="External"/><Relationship Id="rId5973" Type="http://schemas.openxmlformats.org/officeDocument/2006/relationships/hyperlink" Target="https://www.sitetechnologies.io/" TargetMode="External"/><Relationship Id="rId3304" Type="http://schemas.openxmlformats.org/officeDocument/2006/relationships/hyperlink" Target="https://www.crunchbase.com/funding_round/point-io-series-b--613c35ea" TargetMode="External"/><Relationship Id="rId4635" Type="http://schemas.openxmlformats.org/officeDocument/2006/relationships/hyperlink" Target="https://angel.co/company/andcards" TargetMode="External"/><Relationship Id="rId5967" Type="http://schemas.openxmlformats.org/officeDocument/2006/relationships/hyperlink" Target="https://buildee.com/" TargetMode="External"/><Relationship Id="rId3303" Type="http://schemas.openxmlformats.org/officeDocument/2006/relationships/hyperlink" Target="https://www.crunchbase.com/funding_round/point-io-seed--e3118396" TargetMode="External"/><Relationship Id="rId4634" Type="http://schemas.openxmlformats.org/officeDocument/2006/relationships/hyperlink" Target="https://anadea.info/" TargetMode="External"/><Relationship Id="rId5968" Type="http://schemas.openxmlformats.org/officeDocument/2006/relationships/hyperlink" Target="https://angel.co/company/sine-1" TargetMode="External"/><Relationship Id="rId3306" Type="http://schemas.openxmlformats.org/officeDocument/2006/relationships/hyperlink" Target="https://www.crunchbase.com/organization/homeshare" TargetMode="External"/><Relationship Id="rId4637" Type="http://schemas.openxmlformats.org/officeDocument/2006/relationships/hyperlink" Target="https://andcards.com/" TargetMode="External"/><Relationship Id="rId5965" Type="http://schemas.openxmlformats.org/officeDocument/2006/relationships/hyperlink" Target="https://www.silvertracsoftware.com/" TargetMode="External"/><Relationship Id="rId3305" Type="http://schemas.openxmlformats.org/officeDocument/2006/relationships/hyperlink" Target="https://angel.co/homeshare-1" TargetMode="External"/><Relationship Id="rId4636" Type="http://schemas.openxmlformats.org/officeDocument/2006/relationships/hyperlink" Target="https://www.crunchbase.com/organization/cards" TargetMode="External"/><Relationship Id="rId5966" Type="http://schemas.openxmlformats.org/officeDocument/2006/relationships/hyperlink" Target="https://www.crunchbase.com/organization/buildee" TargetMode="External"/><Relationship Id="rId3308" Type="http://schemas.openxmlformats.org/officeDocument/2006/relationships/hyperlink" Target="https://angel.co/company/prodeal" TargetMode="External"/><Relationship Id="rId4639" Type="http://schemas.openxmlformats.org/officeDocument/2006/relationships/hyperlink" Target="https://www.angellandings.com/" TargetMode="External"/><Relationship Id="rId3307" Type="http://schemas.openxmlformats.org/officeDocument/2006/relationships/hyperlink" Target="http://www.homeshare.com/" TargetMode="External"/><Relationship Id="rId4638" Type="http://schemas.openxmlformats.org/officeDocument/2006/relationships/hyperlink" Target="https://angel.co/company/angel-landings" TargetMode="External"/><Relationship Id="rId5969" Type="http://schemas.openxmlformats.org/officeDocument/2006/relationships/hyperlink" Target="https://www.crunchbase.com/organization/sine-group" TargetMode="External"/><Relationship Id="rId3309" Type="http://schemas.openxmlformats.org/officeDocument/2006/relationships/hyperlink" Target="https://www.crunchbase.com/organization/prodeal360" TargetMode="External"/><Relationship Id="rId5960" Type="http://schemas.openxmlformats.org/officeDocument/2006/relationships/hyperlink" Target="https://www.crunchbase.com/organization/sightplan" TargetMode="External"/><Relationship Id="rId3300" Type="http://schemas.openxmlformats.org/officeDocument/2006/relationships/hyperlink" Target="https://www.crunchbase.com/funding_round/mero-technologies-grant--e048650d" TargetMode="External"/><Relationship Id="rId4631" Type="http://schemas.openxmlformats.org/officeDocument/2006/relationships/hyperlink" Target="https://www.anabode.co/" TargetMode="External"/><Relationship Id="rId5963" Type="http://schemas.openxmlformats.org/officeDocument/2006/relationships/hyperlink" Target="https://angel.co/u/silvertracsoftware" TargetMode="External"/><Relationship Id="rId4630" Type="http://schemas.openxmlformats.org/officeDocument/2006/relationships/hyperlink" Target="https://www.crunchbase.com/organization/anabode-ltd" TargetMode="External"/><Relationship Id="rId5964" Type="http://schemas.openxmlformats.org/officeDocument/2006/relationships/hyperlink" Target="https://www.crunchbase.com/organization/silvertrac" TargetMode="External"/><Relationship Id="rId3302" Type="http://schemas.openxmlformats.org/officeDocument/2006/relationships/hyperlink" Target="https://www.microshare.io/" TargetMode="External"/><Relationship Id="rId4633" Type="http://schemas.openxmlformats.org/officeDocument/2006/relationships/hyperlink" Target="https://www.crunchbase.com/organization/anabode-ltd" TargetMode="External"/><Relationship Id="rId5961" Type="http://schemas.openxmlformats.org/officeDocument/2006/relationships/hyperlink" Target="https://www.sightplan.com" TargetMode="External"/><Relationship Id="rId3301" Type="http://schemas.openxmlformats.org/officeDocument/2006/relationships/hyperlink" Target="https://www.crunchbase.com/organization/point-io" TargetMode="External"/><Relationship Id="rId4632" Type="http://schemas.openxmlformats.org/officeDocument/2006/relationships/hyperlink" Target="https://angel.co/company/anadea-1" TargetMode="External"/><Relationship Id="rId5962" Type="http://schemas.openxmlformats.org/officeDocument/2006/relationships/hyperlink" Target="https://www.signalcompliance.com/" TargetMode="External"/><Relationship Id="rId2005" Type="http://schemas.openxmlformats.org/officeDocument/2006/relationships/hyperlink" Target="https://www.crunchbase.com/organization/six-travel" TargetMode="External"/><Relationship Id="rId3337" Type="http://schemas.openxmlformats.org/officeDocument/2006/relationships/hyperlink" Target="https://www.crunchbase.com/organization/valve" TargetMode="External"/><Relationship Id="rId4668" Type="http://schemas.openxmlformats.org/officeDocument/2006/relationships/hyperlink" Target="https://angel.co/company/argus-software-altus-group" TargetMode="External"/><Relationship Id="rId2006" Type="http://schemas.openxmlformats.org/officeDocument/2006/relationships/hyperlink" Target="https://selfbook.com/" TargetMode="External"/><Relationship Id="rId3336" Type="http://schemas.openxmlformats.org/officeDocument/2006/relationships/hyperlink" Target="https://angel.co/company/valve-6" TargetMode="External"/><Relationship Id="rId4667" Type="http://schemas.openxmlformats.org/officeDocument/2006/relationships/hyperlink" Target="https://worldsfinancialcenter.com" TargetMode="External"/><Relationship Id="rId2007" Type="http://schemas.openxmlformats.org/officeDocument/2006/relationships/hyperlink" Target="https://www.crunchbase.com/organization/tour24" TargetMode="External"/><Relationship Id="rId3339" Type="http://schemas.openxmlformats.org/officeDocument/2006/relationships/hyperlink" Target="https://www.crunchbase.com/funding_round/valve-seed--e9c10213" TargetMode="External"/><Relationship Id="rId5998" Type="http://schemas.openxmlformats.org/officeDocument/2006/relationships/hyperlink" Target="https://www.smartpoint.co/" TargetMode="External"/><Relationship Id="rId2008" Type="http://schemas.openxmlformats.org/officeDocument/2006/relationships/hyperlink" Target="https://tour24now.com/" TargetMode="External"/><Relationship Id="rId3338" Type="http://schemas.openxmlformats.org/officeDocument/2006/relationships/hyperlink" Target="https://www.valvespace.com/" TargetMode="External"/><Relationship Id="rId4669" Type="http://schemas.openxmlformats.org/officeDocument/2006/relationships/hyperlink" Target="https://www.crunchbase.com/organization/realm-business-solutions" TargetMode="External"/><Relationship Id="rId5999" Type="http://schemas.openxmlformats.org/officeDocument/2006/relationships/hyperlink" Target="https://angel.co/company/smartproperty" TargetMode="External"/><Relationship Id="rId2009" Type="http://schemas.openxmlformats.org/officeDocument/2006/relationships/hyperlink" Target="https://www.crunchbase.com/funding_round/tour24-series-a--995efbe9" TargetMode="External"/><Relationship Id="rId4660" Type="http://schemas.openxmlformats.org/officeDocument/2006/relationships/hyperlink" Target="https://aren.ai/" TargetMode="External"/><Relationship Id="rId5992" Type="http://schemas.openxmlformats.org/officeDocument/2006/relationships/hyperlink" Target="https://smartcsm.com/" TargetMode="External"/><Relationship Id="rId5993" Type="http://schemas.openxmlformats.org/officeDocument/2006/relationships/hyperlink" Target="https://www.crunchbase.com/organization/smartengine-wtec" TargetMode="External"/><Relationship Id="rId3331" Type="http://schemas.openxmlformats.org/officeDocument/2006/relationships/hyperlink" Target="https://www.firmus.ai/" TargetMode="External"/><Relationship Id="rId4662" Type="http://schemas.openxmlformats.org/officeDocument/2006/relationships/hyperlink" Target="https://angel.co/company/arex-blockchain-real-estate" TargetMode="External"/><Relationship Id="rId5990" Type="http://schemas.openxmlformats.org/officeDocument/2006/relationships/hyperlink" Target="https://angel.co/company/smartcsm" TargetMode="External"/><Relationship Id="rId2000" Type="http://schemas.openxmlformats.org/officeDocument/2006/relationships/hyperlink" Target="https://www.crunchbase.com/organization/avenue-8" TargetMode="External"/><Relationship Id="rId3330" Type="http://schemas.openxmlformats.org/officeDocument/2006/relationships/hyperlink" Target="https://www.crunchbase.com/organization/firmus" TargetMode="External"/><Relationship Id="rId4661" Type="http://schemas.openxmlformats.org/officeDocument/2006/relationships/hyperlink" Target="https://www.arenopropertymanagementsolutions.com/" TargetMode="External"/><Relationship Id="rId5991" Type="http://schemas.openxmlformats.org/officeDocument/2006/relationships/hyperlink" Target="https://www.crunchbase.com/organization/smart-csm" TargetMode="External"/><Relationship Id="rId2001" Type="http://schemas.openxmlformats.org/officeDocument/2006/relationships/hyperlink" Target="https://www.avenue8.com/" TargetMode="External"/><Relationship Id="rId3333" Type="http://schemas.openxmlformats.org/officeDocument/2006/relationships/hyperlink" Target="https://www.crunchbase.com/organization/transaera" TargetMode="External"/><Relationship Id="rId4664" Type="http://schemas.openxmlformats.org/officeDocument/2006/relationships/hyperlink" Target="http://www.arexre.com" TargetMode="External"/><Relationship Id="rId5996" Type="http://schemas.openxmlformats.org/officeDocument/2006/relationships/hyperlink" Target="https://www.crunchbase.com/organization/smartgallery-io" TargetMode="External"/><Relationship Id="rId2002" Type="http://schemas.openxmlformats.org/officeDocument/2006/relationships/hyperlink" Target="https://angel.co/company/tripalink-2" TargetMode="External"/><Relationship Id="rId3332" Type="http://schemas.openxmlformats.org/officeDocument/2006/relationships/hyperlink" Target="https://angel.co/company/transaera" TargetMode="External"/><Relationship Id="rId4663" Type="http://schemas.openxmlformats.org/officeDocument/2006/relationships/hyperlink" Target="https://www.crunchbase.com/organization/arex-real-estate-technologies" TargetMode="External"/><Relationship Id="rId5997" Type="http://schemas.openxmlformats.org/officeDocument/2006/relationships/hyperlink" Target="http://smartgallery.io/" TargetMode="External"/><Relationship Id="rId2003" Type="http://schemas.openxmlformats.org/officeDocument/2006/relationships/hyperlink" Target="https://www.crunchbase.com/organization/tripalink" TargetMode="External"/><Relationship Id="rId3335" Type="http://schemas.openxmlformats.org/officeDocument/2006/relationships/hyperlink" Target="https://www.crunchbase.com/funding_round/transaera-seed--945ee851" TargetMode="External"/><Relationship Id="rId4666" Type="http://schemas.openxmlformats.org/officeDocument/2006/relationships/hyperlink" Target="https://www.crunchbase.com/organization/sheldon-corey" TargetMode="External"/><Relationship Id="rId5994" Type="http://schemas.openxmlformats.org/officeDocument/2006/relationships/hyperlink" Target="https://wtec.io/technology" TargetMode="External"/><Relationship Id="rId2004" Type="http://schemas.openxmlformats.org/officeDocument/2006/relationships/hyperlink" Target="https://www.tripalink.com/" TargetMode="External"/><Relationship Id="rId3334" Type="http://schemas.openxmlformats.org/officeDocument/2006/relationships/hyperlink" Target="https://www.transaera.com/" TargetMode="External"/><Relationship Id="rId4665" Type="http://schemas.openxmlformats.org/officeDocument/2006/relationships/hyperlink" Target="https://angel.co/company/arges-4" TargetMode="External"/><Relationship Id="rId5995" Type="http://schemas.openxmlformats.org/officeDocument/2006/relationships/hyperlink" Target="https://www.crunchbase.com/organization/smart-listing" TargetMode="External"/><Relationship Id="rId3326" Type="http://schemas.openxmlformats.org/officeDocument/2006/relationships/hyperlink" Target="https://www.crunchbase.com/organization/turnoverbnb" TargetMode="External"/><Relationship Id="rId4657" Type="http://schemas.openxmlformats.org/officeDocument/2006/relationships/hyperlink" Target="https://www.arcadelistings.com/" TargetMode="External"/><Relationship Id="rId5989" Type="http://schemas.openxmlformats.org/officeDocument/2006/relationships/hyperlink" Target="https://skyfii.io/" TargetMode="External"/><Relationship Id="rId3325" Type="http://schemas.openxmlformats.org/officeDocument/2006/relationships/hyperlink" Target="https://angel.co/company/turnoverbnb" TargetMode="External"/><Relationship Id="rId4656" Type="http://schemas.openxmlformats.org/officeDocument/2006/relationships/hyperlink" Target="https://www.crunchbase.com/organization/arcade-technologies" TargetMode="External"/><Relationship Id="rId3328" Type="http://schemas.openxmlformats.org/officeDocument/2006/relationships/hyperlink" Target="https://www.crunchbase.com/organization/woho" TargetMode="External"/><Relationship Id="rId4659" Type="http://schemas.openxmlformats.org/officeDocument/2006/relationships/hyperlink" Target="https://www.crunchbase.com/organization/aren" TargetMode="External"/><Relationship Id="rId5987" Type="http://schemas.openxmlformats.org/officeDocument/2006/relationships/hyperlink" Target="http://skyfoundry.com/" TargetMode="External"/><Relationship Id="rId3327" Type="http://schemas.openxmlformats.org/officeDocument/2006/relationships/hyperlink" Target="https://turnoverbnb.com/" TargetMode="External"/><Relationship Id="rId4658" Type="http://schemas.openxmlformats.org/officeDocument/2006/relationships/hyperlink" Target="https://angel.co/company/aren-4" TargetMode="External"/><Relationship Id="rId5988" Type="http://schemas.openxmlformats.org/officeDocument/2006/relationships/hyperlink" Target="https://www.crunchbase.com/organization/skyfii-limited" TargetMode="External"/><Relationship Id="rId3329" Type="http://schemas.openxmlformats.org/officeDocument/2006/relationships/hyperlink" Target="https://woho.us/" TargetMode="External"/><Relationship Id="rId5981" Type="http://schemas.openxmlformats.org/officeDocument/2006/relationships/hyperlink" Target="http://www.skanska.com" TargetMode="External"/><Relationship Id="rId5982" Type="http://schemas.openxmlformats.org/officeDocument/2006/relationships/hyperlink" Target="https://angel.co/company/skillsignal" TargetMode="External"/><Relationship Id="rId3320" Type="http://schemas.openxmlformats.org/officeDocument/2006/relationships/hyperlink" Target="https://www.crunchbase.com/organization/chatbox" TargetMode="External"/><Relationship Id="rId4651" Type="http://schemas.openxmlformats.org/officeDocument/2006/relationships/hyperlink" Target="https://www.apixel.com.sg/" TargetMode="External"/><Relationship Id="rId4650" Type="http://schemas.openxmlformats.org/officeDocument/2006/relationships/hyperlink" Target="https://www.crunchbase.com/organization/apixel-it-support" TargetMode="External"/><Relationship Id="rId5980" Type="http://schemas.openxmlformats.org/officeDocument/2006/relationships/hyperlink" Target="https://www.crunchbase.com/organization/skanska" TargetMode="External"/><Relationship Id="rId3322" Type="http://schemas.openxmlformats.org/officeDocument/2006/relationships/hyperlink" Target="https://www.crunchbase.com/funding_round/chatbox-series-a--6c092f53" TargetMode="External"/><Relationship Id="rId4653" Type="http://schemas.openxmlformats.org/officeDocument/2006/relationships/hyperlink" Target="https://www.crunchbase.com/organization/appventurez-technologies" TargetMode="External"/><Relationship Id="rId5985" Type="http://schemas.openxmlformats.org/officeDocument/2006/relationships/hyperlink" Target="https://angel.co/sky-foundry" TargetMode="External"/><Relationship Id="rId3321" Type="http://schemas.openxmlformats.org/officeDocument/2006/relationships/hyperlink" Target="https://www.prompt.io/" TargetMode="External"/><Relationship Id="rId4652" Type="http://schemas.openxmlformats.org/officeDocument/2006/relationships/hyperlink" Target="https://angel.co/company/appventurez" TargetMode="External"/><Relationship Id="rId5986" Type="http://schemas.openxmlformats.org/officeDocument/2006/relationships/hyperlink" Target="https://www.crunchbase.com/organization/skyfoundry" TargetMode="External"/><Relationship Id="rId3324" Type="http://schemas.openxmlformats.org/officeDocument/2006/relationships/hyperlink" Target="https://www.handdii.com/" TargetMode="External"/><Relationship Id="rId4655" Type="http://schemas.openxmlformats.org/officeDocument/2006/relationships/hyperlink" Target="https://angel.co/company/arcade-7" TargetMode="External"/><Relationship Id="rId5983" Type="http://schemas.openxmlformats.org/officeDocument/2006/relationships/hyperlink" Target="https://www.crunchbase.com/organization/skillsignal" TargetMode="External"/><Relationship Id="rId3323" Type="http://schemas.openxmlformats.org/officeDocument/2006/relationships/hyperlink" Target="https://www.crunchbase.com/organization/handdii" TargetMode="External"/><Relationship Id="rId4654" Type="http://schemas.openxmlformats.org/officeDocument/2006/relationships/hyperlink" Target="https://www.appventurez.com/services/ios-app-development" TargetMode="External"/><Relationship Id="rId5984" Type="http://schemas.openxmlformats.org/officeDocument/2006/relationships/hyperlink" Target="https://www.skillsignal.com/" TargetMode="External"/><Relationship Id="rId2090" Type="http://schemas.openxmlformats.org/officeDocument/2006/relationships/hyperlink" Target="https://www.crunchbase.com/organization/modo-labs" TargetMode="External"/><Relationship Id="rId2091" Type="http://schemas.openxmlformats.org/officeDocument/2006/relationships/hyperlink" Target="https://www.modolabs.com/" TargetMode="External"/><Relationship Id="rId2092" Type="http://schemas.openxmlformats.org/officeDocument/2006/relationships/hyperlink" Target="https://www.crunchbase.com/funding_round/modo-labs-seed--d27c195e" TargetMode="External"/><Relationship Id="rId2093" Type="http://schemas.openxmlformats.org/officeDocument/2006/relationships/hyperlink" Target="https://www.crunchbase.com/funding_round/modo-labs-series-a--f6fb4211" TargetMode="External"/><Relationship Id="rId2094" Type="http://schemas.openxmlformats.org/officeDocument/2006/relationships/hyperlink" Target="https://www.crunchbase.com/funding_round/modo-labs-series-b--ac500f33" TargetMode="External"/><Relationship Id="rId2095" Type="http://schemas.openxmlformats.org/officeDocument/2006/relationships/hyperlink" Target="https://angel.co/company/propseller" TargetMode="External"/><Relationship Id="rId2096" Type="http://schemas.openxmlformats.org/officeDocument/2006/relationships/hyperlink" Target="https://www.crunchbase.com/organization/propseller" TargetMode="External"/><Relationship Id="rId2097" Type="http://schemas.openxmlformats.org/officeDocument/2006/relationships/hyperlink" Target="https://propseller.com/" TargetMode="External"/><Relationship Id="rId2098" Type="http://schemas.openxmlformats.org/officeDocument/2006/relationships/hyperlink" Target="https://www.crunchbase.com/funding_round/propseller-pre-seed--d253d33e" TargetMode="External"/><Relationship Id="rId2099" Type="http://schemas.openxmlformats.org/officeDocument/2006/relationships/hyperlink" Target="https://www.crunchbase.com/funding_round/propseller-seed--98779cd8" TargetMode="External"/><Relationship Id="rId3391" Type="http://schemas.openxmlformats.org/officeDocument/2006/relationships/hyperlink" Target="https://www.doorsey.com/" TargetMode="External"/><Relationship Id="rId2060" Type="http://schemas.openxmlformats.org/officeDocument/2006/relationships/hyperlink" Target="http://smartvid.io/" TargetMode="External"/><Relationship Id="rId3390" Type="http://schemas.openxmlformats.org/officeDocument/2006/relationships/hyperlink" Target="https://www.crunchbase.com/organization/doorsey" TargetMode="External"/><Relationship Id="rId2061" Type="http://schemas.openxmlformats.org/officeDocument/2006/relationships/hyperlink" Target="https://angel.co/company/smartvid-io" TargetMode="External"/><Relationship Id="rId3393" Type="http://schemas.openxmlformats.org/officeDocument/2006/relationships/hyperlink" Target="https://www.crunchbase.com/organization/remarkably" TargetMode="External"/><Relationship Id="rId2062" Type="http://schemas.openxmlformats.org/officeDocument/2006/relationships/hyperlink" Target="https://www.crunchbase.com/organization/smartvid-io" TargetMode="External"/><Relationship Id="rId3392" Type="http://schemas.openxmlformats.org/officeDocument/2006/relationships/hyperlink" Target="https://angel.co/company/remarkably" TargetMode="External"/><Relationship Id="rId2063" Type="http://schemas.openxmlformats.org/officeDocument/2006/relationships/hyperlink" Target="https://www.smartvid.io/" TargetMode="External"/><Relationship Id="rId3395" Type="http://schemas.openxmlformats.org/officeDocument/2006/relationships/hyperlink" Target="https://www.crunchbase.com/organization/vergo-7f2d" TargetMode="External"/><Relationship Id="rId2064" Type="http://schemas.openxmlformats.org/officeDocument/2006/relationships/hyperlink" Target="https://www.crunchbase.com/organization/deep-north" TargetMode="External"/><Relationship Id="rId3394" Type="http://schemas.openxmlformats.org/officeDocument/2006/relationships/hyperlink" Target="https://www.remarkably.io/" TargetMode="External"/><Relationship Id="rId2065" Type="http://schemas.openxmlformats.org/officeDocument/2006/relationships/hyperlink" Target="https://www.deepnorth.com/" TargetMode="External"/><Relationship Id="rId3397" Type="http://schemas.openxmlformats.org/officeDocument/2006/relationships/hyperlink" Target="https://www.crunchbase.com/funding_round/vergo-7f2d-seed--d3a9f0ce" TargetMode="External"/><Relationship Id="rId2066" Type="http://schemas.openxmlformats.org/officeDocument/2006/relationships/hyperlink" Target="https://angel.co/company/claritymovement" TargetMode="External"/><Relationship Id="rId3396" Type="http://schemas.openxmlformats.org/officeDocument/2006/relationships/hyperlink" Target="https://www.getvergo.com/" TargetMode="External"/><Relationship Id="rId2067" Type="http://schemas.openxmlformats.org/officeDocument/2006/relationships/hyperlink" Target="https://www.crunchbase.com/organization/clarity-movement" TargetMode="External"/><Relationship Id="rId3399" Type="http://schemas.openxmlformats.org/officeDocument/2006/relationships/hyperlink" Target="https://myzenbase.com/" TargetMode="External"/><Relationship Id="rId2068" Type="http://schemas.openxmlformats.org/officeDocument/2006/relationships/hyperlink" Target="https://www.clarity.io/" TargetMode="External"/><Relationship Id="rId3398" Type="http://schemas.openxmlformats.org/officeDocument/2006/relationships/hyperlink" Target="https://www.crunchbase.com/organization/zenbase-2ee1" TargetMode="External"/><Relationship Id="rId2069" Type="http://schemas.openxmlformats.org/officeDocument/2006/relationships/hyperlink" Target="https://www.crunchbase.com/funding_round/clarity-movement-seed--f76b26dc" TargetMode="External"/><Relationship Id="rId3380" Type="http://schemas.openxmlformats.org/officeDocument/2006/relationships/hyperlink" Target="https://www.crunchbase.com/funding_round/brck-inc-seed--a2dbb7fe" TargetMode="External"/><Relationship Id="rId2050" Type="http://schemas.openxmlformats.org/officeDocument/2006/relationships/hyperlink" Target="https://www.crunchbase.com/organization/zerv" TargetMode="External"/><Relationship Id="rId3382" Type="http://schemas.openxmlformats.org/officeDocument/2006/relationships/hyperlink" Target="https://www.crunchbase.com/organization/laborworx" TargetMode="External"/><Relationship Id="rId2051" Type="http://schemas.openxmlformats.org/officeDocument/2006/relationships/hyperlink" Target="https://www.zervaccess.com/" TargetMode="External"/><Relationship Id="rId3381" Type="http://schemas.openxmlformats.org/officeDocument/2006/relationships/hyperlink" Target="https://www.crunchbase.com/funding_round/brck-inc-series-unknown--fdcd377d" TargetMode="External"/><Relationship Id="rId2052" Type="http://schemas.openxmlformats.org/officeDocument/2006/relationships/hyperlink" Target="https://www.crunchbase.com/funding_round/zerv-pre-seed--e5b0f3f5" TargetMode="External"/><Relationship Id="rId3384" Type="http://schemas.openxmlformats.org/officeDocument/2006/relationships/hyperlink" Target="https://www.crunchbase.com/funding_round/laborworx-seed--3172b8d9" TargetMode="External"/><Relationship Id="rId2053" Type="http://schemas.openxmlformats.org/officeDocument/2006/relationships/hyperlink" Target="https://angel.co/company/radiusagent" TargetMode="External"/><Relationship Id="rId3383" Type="http://schemas.openxmlformats.org/officeDocument/2006/relationships/hyperlink" Target="https://laborworx.com/" TargetMode="External"/><Relationship Id="rId2054" Type="http://schemas.openxmlformats.org/officeDocument/2006/relationships/hyperlink" Target="https://www.crunchbase.com/organization/radiusagent" TargetMode="External"/><Relationship Id="rId3386" Type="http://schemas.openxmlformats.org/officeDocument/2006/relationships/hyperlink" Target="https://digibuild.com/" TargetMode="External"/><Relationship Id="rId2055" Type="http://schemas.openxmlformats.org/officeDocument/2006/relationships/hyperlink" Target="https://www.radiusagent.com/realty" TargetMode="External"/><Relationship Id="rId3385" Type="http://schemas.openxmlformats.org/officeDocument/2006/relationships/hyperlink" Target="https://www.crunchbase.com/organization/digibuild" TargetMode="External"/><Relationship Id="rId2056" Type="http://schemas.openxmlformats.org/officeDocument/2006/relationships/hyperlink" Target="https://wellfound.com/company/irrigreen-2" TargetMode="External"/><Relationship Id="rId3388" Type="http://schemas.openxmlformats.org/officeDocument/2006/relationships/hyperlink" Target="https://www.crunchbase.com/funding_round/digibuild-seed--7775eda1" TargetMode="External"/><Relationship Id="rId2057" Type="http://schemas.openxmlformats.org/officeDocument/2006/relationships/hyperlink" Target="https://www.crunchbase.com/organization/irrigreen" TargetMode="External"/><Relationship Id="rId3387" Type="http://schemas.openxmlformats.org/officeDocument/2006/relationships/hyperlink" Target="https://www.crunchbase.com/funding_round/digibuild-pre-seed--c09ddbba" TargetMode="External"/><Relationship Id="rId2058" Type="http://schemas.openxmlformats.org/officeDocument/2006/relationships/hyperlink" Target="https://irrigreen.com/" TargetMode="External"/><Relationship Id="rId2059" Type="http://schemas.openxmlformats.org/officeDocument/2006/relationships/hyperlink" Target="https://www.crunchbase.com/funding_round/irrigreen-seed--0a5ce5ef" TargetMode="External"/><Relationship Id="rId3389" Type="http://schemas.openxmlformats.org/officeDocument/2006/relationships/hyperlink" Target="https://www.crunchbase.com/organization/BuildingIntelligence" TargetMode="External"/><Relationship Id="rId2080" Type="http://schemas.openxmlformats.org/officeDocument/2006/relationships/hyperlink" Target="https://wayhome.co.uk/" TargetMode="External"/><Relationship Id="rId2081" Type="http://schemas.openxmlformats.org/officeDocument/2006/relationships/hyperlink" Target="https://www.crunchbase.com/funding_round/unmortgage-seed--4dea935c" TargetMode="External"/><Relationship Id="rId2082" Type="http://schemas.openxmlformats.org/officeDocument/2006/relationships/hyperlink" Target="https://www.crunchbase.com/funding_round/unmortgage-series-a--4fa1f2bb" TargetMode="External"/><Relationship Id="rId2083" Type="http://schemas.openxmlformats.org/officeDocument/2006/relationships/hyperlink" Target="https://www.crunchbase.com/funding_round/unmortgage-equity-crowdfunding--cb17c121" TargetMode="External"/><Relationship Id="rId2084" Type="http://schemas.openxmlformats.org/officeDocument/2006/relationships/hyperlink" Target="https://wellfound.com/company/tepeo" TargetMode="External"/><Relationship Id="rId2085" Type="http://schemas.openxmlformats.org/officeDocument/2006/relationships/hyperlink" Target="https://www.crunchbase.com/organization/tepeo" TargetMode="External"/><Relationship Id="rId2086" Type="http://schemas.openxmlformats.org/officeDocument/2006/relationships/hyperlink" Target="https://tepeo.com/" TargetMode="External"/><Relationship Id="rId2087" Type="http://schemas.openxmlformats.org/officeDocument/2006/relationships/hyperlink" Target="https://www.crunchbase.com/funding_round/tepeo-seed--dc5caafa" TargetMode="External"/><Relationship Id="rId2088" Type="http://schemas.openxmlformats.org/officeDocument/2006/relationships/hyperlink" Target="https://www.crunchbase.com/funding_round/tepeo-series-a--d54b444f" TargetMode="External"/><Relationship Id="rId2089" Type="http://schemas.openxmlformats.org/officeDocument/2006/relationships/hyperlink" Target="https://angel.co/company/modo-labs" TargetMode="External"/><Relationship Id="rId2070" Type="http://schemas.openxmlformats.org/officeDocument/2006/relationships/hyperlink" Target="https://www.crunchbase.com/funding_round/clarity-movement-series-a--d7c9d883" TargetMode="External"/><Relationship Id="rId2071" Type="http://schemas.openxmlformats.org/officeDocument/2006/relationships/hyperlink" Target="https://www.crunchbase.com/funding_round/clarity-movement-series-a--4279e1b0" TargetMode="External"/><Relationship Id="rId2072" Type="http://schemas.openxmlformats.org/officeDocument/2006/relationships/hyperlink" Target="https://angel.co/company/engrain" TargetMode="External"/><Relationship Id="rId2073" Type="http://schemas.openxmlformats.org/officeDocument/2006/relationships/hyperlink" Target="https://www.crunchbase.com/organization/engrain" TargetMode="External"/><Relationship Id="rId2074" Type="http://schemas.openxmlformats.org/officeDocument/2006/relationships/hyperlink" Target="https://engrain.com/" TargetMode="External"/><Relationship Id="rId2075" Type="http://schemas.openxmlformats.org/officeDocument/2006/relationships/hyperlink" Target="https://www.crunchbase.com/funding_round/engrain-series-a--4c08c71c" TargetMode="External"/><Relationship Id="rId2076" Type="http://schemas.openxmlformats.org/officeDocument/2006/relationships/hyperlink" Target="https://www.crunchbase.com/organization/concreit" TargetMode="External"/><Relationship Id="rId2077" Type="http://schemas.openxmlformats.org/officeDocument/2006/relationships/hyperlink" Target="https://concreit.com/" TargetMode="External"/><Relationship Id="rId2078" Type="http://schemas.openxmlformats.org/officeDocument/2006/relationships/hyperlink" Target="https://angel.co/company/wayhomeuk" TargetMode="External"/><Relationship Id="rId2079" Type="http://schemas.openxmlformats.org/officeDocument/2006/relationships/hyperlink" Target="https://www.crunchbase.com/organization/unmortgage" TargetMode="External"/><Relationship Id="rId4723" Type="http://schemas.openxmlformats.org/officeDocument/2006/relationships/hyperlink" Target="https://badgerboxstorage.com/" TargetMode="External"/><Relationship Id="rId4722" Type="http://schemas.openxmlformats.org/officeDocument/2006/relationships/hyperlink" Target="https://angel.co/company/badger-box-storage-1" TargetMode="External"/><Relationship Id="rId4725" Type="http://schemas.openxmlformats.org/officeDocument/2006/relationships/hyperlink" Target="https://angel.co/company/barsala-1" TargetMode="External"/><Relationship Id="rId4724" Type="http://schemas.openxmlformats.org/officeDocument/2006/relationships/hyperlink" Target="https://www.bwlogic.com" TargetMode="External"/><Relationship Id="rId4727" Type="http://schemas.openxmlformats.org/officeDocument/2006/relationships/hyperlink" Target="https://www.barsala.com" TargetMode="External"/><Relationship Id="rId4726" Type="http://schemas.openxmlformats.org/officeDocument/2006/relationships/hyperlink" Target="https://www.crunchbase.com/organization/barsala" TargetMode="External"/><Relationship Id="rId4729" Type="http://schemas.openxmlformats.org/officeDocument/2006/relationships/hyperlink" Target="https://www.mybasis.io/" TargetMode="External"/><Relationship Id="rId4728" Type="http://schemas.openxmlformats.org/officeDocument/2006/relationships/hyperlink" Target="https://www.crunchbase.com/organization/basis-852e" TargetMode="External"/><Relationship Id="rId4721" Type="http://schemas.openxmlformats.org/officeDocument/2006/relationships/hyperlink" Target="https://bline.io/" TargetMode="External"/><Relationship Id="rId4720" Type="http://schemas.openxmlformats.org/officeDocument/2006/relationships/hyperlink" Target="https://www.crunchbase.com/organization/b-line" TargetMode="External"/><Relationship Id="rId4712" Type="http://schemas.openxmlformats.org/officeDocument/2006/relationships/hyperlink" Target="https://www.awaremanager.com/" TargetMode="External"/><Relationship Id="rId4711" Type="http://schemas.openxmlformats.org/officeDocument/2006/relationships/hyperlink" Target="https://www.crunchbase.com/organization/awaremanager" TargetMode="External"/><Relationship Id="rId4714" Type="http://schemas.openxmlformats.org/officeDocument/2006/relationships/hyperlink" Target="https://axcademy.com/" TargetMode="External"/><Relationship Id="rId4713" Type="http://schemas.openxmlformats.org/officeDocument/2006/relationships/hyperlink" Target="https://angel.co/u/axcademy" TargetMode="External"/><Relationship Id="rId4716" Type="http://schemas.openxmlformats.org/officeDocument/2006/relationships/hyperlink" Target="https://axiomprint.com/" TargetMode="External"/><Relationship Id="rId4715" Type="http://schemas.openxmlformats.org/officeDocument/2006/relationships/hyperlink" Target="https://www.axiomrealestatesolutions.com/" TargetMode="External"/><Relationship Id="rId4718" Type="http://schemas.openxmlformats.org/officeDocument/2006/relationships/hyperlink" Target="https://axxerionusa.com/" TargetMode="External"/><Relationship Id="rId4717" Type="http://schemas.openxmlformats.org/officeDocument/2006/relationships/hyperlink" Target="https://www.crunchbase.com/organization/axxerion" TargetMode="External"/><Relationship Id="rId4719" Type="http://schemas.openxmlformats.org/officeDocument/2006/relationships/hyperlink" Target="https://angel.co/company/b-line-analytics" TargetMode="External"/><Relationship Id="rId4710" Type="http://schemas.openxmlformats.org/officeDocument/2006/relationships/hyperlink" Target="https://angel.co/awaremanager" TargetMode="External"/><Relationship Id="rId3414" Type="http://schemas.openxmlformats.org/officeDocument/2006/relationships/hyperlink" Target="https://angel.co/company/closinglock" TargetMode="External"/><Relationship Id="rId4745" Type="http://schemas.openxmlformats.org/officeDocument/2006/relationships/hyperlink" Target="https://www.crunchbase.com/organization/bert" TargetMode="External"/><Relationship Id="rId3413" Type="http://schemas.openxmlformats.org/officeDocument/2006/relationships/hyperlink" Target="https://angel.co/company/carson-5/jobs" TargetMode="External"/><Relationship Id="rId4744" Type="http://schemas.openxmlformats.org/officeDocument/2006/relationships/hyperlink" Target="https://www.berlitz.ae/" TargetMode="External"/><Relationship Id="rId3416" Type="http://schemas.openxmlformats.org/officeDocument/2006/relationships/hyperlink" Target="http://www.closinglock.com/" TargetMode="External"/><Relationship Id="rId4747" Type="http://schemas.openxmlformats.org/officeDocument/2006/relationships/hyperlink" Target="http://bidafi.com" TargetMode="External"/><Relationship Id="rId3415" Type="http://schemas.openxmlformats.org/officeDocument/2006/relationships/hyperlink" Target="https://www.crunchbase.com/organization/closinglock" TargetMode="External"/><Relationship Id="rId4746" Type="http://schemas.openxmlformats.org/officeDocument/2006/relationships/hyperlink" Target="https://bertbrain.com/" TargetMode="External"/><Relationship Id="rId3418" Type="http://schemas.openxmlformats.org/officeDocument/2006/relationships/hyperlink" Target="https://angel.co/company/kogniz-2" TargetMode="External"/><Relationship Id="rId4749" Type="http://schemas.openxmlformats.org/officeDocument/2006/relationships/hyperlink" Target="https://www.crunchbase.com/organization/data-science-council-of-america" TargetMode="External"/><Relationship Id="rId3417" Type="http://schemas.openxmlformats.org/officeDocument/2006/relationships/hyperlink" Target="https://www.crunchbase.com/funding_round/closinglock-seed--884e92cb" TargetMode="External"/><Relationship Id="rId4748" Type="http://schemas.openxmlformats.org/officeDocument/2006/relationships/hyperlink" Target="http://www.bidafi.com/" TargetMode="External"/><Relationship Id="rId3419" Type="http://schemas.openxmlformats.org/officeDocument/2006/relationships/hyperlink" Target="https://www.crunchbase.com/organization/kogniz" TargetMode="External"/><Relationship Id="rId3410" Type="http://schemas.openxmlformats.org/officeDocument/2006/relationships/hyperlink" Target="https://www.crunchbase.com/organization/bentley-systems" TargetMode="External"/><Relationship Id="rId4741" Type="http://schemas.openxmlformats.org/officeDocument/2006/relationships/hyperlink" Target="https://angel.co/company/bei-re" TargetMode="External"/><Relationship Id="rId4740" Type="http://schemas.openxmlformats.org/officeDocument/2006/relationships/hyperlink" Target="http://bei.re" TargetMode="External"/><Relationship Id="rId3412" Type="http://schemas.openxmlformats.org/officeDocument/2006/relationships/hyperlink" Target="https://www.crunchbase.com/funding_round/bellman-immo-seed--9998779d" TargetMode="External"/><Relationship Id="rId4743" Type="http://schemas.openxmlformats.org/officeDocument/2006/relationships/hyperlink" Target="https://www.crunchbase.com/organization/berlitz-language-center-uae" TargetMode="External"/><Relationship Id="rId3411" Type="http://schemas.openxmlformats.org/officeDocument/2006/relationships/hyperlink" Target="http://www.bentley.com/en-US" TargetMode="External"/><Relationship Id="rId4742" Type="http://schemas.openxmlformats.org/officeDocument/2006/relationships/hyperlink" Target="https://www.bei.re/" TargetMode="External"/><Relationship Id="rId3403" Type="http://schemas.openxmlformats.org/officeDocument/2006/relationships/hyperlink" Target="https://www.crunchbase.com/organization/fyxt" TargetMode="External"/><Relationship Id="rId4734" Type="http://schemas.openxmlformats.org/officeDocument/2006/relationships/hyperlink" Target="https://angel.co/company/bead-digital" TargetMode="External"/><Relationship Id="rId3402" Type="http://schemas.openxmlformats.org/officeDocument/2006/relationships/hyperlink" Target="http://www.locatee.com" TargetMode="External"/><Relationship Id="rId4733" Type="http://schemas.openxmlformats.org/officeDocument/2006/relationships/hyperlink" Target="https://www.bayabuild.com/" TargetMode="External"/><Relationship Id="rId3405" Type="http://schemas.openxmlformats.org/officeDocument/2006/relationships/hyperlink" Target="https://angel.co/company/automated-insights" TargetMode="External"/><Relationship Id="rId4736" Type="http://schemas.openxmlformats.org/officeDocument/2006/relationships/hyperlink" Target="https://www.bead.digital/" TargetMode="External"/><Relationship Id="rId3404" Type="http://schemas.openxmlformats.org/officeDocument/2006/relationships/hyperlink" Target="https://fyxt.com/" TargetMode="External"/><Relationship Id="rId4735" Type="http://schemas.openxmlformats.org/officeDocument/2006/relationships/hyperlink" Target="https://www.crunchbase.com/organization/positive-energy" TargetMode="External"/><Relationship Id="rId3407" Type="http://schemas.openxmlformats.org/officeDocument/2006/relationships/hyperlink" Target="https://automatedinsights.com/" TargetMode="External"/><Relationship Id="rId4738" Type="http://schemas.openxmlformats.org/officeDocument/2006/relationships/hyperlink" Target="https://www.crunchbase.com/organization/one-hundred-feet-inc" TargetMode="External"/><Relationship Id="rId3406" Type="http://schemas.openxmlformats.org/officeDocument/2006/relationships/hyperlink" Target="https://www.crunchbase.com/organization/automated-insights" TargetMode="External"/><Relationship Id="rId4737" Type="http://schemas.openxmlformats.org/officeDocument/2006/relationships/hyperlink" Target="http://beans.ai/" TargetMode="External"/><Relationship Id="rId3409" Type="http://schemas.openxmlformats.org/officeDocument/2006/relationships/hyperlink" Target="https://angel.co/company/bentley-systems" TargetMode="External"/><Relationship Id="rId3408" Type="http://schemas.openxmlformats.org/officeDocument/2006/relationships/hyperlink" Target="https://www.crunchbase.com/funding_round/automated-insights-series-a--6b2b4834" TargetMode="External"/><Relationship Id="rId4739" Type="http://schemas.openxmlformats.org/officeDocument/2006/relationships/hyperlink" Target="https://www.beans.ai/" TargetMode="External"/><Relationship Id="rId4730" Type="http://schemas.openxmlformats.org/officeDocument/2006/relationships/hyperlink" Target="https://angel.co/company/usebask" TargetMode="External"/><Relationship Id="rId3401" Type="http://schemas.openxmlformats.org/officeDocument/2006/relationships/hyperlink" Target="https://www.crunchbase.com/organization/locatee" TargetMode="External"/><Relationship Id="rId4732" Type="http://schemas.openxmlformats.org/officeDocument/2006/relationships/hyperlink" Target="https://www.crunchbase.com/organization/baya" TargetMode="External"/><Relationship Id="rId3400" Type="http://schemas.openxmlformats.org/officeDocument/2006/relationships/hyperlink" Target="https://angel.co/company/locatee" TargetMode="External"/><Relationship Id="rId4731" Type="http://schemas.openxmlformats.org/officeDocument/2006/relationships/hyperlink" Target="http://www.usebask.com/" TargetMode="External"/><Relationship Id="rId4701" Type="http://schemas.openxmlformats.org/officeDocument/2006/relationships/hyperlink" Target="https://accessats.com/" TargetMode="External"/><Relationship Id="rId4700" Type="http://schemas.openxmlformats.org/officeDocument/2006/relationships/hyperlink" Target="https://www.crunchbase.com/organization/atlantic-tower-services-ats" TargetMode="External"/><Relationship Id="rId4703" Type="http://schemas.openxmlformats.org/officeDocument/2006/relationships/hyperlink" Target="https://www.crunchbase.com/organization/attom-data-solutions" TargetMode="External"/><Relationship Id="rId4702" Type="http://schemas.openxmlformats.org/officeDocument/2006/relationships/hyperlink" Target="https://angel.co/attom-data-solutions" TargetMode="External"/><Relationship Id="rId4705" Type="http://schemas.openxmlformats.org/officeDocument/2006/relationships/hyperlink" Target="http://auction.com/" TargetMode="External"/><Relationship Id="rId4704" Type="http://schemas.openxmlformats.org/officeDocument/2006/relationships/hyperlink" Target="http://www.attomdata.com/" TargetMode="External"/><Relationship Id="rId4707" Type="http://schemas.openxmlformats.org/officeDocument/2006/relationships/hyperlink" Target="https://www.crunchbase.com/organization/auction-com" TargetMode="External"/><Relationship Id="rId4706" Type="http://schemas.openxmlformats.org/officeDocument/2006/relationships/hyperlink" Target="https://angel.co/company/tenx/people" TargetMode="External"/><Relationship Id="rId4709" Type="http://schemas.openxmlformats.org/officeDocument/2006/relationships/hyperlink" Target="https://augmentedrealitease.com/" TargetMode="External"/><Relationship Id="rId4708" Type="http://schemas.openxmlformats.org/officeDocument/2006/relationships/hyperlink" Target="https://www.auction.com/" TargetMode="External"/><Relationship Id="rId2148" Type="http://schemas.openxmlformats.org/officeDocument/2006/relationships/hyperlink" Target="https://milestones.ai/" TargetMode="External"/><Relationship Id="rId2149" Type="http://schemas.openxmlformats.org/officeDocument/2006/relationships/hyperlink" Target="https://www.crunchbase.com/funding_round/milestones-labs-seed--7ccc7cdd" TargetMode="External"/><Relationship Id="rId3479" Type="http://schemas.openxmlformats.org/officeDocument/2006/relationships/hyperlink" Target="https://www.crunchbase.com/funding_round/faradai-seed--2b34a5de" TargetMode="External"/><Relationship Id="rId3470" Type="http://schemas.openxmlformats.org/officeDocument/2006/relationships/hyperlink" Target="https://www.soilconnect.com/" TargetMode="External"/><Relationship Id="rId2140" Type="http://schemas.openxmlformats.org/officeDocument/2006/relationships/hyperlink" Target="https://www.crunchbase.com/organization/apx-labs" TargetMode="External"/><Relationship Id="rId3472" Type="http://schemas.openxmlformats.org/officeDocument/2006/relationships/hyperlink" Target="https://www.crunchbase.com/organization/dottid" TargetMode="External"/><Relationship Id="rId2141" Type="http://schemas.openxmlformats.org/officeDocument/2006/relationships/hyperlink" Target="https://upskill.io/" TargetMode="External"/><Relationship Id="rId3471" Type="http://schemas.openxmlformats.org/officeDocument/2006/relationships/hyperlink" Target="https://angel.co/company/dottid" TargetMode="External"/><Relationship Id="rId2142" Type="http://schemas.openxmlformats.org/officeDocument/2006/relationships/hyperlink" Target="https://angel.co/honest-buildings/" TargetMode="External"/><Relationship Id="rId3474" Type="http://schemas.openxmlformats.org/officeDocument/2006/relationships/hyperlink" Target="https://www.crunchbase.com/organization/shojin-property-partners" TargetMode="External"/><Relationship Id="rId2143" Type="http://schemas.openxmlformats.org/officeDocument/2006/relationships/hyperlink" Target="https://www.crunchbase.com/organization/honest-buildings" TargetMode="External"/><Relationship Id="rId3473" Type="http://schemas.openxmlformats.org/officeDocument/2006/relationships/hyperlink" Target="http://dottid.com/" TargetMode="External"/><Relationship Id="rId2144" Type="http://schemas.openxmlformats.org/officeDocument/2006/relationships/hyperlink" Target="http://honestbuildings.com/" TargetMode="External"/><Relationship Id="rId3476" Type="http://schemas.openxmlformats.org/officeDocument/2006/relationships/hyperlink" Target="https://www.crunchbase.com/organization/faradai" TargetMode="External"/><Relationship Id="rId2145" Type="http://schemas.openxmlformats.org/officeDocument/2006/relationships/hyperlink" Target="https://www.crunchbase.com/organization/honeycombinsurance" TargetMode="External"/><Relationship Id="rId3475" Type="http://schemas.openxmlformats.org/officeDocument/2006/relationships/hyperlink" Target="https://www.shojin.co.uk/" TargetMode="External"/><Relationship Id="rId2146" Type="http://schemas.openxmlformats.org/officeDocument/2006/relationships/hyperlink" Target="https://honeycombinsurance.com/" TargetMode="External"/><Relationship Id="rId3478" Type="http://schemas.openxmlformats.org/officeDocument/2006/relationships/hyperlink" Target="https://www.crunchbase.com/funding_round/faradai-pre-seed--5a3060e7" TargetMode="External"/><Relationship Id="rId2147" Type="http://schemas.openxmlformats.org/officeDocument/2006/relationships/hyperlink" Target="https://www.crunchbase.com/organization/milestones-labs" TargetMode="External"/><Relationship Id="rId3477" Type="http://schemas.openxmlformats.org/officeDocument/2006/relationships/hyperlink" Target="https://faradai.ai/" TargetMode="External"/><Relationship Id="rId2137" Type="http://schemas.openxmlformats.org/officeDocument/2006/relationships/hyperlink" Target="https://angel.co/company/beanstock-fr" TargetMode="External"/><Relationship Id="rId3469" Type="http://schemas.openxmlformats.org/officeDocument/2006/relationships/hyperlink" Target="https://www.crunchbase.com/organization/soil-connect" TargetMode="External"/><Relationship Id="rId2138" Type="http://schemas.openxmlformats.org/officeDocument/2006/relationships/hyperlink" Target="https://www.crunchbase.com/organization/beanstock-a735" TargetMode="External"/><Relationship Id="rId3468" Type="http://schemas.openxmlformats.org/officeDocument/2006/relationships/hyperlink" Target="https://angel.co/company/soil-connect" TargetMode="External"/><Relationship Id="rId4799" Type="http://schemas.openxmlformats.org/officeDocument/2006/relationships/hyperlink" Target="http://www.brivo.com/" TargetMode="External"/><Relationship Id="rId2139" Type="http://schemas.openxmlformats.org/officeDocument/2006/relationships/hyperlink" Target="https://beanstock.com/en/" TargetMode="External"/><Relationship Id="rId4790" Type="http://schemas.openxmlformats.org/officeDocument/2006/relationships/hyperlink" Target="https://brelion.com/" TargetMode="External"/><Relationship Id="rId3461" Type="http://schemas.openxmlformats.org/officeDocument/2006/relationships/hyperlink" Target="https://www.kodehyve.com/" TargetMode="External"/><Relationship Id="rId4792" Type="http://schemas.openxmlformats.org/officeDocument/2006/relationships/hyperlink" Target="https://angel.co/company/brick-work-1" TargetMode="External"/><Relationship Id="rId2130" Type="http://schemas.openxmlformats.org/officeDocument/2006/relationships/hyperlink" Target="https://www.crunchbase.com/funding_round/mixergy-ltd-seed--27382ecf" TargetMode="External"/><Relationship Id="rId3460" Type="http://schemas.openxmlformats.org/officeDocument/2006/relationships/hyperlink" Target="https://www.crunchbase.com/organization/kodehyve" TargetMode="External"/><Relationship Id="rId4791" Type="http://schemas.openxmlformats.org/officeDocument/2006/relationships/hyperlink" Target="https://www.brevvie.com/" TargetMode="External"/><Relationship Id="rId2131" Type="http://schemas.openxmlformats.org/officeDocument/2006/relationships/hyperlink" Target="https://www.crunchbase.com/funding_round/mixergy-ltd-series-a--4438f541" TargetMode="External"/><Relationship Id="rId3463" Type="http://schemas.openxmlformats.org/officeDocument/2006/relationships/hyperlink" Target="https://www.crunchbase.com/funding_round/kodehyve-private-equity--c3561963" TargetMode="External"/><Relationship Id="rId4794" Type="http://schemas.openxmlformats.org/officeDocument/2006/relationships/hyperlink" Target="http://www.brickwork.la" TargetMode="External"/><Relationship Id="rId2132" Type="http://schemas.openxmlformats.org/officeDocument/2006/relationships/hyperlink" Target="https://www.crunchbase.com/funding_round/mixergy-ltd-series-unknown--2aab5696" TargetMode="External"/><Relationship Id="rId3462" Type="http://schemas.openxmlformats.org/officeDocument/2006/relationships/hyperlink" Target="https://www.crunchbase.com/funding_round/kodehyve-seed--22356521" TargetMode="External"/><Relationship Id="rId4793" Type="http://schemas.openxmlformats.org/officeDocument/2006/relationships/hyperlink" Target="https://www.crunchbase.com/organization/brick-work" TargetMode="External"/><Relationship Id="rId2133" Type="http://schemas.openxmlformats.org/officeDocument/2006/relationships/hyperlink" Target="https://www.crunchbase.com/funding_round/mixergy-ltd-grant--8b9a31a7" TargetMode="External"/><Relationship Id="rId3465" Type="http://schemas.openxmlformats.org/officeDocument/2006/relationships/hyperlink" Target="https://angel.co/company/propoly" TargetMode="External"/><Relationship Id="rId4796" Type="http://schemas.openxmlformats.org/officeDocument/2006/relationships/hyperlink" Target="https://www.brickop.com/" TargetMode="External"/><Relationship Id="rId2134" Type="http://schemas.openxmlformats.org/officeDocument/2006/relationships/hyperlink" Target="https://angel.co/company/flatfair" TargetMode="External"/><Relationship Id="rId3464" Type="http://schemas.openxmlformats.org/officeDocument/2006/relationships/hyperlink" Target="https://www.crunchbase.com/funding_round/kodehyve-grant--f1072a62" TargetMode="External"/><Relationship Id="rId4795" Type="http://schemas.openxmlformats.org/officeDocument/2006/relationships/hyperlink" Target="https://angel.co/company/brickop-2" TargetMode="External"/><Relationship Id="rId2135" Type="http://schemas.openxmlformats.org/officeDocument/2006/relationships/hyperlink" Target="https://www.crunchbase.com/organization/flatfair" TargetMode="External"/><Relationship Id="rId3467" Type="http://schemas.openxmlformats.org/officeDocument/2006/relationships/hyperlink" Target="http://www.propoly.com/" TargetMode="External"/><Relationship Id="rId4798" Type="http://schemas.openxmlformats.org/officeDocument/2006/relationships/hyperlink" Target="https://www.crunchbase.com/organization/brivo-systems-inc" TargetMode="External"/><Relationship Id="rId2136" Type="http://schemas.openxmlformats.org/officeDocument/2006/relationships/hyperlink" Target="https://www.flatfair.co.uk/" TargetMode="External"/><Relationship Id="rId3466" Type="http://schemas.openxmlformats.org/officeDocument/2006/relationships/hyperlink" Target="https://www.crunchbase.com/organization/propoly" TargetMode="External"/><Relationship Id="rId4797" Type="http://schemas.openxmlformats.org/officeDocument/2006/relationships/hyperlink" Target="https://angel.co/brivo-systems" TargetMode="External"/><Relationship Id="rId3490" Type="http://schemas.openxmlformats.org/officeDocument/2006/relationships/hyperlink" Target="http://realatom.com/" TargetMode="External"/><Relationship Id="rId2160" Type="http://schemas.openxmlformats.org/officeDocument/2006/relationships/hyperlink" Target="https://angel.co/company/daisy-intelligence-1" TargetMode="External"/><Relationship Id="rId3492" Type="http://schemas.openxmlformats.org/officeDocument/2006/relationships/hyperlink" Target="https://www.patch.work/" TargetMode="External"/><Relationship Id="rId2161" Type="http://schemas.openxmlformats.org/officeDocument/2006/relationships/hyperlink" Target="https://www.crunchbase.com/organization/daisy-intelligence-corporation" TargetMode="External"/><Relationship Id="rId3491" Type="http://schemas.openxmlformats.org/officeDocument/2006/relationships/hyperlink" Target="https://www.crunchbase.com/organization/patch-2019" TargetMode="External"/><Relationship Id="rId2162" Type="http://schemas.openxmlformats.org/officeDocument/2006/relationships/hyperlink" Target="https://www.daisyintelligence.com/" TargetMode="External"/><Relationship Id="rId3494" Type="http://schemas.openxmlformats.org/officeDocument/2006/relationships/hyperlink" Target="https://angel.co/company/rentcheck" TargetMode="External"/><Relationship Id="rId2163" Type="http://schemas.openxmlformats.org/officeDocument/2006/relationships/hyperlink" Target="https://angel.co/company/fernish" TargetMode="External"/><Relationship Id="rId3493" Type="http://schemas.openxmlformats.org/officeDocument/2006/relationships/hyperlink" Target="https://www.crunchbase.com/funding_round/patch-2019-seed--497c0c2f" TargetMode="External"/><Relationship Id="rId2164" Type="http://schemas.openxmlformats.org/officeDocument/2006/relationships/hyperlink" Target="https://www.crunchbase.com/organization/fernish" TargetMode="External"/><Relationship Id="rId3496" Type="http://schemas.openxmlformats.org/officeDocument/2006/relationships/hyperlink" Target="https://getrentcheck.com/" TargetMode="External"/><Relationship Id="rId2165" Type="http://schemas.openxmlformats.org/officeDocument/2006/relationships/hyperlink" Target="https://www.fernish.com/" TargetMode="External"/><Relationship Id="rId3495" Type="http://schemas.openxmlformats.org/officeDocument/2006/relationships/hyperlink" Target="https://www.crunchbase.com/organization/rentcheck" TargetMode="External"/><Relationship Id="rId2166" Type="http://schemas.openxmlformats.org/officeDocument/2006/relationships/hyperlink" Target="https://angel.co/company/leasecake" TargetMode="External"/><Relationship Id="rId3498" Type="http://schemas.openxmlformats.org/officeDocument/2006/relationships/hyperlink" Target="http://www.projecthero.in/" TargetMode="External"/><Relationship Id="rId2167" Type="http://schemas.openxmlformats.org/officeDocument/2006/relationships/hyperlink" Target="https://www.crunchbase.com/organization/leasecake-inc" TargetMode="External"/><Relationship Id="rId3497" Type="http://schemas.openxmlformats.org/officeDocument/2006/relationships/hyperlink" Target="https://www.crunchbase.com/organization/project-hero" TargetMode="External"/><Relationship Id="rId2168" Type="http://schemas.openxmlformats.org/officeDocument/2006/relationships/hyperlink" Target="https://leasecake.com" TargetMode="External"/><Relationship Id="rId2169" Type="http://schemas.openxmlformats.org/officeDocument/2006/relationships/hyperlink" Target="https://www.crunchbase.com/funding_round/leasecake-inc-seed--b160283e" TargetMode="External"/><Relationship Id="rId3499" Type="http://schemas.openxmlformats.org/officeDocument/2006/relationships/hyperlink" Target="https://www.crunchbase.com/funding_round/project-hero-pre-seed--51746224" TargetMode="External"/><Relationship Id="rId2159" Type="http://schemas.openxmlformats.org/officeDocument/2006/relationships/hyperlink" Target="https://www.oriient.me/" TargetMode="External"/><Relationship Id="rId3481" Type="http://schemas.openxmlformats.org/officeDocument/2006/relationships/hyperlink" Target="https://www.crunchbase.com/organization/elude-2" TargetMode="External"/><Relationship Id="rId2150" Type="http://schemas.openxmlformats.org/officeDocument/2006/relationships/hyperlink" Target="https://www.crunchbase.com/funding_round/milestones-labs-series-a--4d979313" TargetMode="External"/><Relationship Id="rId3480" Type="http://schemas.openxmlformats.org/officeDocument/2006/relationships/hyperlink" Target="https://angel.co/company/elude__" TargetMode="External"/><Relationship Id="rId2151" Type="http://schemas.openxmlformats.org/officeDocument/2006/relationships/hyperlink" Target="https://angel.co/crexi-com" TargetMode="External"/><Relationship Id="rId3483" Type="http://schemas.openxmlformats.org/officeDocument/2006/relationships/hyperlink" Target="https://angel.co/company/perch-mortgage" TargetMode="External"/><Relationship Id="rId2152" Type="http://schemas.openxmlformats.org/officeDocument/2006/relationships/hyperlink" Target="https://www.crunchbase.com/organization/crexi" TargetMode="External"/><Relationship Id="rId3482" Type="http://schemas.openxmlformats.org/officeDocument/2006/relationships/hyperlink" Target="https://elude.co/" TargetMode="External"/><Relationship Id="rId2153" Type="http://schemas.openxmlformats.org/officeDocument/2006/relationships/hyperlink" Target="https://angel.co/company/leaseable" TargetMode="External"/><Relationship Id="rId3485" Type="http://schemas.openxmlformats.org/officeDocument/2006/relationships/hyperlink" Target="https://www.myperch.io/" TargetMode="External"/><Relationship Id="rId2154" Type="http://schemas.openxmlformats.org/officeDocument/2006/relationships/hyperlink" Target="https://www.crunchbase.com/organization/leaseable" TargetMode="External"/><Relationship Id="rId3484" Type="http://schemas.openxmlformats.org/officeDocument/2006/relationships/hyperlink" Target="https://www.crunchbase.com/organization/perchcanada" TargetMode="External"/><Relationship Id="rId2155" Type="http://schemas.openxmlformats.org/officeDocument/2006/relationships/hyperlink" Target="https://www.leaseable.com/" TargetMode="External"/><Relationship Id="rId3487" Type="http://schemas.openxmlformats.org/officeDocument/2006/relationships/hyperlink" Target="https://www.crunchbase.com/funding_round/perchcanada-series-a--dfc7266a" TargetMode="External"/><Relationship Id="rId2156" Type="http://schemas.openxmlformats.org/officeDocument/2006/relationships/hyperlink" Target="https://www.crunchbase.com/funding_round/leaseable-seed--d82c5c7e" TargetMode="External"/><Relationship Id="rId3486" Type="http://schemas.openxmlformats.org/officeDocument/2006/relationships/hyperlink" Target="https://www.crunchbase.com/funding_round/perchcanada-seed--f450421d" TargetMode="External"/><Relationship Id="rId2157" Type="http://schemas.openxmlformats.org/officeDocument/2006/relationships/hyperlink" Target="https://www.crunchbase.com/funding_round/leaseable-series-a--64f72528" TargetMode="External"/><Relationship Id="rId3489" Type="http://schemas.openxmlformats.org/officeDocument/2006/relationships/hyperlink" Target="https://www.crunchbase.com/organization/realatom" TargetMode="External"/><Relationship Id="rId2158" Type="http://schemas.openxmlformats.org/officeDocument/2006/relationships/hyperlink" Target="https://www.crunchbase.com/organization/oriient" TargetMode="External"/><Relationship Id="rId3488" Type="http://schemas.openxmlformats.org/officeDocument/2006/relationships/hyperlink" Target="https://angel.co/realatom" TargetMode="External"/><Relationship Id="rId2104" Type="http://schemas.openxmlformats.org/officeDocument/2006/relationships/hyperlink" Target="https://angel.co/company/purchasing-platform" TargetMode="External"/><Relationship Id="rId3436" Type="http://schemas.openxmlformats.org/officeDocument/2006/relationships/hyperlink" Target="https://colabs.pk/" TargetMode="External"/><Relationship Id="rId4767" Type="http://schemas.openxmlformats.org/officeDocument/2006/relationships/hyperlink" Target="https://angel.co/company/blurspy-software" TargetMode="External"/><Relationship Id="rId2105" Type="http://schemas.openxmlformats.org/officeDocument/2006/relationships/hyperlink" Target="https://www.crunchbase.com/organization/purchasing-platform" TargetMode="External"/><Relationship Id="rId3435" Type="http://schemas.openxmlformats.org/officeDocument/2006/relationships/hyperlink" Target="https://colabs.pk/" TargetMode="External"/><Relationship Id="rId4766" Type="http://schemas.openxmlformats.org/officeDocument/2006/relationships/hyperlink" Target="https://www.bluepay.com/" TargetMode="External"/><Relationship Id="rId2106" Type="http://schemas.openxmlformats.org/officeDocument/2006/relationships/hyperlink" Target="https://www.purchasingplatform.com/w/" TargetMode="External"/><Relationship Id="rId3438" Type="http://schemas.openxmlformats.org/officeDocument/2006/relationships/hyperlink" Target="https://juraganmaterial.id/" TargetMode="External"/><Relationship Id="rId4769" Type="http://schemas.openxmlformats.org/officeDocument/2006/relationships/hyperlink" Target="https://www.blurspy.com/" TargetMode="External"/><Relationship Id="rId2107" Type="http://schemas.openxmlformats.org/officeDocument/2006/relationships/hyperlink" Target="https://www.crunchbase.com/funding_round/purchasing-platform-series-unknown--b8ffd929" TargetMode="External"/><Relationship Id="rId3437" Type="http://schemas.openxmlformats.org/officeDocument/2006/relationships/hyperlink" Target="https://www.crunchbase.com/organization/juragan-material" TargetMode="External"/><Relationship Id="rId4768" Type="http://schemas.openxmlformats.org/officeDocument/2006/relationships/hyperlink" Target="https://www.crunchbase.com/organization/blurspy" TargetMode="External"/><Relationship Id="rId2108" Type="http://schemas.openxmlformats.org/officeDocument/2006/relationships/hyperlink" Target="https://www.crunchbase.com/organization/buildots" TargetMode="External"/><Relationship Id="rId2109" Type="http://schemas.openxmlformats.org/officeDocument/2006/relationships/hyperlink" Target="https://buildots.com/" TargetMode="External"/><Relationship Id="rId3439" Type="http://schemas.openxmlformats.org/officeDocument/2006/relationships/hyperlink" Target="https://www.crunchbase.com/funding_round/juragan-material-seed--4d1b3807" TargetMode="External"/><Relationship Id="rId3430" Type="http://schemas.openxmlformats.org/officeDocument/2006/relationships/hyperlink" Target="https://angel.co/company/bateau" TargetMode="External"/><Relationship Id="rId4761" Type="http://schemas.openxmlformats.org/officeDocument/2006/relationships/hyperlink" Target="https://angel.co/blockvue-1" TargetMode="External"/><Relationship Id="rId4760" Type="http://schemas.openxmlformats.org/officeDocument/2006/relationships/hyperlink" Target="http://blocksquare.io" TargetMode="External"/><Relationship Id="rId2100" Type="http://schemas.openxmlformats.org/officeDocument/2006/relationships/hyperlink" Target="https://www.crunchbase.com/funding_round/propseller-series-a--d0b1bcb5" TargetMode="External"/><Relationship Id="rId3432" Type="http://schemas.openxmlformats.org/officeDocument/2006/relationships/hyperlink" Target="https://www.trybateau.com/" TargetMode="External"/><Relationship Id="rId4763" Type="http://schemas.openxmlformats.org/officeDocument/2006/relationships/hyperlink" Target="https://blockvue.com/" TargetMode="External"/><Relationship Id="rId2101" Type="http://schemas.openxmlformats.org/officeDocument/2006/relationships/hyperlink" Target="https://angel.co/company/pallet-4" TargetMode="External"/><Relationship Id="rId3431" Type="http://schemas.openxmlformats.org/officeDocument/2006/relationships/hyperlink" Target="https://www.crunchbase.com/organization/bateau" TargetMode="External"/><Relationship Id="rId4762" Type="http://schemas.openxmlformats.org/officeDocument/2006/relationships/hyperlink" Target="https://www.crunchbase.com/organization/blockvue" TargetMode="External"/><Relationship Id="rId2102" Type="http://schemas.openxmlformats.org/officeDocument/2006/relationships/hyperlink" Target="https://www.crunchbase.com/organization/pallet" TargetMode="External"/><Relationship Id="rId3434" Type="http://schemas.openxmlformats.org/officeDocument/2006/relationships/hyperlink" Target="https://www.captainhq.com/" TargetMode="External"/><Relationship Id="rId4765" Type="http://schemas.openxmlformats.org/officeDocument/2006/relationships/hyperlink" Target="https://www.crunchbase.com/organization/bluepay" TargetMode="External"/><Relationship Id="rId2103" Type="http://schemas.openxmlformats.org/officeDocument/2006/relationships/hyperlink" Target="https://www.palletshelter.com/" TargetMode="External"/><Relationship Id="rId3433" Type="http://schemas.openxmlformats.org/officeDocument/2006/relationships/hyperlink" Target="https://www.crunchbase.com/organization/captain-4068" TargetMode="External"/><Relationship Id="rId4764" Type="http://schemas.openxmlformats.org/officeDocument/2006/relationships/hyperlink" Target="https://angel.co/company/bluepay-1" TargetMode="External"/><Relationship Id="rId3425" Type="http://schemas.openxmlformats.org/officeDocument/2006/relationships/hyperlink" Target="https://www.crunchbase.com/funding_round/rhino-seed--7aed8357" TargetMode="External"/><Relationship Id="rId4756" Type="http://schemas.openxmlformats.org/officeDocument/2006/relationships/hyperlink" Target="https://www.crunchbase.com/organization/bldbox" TargetMode="External"/><Relationship Id="rId3424" Type="http://schemas.openxmlformats.org/officeDocument/2006/relationships/hyperlink" Target="https://www.sayrhino.com/" TargetMode="External"/><Relationship Id="rId4755" Type="http://schemas.openxmlformats.org/officeDocument/2006/relationships/hyperlink" Target="https://www.bitsence.io" TargetMode="External"/><Relationship Id="rId3427" Type="http://schemas.openxmlformats.org/officeDocument/2006/relationships/hyperlink" Target="https://www.crunchbase.com/organization/aicrete" TargetMode="External"/><Relationship Id="rId4758" Type="http://schemas.openxmlformats.org/officeDocument/2006/relationships/hyperlink" Target="https://angel.co/company/blocksquare" TargetMode="External"/><Relationship Id="rId3426" Type="http://schemas.openxmlformats.org/officeDocument/2006/relationships/hyperlink" Target="https://www.crunchbase.com/funding_round/rhino-series-a--0ce5e43e" TargetMode="External"/><Relationship Id="rId4757" Type="http://schemas.openxmlformats.org/officeDocument/2006/relationships/hyperlink" Target="https://bldbox.com/" TargetMode="External"/><Relationship Id="rId3429" Type="http://schemas.openxmlformats.org/officeDocument/2006/relationships/hyperlink" Target="https://www.crunchbase.com/funding_round/aicrete-seed--f087622d" TargetMode="External"/><Relationship Id="rId3428" Type="http://schemas.openxmlformats.org/officeDocument/2006/relationships/hyperlink" Target="http://aicrete.com/" TargetMode="External"/><Relationship Id="rId4759" Type="http://schemas.openxmlformats.org/officeDocument/2006/relationships/hyperlink" Target="https://www.crunchbase.com/organization/blocksquare" TargetMode="External"/><Relationship Id="rId4750" Type="http://schemas.openxmlformats.org/officeDocument/2006/relationships/hyperlink" Target="https://www.dasca.org/" TargetMode="External"/><Relationship Id="rId3421" Type="http://schemas.openxmlformats.org/officeDocument/2006/relationships/hyperlink" Target="https://www.crunchbase.com/funding_round/kogniz-seed--a7ca2911" TargetMode="External"/><Relationship Id="rId4752" Type="http://schemas.openxmlformats.org/officeDocument/2006/relationships/hyperlink" Target="https://www.crunchbase.com/organization/bimspot" TargetMode="External"/><Relationship Id="rId3420" Type="http://schemas.openxmlformats.org/officeDocument/2006/relationships/hyperlink" Target="https://www.kogniz.com/" TargetMode="External"/><Relationship Id="rId4751" Type="http://schemas.openxmlformats.org/officeDocument/2006/relationships/hyperlink" Target="https://angel.co/company/bimspot-io" TargetMode="External"/><Relationship Id="rId3423" Type="http://schemas.openxmlformats.org/officeDocument/2006/relationships/hyperlink" Target="https://www.crunchbase.com/organization/rhino" TargetMode="External"/><Relationship Id="rId4754" Type="http://schemas.openxmlformats.org/officeDocument/2006/relationships/hyperlink" Target="https://www.biobot.io" TargetMode="External"/><Relationship Id="rId3422" Type="http://schemas.openxmlformats.org/officeDocument/2006/relationships/hyperlink" Target="https://angel.co/company/rhinolabs" TargetMode="External"/><Relationship Id="rId4753" Type="http://schemas.openxmlformats.org/officeDocument/2006/relationships/hyperlink" Target="https://bimspot.io/" TargetMode="External"/><Relationship Id="rId2126" Type="http://schemas.openxmlformats.org/officeDocument/2006/relationships/hyperlink" Target="https://www.crunchbase.com/funding_round/amenify-pre-seed--e2a688c6" TargetMode="External"/><Relationship Id="rId3458" Type="http://schemas.openxmlformats.org/officeDocument/2006/relationships/hyperlink" Target="https://www.crunchbase.com/funding_round/beam-b7af-seed--80ac5336" TargetMode="External"/><Relationship Id="rId4789" Type="http://schemas.openxmlformats.org/officeDocument/2006/relationships/hyperlink" Target="https://www.crunchbase.com/organization/brelion" TargetMode="External"/><Relationship Id="rId2127" Type="http://schemas.openxmlformats.org/officeDocument/2006/relationships/hyperlink" Target="https://www.crunchbase.com/funding_round/amenify-series-unknown--93872e52" TargetMode="External"/><Relationship Id="rId3457" Type="http://schemas.openxmlformats.org/officeDocument/2006/relationships/hyperlink" Target="https://usebeam.co/" TargetMode="External"/><Relationship Id="rId4788" Type="http://schemas.openxmlformats.org/officeDocument/2006/relationships/hyperlink" Target="https://angel.co/company/brelion" TargetMode="External"/><Relationship Id="rId2128" Type="http://schemas.openxmlformats.org/officeDocument/2006/relationships/hyperlink" Target="https://www.crunchbase.com/organization/mixergy-ltd" TargetMode="External"/><Relationship Id="rId2129" Type="http://schemas.openxmlformats.org/officeDocument/2006/relationships/hyperlink" Target="https://mixergy.co.uk/" TargetMode="External"/><Relationship Id="rId3459" Type="http://schemas.openxmlformats.org/officeDocument/2006/relationships/hyperlink" Target="https://angel.co/company/kodehyve-1" TargetMode="External"/><Relationship Id="rId3450" Type="http://schemas.openxmlformats.org/officeDocument/2006/relationships/hyperlink" Target="https://www.lastro.co/" TargetMode="External"/><Relationship Id="rId4781" Type="http://schemas.openxmlformats.org/officeDocument/2006/relationships/hyperlink" Target="https://www.brainlink.com/" TargetMode="External"/><Relationship Id="rId4780" Type="http://schemas.openxmlformats.org/officeDocument/2006/relationships/hyperlink" Target="https://www.crunchbase.com/organization/brainlink-international" TargetMode="External"/><Relationship Id="rId2120" Type="http://schemas.openxmlformats.org/officeDocument/2006/relationships/hyperlink" Target="https://www.crunchbase.com/organization/join" TargetMode="External"/><Relationship Id="rId3452" Type="http://schemas.openxmlformats.org/officeDocument/2006/relationships/hyperlink" Target="https://www.crunchbase.com/organization/trezi" TargetMode="External"/><Relationship Id="rId4783" Type="http://schemas.openxmlformats.org/officeDocument/2006/relationships/hyperlink" Target="https://www.crunchbase.com/organization/branchfy" TargetMode="External"/><Relationship Id="rId2121" Type="http://schemas.openxmlformats.org/officeDocument/2006/relationships/hyperlink" Target="https://join.build/" TargetMode="External"/><Relationship Id="rId3451" Type="http://schemas.openxmlformats.org/officeDocument/2006/relationships/hyperlink" Target="https://www.crunchbase.com/funding_round/lastro-seed--5853d7a8" TargetMode="External"/><Relationship Id="rId4782" Type="http://schemas.openxmlformats.org/officeDocument/2006/relationships/hyperlink" Target="https://angel.co/company/branchfy" TargetMode="External"/><Relationship Id="rId2122" Type="http://schemas.openxmlformats.org/officeDocument/2006/relationships/hyperlink" Target="https://www.crunchbase.com/funding_round/join-series-a--adf60de9" TargetMode="External"/><Relationship Id="rId3454" Type="http://schemas.openxmlformats.org/officeDocument/2006/relationships/hyperlink" Target="https://www.crunchbase.com/funding_round/trezi-seed--04d41bf7" TargetMode="External"/><Relationship Id="rId4785" Type="http://schemas.openxmlformats.org/officeDocument/2006/relationships/hyperlink" Target="https://angel.co/company/brandcast" TargetMode="External"/><Relationship Id="rId2123" Type="http://schemas.openxmlformats.org/officeDocument/2006/relationships/hyperlink" Target="https://angel.co/amenify/" TargetMode="External"/><Relationship Id="rId3453" Type="http://schemas.openxmlformats.org/officeDocument/2006/relationships/hyperlink" Target="https://trezi.com/" TargetMode="External"/><Relationship Id="rId4784" Type="http://schemas.openxmlformats.org/officeDocument/2006/relationships/hyperlink" Target="https://www.branchfy.com" TargetMode="External"/><Relationship Id="rId2124" Type="http://schemas.openxmlformats.org/officeDocument/2006/relationships/hyperlink" Target="https://www.crunchbase.com/organization/amenify" TargetMode="External"/><Relationship Id="rId3456" Type="http://schemas.openxmlformats.org/officeDocument/2006/relationships/hyperlink" Target="https://www.crunchbase.com/organization/beam-b7af" TargetMode="External"/><Relationship Id="rId4787" Type="http://schemas.openxmlformats.org/officeDocument/2006/relationships/hyperlink" Target="https://www.brandcast.com/cre" TargetMode="External"/><Relationship Id="rId2125" Type="http://schemas.openxmlformats.org/officeDocument/2006/relationships/hyperlink" Target="http://www.amenify.com/" TargetMode="External"/><Relationship Id="rId3455" Type="http://schemas.openxmlformats.org/officeDocument/2006/relationships/hyperlink" Target="https://www.crunchbase.com/funding_round/trezi-series-a--f2030920" TargetMode="External"/><Relationship Id="rId4786" Type="http://schemas.openxmlformats.org/officeDocument/2006/relationships/hyperlink" Target="https://www.crunchbase.com/organization/brandcast" TargetMode="External"/><Relationship Id="rId2115" Type="http://schemas.openxmlformats.org/officeDocument/2006/relationships/hyperlink" Target="http://www.sensorberg.com/" TargetMode="External"/><Relationship Id="rId3447" Type="http://schemas.openxmlformats.org/officeDocument/2006/relationships/hyperlink" Target="https://www.approvafacil.com.br/" TargetMode="External"/><Relationship Id="rId4778" Type="http://schemas.openxmlformats.org/officeDocument/2006/relationships/hyperlink" Target="https://www.crunchbase.com/organization/boulevard-software" TargetMode="External"/><Relationship Id="rId2116" Type="http://schemas.openxmlformats.org/officeDocument/2006/relationships/hyperlink" Target="https://angel.co/company/stake-4" TargetMode="External"/><Relationship Id="rId3446" Type="http://schemas.openxmlformats.org/officeDocument/2006/relationships/hyperlink" Target="https://www.crunchbase.com/organization/easy-approve" TargetMode="External"/><Relationship Id="rId4777" Type="http://schemas.openxmlformats.org/officeDocument/2006/relationships/hyperlink" Target="https://angel.co/company/boulevardsoftware" TargetMode="External"/><Relationship Id="rId2117" Type="http://schemas.openxmlformats.org/officeDocument/2006/relationships/hyperlink" Target="https://www.crunchbase.com/organization/stake-2f06" TargetMode="External"/><Relationship Id="rId3449" Type="http://schemas.openxmlformats.org/officeDocument/2006/relationships/hyperlink" Target="https://www.crunchbase.com/organization/lastro" TargetMode="External"/><Relationship Id="rId2118" Type="http://schemas.openxmlformats.org/officeDocument/2006/relationships/hyperlink" Target="https://www.stake.rent/" TargetMode="External"/><Relationship Id="rId3448" Type="http://schemas.openxmlformats.org/officeDocument/2006/relationships/hyperlink" Target="https://www.crunchbase.com/funding_round/easy-approve-seed--2d7c94f2" TargetMode="External"/><Relationship Id="rId4779" Type="http://schemas.openxmlformats.org/officeDocument/2006/relationships/hyperlink" Target="https://www.blvd.ai/" TargetMode="External"/><Relationship Id="rId2119" Type="http://schemas.openxmlformats.org/officeDocument/2006/relationships/hyperlink" Target="https://www.crunchbase.com/funding_round/stake-2f06-series-a--7fe3961c" TargetMode="External"/><Relationship Id="rId4770" Type="http://schemas.openxmlformats.org/officeDocument/2006/relationships/hyperlink" Target="https://www.crunchbase.com/organization/bntouch" TargetMode="External"/><Relationship Id="rId3441" Type="http://schemas.openxmlformats.org/officeDocument/2006/relationships/hyperlink" Target="https://www.crunchbase.com/organization/parcl-1b4a" TargetMode="External"/><Relationship Id="rId4772" Type="http://schemas.openxmlformats.org/officeDocument/2006/relationships/hyperlink" Target="https://angel.co/u/bostonexecutive" TargetMode="External"/><Relationship Id="rId2110" Type="http://schemas.openxmlformats.org/officeDocument/2006/relationships/hyperlink" Target="https://angel.co/company/safegraph" TargetMode="External"/><Relationship Id="rId3440" Type="http://schemas.openxmlformats.org/officeDocument/2006/relationships/hyperlink" Target="https://angel.co/company/parcl-6" TargetMode="External"/><Relationship Id="rId4771" Type="http://schemas.openxmlformats.org/officeDocument/2006/relationships/hyperlink" Target="https://bntouch.com/v6/" TargetMode="External"/><Relationship Id="rId2111" Type="http://schemas.openxmlformats.org/officeDocument/2006/relationships/hyperlink" Target="https://www.crunchbase.com/organization/safegraph" TargetMode="External"/><Relationship Id="rId3443" Type="http://schemas.openxmlformats.org/officeDocument/2006/relationships/hyperlink" Target="https://angel.co/company/spacejoy" TargetMode="External"/><Relationship Id="rId4774" Type="http://schemas.openxmlformats.org/officeDocument/2006/relationships/hyperlink" Target="https://www.bookels.com/" TargetMode="External"/><Relationship Id="rId2112" Type="http://schemas.openxmlformats.org/officeDocument/2006/relationships/hyperlink" Target="http://www.safegraph.com/" TargetMode="External"/><Relationship Id="rId3442" Type="http://schemas.openxmlformats.org/officeDocument/2006/relationships/hyperlink" Target="https://www.parcl.co/" TargetMode="External"/><Relationship Id="rId4773" Type="http://schemas.openxmlformats.org/officeDocument/2006/relationships/hyperlink" Target="https://www.crunchbase.com/organization/executive-travel-limousine-services" TargetMode="External"/><Relationship Id="rId2113" Type="http://schemas.openxmlformats.org/officeDocument/2006/relationships/hyperlink" Target="https://angel.co/sensorberg" TargetMode="External"/><Relationship Id="rId3445" Type="http://schemas.openxmlformats.org/officeDocument/2006/relationships/hyperlink" Target="https://www.spacejoy.com/" TargetMode="External"/><Relationship Id="rId4776" Type="http://schemas.openxmlformats.org/officeDocument/2006/relationships/hyperlink" Target="https://www.botstatz.com/" TargetMode="External"/><Relationship Id="rId2114" Type="http://schemas.openxmlformats.org/officeDocument/2006/relationships/hyperlink" Target="https://www.crunchbase.com/organization/sensorberg" TargetMode="External"/><Relationship Id="rId3444" Type="http://schemas.openxmlformats.org/officeDocument/2006/relationships/hyperlink" Target="https://www.crunchbase.com/organization/spacejoy" TargetMode="External"/><Relationship Id="rId4775" Type="http://schemas.openxmlformats.org/officeDocument/2006/relationships/hyperlink" Target="https://angel.co/u/botstatz-technologies" TargetMode="External"/><Relationship Id="rId5251" Type="http://schemas.openxmlformats.org/officeDocument/2006/relationships/hyperlink" Target="https://www.crunchbase.com/organization/geovs" TargetMode="External"/><Relationship Id="rId6582" Type="http://schemas.openxmlformats.org/officeDocument/2006/relationships/hyperlink" Target="https://www.crunchbase.com/funding_round/safeguard-applied-innovation-series-a--77011b38" TargetMode="External"/><Relationship Id="rId5252" Type="http://schemas.openxmlformats.org/officeDocument/2006/relationships/hyperlink" Target="https://www.geoverse.io/" TargetMode="External"/><Relationship Id="rId6583" Type="http://schemas.openxmlformats.org/officeDocument/2006/relationships/hyperlink" Target="https://www.crunchbase.com/organization/standby-deposits" TargetMode="External"/><Relationship Id="rId6580" Type="http://schemas.openxmlformats.org/officeDocument/2006/relationships/hyperlink" Target="https://www.crunchbase.com/organization/safeguard-applied-innovation" TargetMode="External"/><Relationship Id="rId5250" Type="http://schemas.openxmlformats.org/officeDocument/2006/relationships/hyperlink" Target="https://geopi.pe" TargetMode="External"/><Relationship Id="rId6581" Type="http://schemas.openxmlformats.org/officeDocument/2006/relationships/hyperlink" Target="http://www.safeguard.co.il/" TargetMode="External"/><Relationship Id="rId5255" Type="http://schemas.openxmlformats.org/officeDocument/2006/relationships/hyperlink" Target="https://www.gleensite.com/" TargetMode="External"/><Relationship Id="rId6586" Type="http://schemas.openxmlformats.org/officeDocument/2006/relationships/hyperlink" Target="https://www.crunchbase.com/organization/realbasis" TargetMode="External"/><Relationship Id="rId5256" Type="http://schemas.openxmlformats.org/officeDocument/2006/relationships/hyperlink" Target="https://www.crunchbase.com/organization/propmaven" TargetMode="External"/><Relationship Id="rId6587" Type="http://schemas.openxmlformats.org/officeDocument/2006/relationships/hyperlink" Target="https://realbasisinc.com/" TargetMode="External"/><Relationship Id="rId5253" Type="http://schemas.openxmlformats.org/officeDocument/2006/relationships/hyperlink" Target="https://angel.co/company/gleensite" TargetMode="External"/><Relationship Id="rId6584" Type="http://schemas.openxmlformats.org/officeDocument/2006/relationships/hyperlink" Target="https://www.standby.io/" TargetMode="External"/><Relationship Id="rId5254" Type="http://schemas.openxmlformats.org/officeDocument/2006/relationships/hyperlink" Target="https://www.crunchbase.com/organization/gleensite" TargetMode="External"/><Relationship Id="rId6585" Type="http://schemas.openxmlformats.org/officeDocument/2006/relationships/hyperlink" Target="https://www.crunchbase.com/funding_round/standby-deposits-seed--dfca74e2" TargetMode="External"/><Relationship Id="rId5259" Type="http://schemas.openxmlformats.org/officeDocument/2006/relationships/hyperlink" Target="https://www.crunchbase.com/organization/gnowise" TargetMode="External"/><Relationship Id="rId5257" Type="http://schemas.openxmlformats.org/officeDocument/2006/relationships/hyperlink" Target="https://www.gmaven.com/" TargetMode="External"/><Relationship Id="rId6588" Type="http://schemas.openxmlformats.org/officeDocument/2006/relationships/hyperlink" Target="https://www.crunchbase.com/funding_round/realbasis-debt-financing--ab0251eb" TargetMode="External"/><Relationship Id="rId5258" Type="http://schemas.openxmlformats.org/officeDocument/2006/relationships/hyperlink" Target="https://angel.co/company/gnowise" TargetMode="External"/><Relationship Id="rId6589" Type="http://schemas.openxmlformats.org/officeDocument/2006/relationships/hyperlink" Target="https://www.crunchbase.com/organization/cognecto" TargetMode="External"/><Relationship Id="rId5240" Type="http://schemas.openxmlformats.org/officeDocument/2006/relationships/hyperlink" Target="https://www.garagehop.co/" TargetMode="External"/><Relationship Id="rId6571" Type="http://schemas.openxmlformats.org/officeDocument/2006/relationships/hyperlink" Target="https://www.crunchbase.com/organization/baupal" TargetMode="External"/><Relationship Id="rId5241" Type="http://schemas.openxmlformats.org/officeDocument/2006/relationships/hyperlink" Target="https://angel.co/company/gensler-morristown-nj" TargetMode="External"/><Relationship Id="rId6572" Type="http://schemas.openxmlformats.org/officeDocument/2006/relationships/hyperlink" Target="http://www.enter.de/" TargetMode="External"/><Relationship Id="rId6570" Type="http://schemas.openxmlformats.org/officeDocument/2006/relationships/hyperlink" Target="https://www.crunchbase.com/funding_round/sunvigo-series-b--63d95162" TargetMode="External"/><Relationship Id="rId5244" Type="http://schemas.openxmlformats.org/officeDocument/2006/relationships/hyperlink" Target="https://www.crunchbase.com/organization/geodata-plus" TargetMode="External"/><Relationship Id="rId6575" Type="http://schemas.openxmlformats.org/officeDocument/2006/relationships/hyperlink" Target="https://www.crunchbase.com/organization/crowdproperty" TargetMode="External"/><Relationship Id="rId5245" Type="http://schemas.openxmlformats.org/officeDocument/2006/relationships/hyperlink" Target="https://www.geodataplus.com/" TargetMode="External"/><Relationship Id="rId6576" Type="http://schemas.openxmlformats.org/officeDocument/2006/relationships/hyperlink" Target="https://www.crowdproperty.com/" TargetMode="External"/><Relationship Id="rId5242" Type="http://schemas.openxmlformats.org/officeDocument/2006/relationships/hyperlink" Target="https://www.crunchbase.com/organization/gensler-ltd" TargetMode="External"/><Relationship Id="rId6573" Type="http://schemas.openxmlformats.org/officeDocument/2006/relationships/hyperlink" Target="https://www.crunchbase.com/funding_round/baupal-seed--0a9f4e71" TargetMode="External"/><Relationship Id="rId5243" Type="http://schemas.openxmlformats.org/officeDocument/2006/relationships/hyperlink" Target="https://www.gensler.com/" TargetMode="External"/><Relationship Id="rId6574" Type="http://schemas.openxmlformats.org/officeDocument/2006/relationships/hyperlink" Target="https://www.crunchbase.com/funding_round/baupal-series-a--eba321ee" TargetMode="External"/><Relationship Id="rId5248" Type="http://schemas.openxmlformats.org/officeDocument/2006/relationships/hyperlink" Target="https://angel.co/company/geopipe" TargetMode="External"/><Relationship Id="rId6579" Type="http://schemas.openxmlformats.org/officeDocument/2006/relationships/hyperlink" Target="https://www.crunchbase.com/funding_round/crowdproperty-debt-financing--a1600f9d" TargetMode="External"/><Relationship Id="rId5249" Type="http://schemas.openxmlformats.org/officeDocument/2006/relationships/hyperlink" Target="https://www.crunchbase.com/organization/geopipe-inc" TargetMode="External"/><Relationship Id="rId5246" Type="http://schemas.openxmlformats.org/officeDocument/2006/relationships/hyperlink" Target="https://www.crunchbase.com/organization/geo-gecko" TargetMode="External"/><Relationship Id="rId6577" Type="http://schemas.openxmlformats.org/officeDocument/2006/relationships/hyperlink" Target="https://www.crunchbase.com/funding_round/crowdproperty-seed--89b0cbec" TargetMode="External"/><Relationship Id="rId5247" Type="http://schemas.openxmlformats.org/officeDocument/2006/relationships/hyperlink" Target="https://www.geogecko.com/" TargetMode="External"/><Relationship Id="rId6578" Type="http://schemas.openxmlformats.org/officeDocument/2006/relationships/hyperlink" Target="https://www.crunchbase.com/funding_round/crowdproperty-equity-crowdfunding--9e3511fa" TargetMode="External"/><Relationship Id="rId5270" Type="http://schemas.openxmlformats.org/officeDocument/2006/relationships/hyperlink" Target="https://www.crunchbase.com/organization/goefer" TargetMode="External"/><Relationship Id="rId5273" Type="http://schemas.openxmlformats.org/officeDocument/2006/relationships/hyperlink" Target="http://goforwardllc.co/" TargetMode="External"/><Relationship Id="rId5274" Type="http://schemas.openxmlformats.org/officeDocument/2006/relationships/hyperlink" Target="https://www.crunchbase.com/organization/golo-4bb8" TargetMode="External"/><Relationship Id="rId5271" Type="http://schemas.openxmlformats.org/officeDocument/2006/relationships/hyperlink" Target="https://goefer.com/" TargetMode="External"/><Relationship Id="rId5272" Type="http://schemas.openxmlformats.org/officeDocument/2006/relationships/hyperlink" Target="https://angel.co/company/goforwardgroup" TargetMode="External"/><Relationship Id="rId5277" Type="http://schemas.openxmlformats.org/officeDocument/2006/relationships/hyperlink" Target="https://goreport.com/" TargetMode="External"/><Relationship Id="rId5278" Type="http://schemas.openxmlformats.org/officeDocument/2006/relationships/hyperlink" Target="http://www.gowheeler.com.sg/" TargetMode="External"/><Relationship Id="rId5275" Type="http://schemas.openxmlformats.org/officeDocument/2006/relationships/hyperlink" Target="https://www.golo.io" TargetMode="External"/><Relationship Id="rId5276" Type="http://schemas.openxmlformats.org/officeDocument/2006/relationships/hyperlink" Target="https://www.crunchbase.com/organization/goreport" TargetMode="External"/><Relationship Id="rId5279" Type="http://schemas.openxmlformats.org/officeDocument/2006/relationships/hyperlink" Target="https://angel.co/u/graana-com-1" TargetMode="External"/><Relationship Id="rId6590" Type="http://schemas.openxmlformats.org/officeDocument/2006/relationships/hyperlink" Target="https://www.cognecto.com/" TargetMode="External"/><Relationship Id="rId5262" Type="http://schemas.openxmlformats.org/officeDocument/2006/relationships/hyperlink" Target="https://www.gofanyourself.com/" TargetMode="External"/><Relationship Id="rId6593" Type="http://schemas.openxmlformats.org/officeDocument/2006/relationships/hyperlink" Target="https://www.crunchbase.com/organization/tophat-io" TargetMode="External"/><Relationship Id="rId5263" Type="http://schemas.openxmlformats.org/officeDocument/2006/relationships/hyperlink" Target="https://angel.co/company/goappx" TargetMode="External"/><Relationship Id="rId6594" Type="http://schemas.openxmlformats.org/officeDocument/2006/relationships/hyperlink" Target="https://tophat.io/" TargetMode="External"/><Relationship Id="rId5260" Type="http://schemas.openxmlformats.org/officeDocument/2006/relationships/hyperlink" Target="https://gnowise.com/" TargetMode="External"/><Relationship Id="rId6591" Type="http://schemas.openxmlformats.org/officeDocument/2006/relationships/hyperlink" Target="https://www.crunchbase.com/funding_round/cognecto-pre-seed--1568ce73" TargetMode="External"/><Relationship Id="rId5261" Type="http://schemas.openxmlformats.org/officeDocument/2006/relationships/hyperlink" Target="https://angel.co/go-fan" TargetMode="External"/><Relationship Id="rId6592" Type="http://schemas.openxmlformats.org/officeDocument/2006/relationships/hyperlink" Target="https://www.crunchbase.com/funding_round/cognecto-seed--d667ef61" TargetMode="External"/><Relationship Id="rId5266" Type="http://schemas.openxmlformats.org/officeDocument/2006/relationships/hyperlink" Target="https://angel.co/company/godesigny" TargetMode="External"/><Relationship Id="rId6597" Type="http://schemas.openxmlformats.org/officeDocument/2006/relationships/hyperlink" Target="http://woodoo.com/" TargetMode="External"/><Relationship Id="rId5267" Type="http://schemas.openxmlformats.org/officeDocument/2006/relationships/hyperlink" Target="https://www.crunchbase.com/organization/godesigny" TargetMode="External"/><Relationship Id="rId6598" Type="http://schemas.openxmlformats.org/officeDocument/2006/relationships/hyperlink" Target="https://www.crunchbase.com/funding_round/woodoo-series-unknown--34c29be7" TargetMode="External"/><Relationship Id="rId5264" Type="http://schemas.openxmlformats.org/officeDocument/2006/relationships/hyperlink" Target="https://www.crunchbase.com/organization/goappx-a-pioneer-in-web-and-mobile-app-development-services" TargetMode="External"/><Relationship Id="rId6595" Type="http://schemas.openxmlformats.org/officeDocument/2006/relationships/hyperlink" Target="https://www.crunchbase.com/funding_round/tophat-io-series-unknown--e0c9f6ef" TargetMode="External"/><Relationship Id="rId5265" Type="http://schemas.openxmlformats.org/officeDocument/2006/relationships/hyperlink" Target="https://www.goappx.com/" TargetMode="External"/><Relationship Id="rId6596" Type="http://schemas.openxmlformats.org/officeDocument/2006/relationships/hyperlink" Target="https://www.crunchbase.com/organization/woodoo" TargetMode="External"/><Relationship Id="rId5268" Type="http://schemas.openxmlformats.org/officeDocument/2006/relationships/hyperlink" Target="https://www.godesigny.com/" TargetMode="External"/><Relationship Id="rId6599" Type="http://schemas.openxmlformats.org/officeDocument/2006/relationships/hyperlink" Target="https://www.crunchbase.com/funding_round/woodoo-grant--8d42cb46" TargetMode="External"/><Relationship Id="rId5269" Type="http://schemas.openxmlformats.org/officeDocument/2006/relationships/hyperlink" Target="https://angel.co/company/goefer" TargetMode="External"/><Relationship Id="rId5219" Type="http://schemas.openxmlformats.org/officeDocument/2006/relationships/hyperlink" Target="https://angel.co/company/foxy-ai" TargetMode="External"/><Relationship Id="rId5217" Type="http://schemas.openxmlformats.org/officeDocument/2006/relationships/hyperlink" Target="https://www.crunchbase.com/organization/foster-and-partners" TargetMode="External"/><Relationship Id="rId6548" Type="http://schemas.openxmlformats.org/officeDocument/2006/relationships/hyperlink" Target="https://www.crunchbase.com/funding_round/proprli-seed--b1f0f192" TargetMode="External"/><Relationship Id="rId5218" Type="http://schemas.openxmlformats.org/officeDocument/2006/relationships/hyperlink" Target="https://www.fosterandpartners.com/" TargetMode="External"/><Relationship Id="rId6549" Type="http://schemas.openxmlformats.org/officeDocument/2006/relationships/hyperlink" Target="https://www.crunchbase.com/organization/travelio" TargetMode="External"/><Relationship Id="rId392" Type="http://schemas.openxmlformats.org/officeDocument/2006/relationships/hyperlink" Target="https://www.crunchbase.com/funding_round/nested-series-unknown--86d7e97e" TargetMode="External"/><Relationship Id="rId391" Type="http://schemas.openxmlformats.org/officeDocument/2006/relationships/hyperlink" Target="https://nested.com/" TargetMode="External"/><Relationship Id="rId390" Type="http://schemas.openxmlformats.org/officeDocument/2006/relationships/hyperlink" Target="https://www.crunchbase.com/organization/nested" TargetMode="External"/><Relationship Id="rId385" Type="http://schemas.openxmlformats.org/officeDocument/2006/relationships/hyperlink" Target="https://www.crunchbase.com/funding_round/landing-series-a--c6e045c3" TargetMode="External"/><Relationship Id="rId5211" Type="http://schemas.openxmlformats.org/officeDocument/2006/relationships/hyperlink" Target="https://angel.co/company/fora-space" TargetMode="External"/><Relationship Id="rId6542" Type="http://schemas.openxmlformats.org/officeDocument/2006/relationships/hyperlink" Target="https://www.crunchbase.com/organization/tablepointer" TargetMode="External"/><Relationship Id="rId384" Type="http://schemas.openxmlformats.org/officeDocument/2006/relationships/hyperlink" Target="https://www.crunchbase.com/funding_round/landing-seed--e14ea331" TargetMode="External"/><Relationship Id="rId5212" Type="http://schemas.openxmlformats.org/officeDocument/2006/relationships/hyperlink" Target="https://www.foraspace.com/" TargetMode="External"/><Relationship Id="rId6543" Type="http://schemas.openxmlformats.org/officeDocument/2006/relationships/hyperlink" Target="https://www.tablepointer.com/" TargetMode="External"/><Relationship Id="rId383" Type="http://schemas.openxmlformats.org/officeDocument/2006/relationships/hyperlink" Target="https://www.google.com/url?sa=t&amp;rct=j&amp;q=&amp;esrc=s&amp;source=web&amp;cd=&amp;ved=2ahUKEwjA9YXVoOn-AhW2AzQIHaz6ACsQFnoECBEQAQ&amp;url=https%3A%2F%2Fwww.marketwatch.com%2Fstory%2Fapartment-rental-startup-landing-platform-gets-big-funding-round-11661431591&amp;usg=AOvVaw2p7gbN1LObkrZVqD7eQw9Y" TargetMode="External"/><Relationship Id="rId6540" Type="http://schemas.openxmlformats.org/officeDocument/2006/relationships/hyperlink" Target="https://havenenergy.com/" TargetMode="External"/><Relationship Id="rId382" Type="http://schemas.openxmlformats.org/officeDocument/2006/relationships/hyperlink" Target="https://www.hellolanding.com/" TargetMode="External"/><Relationship Id="rId5210" Type="http://schemas.openxmlformats.org/officeDocument/2006/relationships/hyperlink" Target="https://www.crunchbase.com/organization/foobot" TargetMode="External"/><Relationship Id="rId6541" Type="http://schemas.openxmlformats.org/officeDocument/2006/relationships/hyperlink" Target="https://www.crunchbase.com/funding_round/haven-energy-seed--94eeb3b1" TargetMode="External"/><Relationship Id="rId389" Type="http://schemas.openxmlformats.org/officeDocument/2006/relationships/hyperlink" Target="https://angel.co/company/nested-3" TargetMode="External"/><Relationship Id="rId5215" Type="http://schemas.openxmlformats.org/officeDocument/2006/relationships/hyperlink" Target="https://www.crunchbase.com/organization/foresite-capital" TargetMode="External"/><Relationship Id="rId6546" Type="http://schemas.openxmlformats.org/officeDocument/2006/relationships/hyperlink" Target="https://www.crunchbase.com/organization/proprli" TargetMode="External"/><Relationship Id="rId388" Type="http://schemas.openxmlformats.org/officeDocument/2006/relationships/hyperlink" Target="https://www.crunchbase.com/funding_round/landing-debt-financing--e896605c" TargetMode="External"/><Relationship Id="rId5216" Type="http://schemas.openxmlformats.org/officeDocument/2006/relationships/hyperlink" Target="https://forsitenz.com/" TargetMode="External"/><Relationship Id="rId6547" Type="http://schemas.openxmlformats.org/officeDocument/2006/relationships/hyperlink" Target="https://proprli.com/" TargetMode="External"/><Relationship Id="rId387" Type="http://schemas.openxmlformats.org/officeDocument/2006/relationships/hyperlink" Target="https://www.crunchbase.com/funding_round/landing-series-c--71f38ff2" TargetMode="External"/><Relationship Id="rId5213" Type="http://schemas.openxmlformats.org/officeDocument/2006/relationships/hyperlink" Target="https://www.crunchbase.com/organization/forbury" TargetMode="External"/><Relationship Id="rId6544" Type="http://schemas.openxmlformats.org/officeDocument/2006/relationships/hyperlink" Target="https://www.crunchbase.com/funding_round/tablepointer-seed--506ccdf0" TargetMode="External"/><Relationship Id="rId386" Type="http://schemas.openxmlformats.org/officeDocument/2006/relationships/hyperlink" Target="https://www.crunchbase.com/funding_round/landing-series-b--f1c28419" TargetMode="External"/><Relationship Id="rId5214" Type="http://schemas.openxmlformats.org/officeDocument/2006/relationships/hyperlink" Target="https://www.forbury.com/" TargetMode="External"/><Relationship Id="rId6545" Type="http://schemas.openxmlformats.org/officeDocument/2006/relationships/hyperlink" Target="https://wellfound.com/company/proprli" TargetMode="External"/><Relationship Id="rId5208" Type="http://schemas.openxmlformats.org/officeDocument/2006/relationships/hyperlink" Target="https://www.crunchbase.com/organization/flow-3" TargetMode="External"/><Relationship Id="rId6539" Type="http://schemas.openxmlformats.org/officeDocument/2006/relationships/hyperlink" Target="https://www.crunchbase.com/organization/haven-energy" TargetMode="External"/><Relationship Id="rId5209" Type="http://schemas.openxmlformats.org/officeDocument/2006/relationships/hyperlink" Target="https://www.getflow.com/" TargetMode="External"/><Relationship Id="rId5206" Type="http://schemas.openxmlformats.org/officeDocument/2006/relationships/hyperlink" Target="https://www.crunchbase.com/funding_round/floorfy-seed--0127f55b" TargetMode="External"/><Relationship Id="rId6537" Type="http://schemas.openxmlformats.org/officeDocument/2006/relationships/hyperlink" Target="https://www.proplatforms.com/" TargetMode="External"/><Relationship Id="rId5207" Type="http://schemas.openxmlformats.org/officeDocument/2006/relationships/hyperlink" Target="https://angel.co/company/flow-8" TargetMode="External"/><Relationship Id="rId6538" Type="http://schemas.openxmlformats.org/officeDocument/2006/relationships/hyperlink" Target="https://www.crunchbase.com/funding_round/pro-platforms-series-unknown--e0e12129" TargetMode="External"/><Relationship Id="rId381" Type="http://schemas.openxmlformats.org/officeDocument/2006/relationships/hyperlink" Target="https://www.crunchbase.com/organization/landing" TargetMode="External"/><Relationship Id="rId380" Type="http://schemas.openxmlformats.org/officeDocument/2006/relationships/hyperlink" Target="https://angel.co/company/landing-1" TargetMode="External"/><Relationship Id="rId379" Type="http://schemas.openxmlformats.org/officeDocument/2006/relationships/hyperlink" Target="https://www.cbinsights.com/company/measurabl" TargetMode="External"/><Relationship Id="rId374" Type="http://schemas.openxmlformats.org/officeDocument/2006/relationships/hyperlink" Target="https://www.crunchbase.com/funding_round/zumper-series-a--25a0d15f" TargetMode="External"/><Relationship Id="rId5200" Type="http://schemas.openxmlformats.org/officeDocument/2006/relationships/hyperlink" Target="https://angel.co/company/flomatic-industries" TargetMode="External"/><Relationship Id="rId6531" Type="http://schemas.openxmlformats.org/officeDocument/2006/relationships/hyperlink" Target="https://wellfound.com/company/renew-real-estate" TargetMode="External"/><Relationship Id="rId373" Type="http://schemas.openxmlformats.org/officeDocument/2006/relationships/hyperlink" Target="https://techcrunch.com/2022/08/25/zumper-raises-30m-in-kleiner-perkins-led-raise-to-grow-its-online-rental-marketplace/" TargetMode="External"/><Relationship Id="rId5201" Type="http://schemas.openxmlformats.org/officeDocument/2006/relationships/hyperlink" Target="https://www.crunchbase.com/organization/flomatic-corporation" TargetMode="External"/><Relationship Id="rId6532" Type="http://schemas.openxmlformats.org/officeDocument/2006/relationships/hyperlink" Target="https://www.crunchbase.com/organization/renew-residential" TargetMode="External"/><Relationship Id="rId372" Type="http://schemas.openxmlformats.org/officeDocument/2006/relationships/hyperlink" Target="https://www.zumper.com/" TargetMode="External"/><Relationship Id="rId371" Type="http://schemas.openxmlformats.org/officeDocument/2006/relationships/hyperlink" Target="https://www.crunchbase.com/organization/zumper" TargetMode="External"/><Relationship Id="rId6530" Type="http://schemas.openxmlformats.org/officeDocument/2006/relationships/hyperlink" Target="https://www.crunchbase.com/funding_round/graneet-series-a--3dc40bf0" TargetMode="External"/><Relationship Id="rId378" Type="http://schemas.openxmlformats.org/officeDocument/2006/relationships/hyperlink" Target="https://www.crunchbase.com/organization/measurabl" TargetMode="External"/><Relationship Id="rId5204" Type="http://schemas.openxmlformats.org/officeDocument/2006/relationships/hyperlink" Target="https://www.crunchbase.com/organization/floorfy" TargetMode="External"/><Relationship Id="rId6535" Type="http://schemas.openxmlformats.org/officeDocument/2006/relationships/hyperlink" Target="https://www.crunchbase.com/funding_round/renew-residential-seed--0399d1e4" TargetMode="External"/><Relationship Id="rId377" Type="http://schemas.openxmlformats.org/officeDocument/2006/relationships/hyperlink" Target="https://www.crunchbase.com/funding_round/zumper-series-d--2ad659fa" TargetMode="External"/><Relationship Id="rId5205" Type="http://schemas.openxmlformats.org/officeDocument/2006/relationships/hyperlink" Target="https://floorfy.com/es/" TargetMode="External"/><Relationship Id="rId6536" Type="http://schemas.openxmlformats.org/officeDocument/2006/relationships/hyperlink" Target="https://www.crunchbase.com/organization/pro-platforms" TargetMode="External"/><Relationship Id="rId376" Type="http://schemas.openxmlformats.org/officeDocument/2006/relationships/hyperlink" Target="https://www.crunchbase.com/funding_round/zumper-series-c--2a28f321" TargetMode="External"/><Relationship Id="rId5202" Type="http://schemas.openxmlformats.org/officeDocument/2006/relationships/hyperlink" Target="https://www.flomaticasia.com/" TargetMode="External"/><Relationship Id="rId6533" Type="http://schemas.openxmlformats.org/officeDocument/2006/relationships/hyperlink" Target="https://heyrenew.com/" TargetMode="External"/><Relationship Id="rId375" Type="http://schemas.openxmlformats.org/officeDocument/2006/relationships/hyperlink" Target="https://www.crunchbase.com/funding_round/zumper-series-b--5664075c" TargetMode="External"/><Relationship Id="rId5203" Type="http://schemas.openxmlformats.org/officeDocument/2006/relationships/hyperlink" Target="https://angel.co/company/floorfy" TargetMode="External"/><Relationship Id="rId6534" Type="http://schemas.openxmlformats.org/officeDocument/2006/relationships/hyperlink" Target="https://www.crunchbase.com/funding_round/renew-residential-pre-seed--09e0d060" TargetMode="External"/><Relationship Id="rId5239" Type="http://schemas.openxmlformats.org/officeDocument/2006/relationships/hyperlink" Target="https://www.crunchbase.com/organization/garagehop-inc" TargetMode="External"/><Relationship Id="rId6560" Type="http://schemas.openxmlformats.org/officeDocument/2006/relationships/hyperlink" Target="https://www.crunchbase.com/funding_round/missafir-seed--5cdde13c" TargetMode="External"/><Relationship Id="rId5230" Type="http://schemas.openxmlformats.org/officeDocument/2006/relationships/hyperlink" Target="https://www.fundstar.nl/" TargetMode="External"/><Relationship Id="rId6561" Type="http://schemas.openxmlformats.org/officeDocument/2006/relationships/hyperlink" Target="https://www.crunchbase.com/organization/houzr" TargetMode="External"/><Relationship Id="rId5233" Type="http://schemas.openxmlformats.org/officeDocument/2006/relationships/hyperlink" Target="https://fuse-box.org/" TargetMode="External"/><Relationship Id="rId6564" Type="http://schemas.openxmlformats.org/officeDocument/2006/relationships/hyperlink" Target="https://www.crunchbase.com/organization/sunvigo" TargetMode="External"/><Relationship Id="rId5234" Type="http://schemas.openxmlformats.org/officeDocument/2006/relationships/hyperlink" Target="http://fw-realestate.com/" TargetMode="External"/><Relationship Id="rId6565" Type="http://schemas.openxmlformats.org/officeDocument/2006/relationships/hyperlink" Target="https://www.sunvigo.de/" TargetMode="External"/><Relationship Id="rId5231" Type="http://schemas.openxmlformats.org/officeDocument/2006/relationships/hyperlink" Target="https://angel.co/company/fusebox-4" TargetMode="External"/><Relationship Id="rId6562" Type="http://schemas.openxmlformats.org/officeDocument/2006/relationships/hyperlink" Target="https://houzr.nl/" TargetMode="External"/><Relationship Id="rId5232" Type="http://schemas.openxmlformats.org/officeDocument/2006/relationships/hyperlink" Target="https://www.crunchbase.com/organization/fusebox" TargetMode="External"/><Relationship Id="rId6563" Type="http://schemas.openxmlformats.org/officeDocument/2006/relationships/hyperlink" Target="https://www.crunchbase.com/funding_round/houzr-seed--31e0a155" TargetMode="External"/><Relationship Id="rId5237" Type="http://schemas.openxmlformats.org/officeDocument/2006/relationships/hyperlink" Target="https://www.gabbi.ai/" TargetMode="External"/><Relationship Id="rId6568" Type="http://schemas.openxmlformats.org/officeDocument/2006/relationships/hyperlink" Target="https://www.crunchbase.com/funding_round/sunvigo-series-a--ffc7cb1f" TargetMode="External"/><Relationship Id="rId5238" Type="http://schemas.openxmlformats.org/officeDocument/2006/relationships/hyperlink" Target="https://angel.co/company/garagehop" TargetMode="External"/><Relationship Id="rId6569" Type="http://schemas.openxmlformats.org/officeDocument/2006/relationships/hyperlink" Target="https://www.crunchbase.com/funding_round/sunvigo-series-b--63d95162" TargetMode="External"/><Relationship Id="rId5235" Type="http://schemas.openxmlformats.org/officeDocument/2006/relationships/hyperlink" Target="https://angel.co/company/gabbi-ai" TargetMode="External"/><Relationship Id="rId6566" Type="http://schemas.openxmlformats.org/officeDocument/2006/relationships/hyperlink" Target="https://www.crunchbase.com/funding_round/sunvigo-seed--5d9337f1" TargetMode="External"/><Relationship Id="rId5236" Type="http://schemas.openxmlformats.org/officeDocument/2006/relationships/hyperlink" Target="https://www.crunchbase.com/organization/gabbi-ai" TargetMode="External"/><Relationship Id="rId6567" Type="http://schemas.openxmlformats.org/officeDocument/2006/relationships/hyperlink" Target="https://www.crunchbase.com/funding_round/sunvigo-series-unknown--83783968" TargetMode="External"/><Relationship Id="rId5228" Type="http://schemas.openxmlformats.org/officeDocument/2006/relationships/hyperlink" Target="https://fuelcre.com/" TargetMode="External"/><Relationship Id="rId6559" Type="http://schemas.openxmlformats.org/officeDocument/2006/relationships/hyperlink" Target="https://www.crunchbase.com/funding_round/missafir-pre-seed--c7773812" TargetMode="External"/><Relationship Id="rId5229" Type="http://schemas.openxmlformats.org/officeDocument/2006/relationships/hyperlink" Target="https://www.crunchbase.com/press_reference/f8dd4992-55f9-caf9-4904-58acc65fb56b" TargetMode="External"/><Relationship Id="rId6550" Type="http://schemas.openxmlformats.org/officeDocument/2006/relationships/hyperlink" Target="https://www.travelio.com/" TargetMode="External"/><Relationship Id="rId396" Type="http://schemas.openxmlformats.org/officeDocument/2006/relationships/hyperlink" Target="https://wellfound.com/company/tado" TargetMode="External"/><Relationship Id="rId5222" Type="http://schemas.openxmlformats.org/officeDocument/2006/relationships/hyperlink" Target="https://www.crunchbase.com/organization/free-clear" TargetMode="External"/><Relationship Id="rId6553" Type="http://schemas.openxmlformats.org/officeDocument/2006/relationships/hyperlink" Target="https://www.crunchbase.com/funding_round/travelio-series-a--fd976b23" TargetMode="External"/><Relationship Id="rId395" Type="http://schemas.openxmlformats.org/officeDocument/2006/relationships/hyperlink" Target="https://www.envision-digital.com/" TargetMode="External"/><Relationship Id="rId5223" Type="http://schemas.openxmlformats.org/officeDocument/2006/relationships/hyperlink" Target="https://www.freeandclear.com/" TargetMode="External"/><Relationship Id="rId6554" Type="http://schemas.openxmlformats.org/officeDocument/2006/relationships/hyperlink" Target="https://www.crunchbase.com/funding_round/travelio-series-b--8f2c9ce4" TargetMode="External"/><Relationship Id="rId394" Type="http://schemas.openxmlformats.org/officeDocument/2006/relationships/hyperlink" Target="https://www.crunchbase.com/organization/envision-digital" TargetMode="External"/><Relationship Id="rId5220" Type="http://schemas.openxmlformats.org/officeDocument/2006/relationships/hyperlink" Target="https://www.crunchbase.com/organization/foxy-ai" TargetMode="External"/><Relationship Id="rId6551" Type="http://schemas.openxmlformats.org/officeDocument/2006/relationships/hyperlink" Target="https://www.crunchbase.com/funding_round/travelio-pre-seed--47d6503b" TargetMode="External"/><Relationship Id="rId393" Type="http://schemas.openxmlformats.org/officeDocument/2006/relationships/hyperlink" Target="https://www.crunchbase.com/funding_round/nested-debt-financing--26018741" TargetMode="External"/><Relationship Id="rId5221" Type="http://schemas.openxmlformats.org/officeDocument/2006/relationships/hyperlink" Target="https://www.foxyai.com/" TargetMode="External"/><Relationship Id="rId6552" Type="http://schemas.openxmlformats.org/officeDocument/2006/relationships/hyperlink" Target="https://www.crunchbase.com/funding_round/travelio-seed--00f7c502" TargetMode="External"/><Relationship Id="rId5226" Type="http://schemas.openxmlformats.org/officeDocument/2006/relationships/hyperlink" Target="https://www.frontrowfurniture.co.uk/" TargetMode="External"/><Relationship Id="rId6557" Type="http://schemas.openxmlformats.org/officeDocument/2006/relationships/hyperlink" Target="https://www.crunchbase.com/organization/missafir" TargetMode="External"/><Relationship Id="rId399" Type="http://schemas.openxmlformats.org/officeDocument/2006/relationships/hyperlink" Target="https://techcrunch.com/2023/01/26/european-smart-thermostat-startup-tado-raises-46-8m-after-ipo-plans-falter/" TargetMode="External"/><Relationship Id="rId5227" Type="http://schemas.openxmlformats.org/officeDocument/2006/relationships/hyperlink" Target="https://www.crunchbase.com/organization/fuel-739a" TargetMode="External"/><Relationship Id="rId6558" Type="http://schemas.openxmlformats.org/officeDocument/2006/relationships/hyperlink" Target="https://www.missafir.com/" TargetMode="External"/><Relationship Id="rId398" Type="http://schemas.openxmlformats.org/officeDocument/2006/relationships/hyperlink" Target="https://www.tado.com/" TargetMode="External"/><Relationship Id="rId5224" Type="http://schemas.openxmlformats.org/officeDocument/2006/relationships/hyperlink" Target="https://angel.co/company/front-row-ventures" TargetMode="External"/><Relationship Id="rId6555" Type="http://schemas.openxmlformats.org/officeDocument/2006/relationships/hyperlink" Target="https://www.crunchbase.com/funding_round/travelio-series-c--6ea5d52a" TargetMode="External"/><Relationship Id="rId397" Type="http://schemas.openxmlformats.org/officeDocument/2006/relationships/hyperlink" Target="https://www.crunchbase.com/organization/tado" TargetMode="External"/><Relationship Id="rId5225" Type="http://schemas.openxmlformats.org/officeDocument/2006/relationships/hyperlink" Target="https://www.crunchbase.com/organization/front-row-furniture" TargetMode="External"/><Relationship Id="rId6556" Type="http://schemas.openxmlformats.org/officeDocument/2006/relationships/hyperlink" Target="https://www.crunchbase.com/funding_round/travelio-series-unknown--ab56c36a" TargetMode="External"/><Relationship Id="rId1730" Type="http://schemas.openxmlformats.org/officeDocument/2006/relationships/hyperlink" Target="https://www.crunchbase.com/funding_round/onsiteiq-series-a--b68319c8" TargetMode="External"/><Relationship Id="rId1731" Type="http://schemas.openxmlformats.org/officeDocument/2006/relationships/hyperlink" Target="https://www.crunchbase.com/funding_round/onsiteiq-series-b--b62be561" TargetMode="External"/><Relationship Id="rId1732" Type="http://schemas.openxmlformats.org/officeDocument/2006/relationships/hyperlink" Target="https://angel.co/company/staircase-2" TargetMode="External"/><Relationship Id="rId1733" Type="http://schemas.openxmlformats.org/officeDocument/2006/relationships/hyperlink" Target="https://www.crunchbase.com/organization/staircase-fb11" TargetMode="External"/><Relationship Id="rId1734" Type="http://schemas.openxmlformats.org/officeDocument/2006/relationships/hyperlink" Target="https://www.staircase.co/" TargetMode="External"/><Relationship Id="rId1735" Type="http://schemas.openxmlformats.org/officeDocument/2006/relationships/hyperlink" Target="https://angel.co/iotium" TargetMode="External"/><Relationship Id="rId1736" Type="http://schemas.openxmlformats.org/officeDocument/2006/relationships/hyperlink" Target="https://www.crunchbase.com/organization/iotium" TargetMode="External"/><Relationship Id="rId1737" Type="http://schemas.openxmlformats.org/officeDocument/2006/relationships/hyperlink" Target="http://iotium.io/" TargetMode="External"/><Relationship Id="rId1738" Type="http://schemas.openxmlformats.org/officeDocument/2006/relationships/hyperlink" Target="https://angel.co/company/lexmarkets" TargetMode="External"/><Relationship Id="rId1739" Type="http://schemas.openxmlformats.org/officeDocument/2006/relationships/hyperlink" Target="https://www.crunchbase.com/organization/landwright" TargetMode="External"/><Relationship Id="rId1720" Type="http://schemas.openxmlformats.org/officeDocument/2006/relationships/hyperlink" Target="https://www.crunchbase.com/organization/truss" TargetMode="External"/><Relationship Id="rId1721" Type="http://schemas.openxmlformats.org/officeDocument/2006/relationships/hyperlink" Target="http://www.truss.co/" TargetMode="External"/><Relationship Id="rId1722" Type="http://schemas.openxmlformats.org/officeDocument/2006/relationships/hyperlink" Target="https://angel.co/company/2ndaddress" TargetMode="External"/><Relationship Id="rId1723" Type="http://schemas.openxmlformats.org/officeDocument/2006/relationships/hyperlink" Target="https://www.crunchbase.com/organization/2ndaddress" TargetMode="External"/><Relationship Id="rId1724" Type="http://schemas.openxmlformats.org/officeDocument/2006/relationships/hyperlink" Target="http://www.2ndaddress.com/" TargetMode="External"/><Relationship Id="rId1725" Type="http://schemas.openxmlformats.org/officeDocument/2006/relationships/hyperlink" Target="https://angel.co/company/onsiteiq" TargetMode="External"/><Relationship Id="rId1726" Type="http://schemas.openxmlformats.org/officeDocument/2006/relationships/hyperlink" Target="https://www.crunchbase.com/organization/onsiteiq" TargetMode="External"/><Relationship Id="rId1727" Type="http://schemas.openxmlformats.org/officeDocument/2006/relationships/hyperlink" Target="https://www.onsiteiq.io/" TargetMode="External"/><Relationship Id="rId1728" Type="http://schemas.openxmlformats.org/officeDocument/2006/relationships/hyperlink" Target="https://www.crunchbase.com/funding_round/onsiteiq-pre-seed--6f9c4720" TargetMode="External"/><Relationship Id="rId1729" Type="http://schemas.openxmlformats.org/officeDocument/2006/relationships/hyperlink" Target="https://www.crunchbase.com/funding_round/onsiteiq-seed--8f124f51" TargetMode="External"/><Relationship Id="rId1752" Type="http://schemas.openxmlformats.org/officeDocument/2006/relationships/hyperlink" Target="https://www.crunchbase.com/funding_round/globalfair-seed--44d8a1ea" TargetMode="External"/><Relationship Id="rId1753" Type="http://schemas.openxmlformats.org/officeDocument/2006/relationships/hyperlink" Target="https://www.crunchbase.com/funding_round/globalfair-series-a--6ee4f1e6" TargetMode="External"/><Relationship Id="rId1754" Type="http://schemas.openxmlformats.org/officeDocument/2006/relationships/hyperlink" Target="https://www.crunchbase.com/funding_round/globalfair-debt-financing--6b872adc" TargetMode="External"/><Relationship Id="rId1755" Type="http://schemas.openxmlformats.org/officeDocument/2006/relationships/hyperlink" Target="https://www.crunchbase.com/organization/effy-502c" TargetMode="External"/><Relationship Id="rId1756" Type="http://schemas.openxmlformats.org/officeDocument/2006/relationships/hyperlink" Target="http://www.effy.fr/" TargetMode="External"/><Relationship Id="rId1757" Type="http://schemas.openxmlformats.org/officeDocument/2006/relationships/hyperlink" Target="https://www.crunchbase.com/funding_round/effy-502c-seed--531ed90c" TargetMode="External"/><Relationship Id="rId1758" Type="http://schemas.openxmlformats.org/officeDocument/2006/relationships/hyperlink" Target="https://www.crunchbase.com/organization/evernest" TargetMode="External"/><Relationship Id="rId1759" Type="http://schemas.openxmlformats.org/officeDocument/2006/relationships/hyperlink" Target="https://www.evernest.com/de/" TargetMode="External"/><Relationship Id="rId1750" Type="http://schemas.openxmlformats.org/officeDocument/2006/relationships/hyperlink" Target="https://www.crunchbase.com/organization/globalfair" TargetMode="External"/><Relationship Id="rId1751" Type="http://schemas.openxmlformats.org/officeDocument/2006/relationships/hyperlink" Target="https://www.myglobalfair.com/" TargetMode="External"/><Relationship Id="rId1741" Type="http://schemas.openxmlformats.org/officeDocument/2006/relationships/hyperlink" Target="https://www.crunchbase.com/funding_round/landwright-seed--1a4cce69" TargetMode="External"/><Relationship Id="rId1742" Type="http://schemas.openxmlformats.org/officeDocument/2006/relationships/hyperlink" Target="https://www.crunchbase.com/organization/rondo-energy" TargetMode="External"/><Relationship Id="rId1743" Type="http://schemas.openxmlformats.org/officeDocument/2006/relationships/hyperlink" Target="https://www.rondo.energy/" TargetMode="External"/><Relationship Id="rId1744" Type="http://schemas.openxmlformats.org/officeDocument/2006/relationships/hyperlink" Target="https://angel.co/company/testfit" TargetMode="External"/><Relationship Id="rId1745" Type="http://schemas.openxmlformats.org/officeDocument/2006/relationships/hyperlink" Target="https://www.crunchbase.com/organization/testfit" TargetMode="External"/><Relationship Id="rId1746" Type="http://schemas.openxmlformats.org/officeDocument/2006/relationships/hyperlink" Target="https://testfit.io/" TargetMode="External"/><Relationship Id="rId1747" Type="http://schemas.openxmlformats.org/officeDocument/2006/relationships/hyperlink" Target="https://www.crunchbase.com/funding_round/testfit-seed--b902b532" TargetMode="External"/><Relationship Id="rId1748" Type="http://schemas.openxmlformats.org/officeDocument/2006/relationships/hyperlink" Target="https://www.crunchbase.com/funding_round/testfit-series-a--82b8ebc6" TargetMode="External"/><Relationship Id="rId1749" Type="http://schemas.openxmlformats.org/officeDocument/2006/relationships/hyperlink" Target="https://angel.co/company/globalfair-1" TargetMode="External"/><Relationship Id="rId1740" Type="http://schemas.openxmlformats.org/officeDocument/2006/relationships/hyperlink" Target="https://www.lex-markets.com/" TargetMode="External"/><Relationship Id="rId5291" Type="http://schemas.openxmlformats.org/officeDocument/2006/relationships/hyperlink" Target="https://www.greengen.com/" TargetMode="External"/><Relationship Id="rId5292" Type="http://schemas.openxmlformats.org/officeDocument/2006/relationships/hyperlink" Target="https://angel.co/company/greenshine-new-energy" TargetMode="External"/><Relationship Id="rId5290" Type="http://schemas.openxmlformats.org/officeDocument/2006/relationships/hyperlink" Target="https://www.crunchbase.com/organization/green-generation-solutions" TargetMode="External"/><Relationship Id="rId5295" Type="http://schemas.openxmlformats.org/officeDocument/2006/relationships/hyperlink" Target="https://www.crunchbase.com/organization/greensoil-proptech-ventures" TargetMode="External"/><Relationship Id="rId5296" Type="http://schemas.openxmlformats.org/officeDocument/2006/relationships/hyperlink" Target="https://www.gspv.vc/" TargetMode="External"/><Relationship Id="rId5293" Type="http://schemas.openxmlformats.org/officeDocument/2006/relationships/hyperlink" Target="https://www.crunchbase.com/organization/greenshine-new-energy" TargetMode="External"/><Relationship Id="rId5294" Type="http://schemas.openxmlformats.org/officeDocument/2006/relationships/hyperlink" Target="https://www.streetlights-solar.com/" TargetMode="External"/><Relationship Id="rId5299" Type="http://schemas.openxmlformats.org/officeDocument/2006/relationships/hyperlink" Target="https://grit.group/" TargetMode="External"/><Relationship Id="rId5297" Type="http://schemas.openxmlformats.org/officeDocument/2006/relationships/hyperlink" Target="https://angel.co/company/greywale-management" TargetMode="External"/><Relationship Id="rId5298" Type="http://schemas.openxmlformats.org/officeDocument/2006/relationships/hyperlink" Target="http://greywale.com/" TargetMode="External"/><Relationship Id="rId5280" Type="http://schemas.openxmlformats.org/officeDocument/2006/relationships/hyperlink" Target="https://www.crunchbase.com/organization/graana" TargetMode="External"/><Relationship Id="rId5281" Type="http://schemas.openxmlformats.org/officeDocument/2006/relationships/hyperlink" Target="https://www.graana.com/" TargetMode="External"/><Relationship Id="rId5284" Type="http://schemas.openxmlformats.org/officeDocument/2006/relationships/hyperlink" Target="https://angel.co/u/green-orbit" TargetMode="External"/><Relationship Id="rId5285" Type="http://schemas.openxmlformats.org/officeDocument/2006/relationships/hyperlink" Target="https://www.crunchbase.com/organization/intranet-dashboard" TargetMode="External"/><Relationship Id="rId5282" Type="http://schemas.openxmlformats.org/officeDocument/2006/relationships/hyperlink" Target="https://coinable.com/" TargetMode="External"/><Relationship Id="rId5283" Type="http://schemas.openxmlformats.org/officeDocument/2006/relationships/hyperlink" Target="https://www.graytec.se/" TargetMode="External"/><Relationship Id="rId5288" Type="http://schemas.openxmlformats.org/officeDocument/2006/relationships/hyperlink" Target="https://www.crunchbase.com/organization/greenapps" TargetMode="External"/><Relationship Id="rId5289" Type="http://schemas.openxmlformats.org/officeDocument/2006/relationships/hyperlink" Target="https://www.greenapps.com/" TargetMode="External"/><Relationship Id="rId5286" Type="http://schemas.openxmlformats.org/officeDocument/2006/relationships/hyperlink" Target="https://greenorbit.com/" TargetMode="External"/><Relationship Id="rId5287" Type="http://schemas.openxmlformats.org/officeDocument/2006/relationships/hyperlink" Target="https://angel.co/company/greenapp" TargetMode="External"/><Relationship Id="rId1710" Type="http://schemas.openxmlformats.org/officeDocument/2006/relationships/hyperlink" Target="https://www.crunchbase.com/organization/bumblebee-spaces" TargetMode="External"/><Relationship Id="rId1711" Type="http://schemas.openxmlformats.org/officeDocument/2006/relationships/hyperlink" Target="https://bumblebeespaces.com" TargetMode="External"/><Relationship Id="rId1712" Type="http://schemas.openxmlformats.org/officeDocument/2006/relationships/hyperlink" Target="https://www.therobotreport.com/bumblebee-spaces-gets-series-a-investment-toyota-ai-ventures/" TargetMode="External"/><Relationship Id="rId1713" Type="http://schemas.openxmlformats.org/officeDocument/2006/relationships/hyperlink" Target="https://www.crunchbase.com/funding_round/bumblebee-spaces-series-a--c3ab49d6" TargetMode="External"/><Relationship Id="rId1714" Type="http://schemas.openxmlformats.org/officeDocument/2006/relationships/hyperlink" Target="https://www.crunchbase.com/organization/bellman-immo" TargetMode="External"/><Relationship Id="rId1715" Type="http://schemas.openxmlformats.org/officeDocument/2006/relationships/hyperlink" Target="https://bellman.immo/" TargetMode="External"/><Relationship Id="rId1716" Type="http://schemas.openxmlformats.org/officeDocument/2006/relationships/hyperlink" Target="https://www.crunchbase.com/funding_round/bellman-immo-seed--9998779d" TargetMode="External"/><Relationship Id="rId1717" Type="http://schemas.openxmlformats.org/officeDocument/2006/relationships/hyperlink" Target="https://www.crunchbase.com/funding_round/bellman-immo-series-unknown--256530c0" TargetMode="External"/><Relationship Id="rId1718" Type="http://schemas.openxmlformats.org/officeDocument/2006/relationships/hyperlink" Target="https://www.crunchbase.com/funding_round/bellman-immo-series-unknown--256530c0" TargetMode="External"/><Relationship Id="rId1719" Type="http://schemas.openxmlformats.org/officeDocument/2006/relationships/hyperlink" Target="https://angel.co/company/truss-holdings-2" TargetMode="External"/><Relationship Id="rId1700" Type="http://schemas.openxmlformats.org/officeDocument/2006/relationships/hyperlink" Target="https://www.crunchbase.com/funding_round/project-solar-series-a--ace8fcf2" TargetMode="External"/><Relationship Id="rId1701" Type="http://schemas.openxmlformats.org/officeDocument/2006/relationships/hyperlink" Target="https://angel.co/company/blokable" TargetMode="External"/><Relationship Id="rId1702" Type="http://schemas.openxmlformats.org/officeDocument/2006/relationships/hyperlink" Target="https://www.crunchbase.com/organization/blokable-inc" TargetMode="External"/><Relationship Id="rId1703" Type="http://schemas.openxmlformats.org/officeDocument/2006/relationships/hyperlink" Target="http://www.blokable.com/" TargetMode="External"/><Relationship Id="rId1704" Type="http://schemas.openxmlformats.org/officeDocument/2006/relationships/hyperlink" Target="https://www.crunchbase.com/funding_round/blokable-inc-series-a--57009d6d" TargetMode="External"/><Relationship Id="rId1705" Type="http://schemas.openxmlformats.org/officeDocument/2006/relationships/hyperlink" Target="https://www.crunchbase.com/funding_round/blokable-inc-series-unknown--68acdada" TargetMode="External"/><Relationship Id="rId1706" Type="http://schemas.openxmlformats.org/officeDocument/2006/relationships/hyperlink" Target="https://angel.co/company/rhumbix" TargetMode="External"/><Relationship Id="rId1707" Type="http://schemas.openxmlformats.org/officeDocument/2006/relationships/hyperlink" Target="https://www.crunchbase.com/organization/rhumbix" TargetMode="External"/><Relationship Id="rId1708" Type="http://schemas.openxmlformats.org/officeDocument/2006/relationships/hyperlink" Target="https://www.rhumbix.com/" TargetMode="External"/><Relationship Id="rId1709" Type="http://schemas.openxmlformats.org/officeDocument/2006/relationships/hyperlink" Target="https://angel.co/company/bumblebee-spaces" TargetMode="External"/><Relationship Id="rId40" Type="http://schemas.openxmlformats.org/officeDocument/2006/relationships/hyperlink" Target="https://www.crunchbase.com/funding_round/enpal-seed--8d2e39f7" TargetMode="External"/><Relationship Id="rId42" Type="http://schemas.openxmlformats.org/officeDocument/2006/relationships/hyperlink" Target="https://www.crunchbase.com/funding_round/enpal-series-unknown--6dee374d" TargetMode="External"/><Relationship Id="rId41" Type="http://schemas.openxmlformats.org/officeDocument/2006/relationships/hyperlink" Target="https://www.crunchbase.com/funding_round/enpal-series-a--92dc66e0" TargetMode="External"/><Relationship Id="rId44" Type="http://schemas.openxmlformats.org/officeDocument/2006/relationships/hyperlink" Target="https://www.crunchbase.com/funding_round/enpal-debt-financing--ab33b668" TargetMode="External"/><Relationship Id="rId43" Type="http://schemas.openxmlformats.org/officeDocument/2006/relationships/hyperlink" Target="https://www.crunchbase.com/funding_round/enpal-series-d--a1ef9962" TargetMode="External"/><Relationship Id="rId46" Type="http://schemas.openxmlformats.org/officeDocument/2006/relationships/hyperlink" Target="https://www.divvyhomes.com/" TargetMode="External"/><Relationship Id="rId45" Type="http://schemas.openxmlformats.org/officeDocument/2006/relationships/hyperlink" Target="https://www.crunchbase.com/organization/divvy-homes" TargetMode="External"/><Relationship Id="rId48" Type="http://schemas.openxmlformats.org/officeDocument/2006/relationships/hyperlink" Target="https://www.crunchbase.com/funding_round/divvy-homes-debt-financing--6c2e8316" TargetMode="External"/><Relationship Id="rId47" Type="http://schemas.openxmlformats.org/officeDocument/2006/relationships/hyperlink" Target="https://www.google.com/url?sa=t&amp;rct=j&amp;q=&amp;esrc=s&amp;source=web&amp;cd=&amp;ved=2ahUKEwivs_-9nob8AhX5nWoFHdSODDwQFnoECAsQAQ&amp;url=https%3A%2F%2Ftherealdeal.com%2F2021%2F08%2F13%2Fdivvy-homes-hits-2b-valuation-on-new-fundraising-round%2F&amp;usg=AOvVaw3BXm1tcsRLvd39tdntPkxT" TargetMode="External"/><Relationship Id="rId49" Type="http://schemas.openxmlformats.org/officeDocument/2006/relationships/hyperlink" Target="https://angel.co/company/lessen-1" TargetMode="External"/><Relationship Id="rId31" Type="http://schemas.openxmlformats.org/officeDocument/2006/relationships/hyperlink" Target="https://www.sideinc.com/" TargetMode="External"/><Relationship Id="rId30" Type="http://schemas.openxmlformats.org/officeDocument/2006/relationships/hyperlink" Target="https://www.crunchbase.com/organization/side-5e5b" TargetMode="External"/><Relationship Id="rId33" Type="http://schemas.openxmlformats.org/officeDocument/2006/relationships/hyperlink" Target="https://www.crunchbase.com/funding_round/side-5e5b-series-b--6b84e5ef" TargetMode="External"/><Relationship Id="rId32" Type="http://schemas.openxmlformats.org/officeDocument/2006/relationships/hyperlink" Target="https://www.google.com/url?sa=t&amp;rct=j&amp;q=&amp;esrc=s&amp;source=web&amp;cd=&amp;ved=2ahUKEwidtav1yuj-AhUfjYkEHaUsA-MQFnoECA8QAQ&amp;url=https%3A%2F%2Ftechcrunch.com%2F2021%2F06%2F28%2Freal-estate-tech-startup-side-raises-50m-more-at-a-2b-valuation-as-it-preps-for-an-ipo%2F&amp;usg=AOvVaw1pn5VIqmCSAhLnTlwD7LVr" TargetMode="External"/><Relationship Id="rId35" Type="http://schemas.openxmlformats.org/officeDocument/2006/relationships/hyperlink" Target="https://angel.co/company/enpal-1" TargetMode="External"/><Relationship Id="rId34" Type="http://schemas.openxmlformats.org/officeDocument/2006/relationships/hyperlink" Target="https://www.crunchbase.com/funding_round/side-5e5b-series-unknown--fc2204bd" TargetMode="External"/><Relationship Id="rId37" Type="http://schemas.openxmlformats.org/officeDocument/2006/relationships/hyperlink" Target="https://www.enpal.de/" TargetMode="External"/><Relationship Id="rId36" Type="http://schemas.openxmlformats.org/officeDocument/2006/relationships/hyperlink" Target="https://www.crunchbase.com/organization/enpal" TargetMode="External"/><Relationship Id="rId39" Type="http://schemas.openxmlformats.org/officeDocument/2006/relationships/hyperlink" Target="https://www.crunchbase.com/funding_round/enpal-pre-seed--28874f55" TargetMode="External"/><Relationship Id="rId38" Type="http://schemas.openxmlformats.org/officeDocument/2006/relationships/hyperlink" Target="https://www.wsj.com/articles/solar-startup-enpal-nears-2-4-billion-valuation-in-tpg-led-investment-11673258212" TargetMode="External"/><Relationship Id="rId20" Type="http://schemas.openxmlformats.org/officeDocument/2006/relationships/hyperlink" Target="https://www.reuters.com/technology/security-systems-maker-verkada-valued-32-bln-after-sequoia-backed-funding-2022-09-14/" TargetMode="External"/><Relationship Id="rId22" Type="http://schemas.openxmlformats.org/officeDocument/2006/relationships/hyperlink" Target="https://www.crunchbase.com/funding_round/verkada-series-a--facde405" TargetMode="External"/><Relationship Id="rId21" Type="http://schemas.openxmlformats.org/officeDocument/2006/relationships/hyperlink" Target="https://www.crunchbase.com/funding_round/verkada-seed--71898232" TargetMode="External"/><Relationship Id="rId24" Type="http://schemas.openxmlformats.org/officeDocument/2006/relationships/hyperlink" Target="https://www.crunchbase.com/funding_round/verkada-series-c--cc3b9f3c" TargetMode="External"/><Relationship Id="rId23" Type="http://schemas.openxmlformats.org/officeDocument/2006/relationships/hyperlink" Target="https://www.crunchbase.com/funding_round/verkada-series-b--d867b836" TargetMode="External"/><Relationship Id="rId26" Type="http://schemas.openxmlformats.org/officeDocument/2006/relationships/hyperlink" Target="https://www.crunchbase.com/funding_round/verkada-debt-financing--d8c7a596" TargetMode="External"/><Relationship Id="rId25" Type="http://schemas.openxmlformats.org/officeDocument/2006/relationships/hyperlink" Target="https://www.crunchbase.com/funding_round/verkada-series-d--36a19f35" TargetMode="External"/><Relationship Id="rId28" Type="http://schemas.openxmlformats.org/officeDocument/2006/relationships/hyperlink" Target="https://loft.com.br/" TargetMode="External"/><Relationship Id="rId27" Type="http://schemas.openxmlformats.org/officeDocument/2006/relationships/hyperlink" Target="https://www.crunchbase.com/organization/loft-br" TargetMode="External"/><Relationship Id="rId29" Type="http://schemas.openxmlformats.org/officeDocument/2006/relationships/hyperlink" Target="https://www.crunchbase.com/funding_round/loft-br-series-unknown--08cc04a7" TargetMode="External"/><Relationship Id="rId11" Type="http://schemas.openxmlformats.org/officeDocument/2006/relationships/hyperlink" Target="https://www.crunchbase.com/funding_round/equipmentshare-series-b--aefcc786" TargetMode="External"/><Relationship Id="rId10" Type="http://schemas.openxmlformats.org/officeDocument/2006/relationships/hyperlink" Target="https://www.crunchbase.com/funding_round/equipmentshare-series-a--44534d4e" TargetMode="External"/><Relationship Id="rId13" Type="http://schemas.openxmlformats.org/officeDocument/2006/relationships/hyperlink" Target="https://www.crunchbase.com/funding_round/equipmentshare-series-d--9a585848" TargetMode="External"/><Relationship Id="rId12" Type="http://schemas.openxmlformats.org/officeDocument/2006/relationships/hyperlink" Target="https://www.sec.gov/Archives/edgar/data/1693736/000169373621000002/xslFormDX01/primary_doc.xml" TargetMode="External"/><Relationship Id="rId15" Type="http://schemas.openxmlformats.org/officeDocument/2006/relationships/hyperlink" Target="https://www.crunchbase.com/funding_round/equipmentshare-series-unknown--8c96cc87" TargetMode="External"/><Relationship Id="rId14" Type="http://schemas.openxmlformats.org/officeDocument/2006/relationships/hyperlink" Target="https://www.crunchbase.com/funding_round/equipmentshare-series-e--8a6dbc4c" TargetMode="External"/><Relationship Id="rId17" Type="http://schemas.openxmlformats.org/officeDocument/2006/relationships/hyperlink" Target="https://angel.co/company/verkada" TargetMode="External"/><Relationship Id="rId16" Type="http://schemas.openxmlformats.org/officeDocument/2006/relationships/hyperlink" Target="https://www.crunchbase.com/funding_round/equipmentshare-debt-financing--a9c3edba" TargetMode="External"/><Relationship Id="rId19" Type="http://schemas.openxmlformats.org/officeDocument/2006/relationships/hyperlink" Target="https://www.verkada.com/" TargetMode="External"/><Relationship Id="rId18" Type="http://schemas.openxmlformats.org/officeDocument/2006/relationships/hyperlink" Target="https://www.crunchbase.com/organization/verkada" TargetMode="External"/><Relationship Id="rId84" Type="http://schemas.openxmlformats.org/officeDocument/2006/relationships/hyperlink" Target="https://www.pacaso.com/blog/pacaso-secures-125m-in-funding" TargetMode="External"/><Relationship Id="rId1774" Type="http://schemas.openxmlformats.org/officeDocument/2006/relationships/hyperlink" Target="https://www.crunchbase.com/funding_round/blue-frontier-seed--4253cb43" TargetMode="External"/><Relationship Id="rId83" Type="http://schemas.openxmlformats.org/officeDocument/2006/relationships/hyperlink" Target="https://www.pacaso.com/" TargetMode="External"/><Relationship Id="rId1775" Type="http://schemas.openxmlformats.org/officeDocument/2006/relationships/hyperlink" Target="https://www.crunchbase.com/funding_round/blue-frontier-series-a--c91d7a93" TargetMode="External"/><Relationship Id="rId86" Type="http://schemas.openxmlformats.org/officeDocument/2006/relationships/hyperlink" Target="http://knock.com/" TargetMode="External"/><Relationship Id="rId1776" Type="http://schemas.openxmlformats.org/officeDocument/2006/relationships/hyperlink" Target="https://angel.co/company/codi" TargetMode="External"/><Relationship Id="rId85" Type="http://schemas.openxmlformats.org/officeDocument/2006/relationships/hyperlink" Target="https://www.crunchbase.com/funding_round/pacaso-debt-financing--45e77e98" TargetMode="External"/><Relationship Id="rId1777" Type="http://schemas.openxmlformats.org/officeDocument/2006/relationships/hyperlink" Target="https://www.crunchbase.com/organization/codi-2000" TargetMode="External"/><Relationship Id="rId88" Type="http://schemas.openxmlformats.org/officeDocument/2006/relationships/hyperlink" Target="https://www.crunchbase.com/organization/knockaway" TargetMode="External"/><Relationship Id="rId1778" Type="http://schemas.openxmlformats.org/officeDocument/2006/relationships/hyperlink" Target="https://www.codi.com/" TargetMode="External"/><Relationship Id="rId87" Type="http://schemas.openxmlformats.org/officeDocument/2006/relationships/hyperlink" Target="https://angel.co/company/knock-7" TargetMode="External"/><Relationship Id="rId1779" Type="http://schemas.openxmlformats.org/officeDocument/2006/relationships/hyperlink" Target="https://www.crunchbase.com/funding_round/codi-2000-seed--95cf8891" TargetMode="External"/><Relationship Id="rId89" Type="http://schemas.openxmlformats.org/officeDocument/2006/relationships/hyperlink" Target="https://www.knock.com/" TargetMode="External"/><Relationship Id="rId80" Type="http://schemas.openxmlformats.org/officeDocument/2006/relationships/hyperlink" Target="https://www.google.com/url?sa=t&amp;rct=j&amp;q=&amp;esrc=s&amp;source=web&amp;cd=&amp;ved=2ahUKEwjpsOuIz-j-AhWPkokEHWOcAfkQFnoECA8QAw&amp;url=https%3A%2F%2Fwww.cooley.com%2Fnews%2Fcoverage%2F2021%2F2021-05-28-snapdocs-valuation-climbs-to-over-1-5-billion-with-series-d-round%23%3A~%3Atext%3DPalo%2520Alto%2520%25E2%2580%2593%2520May%252028%252C%25202021%2Cto%2520more%2520than%2520%25241.5%2520billion.&amp;usg=AOvVaw1t5kz68WkheN9QdBpok8mx" TargetMode="External"/><Relationship Id="rId82" Type="http://schemas.openxmlformats.org/officeDocument/2006/relationships/hyperlink" Target="https://www.crunchbase.com/organization/pacaso" TargetMode="External"/><Relationship Id="rId81" Type="http://schemas.openxmlformats.org/officeDocument/2006/relationships/hyperlink" Target="https://angel.co/company/pacaso" TargetMode="External"/><Relationship Id="rId1770" Type="http://schemas.openxmlformats.org/officeDocument/2006/relationships/hyperlink" Target="https://nomadlease.com/" TargetMode="External"/><Relationship Id="rId1771" Type="http://schemas.openxmlformats.org/officeDocument/2006/relationships/hyperlink" Target="https://www.crunchbase.com/funding_round/nomad-7447-pre-seed--9919ef22" TargetMode="External"/><Relationship Id="rId1772" Type="http://schemas.openxmlformats.org/officeDocument/2006/relationships/hyperlink" Target="https://www.crunchbase.com/organization/blue-frontier" TargetMode="External"/><Relationship Id="rId1773" Type="http://schemas.openxmlformats.org/officeDocument/2006/relationships/hyperlink" Target="https://bluefrontierac.com/" TargetMode="External"/><Relationship Id="rId73" Type="http://schemas.openxmlformats.org/officeDocument/2006/relationships/hyperlink" Target="https://www.homelight.com/" TargetMode="External"/><Relationship Id="rId1763" Type="http://schemas.openxmlformats.org/officeDocument/2006/relationships/hyperlink" Target="https://angel.co/company/appear-here" TargetMode="External"/><Relationship Id="rId72" Type="http://schemas.openxmlformats.org/officeDocument/2006/relationships/hyperlink" Target="https://www.crunchbase.com/organization/homelight" TargetMode="External"/><Relationship Id="rId1764" Type="http://schemas.openxmlformats.org/officeDocument/2006/relationships/hyperlink" Target="https://www.crunchbase.com/organization/appear-here" TargetMode="External"/><Relationship Id="rId75" Type="http://schemas.openxmlformats.org/officeDocument/2006/relationships/hyperlink" Target="https://www.crunchbase.com/funding_round/homelight-seed--699c9699" TargetMode="External"/><Relationship Id="rId1765" Type="http://schemas.openxmlformats.org/officeDocument/2006/relationships/hyperlink" Target="https://www.appearhere.us" TargetMode="External"/><Relationship Id="rId74" Type="http://schemas.openxmlformats.org/officeDocument/2006/relationships/hyperlink" Target="https://www.google.com/url?sa=t&amp;rct=j&amp;q=&amp;esrc=s&amp;source=web&amp;cd=&amp;ved=2ahUKEwiNoKWuzuj-AhVQjokEHROvAN0QFnoECBEQAQ&amp;url=https%3A%2F%2Fwww.reuters.com%2Fbusiness%2Fhomelights-valuation-touches-17-billion-after-latest-fundraise-2022-06-16%2F&amp;usg=AOvVaw11GSEFPFHVumn8vd5BdQIb" TargetMode="External"/><Relationship Id="rId1766" Type="http://schemas.openxmlformats.org/officeDocument/2006/relationships/hyperlink" Target="https://www.crunchbase.com/funding_round/appear-here-seed--032a7d37" TargetMode="External"/><Relationship Id="rId77" Type="http://schemas.openxmlformats.org/officeDocument/2006/relationships/hyperlink" Target="https://angel.co/company/snapdocs" TargetMode="External"/><Relationship Id="rId1767" Type="http://schemas.openxmlformats.org/officeDocument/2006/relationships/hyperlink" Target="https://www.crunchbase.com/funding_round/appear-here-series-a--bb75c93c" TargetMode="External"/><Relationship Id="rId76" Type="http://schemas.openxmlformats.org/officeDocument/2006/relationships/hyperlink" Target="https://www.crunchbase.com/funding_round/homelight-debt-financing--20d4f9fa" TargetMode="External"/><Relationship Id="rId1768" Type="http://schemas.openxmlformats.org/officeDocument/2006/relationships/hyperlink" Target="https://www.crunchbase.com/funding_round/appear-here-series-b--8112d150" TargetMode="External"/><Relationship Id="rId79" Type="http://schemas.openxmlformats.org/officeDocument/2006/relationships/hyperlink" Target="https://snapdocs.com/" TargetMode="External"/><Relationship Id="rId1769" Type="http://schemas.openxmlformats.org/officeDocument/2006/relationships/hyperlink" Target="https://www.crunchbase.com/organization/nomad-7447" TargetMode="External"/><Relationship Id="rId78" Type="http://schemas.openxmlformats.org/officeDocument/2006/relationships/hyperlink" Target="https://www.crunchbase.com/organization/snapdocs" TargetMode="External"/><Relationship Id="rId71" Type="http://schemas.openxmlformats.org/officeDocument/2006/relationships/hyperlink" Target="https://angel.co/company/homelight" TargetMode="External"/><Relationship Id="rId70" Type="http://schemas.openxmlformats.org/officeDocument/2006/relationships/hyperlink" Target="https://www.crunchbase.com/funding_round/vts-debt-financing--89e6714f" TargetMode="External"/><Relationship Id="rId1760" Type="http://schemas.openxmlformats.org/officeDocument/2006/relationships/hyperlink" Target="https://angel.co/hightower" TargetMode="External"/><Relationship Id="rId1761" Type="http://schemas.openxmlformats.org/officeDocument/2006/relationships/hyperlink" Target="https://www.crunchbase.com/organization/hightower" TargetMode="External"/><Relationship Id="rId1762" Type="http://schemas.openxmlformats.org/officeDocument/2006/relationships/hyperlink" Target="http://www.gethightower.com/" TargetMode="External"/><Relationship Id="rId62" Type="http://schemas.openxmlformats.org/officeDocument/2006/relationships/hyperlink" Target="https://pulse2.com/roofstock-240-million-funding-and-1-9-billion-valuation/" TargetMode="External"/><Relationship Id="rId1796" Type="http://schemas.openxmlformats.org/officeDocument/2006/relationships/hyperlink" Target="https://www.crunchbase.com/organization/blooma" TargetMode="External"/><Relationship Id="rId61" Type="http://schemas.openxmlformats.org/officeDocument/2006/relationships/hyperlink" Target="https://www.roofstock.com/" TargetMode="External"/><Relationship Id="rId1797" Type="http://schemas.openxmlformats.org/officeDocument/2006/relationships/hyperlink" Target="https://blooma.ai/" TargetMode="External"/><Relationship Id="rId64" Type="http://schemas.openxmlformats.org/officeDocument/2006/relationships/hyperlink" Target="https://www.crunchbase.com/funding_round/roofstock-series-unknown--72902b20" TargetMode="External"/><Relationship Id="rId1798" Type="http://schemas.openxmlformats.org/officeDocument/2006/relationships/hyperlink" Target="https://angel.co/company/urban-umbrella" TargetMode="External"/><Relationship Id="rId63" Type="http://schemas.openxmlformats.org/officeDocument/2006/relationships/hyperlink" Target="https://www.crunchbase.com/funding_round/roofstock-series-c--6637f944" TargetMode="External"/><Relationship Id="rId1799" Type="http://schemas.openxmlformats.org/officeDocument/2006/relationships/hyperlink" Target="https://www.crunchbase.com/organization/urban-umbrella" TargetMode="External"/><Relationship Id="rId66" Type="http://schemas.openxmlformats.org/officeDocument/2006/relationships/hyperlink" Target="https://www.crunchbase.com/organization/vts" TargetMode="External"/><Relationship Id="rId65" Type="http://schemas.openxmlformats.org/officeDocument/2006/relationships/hyperlink" Target="https://angel.co/view-the-space" TargetMode="External"/><Relationship Id="rId68" Type="http://schemas.openxmlformats.org/officeDocument/2006/relationships/hyperlink" Target="https://www.wsj.com/articles/cbre-leads-125-million-vts-funding-round-a-bet-on-technology-for-return-to-office-11662439278" TargetMode="External"/><Relationship Id="rId67" Type="http://schemas.openxmlformats.org/officeDocument/2006/relationships/hyperlink" Target="http://www.vts.com/" TargetMode="External"/><Relationship Id="rId60" Type="http://schemas.openxmlformats.org/officeDocument/2006/relationships/hyperlink" Target="https://www.crunchbase.com/organization/roofstock" TargetMode="External"/><Relationship Id="rId69" Type="http://schemas.openxmlformats.org/officeDocument/2006/relationships/hyperlink" Target="https://www.crunchbase.com/funding_round/vts-series-e--08a31b1e" TargetMode="External"/><Relationship Id="rId1790" Type="http://schemas.openxmlformats.org/officeDocument/2006/relationships/hyperlink" Target="https://www.service1stfinancial.com/" TargetMode="External"/><Relationship Id="rId1791" Type="http://schemas.openxmlformats.org/officeDocument/2006/relationships/hyperlink" Target="https://www.crunchbase.com/funding_round/service-1st-financial-series-b--b76766f8" TargetMode="External"/><Relationship Id="rId1792" Type="http://schemas.openxmlformats.org/officeDocument/2006/relationships/hyperlink" Target="https://www.crunchbase.com/funding_round/service-1st-financial-debt-financing--bf004bda" TargetMode="External"/><Relationship Id="rId1793" Type="http://schemas.openxmlformats.org/officeDocument/2006/relationships/hyperlink" Target="https://angel.co/company/casafari" TargetMode="External"/><Relationship Id="rId1794" Type="http://schemas.openxmlformats.org/officeDocument/2006/relationships/hyperlink" Target="https://www.crunchbase.com/organization/casafari" TargetMode="External"/><Relationship Id="rId1795" Type="http://schemas.openxmlformats.org/officeDocument/2006/relationships/hyperlink" Target="https://www.casafari.com/" TargetMode="External"/><Relationship Id="rId51" Type="http://schemas.openxmlformats.org/officeDocument/2006/relationships/hyperlink" Target="https://www.lessen.com/" TargetMode="External"/><Relationship Id="rId1785" Type="http://schemas.openxmlformats.org/officeDocument/2006/relationships/hyperlink" Target="https://lekolabs.com/" TargetMode="External"/><Relationship Id="rId50" Type="http://schemas.openxmlformats.org/officeDocument/2006/relationships/hyperlink" Target="https://www.crunchbase.com/organization/lessen" TargetMode="External"/><Relationship Id="rId1786" Type="http://schemas.openxmlformats.org/officeDocument/2006/relationships/hyperlink" Target="https://www.crunchbase.com/organization/aro-homes" TargetMode="External"/><Relationship Id="rId53" Type="http://schemas.openxmlformats.org/officeDocument/2006/relationships/hyperlink" Target="https://www.crunchbase.com/funding_round/lessen-series-b--cd181888" TargetMode="External"/><Relationship Id="rId1787" Type="http://schemas.openxmlformats.org/officeDocument/2006/relationships/hyperlink" Target="https://www.aro.homes/" TargetMode="External"/><Relationship Id="rId52" Type="http://schemas.openxmlformats.org/officeDocument/2006/relationships/hyperlink" Target="https://www.lessen.com/resources/lessen-acquires-sms-assist" TargetMode="External"/><Relationship Id="rId1788" Type="http://schemas.openxmlformats.org/officeDocument/2006/relationships/hyperlink" Target="https://www.crunchbase.com/funding_round/aro-homes-series-a--4264c3ea" TargetMode="External"/><Relationship Id="rId55" Type="http://schemas.openxmlformats.org/officeDocument/2006/relationships/hyperlink" Target="https://angel.co/company/icon-15" TargetMode="External"/><Relationship Id="rId1789" Type="http://schemas.openxmlformats.org/officeDocument/2006/relationships/hyperlink" Target="https://www.crunchbase.com/organization/service-1st-financial" TargetMode="External"/><Relationship Id="rId54" Type="http://schemas.openxmlformats.org/officeDocument/2006/relationships/hyperlink" Target="https://www.crunchbase.com/funding_round/lessen-series-unknown--4bd7391c" TargetMode="External"/><Relationship Id="rId57" Type="http://schemas.openxmlformats.org/officeDocument/2006/relationships/hyperlink" Target="https://www.iconbuild.com/" TargetMode="External"/><Relationship Id="rId56" Type="http://schemas.openxmlformats.org/officeDocument/2006/relationships/hyperlink" Target="https://www.crunchbase.com/organization/icon3d" TargetMode="External"/><Relationship Id="rId59" Type="http://schemas.openxmlformats.org/officeDocument/2006/relationships/hyperlink" Target="https://angel.co/company/roofstock" TargetMode="External"/><Relationship Id="rId58" Type="http://schemas.openxmlformats.org/officeDocument/2006/relationships/hyperlink" Target="https://www.crunchbase.com/funding_round/icon3d-series-unknown--e48356e2" TargetMode="External"/><Relationship Id="rId1780" Type="http://schemas.openxmlformats.org/officeDocument/2006/relationships/hyperlink" Target="https://www.crunchbase.com/funding_round/codi-2000-series-a--4dc70948" TargetMode="External"/><Relationship Id="rId1781" Type="http://schemas.openxmlformats.org/officeDocument/2006/relationships/hyperlink" Target="https://angel.co/company/credifi-2" TargetMode="External"/><Relationship Id="rId1782" Type="http://schemas.openxmlformats.org/officeDocument/2006/relationships/hyperlink" Target="https://www.crunchbase.com/organization/credifi" TargetMode="External"/><Relationship Id="rId1783" Type="http://schemas.openxmlformats.org/officeDocument/2006/relationships/hyperlink" Target="https://www.credifi.com/" TargetMode="External"/><Relationship Id="rId1784" Type="http://schemas.openxmlformats.org/officeDocument/2006/relationships/hyperlink" Target="https://www.crunchbase.com/organization/leko-labs" TargetMode="External"/><Relationship Id="rId6627" Type="http://schemas.openxmlformats.org/officeDocument/2006/relationships/hyperlink" Target="https://www.crunchbase.com/organization/dev-accelerator-private-limited" TargetMode="External"/><Relationship Id="rId6628" Type="http://schemas.openxmlformats.org/officeDocument/2006/relationships/hyperlink" Target="https://devx.work/" TargetMode="External"/><Relationship Id="rId6625" Type="http://schemas.openxmlformats.org/officeDocument/2006/relationships/hyperlink" Target="https://www.crunchbase.com/funding_round/skarlett-seed--1cab0c55" TargetMode="External"/><Relationship Id="rId6626" Type="http://schemas.openxmlformats.org/officeDocument/2006/relationships/hyperlink" Target="https://wellfound.com/company/dev-accelerator-pvt-ltd" TargetMode="External"/><Relationship Id="rId6629" Type="http://schemas.openxmlformats.org/officeDocument/2006/relationships/hyperlink" Target="https://www.crunchbase.com/funding_round/dev-accelerator-private-limited-seed--f594cf69" TargetMode="External"/><Relationship Id="rId349" Type="http://schemas.openxmlformats.org/officeDocument/2006/relationships/hyperlink" Target="https://angel.co/company/convene-2" TargetMode="External"/><Relationship Id="rId348" Type="http://schemas.openxmlformats.org/officeDocument/2006/relationships/hyperlink" Target="https://www.crunchbase.com/funding_round/kinestral-technologies-debt-financing--68859fc4" TargetMode="External"/><Relationship Id="rId347" Type="http://schemas.openxmlformats.org/officeDocument/2006/relationships/hyperlink" Target="https://www.crunchbase.com/funding_round/kinestral-technologies-convertible-note--9236b68c" TargetMode="External"/><Relationship Id="rId346" Type="http://schemas.openxmlformats.org/officeDocument/2006/relationships/hyperlink" Target="https://www.crunchbase.com/funding_round/kinestral-technologies-series-b--f548dad2" TargetMode="External"/><Relationship Id="rId341" Type="http://schemas.openxmlformats.org/officeDocument/2006/relationships/hyperlink" Target="https://www.crunchbase.com/funding_round/bungalow-series-a--2fc8ad35" TargetMode="External"/><Relationship Id="rId340" Type="http://schemas.openxmlformats.org/officeDocument/2006/relationships/hyperlink" Target="https://www.bloomberg.com/news/articles/2021-08-24/bungalow-valuation-soars-over-600-million-as-deer-park-invests" TargetMode="External"/><Relationship Id="rId6620" Type="http://schemas.openxmlformats.org/officeDocument/2006/relationships/hyperlink" Target="https://uniacco.com/" TargetMode="External"/><Relationship Id="rId345" Type="http://schemas.openxmlformats.org/officeDocument/2006/relationships/hyperlink" Target="https://halioinc.com/" TargetMode="External"/><Relationship Id="rId6623" Type="http://schemas.openxmlformats.org/officeDocument/2006/relationships/hyperlink" Target="https://www.crunchbase.com/organization/skarlett" TargetMode="External"/><Relationship Id="rId344" Type="http://schemas.openxmlformats.org/officeDocument/2006/relationships/hyperlink" Target="https://www.crunchbase.com/organization/kinestral-technologies" TargetMode="External"/><Relationship Id="rId6624" Type="http://schemas.openxmlformats.org/officeDocument/2006/relationships/hyperlink" Target="https://skarlett.fr/" TargetMode="External"/><Relationship Id="rId343" Type="http://schemas.openxmlformats.org/officeDocument/2006/relationships/hyperlink" Target="https://www.crunchbase.com/funding_round/bungalow-debt-financing--f1c456c3" TargetMode="External"/><Relationship Id="rId6621" Type="http://schemas.openxmlformats.org/officeDocument/2006/relationships/hyperlink" Target="https://www.crunchbase.com/funding_round/uniacco-seed--01452b7f" TargetMode="External"/><Relationship Id="rId342" Type="http://schemas.openxmlformats.org/officeDocument/2006/relationships/hyperlink" Target="https://www.crunchbase.com/funding_round/bungalow-series-b--9cd2a956" TargetMode="External"/><Relationship Id="rId6622" Type="http://schemas.openxmlformats.org/officeDocument/2006/relationships/hyperlink" Target="https://www.crunchbase.com/funding_round/uniacco-series-unknown--815b28b5" TargetMode="External"/><Relationship Id="rId6616" Type="http://schemas.openxmlformats.org/officeDocument/2006/relationships/hyperlink" Target="https://www.crunchbase.com/funding_round/tembo-money-seed--4f42579f" TargetMode="External"/><Relationship Id="rId6617" Type="http://schemas.openxmlformats.org/officeDocument/2006/relationships/hyperlink" Target="https://www.crunchbase.com/funding_round/tembo-money-series-a--32f3533c" TargetMode="External"/><Relationship Id="rId6614" Type="http://schemas.openxmlformats.org/officeDocument/2006/relationships/hyperlink" Target="https://www.crunchbase.com/organization/tembo-money" TargetMode="External"/><Relationship Id="rId6615" Type="http://schemas.openxmlformats.org/officeDocument/2006/relationships/hyperlink" Target="https://www.tembomoney.com/" TargetMode="External"/><Relationship Id="rId6618" Type="http://schemas.openxmlformats.org/officeDocument/2006/relationships/hyperlink" Target="https://wellfound.com/company/uniacco" TargetMode="External"/><Relationship Id="rId6619" Type="http://schemas.openxmlformats.org/officeDocument/2006/relationships/hyperlink" Target="https://www.crunchbase.com/organization/uniacco" TargetMode="External"/><Relationship Id="rId338" Type="http://schemas.openxmlformats.org/officeDocument/2006/relationships/hyperlink" Target="https://www.crunchbase.com/organization/bungalow" TargetMode="External"/><Relationship Id="rId337" Type="http://schemas.openxmlformats.org/officeDocument/2006/relationships/hyperlink" Target="https://angel.co/company/bungalow-1" TargetMode="External"/><Relationship Id="rId336" Type="http://schemas.openxmlformats.org/officeDocument/2006/relationships/hyperlink" Target="https://www.crunchbase.com/funding_round/cloudbeds-series-unknown--e05e1277" TargetMode="External"/><Relationship Id="rId335" Type="http://schemas.openxmlformats.org/officeDocument/2006/relationships/hyperlink" Target="https://app.dealroom.co/companies/cloudbeds" TargetMode="External"/><Relationship Id="rId339" Type="http://schemas.openxmlformats.org/officeDocument/2006/relationships/hyperlink" Target="https://bungalow.com" TargetMode="External"/><Relationship Id="rId330" Type="http://schemas.openxmlformats.org/officeDocument/2006/relationships/hyperlink" Target="https://www.crunchbase.com/funding_round/industrious-office-corporate-round--81b7aa9d" TargetMode="External"/><Relationship Id="rId334" Type="http://schemas.openxmlformats.org/officeDocument/2006/relationships/hyperlink" Target="http://www.cloudbeds.com" TargetMode="External"/><Relationship Id="rId6612" Type="http://schemas.openxmlformats.org/officeDocument/2006/relationships/hyperlink" Target="https://www.cubytechnologies.com/" TargetMode="External"/><Relationship Id="rId333" Type="http://schemas.openxmlformats.org/officeDocument/2006/relationships/hyperlink" Target="https://www.crunchbase.com/organization/cloudbeds" TargetMode="External"/><Relationship Id="rId6613" Type="http://schemas.openxmlformats.org/officeDocument/2006/relationships/hyperlink" Target="https://www.crunchbase.com/funding_round/cuby-technologies-inc-series-unknown--214a4c12" TargetMode="External"/><Relationship Id="rId332" Type="http://schemas.openxmlformats.org/officeDocument/2006/relationships/hyperlink" Target="https://angel.co/company/cloudbeds" TargetMode="External"/><Relationship Id="rId6610" Type="http://schemas.openxmlformats.org/officeDocument/2006/relationships/hyperlink" Target="https://www.crunchbase.com/funding_round/plotify-seed--c3f87b51" TargetMode="External"/><Relationship Id="rId331" Type="http://schemas.openxmlformats.org/officeDocument/2006/relationships/hyperlink" Target="https://www.crunchbase.com/funding_round/industrious-office-corporate-round--81b7aa9d" TargetMode="External"/><Relationship Id="rId6611" Type="http://schemas.openxmlformats.org/officeDocument/2006/relationships/hyperlink" Target="https://www.crunchbase.com/organization/cuby-technologies-inc" TargetMode="External"/><Relationship Id="rId5318" Type="http://schemas.openxmlformats.org/officeDocument/2006/relationships/hyperlink" Target="https://www.crunchbase.com/organization/hatch-data" TargetMode="External"/><Relationship Id="rId6649" Type="http://schemas.openxmlformats.org/officeDocument/2006/relationships/hyperlink" Target="https://www.frontlinewildfire.com/" TargetMode="External"/><Relationship Id="rId5319" Type="http://schemas.openxmlformats.org/officeDocument/2006/relationships/hyperlink" Target="http://hatchdata.com" TargetMode="External"/><Relationship Id="rId5316" Type="http://schemas.openxmlformats.org/officeDocument/2006/relationships/hyperlink" Target="https://btnrocket.com/google-maps-instant-contact/" TargetMode="External"/><Relationship Id="rId6647" Type="http://schemas.openxmlformats.org/officeDocument/2006/relationships/hyperlink" Target="https://www.startupdaily.net/topic/funding/airbnb-management-proptech-madecomfy-beds-down-10-million-raise/" TargetMode="External"/><Relationship Id="rId5317" Type="http://schemas.openxmlformats.org/officeDocument/2006/relationships/hyperlink" Target="https://angel.co/company/hatch-data" TargetMode="External"/><Relationship Id="rId6648" Type="http://schemas.openxmlformats.org/officeDocument/2006/relationships/hyperlink" Target="https://www.crunchbase.com/organization/frontline-wildfire-defense" TargetMode="External"/><Relationship Id="rId370" Type="http://schemas.openxmlformats.org/officeDocument/2006/relationships/hyperlink" Target="https://angel.co/company/zumper" TargetMode="External"/><Relationship Id="rId369" Type="http://schemas.openxmlformats.org/officeDocument/2006/relationships/hyperlink" Target="https://www.crunchbase.com/funding_round/whyhotel-series-unknown--66686371" TargetMode="External"/><Relationship Id="rId368" Type="http://schemas.openxmlformats.org/officeDocument/2006/relationships/hyperlink" Target="https://www.crunchbase.com/funding_round/whyhotel-series-c--d201b82e" TargetMode="External"/><Relationship Id="rId363" Type="http://schemas.openxmlformats.org/officeDocument/2006/relationships/hyperlink" Target="http://placemakr.com/" TargetMode="External"/><Relationship Id="rId5310" Type="http://schemas.openxmlformats.org/officeDocument/2006/relationships/hyperlink" Target="https://www.crunchbase.com/organization/hap-investments" TargetMode="External"/><Relationship Id="rId6641" Type="http://schemas.openxmlformats.org/officeDocument/2006/relationships/hyperlink" Target="https://www.crunchbase.com/organization/partanna" TargetMode="External"/><Relationship Id="rId362" Type="http://schemas.openxmlformats.org/officeDocument/2006/relationships/hyperlink" Target="https://www.crunchbase.com/organization/whyhotel" TargetMode="External"/><Relationship Id="rId5311" Type="http://schemas.openxmlformats.org/officeDocument/2006/relationships/hyperlink" Target="https://hap-ny.com/" TargetMode="External"/><Relationship Id="rId6642" Type="http://schemas.openxmlformats.org/officeDocument/2006/relationships/hyperlink" Target="https://www.partanna.com/" TargetMode="External"/><Relationship Id="rId361" Type="http://schemas.openxmlformats.org/officeDocument/2006/relationships/hyperlink" Target="https://angel.co/company/placemakr" TargetMode="External"/><Relationship Id="rId360" Type="http://schemas.openxmlformats.org/officeDocument/2006/relationships/hyperlink" Target="https://www.crunchbase.com/funding_round/landis-debt-financing--a52af63c" TargetMode="External"/><Relationship Id="rId6640" Type="http://schemas.openxmlformats.org/officeDocument/2006/relationships/hyperlink" Target="https://sustainablebiz.ca/noventa-166m-funding-wastewater-energy-transfer-toronto" TargetMode="External"/><Relationship Id="rId367" Type="http://schemas.openxmlformats.org/officeDocument/2006/relationships/hyperlink" Target="https://www.crunchbase.com/funding_round/whyhotel-series-b--f95b05b6" TargetMode="External"/><Relationship Id="rId5314" Type="http://schemas.openxmlformats.org/officeDocument/2006/relationships/hyperlink" Target="https://angel.co/u/hartlabs" TargetMode="External"/><Relationship Id="rId6645" Type="http://schemas.openxmlformats.org/officeDocument/2006/relationships/hyperlink" Target="https://madecomfy.com.au/" TargetMode="External"/><Relationship Id="rId366" Type="http://schemas.openxmlformats.org/officeDocument/2006/relationships/hyperlink" Target="https://www.crunchbase.com/funding_round/whyhotel-series-a--ec8f54a5" TargetMode="External"/><Relationship Id="rId5315" Type="http://schemas.openxmlformats.org/officeDocument/2006/relationships/hyperlink" Target="https://www.crunchbase.com/organization/hartlabs" TargetMode="External"/><Relationship Id="rId6646" Type="http://schemas.openxmlformats.org/officeDocument/2006/relationships/hyperlink" Target="https://www.startupdaily.net/topic/funding/airbnb-management-proptech-madecomfy-beds-down-10-million-raise/" TargetMode="External"/><Relationship Id="rId365" Type="http://schemas.openxmlformats.org/officeDocument/2006/relationships/hyperlink" Target="https://www.crunchbase.com/funding_round/whyhotel-seed--b4d5eb79" TargetMode="External"/><Relationship Id="rId5312" Type="http://schemas.openxmlformats.org/officeDocument/2006/relationships/hyperlink" Target="https://www.crunchbase.com/organization/harmony-homes" TargetMode="External"/><Relationship Id="rId6643" Type="http://schemas.openxmlformats.org/officeDocument/2006/relationships/hyperlink" Target="https://www.crunchbase.com/funding_round/partanna-pre-seed--de0d0e79" TargetMode="External"/><Relationship Id="rId364" Type="http://schemas.openxmlformats.org/officeDocument/2006/relationships/hyperlink" Target="https://www.google.com/url?sa=t&amp;rct=j&amp;q=&amp;esrc=s&amp;source=web&amp;cd=&amp;ved=2ahUKEwirldiapun-AhXuATQIHZ8FAckQFnoECBQQAQ&amp;url=https%3A%2F%2Fwww.crunchbase.com%2Forganization%2Fwhyhotel%2Fcompany_financials&amp;usg=AOvVaw0FlrRLxuDaZX1roFkUTl-e" TargetMode="External"/><Relationship Id="rId5313" Type="http://schemas.openxmlformats.org/officeDocument/2006/relationships/hyperlink" Target="https://harmonyhomes.com/" TargetMode="External"/><Relationship Id="rId6644" Type="http://schemas.openxmlformats.org/officeDocument/2006/relationships/hyperlink" Target="https://www.crunchbase.com/organization/madecomfy" TargetMode="External"/><Relationship Id="rId95" Type="http://schemas.openxmlformats.org/officeDocument/2006/relationships/hyperlink" Target="https://www.canarymedia.com/articles/climatetech-finance/arcadia-raises-125m-more-to-cap-huge-growth-year-in-solar-and-software" TargetMode="External"/><Relationship Id="rId5307" Type="http://schemas.openxmlformats.org/officeDocument/2006/relationships/hyperlink" Target="https://angel.co/company/halock-security-labs-2" TargetMode="External"/><Relationship Id="rId6638" Type="http://schemas.openxmlformats.org/officeDocument/2006/relationships/hyperlink" Target="https://www.noventaenergy.com/" TargetMode="External"/><Relationship Id="rId94" Type="http://schemas.openxmlformats.org/officeDocument/2006/relationships/hyperlink" Target="https://www.arcadia.com/" TargetMode="External"/><Relationship Id="rId5308" Type="http://schemas.openxmlformats.org/officeDocument/2006/relationships/hyperlink" Target="https://www.crunchbase.com/organization/halock-security-labs" TargetMode="External"/><Relationship Id="rId6639" Type="http://schemas.openxmlformats.org/officeDocument/2006/relationships/hyperlink" Target="https://sustainablebiz.ca/noventa-166m-funding-wastewater-energy-transfer-toronto" TargetMode="External"/><Relationship Id="rId97" Type="http://schemas.openxmlformats.org/officeDocument/2006/relationships/hyperlink" Target="https://angel.co/company/updater" TargetMode="External"/><Relationship Id="rId5305" Type="http://schemas.openxmlformats.org/officeDocument/2006/relationships/hyperlink" Target="https://angel.co/company/jurny" TargetMode="External"/><Relationship Id="rId6636" Type="http://schemas.openxmlformats.org/officeDocument/2006/relationships/hyperlink" Target="https://www.thebusinessdesk.com/northwest/news/2113785-prop-tech-firm-recruiting-and-growing-on-back-of-seven-figure-loan-deal" TargetMode="External"/><Relationship Id="rId96" Type="http://schemas.openxmlformats.org/officeDocument/2006/relationships/hyperlink" Target="https://www.crunchbase.com/funding_round/arcadia-power-2-series-unknown--543abd6f" TargetMode="External"/><Relationship Id="rId5306" Type="http://schemas.openxmlformats.org/officeDocument/2006/relationships/hyperlink" Target="https://guestwiser.com/" TargetMode="External"/><Relationship Id="rId6637" Type="http://schemas.openxmlformats.org/officeDocument/2006/relationships/hyperlink" Target="https://www.crunchbase.com/organization/noventa-energy-partners" TargetMode="External"/><Relationship Id="rId99" Type="http://schemas.openxmlformats.org/officeDocument/2006/relationships/hyperlink" Target="https://updater.com/" TargetMode="External"/><Relationship Id="rId98" Type="http://schemas.openxmlformats.org/officeDocument/2006/relationships/hyperlink" Target="https://www.crunchbase.com/organization/updater" TargetMode="External"/><Relationship Id="rId5309" Type="http://schemas.openxmlformats.org/officeDocument/2006/relationships/hyperlink" Target="https://www.halock.com/" TargetMode="External"/><Relationship Id="rId91" Type="http://schemas.openxmlformats.org/officeDocument/2006/relationships/hyperlink" Target="https://www.crunchbase.com/funding_round/knockaway-debt-financing--3633aaac" TargetMode="External"/><Relationship Id="rId90" Type="http://schemas.openxmlformats.org/officeDocument/2006/relationships/hyperlink" Target="https://www.crunchbase.com/funding_round/knockaway-series-unknown--c3f93c33" TargetMode="External"/><Relationship Id="rId93" Type="http://schemas.openxmlformats.org/officeDocument/2006/relationships/hyperlink" Target="https://www.crunchbase.com/organization/arcadia-power-2" TargetMode="External"/><Relationship Id="rId92" Type="http://schemas.openxmlformats.org/officeDocument/2006/relationships/hyperlink" Target="https://angel.co/company/arcadia-power" TargetMode="External"/><Relationship Id="rId359" Type="http://schemas.openxmlformats.org/officeDocument/2006/relationships/hyperlink" Target="https://www.crunchbase.com/funding_round/landis-series-b--13ecd3f9" TargetMode="External"/><Relationship Id="rId358" Type="http://schemas.openxmlformats.org/officeDocument/2006/relationships/hyperlink" Target="https://www.landis.com/" TargetMode="External"/><Relationship Id="rId357" Type="http://schemas.openxmlformats.org/officeDocument/2006/relationships/hyperlink" Target="https://www.crunchbase.com/organization/landis" TargetMode="External"/><Relationship Id="rId352" Type="http://schemas.openxmlformats.org/officeDocument/2006/relationships/hyperlink" Target="https://www.google.com/url?sa=t&amp;rct=j&amp;q=&amp;esrc=s&amp;source=web&amp;cd=&amp;ved=2ahUKEwjqxJinq4b8AhXZmmoFHXPXClQQFnoECA0QAQ&amp;url=https%3A%2F%2Ftherealdeal.com%2F2022%2F04%2F14%2Fconvenes-deal-with-saks-fifth-ave-owner-not-as-rosy-as-it-sounds%2F&amp;usg=AOvVaw1_WfkfFJ6f-zuSCrvya1qC" TargetMode="External"/><Relationship Id="rId6630" Type="http://schemas.openxmlformats.org/officeDocument/2006/relationships/hyperlink" Target="https://www.crunchbase.com/funding_round/dev-accelerator-private-limited-series-unknown--b01d4759" TargetMode="External"/><Relationship Id="rId351" Type="http://schemas.openxmlformats.org/officeDocument/2006/relationships/hyperlink" Target="http://www.convene.com/" TargetMode="External"/><Relationship Id="rId5300" Type="http://schemas.openxmlformats.org/officeDocument/2006/relationships/hyperlink" Target="https://angel.co/company/growth-maps" TargetMode="External"/><Relationship Id="rId6631" Type="http://schemas.openxmlformats.org/officeDocument/2006/relationships/hyperlink" Target="https://www.crunchbase.com/organization/car-space" TargetMode="External"/><Relationship Id="rId350" Type="http://schemas.openxmlformats.org/officeDocument/2006/relationships/hyperlink" Target="https://www.crunchbase.com/organization/convene" TargetMode="External"/><Relationship Id="rId356" Type="http://schemas.openxmlformats.org/officeDocument/2006/relationships/hyperlink" Target="https://angel.co/company/hellolandis" TargetMode="External"/><Relationship Id="rId5303" Type="http://schemas.openxmlformats.org/officeDocument/2006/relationships/hyperlink" Target="https://gtinsurancebrokers.com.au/" TargetMode="External"/><Relationship Id="rId6634" Type="http://schemas.openxmlformats.org/officeDocument/2006/relationships/hyperlink" Target="https://www.crunchbase.com/organization/glidertech" TargetMode="External"/><Relationship Id="rId355" Type="http://schemas.openxmlformats.org/officeDocument/2006/relationships/hyperlink" Target="https://www.crunchbase.com/funding_round/convene-debt-financing--69824173" TargetMode="External"/><Relationship Id="rId5304" Type="http://schemas.openxmlformats.org/officeDocument/2006/relationships/hyperlink" Target="https://guarddogtech.com/" TargetMode="External"/><Relationship Id="rId6635" Type="http://schemas.openxmlformats.org/officeDocument/2006/relationships/hyperlink" Target="https://glidertech.com/" TargetMode="External"/><Relationship Id="rId354" Type="http://schemas.openxmlformats.org/officeDocument/2006/relationships/hyperlink" Target="https://www.crunchbase.com/funding_round/convene-series-unknown--c109c7c5" TargetMode="External"/><Relationship Id="rId5301" Type="http://schemas.openxmlformats.org/officeDocument/2006/relationships/hyperlink" Target="https://www.crunchbase.com/organization/growth-maps" TargetMode="External"/><Relationship Id="rId6632" Type="http://schemas.openxmlformats.org/officeDocument/2006/relationships/hyperlink" Target="https://carspaceinc.com/" TargetMode="External"/><Relationship Id="rId353" Type="http://schemas.openxmlformats.org/officeDocument/2006/relationships/hyperlink" Target="https://www.google.com/url?sa=t&amp;rct=j&amp;q=&amp;esrc=s&amp;source=web&amp;cd=&amp;ved=2ahUKEwipsLvAn-n-AhVbHzQIHd2aAp8QFnoECBAQAQ&amp;url=https%3A%2F%2Ftherealdeal.com%2Fnew-york%2F2022%2F04%2F14%2Fconvenes-deal-with-saks-fifth-ave-owner-not-as-rosy-as-it-sounds%2F&amp;usg=AOvVaw0Em0q2ICQ8a9fsctKM8Ul5" TargetMode="External"/><Relationship Id="rId5302" Type="http://schemas.openxmlformats.org/officeDocument/2006/relationships/hyperlink" Target="https://www.growth-maps.com/" TargetMode="External"/><Relationship Id="rId6633" Type="http://schemas.openxmlformats.org/officeDocument/2006/relationships/hyperlink" Target="https://www.crunchbase.com/funding_round/car-space-seed--82e71302" TargetMode="External"/><Relationship Id="rId305" Type="http://schemas.openxmlformats.org/officeDocument/2006/relationships/hyperlink" Target="https://techcrunch.com/2022/02/24/clutter-merges-with-makespace-to-add-scale-to-the-business-of-moving-and-storage/?guccounter=1&amp;guce_referrer=aHR0cHM6Ly93d3cuZ29vZ2xlLmNvbS8&amp;guce_referrer_sig=AQAAAJpJbi90V2pAfh6_8BNEmgYs2mhfWKM1xe7BYbt1G_7gjcDZkhMKBRAMFapwZj53AxZEHbDAgBVbm68QRMbhXus_HlOKLiPheoo0RstegXkZ_UhM_Y4THgrZEUsPchdvdOpeWZNxEOi76K4f-rOyzvRPDXSUVHx6ixM8b8KnUCfw" TargetMode="External"/><Relationship Id="rId304" Type="http://schemas.openxmlformats.org/officeDocument/2006/relationships/hyperlink" Target="https://www.clutter.com/" TargetMode="External"/><Relationship Id="rId303" Type="http://schemas.openxmlformats.org/officeDocument/2006/relationships/hyperlink" Target="https://www.crunchbase.com/organization/clutter" TargetMode="External"/><Relationship Id="rId302" Type="http://schemas.openxmlformats.org/officeDocument/2006/relationships/hyperlink" Target="https://angel.co/company/clutter" TargetMode="External"/><Relationship Id="rId309" Type="http://schemas.openxmlformats.org/officeDocument/2006/relationships/hyperlink" Target="https://www.google.com/url?sa=t&amp;rct=j&amp;q=&amp;esrc=s&amp;source=web&amp;cd=&amp;ved=2ahUKEwjI3uySqob8AhWHnWoFHYqhAHUQFnoECBAQAQ&amp;url=https%3A%2F%2Ftechcrunch.com%2F2022%2F08%2F16%2Fguesty-books-170m-to-double-down-on-property-management-tools-for-airbnb-and-other-rental-platforms%2F&amp;usg=AOvVaw324wAcAw2MdPDBS8XGkO4F" TargetMode="External"/><Relationship Id="rId308" Type="http://schemas.openxmlformats.org/officeDocument/2006/relationships/hyperlink" Target="https://www.guesty.com" TargetMode="External"/><Relationship Id="rId307" Type="http://schemas.openxmlformats.org/officeDocument/2006/relationships/hyperlink" Target="https://www.crunchbase.com/organization/guesty" TargetMode="External"/><Relationship Id="rId306" Type="http://schemas.openxmlformats.org/officeDocument/2006/relationships/hyperlink" Target="https://angel.co/company/guesty" TargetMode="External"/><Relationship Id="rId301" Type="http://schemas.openxmlformats.org/officeDocument/2006/relationships/hyperlink" Target="https://www.crunchbase.com/funding_round/notarize-series-c--37132cb9" TargetMode="External"/><Relationship Id="rId300" Type="http://schemas.openxmlformats.org/officeDocument/2006/relationships/hyperlink" Target="https://www.google.com/url?sa=t&amp;rct=j&amp;q=&amp;esrc=s&amp;source=web&amp;cd=&amp;ved=2ahUKEwiRmveWrIb8AhX5l2oFHeukDJkQFnoECA8QAw&amp;url=https%3A%2F%2Ftechcrunch.com%2F2022%2F06%2F16%2Fnotarize-cuts-25-of-staff%2F&amp;usg=AOvVaw1OD3JzExAflaiK4Ixyass0" TargetMode="External"/><Relationship Id="rId6605" Type="http://schemas.openxmlformats.org/officeDocument/2006/relationships/hyperlink" Target="https://www.crunchbase.com/funding_round/zhucheng-technology-series-unknown--63166234" TargetMode="External"/><Relationship Id="rId6606" Type="http://schemas.openxmlformats.org/officeDocument/2006/relationships/hyperlink" Target="https://www.crunchbase.com/funding_round/zhucheng-technology-series-a--d0ce6b41" TargetMode="External"/><Relationship Id="rId6603" Type="http://schemas.openxmlformats.org/officeDocument/2006/relationships/hyperlink" Target="https://www.crunchbase.com/organization/zhucheng-technology" TargetMode="External"/><Relationship Id="rId6604" Type="http://schemas.openxmlformats.org/officeDocument/2006/relationships/hyperlink" Target="http://zanecon.cn/" TargetMode="External"/><Relationship Id="rId6609" Type="http://schemas.openxmlformats.org/officeDocument/2006/relationships/hyperlink" Target="https://www.plotify.co.uk/" TargetMode="External"/><Relationship Id="rId6607" Type="http://schemas.openxmlformats.org/officeDocument/2006/relationships/hyperlink" Target="https://wellfound.com/company/plotify" TargetMode="External"/><Relationship Id="rId6608" Type="http://schemas.openxmlformats.org/officeDocument/2006/relationships/hyperlink" Target="https://www.crunchbase.com/organization/plotify" TargetMode="External"/><Relationship Id="rId327" Type="http://schemas.openxmlformats.org/officeDocument/2006/relationships/hyperlink" Target="https://www.crunchbase.com/organization/industrious-office" TargetMode="External"/><Relationship Id="rId326" Type="http://schemas.openxmlformats.org/officeDocument/2006/relationships/hyperlink" Target="https://angel.co/company/industrious" TargetMode="External"/><Relationship Id="rId325" Type="http://schemas.openxmlformats.org/officeDocument/2006/relationships/hyperlink" Target="https://www.crunchbase.com/funding_round/apartmentlist-secondary-market--e6578f40" TargetMode="External"/><Relationship Id="rId324" Type="http://schemas.openxmlformats.org/officeDocument/2006/relationships/hyperlink" Target="https://www.crunchbase.com/funding_round/apartmentlist-series-d--354f44eb" TargetMode="External"/><Relationship Id="rId329" Type="http://schemas.openxmlformats.org/officeDocument/2006/relationships/hyperlink" Target="https://www.google.com/url?sa=t&amp;rct=j&amp;q=&amp;esrc=s&amp;source=web&amp;cd=&amp;ved=2ahUKEwiU1vSsqIb8AhULlWoFHUspCtcQFnoECAwQAQ&amp;url=https%3A%2F%2Fwww.cbinsights.com%2Fcompany%2Findustrious%2Ffinancials&amp;usg=AOvVaw1mT7Et9fdMGmOVDolwrHjN" TargetMode="External"/><Relationship Id="rId328" Type="http://schemas.openxmlformats.org/officeDocument/2006/relationships/hyperlink" Target="https://www.industriousoffice.com/?nabt=0" TargetMode="External"/><Relationship Id="rId323" Type="http://schemas.openxmlformats.org/officeDocument/2006/relationships/hyperlink" Target="https://www.crunchbase.com/funding_round/apartmentlist-seed--ef222b9e" TargetMode="External"/><Relationship Id="rId6601" Type="http://schemas.openxmlformats.org/officeDocument/2006/relationships/hyperlink" Target="http://www.haltian.com/" TargetMode="External"/><Relationship Id="rId322" Type="http://schemas.openxmlformats.org/officeDocument/2006/relationships/hyperlink" Target="https://www.google.com/url?sa=t&amp;rct=j&amp;q=&amp;esrc=s&amp;source=web&amp;cd=&amp;ved=2ahUKEwiC3o2PqIb8AhUnkWoFHZeABYgQFnoECA4QAQ&amp;url=https%3A%2F%2Fwww.bloomberg.com%2Fnews%2Farticles%2F2020-12-21%2Fapartment-list-s-valuation-hits-600-million-amid-pandemic-boost&amp;usg=AOvVaw1Ch2UqTWYLMCQPVTvxMWT6" TargetMode="External"/><Relationship Id="rId6602" Type="http://schemas.openxmlformats.org/officeDocument/2006/relationships/hyperlink" Target="https://www.crunchbase.com/funding_round/haltian-series-unknown--a0307d8e" TargetMode="External"/><Relationship Id="rId321" Type="http://schemas.openxmlformats.org/officeDocument/2006/relationships/hyperlink" Target="https://www.crunchbase.com/organization/apartmentlist" TargetMode="External"/><Relationship Id="rId320" Type="http://schemas.openxmlformats.org/officeDocument/2006/relationships/hyperlink" Target="https://angel.co/apartment-list" TargetMode="External"/><Relationship Id="rId6600" Type="http://schemas.openxmlformats.org/officeDocument/2006/relationships/hyperlink" Target="https://www.crunchbase.com/organization/haltian" TargetMode="External"/><Relationship Id="rId316" Type="http://schemas.openxmlformats.org/officeDocument/2006/relationships/hyperlink" Target="https://angel.co/company/avantstay" TargetMode="External"/><Relationship Id="rId315" Type="http://schemas.openxmlformats.org/officeDocument/2006/relationships/hyperlink" Target="https://www.crunchbase.com/funding_round/guesty-series-unknown--b2d73056" TargetMode="External"/><Relationship Id="rId314" Type="http://schemas.openxmlformats.org/officeDocument/2006/relationships/hyperlink" Target="https://www.crunchbase.com/funding_round/guesty-series-e--17174bcb" TargetMode="External"/><Relationship Id="rId313" Type="http://schemas.openxmlformats.org/officeDocument/2006/relationships/hyperlink" Target="https://www.crunchbase.com/funding_round/guesty-series-c--7e279f3c" TargetMode="External"/><Relationship Id="rId319" Type="http://schemas.openxmlformats.org/officeDocument/2006/relationships/hyperlink" Target="https://www.crunchbase.com/funding_round/avantstay-private-equity--c7b02d89" TargetMode="External"/><Relationship Id="rId318" Type="http://schemas.openxmlformats.org/officeDocument/2006/relationships/hyperlink" Target="https://avantstay.com/" TargetMode="External"/><Relationship Id="rId317" Type="http://schemas.openxmlformats.org/officeDocument/2006/relationships/hyperlink" Target="https://www.crunchbase.com/organization/avantstay" TargetMode="External"/><Relationship Id="rId312" Type="http://schemas.openxmlformats.org/officeDocument/2006/relationships/hyperlink" Target="https://www.crunchbase.com/funding_round/guesty-series-b--9bd31dcb" TargetMode="External"/><Relationship Id="rId311" Type="http://schemas.openxmlformats.org/officeDocument/2006/relationships/hyperlink" Target="https://www.crunchbase.com/funding_round/guesty-series-a--abfcefd0" TargetMode="External"/><Relationship Id="rId310" Type="http://schemas.openxmlformats.org/officeDocument/2006/relationships/hyperlink" Target="https://www.crunchbase.com/funding_round/guesty-seed--6bde3212" TargetMode="External"/><Relationship Id="rId4040" Type="http://schemas.openxmlformats.org/officeDocument/2006/relationships/hyperlink" Target="https://www.speiz.com/" TargetMode="External"/><Relationship Id="rId5372" Type="http://schemas.openxmlformats.org/officeDocument/2006/relationships/hyperlink" Target="https://www.idplans.com/?utm_source=cretech" TargetMode="External"/><Relationship Id="rId5373" Type="http://schemas.openxmlformats.org/officeDocument/2006/relationships/hyperlink" Target="https://angel.co/company/iglobsyn-technologies-3" TargetMode="External"/><Relationship Id="rId4042" Type="http://schemas.openxmlformats.org/officeDocument/2006/relationships/hyperlink" Target="https://wellfound.com/company/adaptistech" TargetMode="External"/><Relationship Id="rId5370" Type="http://schemas.openxmlformats.org/officeDocument/2006/relationships/hyperlink" Target="https://iconics.com/" TargetMode="External"/><Relationship Id="rId4041" Type="http://schemas.openxmlformats.org/officeDocument/2006/relationships/hyperlink" Target="https://www.crunchbase.com/funding_round/speiz-seed--acf61824" TargetMode="External"/><Relationship Id="rId5371" Type="http://schemas.openxmlformats.org/officeDocument/2006/relationships/hyperlink" Target="https://www.crunchbase.com/organization/id-plans" TargetMode="External"/><Relationship Id="rId4044" Type="http://schemas.openxmlformats.org/officeDocument/2006/relationships/hyperlink" Target="https://adaptis.ca/" TargetMode="External"/><Relationship Id="rId5376" Type="http://schemas.openxmlformats.org/officeDocument/2006/relationships/hyperlink" Target="https://angel.co/company/airgms" TargetMode="External"/><Relationship Id="rId4043" Type="http://schemas.openxmlformats.org/officeDocument/2006/relationships/hyperlink" Target="https://www.crunchbase.com/organization/adaptis-technologies" TargetMode="External"/><Relationship Id="rId5377" Type="http://schemas.openxmlformats.org/officeDocument/2006/relationships/hyperlink" Target="https://www.crunchbase.com/organization/airgms" TargetMode="External"/><Relationship Id="rId4046" Type="http://schemas.openxmlformats.org/officeDocument/2006/relationships/hyperlink" Target="https://angel.co/company/prokore-1" TargetMode="External"/><Relationship Id="rId5374" Type="http://schemas.openxmlformats.org/officeDocument/2006/relationships/hyperlink" Target="https://www.crunchbase.com/organization/iglobsyn-technologies" TargetMode="External"/><Relationship Id="rId4045" Type="http://schemas.openxmlformats.org/officeDocument/2006/relationships/hyperlink" Target="https://betakit.com/adaptis-secures-2-million-cad-to-help-building-owners-move-to-net-zero-with-ai/" TargetMode="External"/><Relationship Id="rId5375" Type="http://schemas.openxmlformats.org/officeDocument/2006/relationships/hyperlink" Target="https://www.iglobsyn.com/" TargetMode="External"/><Relationship Id="rId4048" Type="http://schemas.openxmlformats.org/officeDocument/2006/relationships/hyperlink" Target="http://www.prokore.com/" TargetMode="External"/><Relationship Id="rId4047" Type="http://schemas.openxmlformats.org/officeDocument/2006/relationships/hyperlink" Target="https://www.crunchbase.com/organization/prokore" TargetMode="External"/><Relationship Id="rId5378" Type="http://schemas.openxmlformats.org/officeDocument/2006/relationships/hyperlink" Target="https://www.igms.com/" TargetMode="External"/><Relationship Id="rId4049" Type="http://schemas.openxmlformats.org/officeDocument/2006/relationships/hyperlink" Target="https://angel.co/company/digital-map-products" TargetMode="External"/><Relationship Id="rId5379" Type="http://schemas.openxmlformats.org/officeDocument/2006/relationships/hyperlink" Target="https://angel.co/company/ileasepro" TargetMode="External"/><Relationship Id="rId5361" Type="http://schemas.openxmlformats.org/officeDocument/2006/relationships/hyperlink" Target="https://angel.co/company/howloud" TargetMode="External"/><Relationship Id="rId5362" Type="http://schemas.openxmlformats.org/officeDocument/2006/relationships/hyperlink" Target="https://www.crunchbase.com/organization/howloud" TargetMode="External"/><Relationship Id="rId4031" Type="http://schemas.openxmlformats.org/officeDocument/2006/relationships/hyperlink" Target="https://www.crunchbase.com/organization/raccord" TargetMode="External"/><Relationship Id="rId4030" Type="http://schemas.openxmlformats.org/officeDocument/2006/relationships/hyperlink" Target="https://www.crunchbase.com/funding_round/f%C3%A1cil-fc23-pre-seed--e6a88cca" TargetMode="External"/><Relationship Id="rId5360" Type="http://schemas.openxmlformats.org/officeDocument/2006/relationships/hyperlink" Target="https://hostalabs.com/beta/" TargetMode="External"/><Relationship Id="rId297" Type="http://schemas.openxmlformats.org/officeDocument/2006/relationships/hyperlink" Target="https://angel.co/company/notarize" TargetMode="External"/><Relationship Id="rId4033" Type="http://schemas.openxmlformats.org/officeDocument/2006/relationships/hyperlink" Target="https://www.crunchbase.com/funding_round/raccord-seed--58e00d8a" TargetMode="External"/><Relationship Id="rId5365" Type="http://schemas.openxmlformats.org/officeDocument/2006/relationships/hyperlink" Target="http://www.hudsonpacificproperties.com" TargetMode="External"/><Relationship Id="rId296" Type="http://schemas.openxmlformats.org/officeDocument/2006/relationships/hyperlink" Target="https://www.google.com/url?sa=t&amp;rct=j&amp;q=&amp;esrc=s&amp;source=web&amp;cd=&amp;ved=2ahUKEwiwjLHk6-j-AhWLj4kEHakGAKUQFnoECEIQAQ&amp;url=https%3A%2F%2Fwww.cnn.com%2F2020%2F09%2F21%2Finvesting%2Freal-estate-cadre-savings-account%2Findex.html&amp;usg=AOvVaw0OvI1LBnE79gxo72y6iMQa" TargetMode="External"/><Relationship Id="rId4032" Type="http://schemas.openxmlformats.org/officeDocument/2006/relationships/hyperlink" Target="https://www.raccord.com/" TargetMode="External"/><Relationship Id="rId5366" Type="http://schemas.openxmlformats.org/officeDocument/2006/relationships/hyperlink" Target="https://www.crunchbase.com/organization/hudson-technologies-company" TargetMode="External"/><Relationship Id="rId295" Type="http://schemas.openxmlformats.org/officeDocument/2006/relationships/hyperlink" Target="http://cadre.com/" TargetMode="External"/><Relationship Id="rId4035" Type="http://schemas.openxmlformats.org/officeDocument/2006/relationships/hyperlink" Target="https://www.crunchbase.com/organization/purlin-co" TargetMode="External"/><Relationship Id="rId5363" Type="http://schemas.openxmlformats.org/officeDocument/2006/relationships/hyperlink" Target="http://howloud.com/" TargetMode="External"/><Relationship Id="rId294" Type="http://schemas.openxmlformats.org/officeDocument/2006/relationships/hyperlink" Target="https://www.crunchbase.com/organization/cadre-2" TargetMode="External"/><Relationship Id="rId4034" Type="http://schemas.openxmlformats.org/officeDocument/2006/relationships/hyperlink" Target="https://angel.co/company/purlin-co-5" TargetMode="External"/><Relationship Id="rId5364" Type="http://schemas.openxmlformats.org/officeDocument/2006/relationships/hyperlink" Target="https://www.crunchbase.com/organization/hudson-pacific-properties" TargetMode="External"/><Relationship Id="rId4037" Type="http://schemas.openxmlformats.org/officeDocument/2006/relationships/hyperlink" Target="https://www.crunchbase.com/funding_round/purlin-co-seed--a1e796ff" TargetMode="External"/><Relationship Id="rId5369" Type="http://schemas.openxmlformats.org/officeDocument/2006/relationships/hyperlink" Target="https://www.crunchbase.com/organization/iconics" TargetMode="External"/><Relationship Id="rId4036" Type="http://schemas.openxmlformats.org/officeDocument/2006/relationships/hyperlink" Target="https://www.purlin.com/" TargetMode="External"/><Relationship Id="rId299" Type="http://schemas.openxmlformats.org/officeDocument/2006/relationships/hyperlink" Target="http://www.notarize.com/" TargetMode="External"/><Relationship Id="rId4039" Type="http://schemas.openxmlformats.org/officeDocument/2006/relationships/hyperlink" Target="https://www.crunchbase.com/organization/speiz" TargetMode="External"/><Relationship Id="rId5367" Type="http://schemas.openxmlformats.org/officeDocument/2006/relationships/hyperlink" Target="https://www.hudsontech.com/" TargetMode="External"/><Relationship Id="rId298" Type="http://schemas.openxmlformats.org/officeDocument/2006/relationships/hyperlink" Target="https://www.crunchbase.com/organization/notarize" TargetMode="External"/><Relationship Id="rId4038" Type="http://schemas.openxmlformats.org/officeDocument/2006/relationships/hyperlink" Target="https://wellfound.com/company/speiz" TargetMode="External"/><Relationship Id="rId5368" Type="http://schemas.openxmlformats.org/officeDocument/2006/relationships/hyperlink" Target="http://www.human-dyn.com" TargetMode="External"/><Relationship Id="rId5390" Type="http://schemas.openxmlformats.org/officeDocument/2006/relationships/hyperlink" Target="https://angel.co/company/incube-space" TargetMode="External"/><Relationship Id="rId5391" Type="http://schemas.openxmlformats.org/officeDocument/2006/relationships/hyperlink" Target="https://www.crunchbase.com/organization/incube-7847" TargetMode="External"/><Relationship Id="rId4060" Type="http://schemas.openxmlformats.org/officeDocument/2006/relationships/hyperlink" Target="https://www.crunchbase.com/funding_round/at-ease-rentals-series-unknown--235a30d4" TargetMode="External"/><Relationship Id="rId4062" Type="http://schemas.openxmlformats.org/officeDocument/2006/relationships/hyperlink" Target="https://www.crunchbase.com/organization/flashparking" TargetMode="External"/><Relationship Id="rId5394" Type="http://schemas.openxmlformats.org/officeDocument/2006/relationships/hyperlink" Target="https://www.crunchbase.com/organization/indoorvu" TargetMode="External"/><Relationship Id="rId4061" Type="http://schemas.openxmlformats.org/officeDocument/2006/relationships/hyperlink" Target="https://angel.co/company/flash-valet" TargetMode="External"/><Relationship Id="rId5395" Type="http://schemas.openxmlformats.org/officeDocument/2006/relationships/hyperlink" Target="https://indoorvu.com/" TargetMode="External"/><Relationship Id="rId4064" Type="http://schemas.openxmlformats.org/officeDocument/2006/relationships/hyperlink" Target="https://angel.co/company/idealspot" TargetMode="External"/><Relationship Id="rId5392" Type="http://schemas.openxmlformats.org/officeDocument/2006/relationships/hyperlink" Target="https://incube.space/" TargetMode="External"/><Relationship Id="rId4063" Type="http://schemas.openxmlformats.org/officeDocument/2006/relationships/hyperlink" Target="http://www.flashparking.com" TargetMode="External"/><Relationship Id="rId5393" Type="http://schemas.openxmlformats.org/officeDocument/2006/relationships/hyperlink" Target="https://angel.co/company/indoorvu" TargetMode="External"/><Relationship Id="rId4066" Type="http://schemas.openxmlformats.org/officeDocument/2006/relationships/hyperlink" Target="https://www.idealspot.com/" TargetMode="External"/><Relationship Id="rId5398" Type="http://schemas.openxmlformats.org/officeDocument/2006/relationships/hyperlink" Target="http://facillizence.com/" TargetMode="External"/><Relationship Id="rId4065" Type="http://schemas.openxmlformats.org/officeDocument/2006/relationships/hyperlink" Target="https://www.crunchbase.com/organization/idealspot" TargetMode="External"/><Relationship Id="rId5399" Type="http://schemas.openxmlformats.org/officeDocument/2006/relationships/hyperlink" Target="https://angel.co/company/infabodeltd" TargetMode="External"/><Relationship Id="rId4068" Type="http://schemas.openxmlformats.org/officeDocument/2006/relationships/hyperlink" Target="https://angel.co/idealspot" TargetMode="External"/><Relationship Id="rId5396" Type="http://schemas.openxmlformats.org/officeDocument/2006/relationships/hyperlink" Target="https://angel.co/company/indriyn-data-analytics" TargetMode="External"/><Relationship Id="rId4067" Type="http://schemas.openxmlformats.org/officeDocument/2006/relationships/hyperlink" Target="https://www.crunchbase.com/funding_round/idealspot-seed--02e994b1" TargetMode="External"/><Relationship Id="rId5397" Type="http://schemas.openxmlformats.org/officeDocument/2006/relationships/hyperlink" Target="https://www.crunchbase.com/organization/facillizence" TargetMode="External"/><Relationship Id="rId4069" Type="http://schemas.openxmlformats.org/officeDocument/2006/relationships/hyperlink" Target="https://www.crunchbase.com/organization/idealspot" TargetMode="External"/><Relationship Id="rId5380" Type="http://schemas.openxmlformats.org/officeDocument/2006/relationships/hyperlink" Target="https://www.crunchbase.com/organization/ileasepro" TargetMode="External"/><Relationship Id="rId4051" Type="http://schemas.openxmlformats.org/officeDocument/2006/relationships/hyperlink" Target="https://www.digmap.com/" TargetMode="External"/><Relationship Id="rId5383" Type="http://schemas.openxmlformats.org/officeDocument/2006/relationships/hyperlink" Target="https://www.crunchbase.com/organization/ilobby-corp" TargetMode="External"/><Relationship Id="rId4050" Type="http://schemas.openxmlformats.org/officeDocument/2006/relationships/hyperlink" Target="https://www.crunchbase.com/organization/digital-map-products" TargetMode="External"/><Relationship Id="rId5384" Type="http://schemas.openxmlformats.org/officeDocument/2006/relationships/hyperlink" Target="https://ilobby.com/" TargetMode="External"/><Relationship Id="rId4053" Type="http://schemas.openxmlformats.org/officeDocument/2006/relationships/hyperlink" Target="https://www.crunchbase.com/organization/piinpoint" TargetMode="External"/><Relationship Id="rId5381" Type="http://schemas.openxmlformats.org/officeDocument/2006/relationships/hyperlink" Target="https://ileasepro.com/" TargetMode="External"/><Relationship Id="rId4052" Type="http://schemas.openxmlformats.org/officeDocument/2006/relationships/hyperlink" Target="https://angel.co/company/piinpoint" TargetMode="External"/><Relationship Id="rId5382" Type="http://schemas.openxmlformats.org/officeDocument/2006/relationships/hyperlink" Target="https://angel.co/company/ilobby-5" TargetMode="External"/><Relationship Id="rId4055" Type="http://schemas.openxmlformats.org/officeDocument/2006/relationships/hyperlink" Target="https://www.crunchbase.com/funding_round/piinpoint-seed--bdba804a" TargetMode="External"/><Relationship Id="rId5387" Type="http://schemas.openxmlformats.org/officeDocument/2006/relationships/hyperlink" Target="https://angel.co/company/incentifind" TargetMode="External"/><Relationship Id="rId4054" Type="http://schemas.openxmlformats.org/officeDocument/2006/relationships/hyperlink" Target="https://www.piinpoint.com/" TargetMode="External"/><Relationship Id="rId5388" Type="http://schemas.openxmlformats.org/officeDocument/2006/relationships/hyperlink" Target="https://www.crunchbase.com/organization/incentifind" TargetMode="External"/><Relationship Id="rId4057" Type="http://schemas.openxmlformats.org/officeDocument/2006/relationships/hyperlink" Target="https://www.crunchbase.com/organization/at-ease-rentals" TargetMode="External"/><Relationship Id="rId5385" Type="http://schemas.openxmlformats.org/officeDocument/2006/relationships/hyperlink" Target="https://www.crunchbase.com/organization/immoviewer" TargetMode="External"/><Relationship Id="rId4056" Type="http://schemas.openxmlformats.org/officeDocument/2006/relationships/hyperlink" Target="https://angel.co/company/at-ease-rentals" TargetMode="External"/><Relationship Id="rId5386" Type="http://schemas.openxmlformats.org/officeDocument/2006/relationships/hyperlink" Target="https://www.immoviewer.com/" TargetMode="External"/><Relationship Id="rId4059" Type="http://schemas.openxmlformats.org/officeDocument/2006/relationships/hyperlink" Target="https://www.crunchbase.com/funding_round/at-ease-rentals-seed--ef95181d" TargetMode="External"/><Relationship Id="rId4058" Type="http://schemas.openxmlformats.org/officeDocument/2006/relationships/hyperlink" Target="http://www.pcsatease.com/" TargetMode="External"/><Relationship Id="rId5389" Type="http://schemas.openxmlformats.org/officeDocument/2006/relationships/hyperlink" Target="https://incentifind.com/" TargetMode="External"/><Relationship Id="rId4008" Type="http://schemas.openxmlformats.org/officeDocument/2006/relationships/hyperlink" Target="https://www.nestegg.rent" TargetMode="External"/><Relationship Id="rId4007" Type="http://schemas.openxmlformats.org/officeDocument/2006/relationships/hyperlink" Target="https://www.crunchbase.com/organization/nestegg-01c3" TargetMode="External"/><Relationship Id="rId5338" Type="http://schemas.openxmlformats.org/officeDocument/2006/relationships/hyperlink" Target="https://www.crunchbase.com/organization/homeasap" TargetMode="External"/><Relationship Id="rId6669" Type="http://schemas.openxmlformats.org/officeDocument/2006/relationships/hyperlink" Target="https://www.crunchbase.com/organization/shipshape" TargetMode="External"/><Relationship Id="rId4009" Type="http://schemas.openxmlformats.org/officeDocument/2006/relationships/hyperlink" Target="https://www.crunchbase.com/funding_round/nestegg-01c3-seed--8ddfa3fe" TargetMode="External"/><Relationship Id="rId5339" Type="http://schemas.openxmlformats.org/officeDocument/2006/relationships/hyperlink" Target="https://about.homeasap.com/" TargetMode="External"/><Relationship Id="rId271" Type="http://schemas.openxmlformats.org/officeDocument/2006/relationships/hyperlink" Target="https://www.crunchbase.com/funding_round/mews-systems-seed--a63c8028" TargetMode="External"/><Relationship Id="rId270" Type="http://schemas.openxmlformats.org/officeDocument/2006/relationships/hyperlink" Target="https://www.finsmes.com/2024/03/mews-raises-110m-in-funding.html" TargetMode="External"/><Relationship Id="rId269" Type="http://schemas.openxmlformats.org/officeDocument/2006/relationships/hyperlink" Target="https://www.mews.com/" TargetMode="External"/><Relationship Id="rId6660" Type="http://schemas.openxmlformats.org/officeDocument/2006/relationships/hyperlink" Target="https://pluria.co/" TargetMode="External"/><Relationship Id="rId264" Type="http://schemas.openxmlformats.org/officeDocument/2006/relationships/hyperlink" Target="https://www.crunchbase.com/organization/bucketplace/company_financials" TargetMode="External"/><Relationship Id="rId4000" Type="http://schemas.openxmlformats.org/officeDocument/2006/relationships/hyperlink" Target="https://angel.co/jointer" TargetMode="External"/><Relationship Id="rId5332" Type="http://schemas.openxmlformats.org/officeDocument/2006/relationships/hyperlink" Target="https://singaporebuddhistfunerals.com/" TargetMode="External"/><Relationship Id="rId6663" Type="http://schemas.openxmlformats.org/officeDocument/2006/relationships/hyperlink" Target="https://skyxplug.com/" TargetMode="External"/><Relationship Id="rId263" Type="http://schemas.openxmlformats.org/officeDocument/2006/relationships/hyperlink" Target="https://www.crunchbase.com/funding_round/yieldstreet-debt-financing--6e95f7e8" TargetMode="External"/><Relationship Id="rId5333" Type="http://schemas.openxmlformats.org/officeDocument/2006/relationships/hyperlink" Target="https://hologramoutdoor.com/" TargetMode="External"/><Relationship Id="rId6664" Type="http://schemas.openxmlformats.org/officeDocument/2006/relationships/hyperlink" Target="https://www.crunchbase.com/funding_round/sky-technologies-2-series-unknown--6aa4407e" TargetMode="External"/><Relationship Id="rId262" Type="http://schemas.openxmlformats.org/officeDocument/2006/relationships/hyperlink" Target="https://www.yieldstreet.com/" TargetMode="External"/><Relationship Id="rId4002" Type="http://schemas.openxmlformats.org/officeDocument/2006/relationships/hyperlink" Target="http://www.jointer.co/" TargetMode="External"/><Relationship Id="rId5330" Type="http://schemas.openxmlformats.org/officeDocument/2006/relationships/hyperlink" Target="https://angel.co/company/hireaiva" TargetMode="External"/><Relationship Id="rId6661" Type="http://schemas.openxmlformats.org/officeDocument/2006/relationships/hyperlink" Target="https://www.crunchbase.com/funding_round/pluria-seed--2ec2d8fc" TargetMode="External"/><Relationship Id="rId261" Type="http://schemas.openxmlformats.org/officeDocument/2006/relationships/hyperlink" Target="https://www.crunchbase.com/organization/yieldstreet" TargetMode="External"/><Relationship Id="rId4001" Type="http://schemas.openxmlformats.org/officeDocument/2006/relationships/hyperlink" Target="https://www.crunchbase.com/organization/jointer-2" TargetMode="External"/><Relationship Id="rId5331" Type="http://schemas.openxmlformats.org/officeDocument/2006/relationships/hyperlink" Target="https://www.hireaiva.com/" TargetMode="External"/><Relationship Id="rId6662" Type="http://schemas.openxmlformats.org/officeDocument/2006/relationships/hyperlink" Target="https://www.crunchbase.com/organization/sky-technologies-2" TargetMode="External"/><Relationship Id="rId268" Type="http://schemas.openxmlformats.org/officeDocument/2006/relationships/hyperlink" Target="https://www.crunchbase.com/organization/mews-systems" TargetMode="External"/><Relationship Id="rId4004" Type="http://schemas.openxmlformats.org/officeDocument/2006/relationships/hyperlink" Target="https://www.crunchbase.com/organization/leasepilot" TargetMode="External"/><Relationship Id="rId5336" Type="http://schemas.openxmlformats.org/officeDocument/2006/relationships/hyperlink" Target="http://www.iamhom.com/" TargetMode="External"/><Relationship Id="rId6667" Type="http://schemas.openxmlformats.org/officeDocument/2006/relationships/hyperlink" Target="https://landslo.com/" TargetMode="External"/><Relationship Id="rId267" Type="http://schemas.openxmlformats.org/officeDocument/2006/relationships/hyperlink" Target="https://angel.co/company/mews-systems" TargetMode="External"/><Relationship Id="rId4003" Type="http://schemas.openxmlformats.org/officeDocument/2006/relationships/hyperlink" Target="https://angel.co/gadfly-legal-technologies" TargetMode="External"/><Relationship Id="rId5337" Type="http://schemas.openxmlformats.org/officeDocument/2006/relationships/hyperlink" Target="https://angel.co/company/homeasap" TargetMode="External"/><Relationship Id="rId6668" Type="http://schemas.openxmlformats.org/officeDocument/2006/relationships/hyperlink" Target="https://www.crunchbase.com/funding_round/landslo-seed--672b2f2b" TargetMode="External"/><Relationship Id="rId266" Type="http://schemas.openxmlformats.org/officeDocument/2006/relationships/hyperlink" Target="https://techcrunch.com/2022/05/08/south-koreas-ohouse-lands-128m-to-add-ar-to-home-improvement-app/" TargetMode="External"/><Relationship Id="rId4006" Type="http://schemas.openxmlformats.org/officeDocument/2006/relationships/hyperlink" Target="https://angel.co/company/nestegg-for-rental-properties" TargetMode="External"/><Relationship Id="rId5334" Type="http://schemas.openxmlformats.org/officeDocument/2006/relationships/hyperlink" Target="https://angel.co/hom" TargetMode="External"/><Relationship Id="rId6665" Type="http://schemas.openxmlformats.org/officeDocument/2006/relationships/hyperlink" Target="https://wellfound.com/company/landslo" TargetMode="External"/><Relationship Id="rId265" Type="http://schemas.openxmlformats.org/officeDocument/2006/relationships/hyperlink" Target="https://www.bucketplace.co.kr/" TargetMode="External"/><Relationship Id="rId4005" Type="http://schemas.openxmlformats.org/officeDocument/2006/relationships/hyperlink" Target="http://www.leasepilot.co/" TargetMode="External"/><Relationship Id="rId5335" Type="http://schemas.openxmlformats.org/officeDocument/2006/relationships/hyperlink" Target="https://www.crunchbase.com/organization/hom" TargetMode="External"/><Relationship Id="rId6666" Type="http://schemas.openxmlformats.org/officeDocument/2006/relationships/hyperlink" Target="https://www.crunchbase.com/organization/landslo" TargetMode="External"/><Relationship Id="rId5329" Type="http://schemas.openxmlformats.org/officeDocument/2006/relationships/hyperlink" Target="http://www.hipercept.com/" TargetMode="External"/><Relationship Id="rId5327" Type="http://schemas.openxmlformats.org/officeDocument/2006/relationships/hyperlink" Target="https://angel.co/company/hipercept" TargetMode="External"/><Relationship Id="rId6658" Type="http://schemas.openxmlformats.org/officeDocument/2006/relationships/hyperlink" Target="https://www.crunchbase.com/funding_round/esub-construction-software-series-unknown--3b5aec0b" TargetMode="External"/><Relationship Id="rId5328" Type="http://schemas.openxmlformats.org/officeDocument/2006/relationships/hyperlink" Target="https://www.crunchbase.com/organization/hipercept" TargetMode="External"/><Relationship Id="rId6659" Type="http://schemas.openxmlformats.org/officeDocument/2006/relationships/hyperlink" Target="https://www.crunchbase.com/organization/pluria" TargetMode="External"/><Relationship Id="rId260" Type="http://schemas.openxmlformats.org/officeDocument/2006/relationships/hyperlink" Target="https://angel.co/company/yieldstreet" TargetMode="External"/><Relationship Id="rId259" Type="http://schemas.openxmlformats.org/officeDocument/2006/relationships/hyperlink" Target="https://www.crunchbase.com/funding_round/openspace-ai-grant--2668bc23" TargetMode="External"/><Relationship Id="rId258" Type="http://schemas.openxmlformats.org/officeDocument/2006/relationships/hyperlink" Target="https://www.crunchbase.com/funding_round/openspace-ai-series-d--ace84dd3" TargetMode="External"/><Relationship Id="rId253" Type="http://schemas.openxmlformats.org/officeDocument/2006/relationships/hyperlink" Target="https://www.openspace.ai/" TargetMode="External"/><Relationship Id="rId5321" Type="http://schemas.openxmlformats.org/officeDocument/2006/relationships/hyperlink" Target="https://www.crunchbase.com/organization/hauzd" TargetMode="External"/><Relationship Id="rId6652" Type="http://schemas.openxmlformats.org/officeDocument/2006/relationships/hyperlink" Target="https://www.crunchbase.com/organization/esub-construction-software" TargetMode="External"/><Relationship Id="rId252" Type="http://schemas.openxmlformats.org/officeDocument/2006/relationships/hyperlink" Target="https://www.crunchbase.com/organization/openspace-ai" TargetMode="External"/><Relationship Id="rId5322" Type="http://schemas.openxmlformats.org/officeDocument/2006/relationships/hyperlink" Target="https://www.hauzd.com/" TargetMode="External"/><Relationship Id="rId6653" Type="http://schemas.openxmlformats.org/officeDocument/2006/relationships/hyperlink" Target="https://esub.com/" TargetMode="External"/><Relationship Id="rId251" Type="http://schemas.openxmlformats.org/officeDocument/2006/relationships/hyperlink" Target="https://angel.co/company/openspace-ai" TargetMode="External"/><Relationship Id="rId6650" Type="http://schemas.openxmlformats.org/officeDocument/2006/relationships/hyperlink" Target="https://www.crunchbase.com/funding_round/frontline-wildfire-defense-seed--89256c28" TargetMode="External"/><Relationship Id="rId250" Type="http://schemas.openxmlformats.org/officeDocument/2006/relationships/hyperlink" Target="https://www.crunchbase.com/funding_round/aspen-power-debt-financing--b7b48374" TargetMode="External"/><Relationship Id="rId5320" Type="http://schemas.openxmlformats.org/officeDocument/2006/relationships/hyperlink" Target="https://angel.co/company/hauzd_com" TargetMode="External"/><Relationship Id="rId6651" Type="http://schemas.openxmlformats.org/officeDocument/2006/relationships/hyperlink" Target="https://wellfound.com/company/esub-construction-software" TargetMode="External"/><Relationship Id="rId257" Type="http://schemas.openxmlformats.org/officeDocument/2006/relationships/hyperlink" Target="https://www.crunchbase.com/funding_round/openspace-ai-series-b--cd7f2070" TargetMode="External"/><Relationship Id="rId5325" Type="http://schemas.openxmlformats.org/officeDocument/2006/relationships/hyperlink" Target="http://highlightstory.com/" TargetMode="External"/><Relationship Id="rId6656" Type="http://schemas.openxmlformats.org/officeDocument/2006/relationships/hyperlink" Target="https://www.crunchbase.com/funding_round/esub-construction-software-series-b--ac8ca4b3" TargetMode="External"/><Relationship Id="rId256" Type="http://schemas.openxmlformats.org/officeDocument/2006/relationships/hyperlink" Target="https://www.crunchbase.com/funding_round/openspace-ai-series-a--b9fae132" TargetMode="External"/><Relationship Id="rId5326" Type="http://schemas.openxmlformats.org/officeDocument/2006/relationships/hyperlink" Target="http://highlightstory.com" TargetMode="External"/><Relationship Id="rId6657" Type="http://schemas.openxmlformats.org/officeDocument/2006/relationships/hyperlink" Target="https://www.crunchbase.com/funding_round/esub-construction-software-series-unknown--6d9bef28" TargetMode="External"/><Relationship Id="rId255" Type="http://schemas.openxmlformats.org/officeDocument/2006/relationships/hyperlink" Target="https://www.crunchbase.com/funding_round/openspace-ai-seed--ff2bcb95" TargetMode="External"/><Relationship Id="rId5323" Type="http://schemas.openxmlformats.org/officeDocument/2006/relationships/hyperlink" Target="https://angel.co/u/hello-choice" TargetMode="External"/><Relationship Id="rId6654" Type="http://schemas.openxmlformats.org/officeDocument/2006/relationships/hyperlink" Target="https://www.crunchbase.com/funding_round/esub-construction-software-seed--bf4217e9" TargetMode="External"/><Relationship Id="rId254" Type="http://schemas.openxmlformats.org/officeDocument/2006/relationships/hyperlink" Target="https://www.openspace.ai/news/proptech-startup-openspace-reaches-valuation-of-902-million/" TargetMode="External"/><Relationship Id="rId5324" Type="http://schemas.openxmlformats.org/officeDocument/2006/relationships/hyperlink" Target="https://www.hellochoice.co.za/" TargetMode="External"/><Relationship Id="rId6655" Type="http://schemas.openxmlformats.org/officeDocument/2006/relationships/hyperlink" Target="https://www.crunchbase.com/funding_round/esub-construction-software-series-a--ecf2cadb" TargetMode="External"/><Relationship Id="rId4029" Type="http://schemas.openxmlformats.org/officeDocument/2006/relationships/hyperlink" Target="https://arrenda.mx/" TargetMode="External"/><Relationship Id="rId293" Type="http://schemas.openxmlformats.org/officeDocument/2006/relationships/hyperlink" Target="https://angel.co/cadre_/" TargetMode="External"/><Relationship Id="rId292" Type="http://schemas.openxmlformats.org/officeDocument/2006/relationships/hyperlink" Target="https://www.crunchbase.com/funding_round/tul-302e-debt-financing--e145f592" TargetMode="External"/><Relationship Id="rId291" Type="http://schemas.openxmlformats.org/officeDocument/2006/relationships/hyperlink" Target="https://www.crunchbase.com/funding_round/tul-302e-series-a--c34085a6" TargetMode="External"/><Relationship Id="rId290" Type="http://schemas.openxmlformats.org/officeDocument/2006/relationships/hyperlink" Target="https://www.google.com/url?sa=t&amp;rct=j&amp;q=&amp;esrc=s&amp;source=web&amp;cd=&amp;ved=2ahUKEwiUr_nE6-j-AhXEjYkEHTx2AywQFnoECBMQAQ&amp;url=https%3A%2F%2Fwww.bloomberg.com%2Fnews%2Farticles%2F2022-01-11%2Fcolombian-e-commerce-startup-tul-nabs-800-million-valuation&amp;usg=AOvVaw1wUxI93sBOr3Tzj8PVJKP1" TargetMode="External"/><Relationship Id="rId5350" Type="http://schemas.openxmlformats.org/officeDocument/2006/relationships/hyperlink" Target="https://homeruniq.com/" TargetMode="External"/><Relationship Id="rId5351" Type="http://schemas.openxmlformats.org/officeDocument/2006/relationships/hyperlink" Target="https://angel.co/company/homex-2" TargetMode="External"/><Relationship Id="rId4020" Type="http://schemas.openxmlformats.org/officeDocument/2006/relationships/hyperlink" Target="https://www.crunchbase.com/funding_round/stowga-seed--7eba37ef" TargetMode="External"/><Relationship Id="rId286" Type="http://schemas.openxmlformats.org/officeDocument/2006/relationships/hyperlink" Target="https://www.crunchbase.com/funding_round/flyhomes-debt-financing--433e53c2" TargetMode="External"/><Relationship Id="rId4022" Type="http://schemas.openxmlformats.org/officeDocument/2006/relationships/hyperlink" Target="https://www.crunchbase.com/organization/rentgrata" TargetMode="External"/><Relationship Id="rId5354" Type="http://schemas.openxmlformats.org/officeDocument/2006/relationships/hyperlink" Target="https://angel.co/company/honest-networks" TargetMode="External"/><Relationship Id="rId285" Type="http://schemas.openxmlformats.org/officeDocument/2006/relationships/hyperlink" Target="https://www.google.com/url?sa=t&amp;rct=j&amp;q=&amp;esrc=s&amp;source=web&amp;cd=&amp;ved=2ahUKEwjOpoWy6-j-AhVNjYkEHXLVClgQFnoECA4QAQ&amp;url=https%3A%2F%2Fwww.forbes.com%2Fsites%2Fmargheritabeale%2F2021%2F06%2F10%2Freal-estate-startup-flyhomes-valued-at-800-million-after-new-funding-round%2F&amp;usg=AOvVaw0FMQB0nRq129MOoTQmmKIU" TargetMode="External"/><Relationship Id="rId4021" Type="http://schemas.openxmlformats.org/officeDocument/2006/relationships/hyperlink" Target="https://angel.co/company/rentgrata" TargetMode="External"/><Relationship Id="rId5355" Type="http://schemas.openxmlformats.org/officeDocument/2006/relationships/hyperlink" Target="https://www.crunchbase.com/organization/honest-networks" TargetMode="External"/><Relationship Id="rId284" Type="http://schemas.openxmlformats.org/officeDocument/2006/relationships/hyperlink" Target="https://www.flyhomes.com/" TargetMode="External"/><Relationship Id="rId4024" Type="http://schemas.openxmlformats.org/officeDocument/2006/relationships/hyperlink" Target="https://angel.co/company/placense" TargetMode="External"/><Relationship Id="rId5352" Type="http://schemas.openxmlformats.org/officeDocument/2006/relationships/hyperlink" Target="https://www.crunchbase.com/organization/homex" TargetMode="External"/><Relationship Id="rId283" Type="http://schemas.openxmlformats.org/officeDocument/2006/relationships/hyperlink" Target="https://www.crunchbase.com/organization/flyhomes" TargetMode="External"/><Relationship Id="rId4023" Type="http://schemas.openxmlformats.org/officeDocument/2006/relationships/hyperlink" Target="https://www.rentgrata.com/" TargetMode="External"/><Relationship Id="rId5353" Type="http://schemas.openxmlformats.org/officeDocument/2006/relationships/hyperlink" Target="https://homex.com/" TargetMode="External"/><Relationship Id="rId4026" Type="http://schemas.openxmlformats.org/officeDocument/2006/relationships/hyperlink" Target="https://www.placense.com/" TargetMode="External"/><Relationship Id="rId5358" Type="http://schemas.openxmlformats.org/officeDocument/2006/relationships/hyperlink" Target="https://www.crunchbase.com/organization/horizon-communications-2" TargetMode="External"/><Relationship Id="rId289" Type="http://schemas.openxmlformats.org/officeDocument/2006/relationships/hyperlink" Target="https://tul.com.co/" TargetMode="External"/><Relationship Id="rId4025" Type="http://schemas.openxmlformats.org/officeDocument/2006/relationships/hyperlink" Target="https://www.crunchbase.com/organization/placense" TargetMode="External"/><Relationship Id="rId5359" Type="http://schemas.openxmlformats.org/officeDocument/2006/relationships/hyperlink" Target="http://www.horizon-com.com/" TargetMode="External"/><Relationship Id="rId288" Type="http://schemas.openxmlformats.org/officeDocument/2006/relationships/hyperlink" Target="https://www.crunchbase.com/organization/tul-302e" TargetMode="External"/><Relationship Id="rId4028" Type="http://schemas.openxmlformats.org/officeDocument/2006/relationships/hyperlink" Target="https://www.crunchbase.com/organization/f%C3%A1cil-fc23" TargetMode="External"/><Relationship Id="rId5356" Type="http://schemas.openxmlformats.org/officeDocument/2006/relationships/hyperlink" Target="https://www.honest.net/" TargetMode="External"/><Relationship Id="rId287" Type="http://schemas.openxmlformats.org/officeDocument/2006/relationships/hyperlink" Target="https://www.crunchbase.com/funding_round/flyhomes-debt-financing--433e53c2" TargetMode="External"/><Relationship Id="rId4027" Type="http://schemas.openxmlformats.org/officeDocument/2006/relationships/hyperlink" Target="https://angel.co/company/arrenda" TargetMode="External"/><Relationship Id="rId5357" Type="http://schemas.openxmlformats.org/officeDocument/2006/relationships/hyperlink" Target="https://angel.co/company/horizon-communications-1" TargetMode="External"/><Relationship Id="rId4019" Type="http://schemas.openxmlformats.org/officeDocument/2006/relationships/hyperlink" Target="https://www.stowga.com/" TargetMode="External"/><Relationship Id="rId4018" Type="http://schemas.openxmlformats.org/officeDocument/2006/relationships/hyperlink" Target="https://www.crunchbase.com/organization/stowga" TargetMode="External"/><Relationship Id="rId5349" Type="http://schemas.openxmlformats.org/officeDocument/2006/relationships/hyperlink" Target="https://angel.co/projects/790105-homerun-iq?src=startup_profile" TargetMode="External"/><Relationship Id="rId282" Type="http://schemas.openxmlformats.org/officeDocument/2006/relationships/hyperlink" Target="https://angel.co/company/flyhomes" TargetMode="External"/><Relationship Id="rId281" Type="http://schemas.openxmlformats.org/officeDocument/2006/relationships/hyperlink" Target="https://www.crunchbase.com/funding_round/homeward-debt-financing--94e6d848" TargetMode="External"/><Relationship Id="rId280" Type="http://schemas.openxmlformats.org/officeDocument/2006/relationships/hyperlink" Target="https://www.google.com/url?sa=t&amp;rct=j&amp;q=&amp;esrc=s&amp;source=web&amp;cd=&amp;ved=2ahUKEwjWi8Ld6-j-AhWUkIkEHWgPDWsQFnoECA4QAQ&amp;url=https%3A%2F%2Fwww.forbes.com%2Fsites%2Fnoahkirsch%2F2021%2F05%2F27%2Freal-estate-startup-homeward-raises-371-million-landing-valuation-above-800-million%2F&amp;usg=AOvVaw1mxs0nh_AzOTets0yjOzho" TargetMode="External"/><Relationship Id="rId6670" Type="http://schemas.openxmlformats.org/officeDocument/2006/relationships/hyperlink" Target="https://www.shipshape.ai/" TargetMode="External"/><Relationship Id="rId5340" Type="http://schemas.openxmlformats.org/officeDocument/2006/relationships/hyperlink" Target="https://angel.co/company/homebeatlive" TargetMode="External"/><Relationship Id="rId6671" Type="http://schemas.openxmlformats.org/officeDocument/2006/relationships/hyperlink" Target="https://www.finsmes.com/2023/05/shipshape-solutions-receives-investment-from-aeotec-americas.html" TargetMode="External"/><Relationship Id="rId275" Type="http://schemas.openxmlformats.org/officeDocument/2006/relationships/hyperlink" Target="https://www.crunchbase.com/funding_round/mews-systems-series-d--f0b262b3" TargetMode="External"/><Relationship Id="rId4011" Type="http://schemas.openxmlformats.org/officeDocument/2006/relationships/hyperlink" Target="https://www.crunchbase.com/organization/remoov" TargetMode="External"/><Relationship Id="rId5343" Type="http://schemas.openxmlformats.org/officeDocument/2006/relationships/hyperlink" Target="https://angel.co/company/homenovator" TargetMode="External"/><Relationship Id="rId6674" Type="http://schemas.openxmlformats.org/officeDocument/2006/relationships/hyperlink" Target="https://www.zapkey.com/" TargetMode="External"/><Relationship Id="rId274" Type="http://schemas.openxmlformats.org/officeDocument/2006/relationships/hyperlink" Target="https://www.crunchbase.com/funding_round/mews-systems-series-c--3d6f8f28" TargetMode="External"/><Relationship Id="rId4010" Type="http://schemas.openxmlformats.org/officeDocument/2006/relationships/hyperlink" Target="https://angel.co/company/remoov" TargetMode="External"/><Relationship Id="rId5344" Type="http://schemas.openxmlformats.org/officeDocument/2006/relationships/hyperlink" Target="https://www.crunchbase.com/organization/outroop-inc" TargetMode="External"/><Relationship Id="rId6675" Type="http://schemas.openxmlformats.org/officeDocument/2006/relationships/hyperlink" Target="https://www.crunchbase.com/funding_round/zapkey-seed--6cecb3a8" TargetMode="External"/><Relationship Id="rId273" Type="http://schemas.openxmlformats.org/officeDocument/2006/relationships/hyperlink" Target="https://www.crunchbase.com/funding_round/mews-systems-series-b--89329970" TargetMode="External"/><Relationship Id="rId4013" Type="http://schemas.openxmlformats.org/officeDocument/2006/relationships/hyperlink" Target="https://angel.co/company/rescour" TargetMode="External"/><Relationship Id="rId5341" Type="http://schemas.openxmlformats.org/officeDocument/2006/relationships/hyperlink" Target="https://www.crunchbase.com/organization/homebeat-live" TargetMode="External"/><Relationship Id="rId6672" Type="http://schemas.openxmlformats.org/officeDocument/2006/relationships/hyperlink" Target="https://wellfound.com/company/zapkey" TargetMode="External"/><Relationship Id="rId272" Type="http://schemas.openxmlformats.org/officeDocument/2006/relationships/hyperlink" Target="https://www.crunchbase.com/funding_round/mews-systems-series-a--5f646238" TargetMode="External"/><Relationship Id="rId4012" Type="http://schemas.openxmlformats.org/officeDocument/2006/relationships/hyperlink" Target="https://remoovit.com/" TargetMode="External"/><Relationship Id="rId5342" Type="http://schemas.openxmlformats.org/officeDocument/2006/relationships/hyperlink" Target="https://homebeat.live/" TargetMode="External"/><Relationship Id="rId6673" Type="http://schemas.openxmlformats.org/officeDocument/2006/relationships/hyperlink" Target="https://www.crunchbase.com/organization/zapkey" TargetMode="External"/><Relationship Id="rId279" Type="http://schemas.openxmlformats.org/officeDocument/2006/relationships/hyperlink" Target="https://www.homeward.com/" TargetMode="External"/><Relationship Id="rId4015" Type="http://schemas.openxmlformats.org/officeDocument/2006/relationships/hyperlink" Target="https://rescour.com/" TargetMode="External"/><Relationship Id="rId5347" Type="http://schemas.openxmlformats.org/officeDocument/2006/relationships/hyperlink" Target="https://www.crunchbase.com/organization/homeopenly" TargetMode="External"/><Relationship Id="rId278" Type="http://schemas.openxmlformats.org/officeDocument/2006/relationships/hyperlink" Target="https://www.crunchbase.com/organization/homeward" TargetMode="External"/><Relationship Id="rId4014" Type="http://schemas.openxmlformats.org/officeDocument/2006/relationships/hyperlink" Target="https://www.crunchbase.com/organization/rescour" TargetMode="External"/><Relationship Id="rId5348" Type="http://schemas.openxmlformats.org/officeDocument/2006/relationships/hyperlink" Target="https://homeopenly.com/" TargetMode="External"/><Relationship Id="rId277" Type="http://schemas.openxmlformats.org/officeDocument/2006/relationships/hyperlink" Target="https://angel.co/company/homeward-way" TargetMode="External"/><Relationship Id="rId4017" Type="http://schemas.openxmlformats.org/officeDocument/2006/relationships/hyperlink" Target="https://angel.co/company/stowga" TargetMode="External"/><Relationship Id="rId5345" Type="http://schemas.openxmlformats.org/officeDocument/2006/relationships/hyperlink" Target="https://www.homenovator.com/" TargetMode="External"/><Relationship Id="rId6676" Type="http://schemas.openxmlformats.org/officeDocument/2006/relationships/drawing" Target="../drawings/drawing1.xml"/><Relationship Id="rId276" Type="http://schemas.openxmlformats.org/officeDocument/2006/relationships/hyperlink" Target="https://www.crunchbase.com/funding_round/mews-systems-series-unknown--9cb28806" TargetMode="External"/><Relationship Id="rId4016" Type="http://schemas.openxmlformats.org/officeDocument/2006/relationships/hyperlink" Target="https://www.crunchbase.com/funding_round/rescour-seed--79fdd80e" TargetMode="External"/><Relationship Id="rId5346" Type="http://schemas.openxmlformats.org/officeDocument/2006/relationships/hyperlink" Target="https://angel.co/company/homeopenly" TargetMode="External"/><Relationship Id="rId6677" Type="http://schemas.openxmlformats.org/officeDocument/2006/relationships/vmlDrawing" Target="../drawings/vmlDrawing1.vml"/><Relationship Id="rId1851" Type="http://schemas.openxmlformats.org/officeDocument/2006/relationships/hyperlink" Target="https://www.crunchbase.com/funding_round/avidxchange-series-e--b2ebf921" TargetMode="External"/><Relationship Id="rId1852" Type="http://schemas.openxmlformats.org/officeDocument/2006/relationships/hyperlink" Target="https://angel.co/company/cityzenith-2" TargetMode="External"/><Relationship Id="rId1853" Type="http://schemas.openxmlformats.org/officeDocument/2006/relationships/hyperlink" Target="https://www.crunchbase.com/organization/cityzenith" TargetMode="External"/><Relationship Id="rId1854" Type="http://schemas.openxmlformats.org/officeDocument/2006/relationships/hyperlink" Target="https://cityzenith.com/" TargetMode="External"/><Relationship Id="rId1855" Type="http://schemas.openxmlformats.org/officeDocument/2006/relationships/hyperlink" Target="https://www.crunchbase.com/funding_round/cityzenith-seed--9be4d8c1" TargetMode="External"/><Relationship Id="rId1856" Type="http://schemas.openxmlformats.org/officeDocument/2006/relationships/hyperlink" Target="https://www.crunchbase.com/organization/enverid" TargetMode="External"/><Relationship Id="rId1857" Type="http://schemas.openxmlformats.org/officeDocument/2006/relationships/hyperlink" Target="https://www.crunchbase.com/organization/saltmine" TargetMode="External"/><Relationship Id="rId1858" Type="http://schemas.openxmlformats.org/officeDocument/2006/relationships/hyperlink" Target="https://www.saltmine.com/" TargetMode="External"/><Relationship Id="rId1859" Type="http://schemas.openxmlformats.org/officeDocument/2006/relationships/hyperlink" Target="https://www.crunchbase.com/funding_round/saltmine-series-a--4b77d291" TargetMode="External"/><Relationship Id="rId1850" Type="http://schemas.openxmlformats.org/officeDocument/2006/relationships/hyperlink" Target="https://www.crunchbase.com/funding_round/avidxchange-series-b--a539e857" TargetMode="External"/><Relationship Id="rId1840" Type="http://schemas.openxmlformats.org/officeDocument/2006/relationships/hyperlink" Target="https://angel.co/company/boomtown-roi" TargetMode="External"/><Relationship Id="rId1841" Type="http://schemas.openxmlformats.org/officeDocument/2006/relationships/hyperlink" Target="https://www.crunchbase.com/organization/boomtown" TargetMode="External"/><Relationship Id="rId1842" Type="http://schemas.openxmlformats.org/officeDocument/2006/relationships/hyperlink" Target="https://boomtownroi.com" TargetMode="External"/><Relationship Id="rId1843" Type="http://schemas.openxmlformats.org/officeDocument/2006/relationships/hyperlink" Target="https://www.crunchbase.com/funding_round/boomtown-series-a--38ad1033" TargetMode="External"/><Relationship Id="rId1844" Type="http://schemas.openxmlformats.org/officeDocument/2006/relationships/hyperlink" Target="https://angel.co/company/aloft-appraisal" TargetMode="External"/><Relationship Id="rId1845" Type="http://schemas.openxmlformats.org/officeDocument/2006/relationships/hyperlink" Target="https://www.crunchbase.com/organization/aloft-appraisal" TargetMode="External"/><Relationship Id="rId1846" Type="http://schemas.openxmlformats.org/officeDocument/2006/relationships/hyperlink" Target="https://aloftappraisal.com/" TargetMode="External"/><Relationship Id="rId1847" Type="http://schemas.openxmlformats.org/officeDocument/2006/relationships/hyperlink" Target="https://angel.co/company/avidxchange-inc" TargetMode="External"/><Relationship Id="rId1848" Type="http://schemas.openxmlformats.org/officeDocument/2006/relationships/hyperlink" Target="https://www.crunchbase.com/organization/avidxchange" TargetMode="External"/><Relationship Id="rId1849" Type="http://schemas.openxmlformats.org/officeDocument/2006/relationships/hyperlink" Target="https://www.avidxchange.com/" TargetMode="External"/><Relationship Id="rId1873" Type="http://schemas.openxmlformats.org/officeDocument/2006/relationships/hyperlink" Target="https://www.crunchbase.com/funding_round/bidmylisting-seed--9e6c9380" TargetMode="External"/><Relationship Id="rId1874" Type="http://schemas.openxmlformats.org/officeDocument/2006/relationships/hyperlink" Target="https://www.crunchbase.com/organization/cleartrace" TargetMode="External"/><Relationship Id="rId1875" Type="http://schemas.openxmlformats.org/officeDocument/2006/relationships/hyperlink" Target="https://cleartrace.io/" TargetMode="External"/><Relationship Id="rId1876" Type="http://schemas.openxmlformats.org/officeDocument/2006/relationships/hyperlink" Target="https://www.crunchbase.com/funding_round/cleartrace-series-b--7f23c287" TargetMode="External"/><Relationship Id="rId1877" Type="http://schemas.openxmlformats.org/officeDocument/2006/relationships/hyperlink" Target="https://www.crunchbase.com/organization/common-ground-8b0d" TargetMode="External"/><Relationship Id="rId1878" Type="http://schemas.openxmlformats.org/officeDocument/2006/relationships/hyperlink" Target="https://www.commonground.work/" TargetMode="External"/><Relationship Id="rId1879" Type="http://schemas.openxmlformats.org/officeDocument/2006/relationships/hyperlink" Target="https://www.crunchbase.com/funding_round/common-ground-8b0d-seed--e4973a2e" TargetMode="External"/><Relationship Id="rId1870" Type="http://schemas.openxmlformats.org/officeDocument/2006/relationships/hyperlink" Target="https://www.crunchbase.com/organization/bidmylisting" TargetMode="External"/><Relationship Id="rId1871" Type="http://schemas.openxmlformats.org/officeDocument/2006/relationships/hyperlink" Target="https://www.bidmylisting.com/" TargetMode="External"/><Relationship Id="rId1872" Type="http://schemas.openxmlformats.org/officeDocument/2006/relationships/hyperlink" Target="https://www.crunchbase.com/funding_round/bidmylisting-seed--419a4b5c" TargetMode="External"/><Relationship Id="rId1862" Type="http://schemas.openxmlformats.org/officeDocument/2006/relationships/hyperlink" Target="https://www.staykeepers.com/" TargetMode="External"/><Relationship Id="rId1863" Type="http://schemas.openxmlformats.org/officeDocument/2006/relationships/hyperlink" Target="https://www.crunchbase.com/funding_round/staykeepers-series-a--e3bf4ad9" TargetMode="External"/><Relationship Id="rId1864" Type="http://schemas.openxmlformats.org/officeDocument/2006/relationships/hyperlink" Target="https://angel.co/company/thoughtwire-5" TargetMode="External"/><Relationship Id="rId1865" Type="http://schemas.openxmlformats.org/officeDocument/2006/relationships/hyperlink" Target="https://www.crunchbase.com/organization/thoughtwire-corp" TargetMode="External"/><Relationship Id="rId1866" Type="http://schemas.openxmlformats.org/officeDocument/2006/relationships/hyperlink" Target="https://www.thoughtwire.com/" TargetMode="External"/><Relationship Id="rId1867" Type="http://schemas.openxmlformats.org/officeDocument/2006/relationships/hyperlink" Target="https://www.crunchbase.com/funding_round/thoughtwire-corp-series-a--2bf831dc" TargetMode="External"/><Relationship Id="rId1868" Type="http://schemas.openxmlformats.org/officeDocument/2006/relationships/hyperlink" Target="https://able.ai/" TargetMode="External"/><Relationship Id="rId1869" Type="http://schemas.openxmlformats.org/officeDocument/2006/relationships/hyperlink" Target="https://techcrunch.com/2022/06/16/able-ai-exits-stealth-with-20m-to-help-big-lenders-speed-up-making-high-value-loans/" TargetMode="External"/><Relationship Id="rId1860" Type="http://schemas.openxmlformats.org/officeDocument/2006/relationships/hyperlink" Target="https://angel.co/company/staykeepers" TargetMode="External"/><Relationship Id="rId1861" Type="http://schemas.openxmlformats.org/officeDocument/2006/relationships/hyperlink" Target="https://www.crunchbase.com/organization/staykeepers" TargetMode="External"/><Relationship Id="rId1810" Type="http://schemas.openxmlformats.org/officeDocument/2006/relationships/hyperlink" Target="http://www.stayfrontdesk.com/" TargetMode="External"/><Relationship Id="rId1811" Type="http://schemas.openxmlformats.org/officeDocument/2006/relationships/hyperlink" Target="https://www.crunchbase.com/funding_round/frontdesk-series-b--0f6bed6e" TargetMode="External"/><Relationship Id="rId1812" Type="http://schemas.openxmlformats.org/officeDocument/2006/relationships/hyperlink" Target="https://angel.co/company/ownup" TargetMode="External"/><Relationship Id="rId1813" Type="http://schemas.openxmlformats.org/officeDocument/2006/relationships/hyperlink" Target="https://www.crunchbase.com/organization/rategravity" TargetMode="External"/><Relationship Id="rId1814" Type="http://schemas.openxmlformats.org/officeDocument/2006/relationships/hyperlink" Target="https://www.ownup.com/" TargetMode="External"/><Relationship Id="rId1815" Type="http://schemas.openxmlformats.org/officeDocument/2006/relationships/hyperlink" Target="https://www.crunchbase.com/organization/dongnae" TargetMode="External"/><Relationship Id="rId1816" Type="http://schemas.openxmlformats.org/officeDocument/2006/relationships/hyperlink" Target="https://dongnae.com/en" TargetMode="External"/><Relationship Id="rId1817" Type="http://schemas.openxmlformats.org/officeDocument/2006/relationships/hyperlink" Target="https://www.crunchbase.com/organization/topite" TargetMode="External"/><Relationship Id="rId1818" Type="http://schemas.openxmlformats.org/officeDocument/2006/relationships/hyperlink" Target="https://www.woltair.cz/" TargetMode="External"/><Relationship Id="rId1819" Type="http://schemas.openxmlformats.org/officeDocument/2006/relationships/hyperlink" Target="https://www.crunchbase.com/funding_round/topite-pre-seed--1f0c6241" TargetMode="External"/><Relationship Id="rId4080" Type="http://schemas.openxmlformats.org/officeDocument/2006/relationships/hyperlink" Target="https://conix.ai/" TargetMode="External"/><Relationship Id="rId4082" Type="http://schemas.openxmlformats.org/officeDocument/2006/relationships/hyperlink" Target="https://www.crunchbase.com/organization/comstruct-381d" TargetMode="External"/><Relationship Id="rId4081" Type="http://schemas.openxmlformats.org/officeDocument/2006/relationships/hyperlink" Target="https://www.crunchbase.com/funding_round/conixai-pre-seed--dde3addd" TargetMode="External"/><Relationship Id="rId4084" Type="http://schemas.openxmlformats.org/officeDocument/2006/relationships/hyperlink" Target="https://www.crunchbase.com/funding_round/comstruct-381d-pre-seed--878e1fad" TargetMode="External"/><Relationship Id="rId4083" Type="http://schemas.openxmlformats.org/officeDocument/2006/relationships/hyperlink" Target="https://comstruct.com/" TargetMode="External"/><Relationship Id="rId4086" Type="http://schemas.openxmlformats.org/officeDocument/2006/relationships/hyperlink" Target="https://www.crunchbase.com/organization/commissiontrac" TargetMode="External"/><Relationship Id="rId4085" Type="http://schemas.openxmlformats.org/officeDocument/2006/relationships/hyperlink" Target="https://angel.co/commissiontrac-1" TargetMode="External"/><Relationship Id="rId4088" Type="http://schemas.openxmlformats.org/officeDocument/2006/relationships/hyperlink" Target="https://angel.co/company/innago" TargetMode="External"/><Relationship Id="rId4087" Type="http://schemas.openxmlformats.org/officeDocument/2006/relationships/hyperlink" Target="http://www.commissiontrac.com/" TargetMode="External"/><Relationship Id="rId4089" Type="http://schemas.openxmlformats.org/officeDocument/2006/relationships/hyperlink" Target="https://www.crunchbase.com/organization/innago-property-management-software" TargetMode="External"/><Relationship Id="rId1800" Type="http://schemas.openxmlformats.org/officeDocument/2006/relationships/hyperlink" Target="https://www.urbanumbrella.com/" TargetMode="External"/><Relationship Id="rId1801" Type="http://schemas.openxmlformats.org/officeDocument/2006/relationships/hyperlink" Target="https://wellfound.com/company/property-meld" TargetMode="External"/><Relationship Id="rId1802" Type="http://schemas.openxmlformats.org/officeDocument/2006/relationships/hyperlink" Target="https://www.crunchbase.com/organization/property-meld" TargetMode="External"/><Relationship Id="rId1803" Type="http://schemas.openxmlformats.org/officeDocument/2006/relationships/hyperlink" Target="http://www.propertymeld.com/" TargetMode="External"/><Relationship Id="rId1804" Type="http://schemas.openxmlformats.org/officeDocument/2006/relationships/hyperlink" Target="https://www.crunchbase.com/funding_round/property-meld-seed--82b84719" TargetMode="External"/><Relationship Id="rId1805" Type="http://schemas.openxmlformats.org/officeDocument/2006/relationships/hyperlink" Target="https://www.crunchbase.com/funding_round/property-meld-series-unknown--da5c9643" TargetMode="External"/><Relationship Id="rId1806" Type="http://schemas.openxmlformats.org/officeDocument/2006/relationships/hyperlink" Target="https://www.crunchbase.com/funding_round/property-meld-series-a--cdf5202b" TargetMode="External"/><Relationship Id="rId1807" Type="http://schemas.openxmlformats.org/officeDocument/2006/relationships/hyperlink" Target="https://www.crunchbase.com/funding_round/property-meld-series-b--01300882" TargetMode="External"/><Relationship Id="rId1808" Type="http://schemas.openxmlformats.org/officeDocument/2006/relationships/hyperlink" Target="https://angel.co/company/stayfrontdesk" TargetMode="External"/><Relationship Id="rId1809" Type="http://schemas.openxmlformats.org/officeDocument/2006/relationships/hyperlink" Target="https://www.crunchbase.com/organization/frontdesk" TargetMode="External"/><Relationship Id="rId4071" Type="http://schemas.openxmlformats.org/officeDocument/2006/relationships/hyperlink" Target="https://angel.co/upsuite" TargetMode="External"/><Relationship Id="rId4070" Type="http://schemas.openxmlformats.org/officeDocument/2006/relationships/hyperlink" Target="http://www.idealspot.com/" TargetMode="External"/><Relationship Id="rId4073" Type="http://schemas.openxmlformats.org/officeDocument/2006/relationships/hyperlink" Target="https://www.upsuite.com/about-us" TargetMode="External"/><Relationship Id="rId4072" Type="http://schemas.openxmlformats.org/officeDocument/2006/relationships/hyperlink" Target="https://www.crunchbase.com/organization/upsuite" TargetMode="External"/><Relationship Id="rId4075" Type="http://schemas.openxmlformats.org/officeDocument/2006/relationships/hyperlink" Target="https://www.crunchbase.com/organization/neocarbon" TargetMode="External"/><Relationship Id="rId4074" Type="http://schemas.openxmlformats.org/officeDocument/2006/relationships/hyperlink" Target="https://angel.co/company/neocarbon" TargetMode="External"/><Relationship Id="rId4077" Type="http://schemas.openxmlformats.org/officeDocument/2006/relationships/hyperlink" Target="https://www.crunchbase.com/funding_round/neocarbon-pre-seed--7bc5bdf0" TargetMode="External"/><Relationship Id="rId4076" Type="http://schemas.openxmlformats.org/officeDocument/2006/relationships/hyperlink" Target="https://www.neocarbon.tech/" TargetMode="External"/><Relationship Id="rId4079" Type="http://schemas.openxmlformats.org/officeDocument/2006/relationships/hyperlink" Target="https://www.crunchbase.com/organization/conixai" TargetMode="External"/><Relationship Id="rId4078" Type="http://schemas.openxmlformats.org/officeDocument/2006/relationships/hyperlink" Target="http://conix.ai/" TargetMode="External"/><Relationship Id="rId1830" Type="http://schemas.openxmlformats.org/officeDocument/2006/relationships/hyperlink" Target="https://www.crunchbase.com/funding_round/chargerhelp-seed--29d8e45e" TargetMode="External"/><Relationship Id="rId1831" Type="http://schemas.openxmlformats.org/officeDocument/2006/relationships/hyperlink" Target="https://www.crunchbase.com/funding_round/chargerhelp-series-unknown--2949f1d9" TargetMode="External"/><Relationship Id="rId1832" Type="http://schemas.openxmlformats.org/officeDocument/2006/relationships/hyperlink" Target="https://www.crunchbase.com/funding_round/chargerhelp-series-a--b8ce6ed6" TargetMode="External"/><Relationship Id="rId1833" Type="http://schemas.openxmlformats.org/officeDocument/2006/relationships/hyperlink" Target="https://angel.co/company/deako" TargetMode="External"/><Relationship Id="rId1834" Type="http://schemas.openxmlformats.org/officeDocument/2006/relationships/hyperlink" Target="https://www.crunchbase.com/organization/deako" TargetMode="External"/><Relationship Id="rId1835" Type="http://schemas.openxmlformats.org/officeDocument/2006/relationships/hyperlink" Target="https://www.deako.com/" TargetMode="External"/><Relationship Id="rId1836" Type="http://schemas.openxmlformats.org/officeDocument/2006/relationships/hyperlink" Target="https://www.crunchbase.com/funding_round/deako-pre-seed--434624ff" TargetMode="External"/><Relationship Id="rId1837" Type="http://schemas.openxmlformats.org/officeDocument/2006/relationships/hyperlink" Target="https://www.crunchbase.com/funding_round/deako-series-unknown--4b54d59d" TargetMode="External"/><Relationship Id="rId1838" Type="http://schemas.openxmlformats.org/officeDocument/2006/relationships/hyperlink" Target="https://www.crunchbase.com/funding_round/deako-series-unknown--063beedf" TargetMode="External"/><Relationship Id="rId1839" Type="http://schemas.openxmlformats.org/officeDocument/2006/relationships/hyperlink" Target="https://www.crunchbase.com/funding_round/deako-series-b--904d3e56" TargetMode="External"/><Relationship Id="rId1820" Type="http://schemas.openxmlformats.org/officeDocument/2006/relationships/hyperlink" Target="https://www.crunchbase.com/funding_round/topite-seed--93234a0e" TargetMode="External"/><Relationship Id="rId1821" Type="http://schemas.openxmlformats.org/officeDocument/2006/relationships/hyperlink" Target="https://www.crunchbase.com/funding_round/topite-series-a--2ef6b037" TargetMode="External"/><Relationship Id="rId1822" Type="http://schemas.openxmlformats.org/officeDocument/2006/relationships/hyperlink" Target="https://www.crunchbase.com/organization/chargelab" TargetMode="External"/><Relationship Id="rId1823" Type="http://schemas.openxmlformats.org/officeDocument/2006/relationships/hyperlink" Target="https://www.chargelab.co/" TargetMode="External"/><Relationship Id="rId1824" Type="http://schemas.openxmlformats.org/officeDocument/2006/relationships/hyperlink" Target="https://www.crunchbase.com/funding_round/chargelab-series-a--88265e48" TargetMode="External"/><Relationship Id="rId1825" Type="http://schemas.openxmlformats.org/officeDocument/2006/relationships/hyperlink" Target="https://www.crunchbase.com/funding_round/chargelab-debt-financing--f3f22d2d" TargetMode="External"/><Relationship Id="rId1826" Type="http://schemas.openxmlformats.org/officeDocument/2006/relationships/hyperlink" Target="https://wellfound.com/company/chargerhelp-2" TargetMode="External"/><Relationship Id="rId1827" Type="http://schemas.openxmlformats.org/officeDocument/2006/relationships/hyperlink" Target="https://www.crunchbase.com/organization/chargerhelp" TargetMode="External"/><Relationship Id="rId1828" Type="http://schemas.openxmlformats.org/officeDocument/2006/relationships/hyperlink" Target="http://www.chargerhelp.com/" TargetMode="External"/><Relationship Id="rId1829" Type="http://schemas.openxmlformats.org/officeDocument/2006/relationships/hyperlink" Target="https://www.crunchbase.com/funding_round/chargerhelp-pre-seed--2727b4c6" TargetMode="External"/><Relationship Id="rId4091" Type="http://schemas.openxmlformats.org/officeDocument/2006/relationships/hyperlink" Target="https://www.crunchbase.com/funding_round/innago-property-management-software-seed--29961d9b" TargetMode="External"/><Relationship Id="rId4090" Type="http://schemas.openxmlformats.org/officeDocument/2006/relationships/hyperlink" Target="http://innago.com/" TargetMode="External"/><Relationship Id="rId4093" Type="http://schemas.openxmlformats.org/officeDocument/2006/relationships/hyperlink" Target="https://www.crunchbase.com/organization/real-3" TargetMode="External"/><Relationship Id="rId4092" Type="http://schemas.openxmlformats.org/officeDocument/2006/relationships/hyperlink" Target="https://angel.co/company/real-ventures" TargetMode="External"/><Relationship Id="rId4095" Type="http://schemas.openxmlformats.org/officeDocument/2006/relationships/hyperlink" Target="https://www.crunchbase.com/funding_round/real-3-seed--277117eb" TargetMode="External"/><Relationship Id="rId4094" Type="http://schemas.openxmlformats.org/officeDocument/2006/relationships/hyperlink" Target="https://www.joinreal.com/about" TargetMode="External"/><Relationship Id="rId4097" Type="http://schemas.openxmlformats.org/officeDocument/2006/relationships/hyperlink" Target="https://angel.co/company/restb" TargetMode="External"/><Relationship Id="rId4096" Type="http://schemas.openxmlformats.org/officeDocument/2006/relationships/hyperlink" Target="http://restb.ai" TargetMode="External"/><Relationship Id="rId4099" Type="http://schemas.openxmlformats.org/officeDocument/2006/relationships/hyperlink" Target="https://restb.ai/" TargetMode="External"/><Relationship Id="rId4098" Type="http://schemas.openxmlformats.org/officeDocument/2006/relationships/hyperlink" Target="https://www.crunchbase.com/organization/restb-ai" TargetMode="External"/><Relationship Id="rId1895" Type="http://schemas.openxmlformats.org/officeDocument/2006/relationships/hyperlink" Target="http://www.resonai.com/" TargetMode="External"/><Relationship Id="rId1896" Type="http://schemas.openxmlformats.org/officeDocument/2006/relationships/hyperlink" Target="https://www.crunchbase.com/funding_round/resonai-series-a--168304b0" TargetMode="External"/><Relationship Id="rId1897" Type="http://schemas.openxmlformats.org/officeDocument/2006/relationships/hyperlink" Target="https://angel.co/company/building-robotics" TargetMode="External"/><Relationship Id="rId1898" Type="http://schemas.openxmlformats.org/officeDocument/2006/relationships/hyperlink" Target="https://www.crunchbase.com/organization/building-robotics" TargetMode="External"/><Relationship Id="rId1899" Type="http://schemas.openxmlformats.org/officeDocument/2006/relationships/hyperlink" Target="http://buildingrobotics.com/" TargetMode="External"/><Relationship Id="rId1890" Type="http://schemas.openxmlformats.org/officeDocument/2006/relationships/hyperlink" Target="https://angel.co/company/aerwave" TargetMode="External"/><Relationship Id="rId1891" Type="http://schemas.openxmlformats.org/officeDocument/2006/relationships/hyperlink" Target="https://www.crunchbase.com/organization/aerwave" TargetMode="External"/><Relationship Id="rId1892" Type="http://schemas.openxmlformats.org/officeDocument/2006/relationships/hyperlink" Target="http://www.aerwave.io/" TargetMode="External"/><Relationship Id="rId1893" Type="http://schemas.openxmlformats.org/officeDocument/2006/relationships/hyperlink" Target="https://www.crunchbase.com/funding_round/aerwave-series-a--4606e768" TargetMode="External"/><Relationship Id="rId1894" Type="http://schemas.openxmlformats.org/officeDocument/2006/relationships/hyperlink" Target="https://www.crunchbase.com/organization/resonai" TargetMode="External"/><Relationship Id="rId1884" Type="http://schemas.openxmlformats.org/officeDocument/2006/relationships/hyperlink" Target="https://www.crunchbase.com/funding_round/flueid-series-a--306edd15" TargetMode="External"/><Relationship Id="rId1885" Type="http://schemas.openxmlformats.org/officeDocument/2006/relationships/hyperlink" Target="https://www.crunchbase.com/funding_round/flueid-series-b--0cfdd9f0" TargetMode="External"/><Relationship Id="rId1886" Type="http://schemas.openxmlformats.org/officeDocument/2006/relationships/hyperlink" Target="https://www.crunchbase.com/organization/cosi-hospitality" TargetMode="External"/><Relationship Id="rId1887" Type="http://schemas.openxmlformats.org/officeDocument/2006/relationships/hyperlink" Target="https://numastays.com/" TargetMode="External"/><Relationship Id="rId1888" Type="http://schemas.openxmlformats.org/officeDocument/2006/relationships/hyperlink" Target="https://www.crunchbase.com/organization/la-fonciere-numerique" TargetMode="External"/><Relationship Id="rId1889" Type="http://schemas.openxmlformats.org/officeDocument/2006/relationships/hyperlink" Target="https://stonal.com/" TargetMode="External"/><Relationship Id="rId1880" Type="http://schemas.openxmlformats.org/officeDocument/2006/relationships/hyperlink" Target="https://www.crunchbase.com/funding_round/common-ground-8b0d-series-a--576b7eb9" TargetMode="External"/><Relationship Id="rId1881" Type="http://schemas.openxmlformats.org/officeDocument/2006/relationships/hyperlink" Target="https://angel.co/company/flueid" TargetMode="External"/><Relationship Id="rId1882" Type="http://schemas.openxmlformats.org/officeDocument/2006/relationships/hyperlink" Target="https://www.crunchbase.com/organization/flueid" TargetMode="External"/><Relationship Id="rId1883" Type="http://schemas.openxmlformats.org/officeDocument/2006/relationships/hyperlink" Target="https://flueid.com/" TargetMode="External"/><Relationship Id="rId5417" Type="http://schemas.openxmlformats.org/officeDocument/2006/relationships/hyperlink" Target="https://www.crunchbase.com/organization/integrated-business-systems" TargetMode="External"/><Relationship Id="rId5418" Type="http://schemas.openxmlformats.org/officeDocument/2006/relationships/hyperlink" Target="https://www.ibsre.com/" TargetMode="External"/><Relationship Id="rId5415" Type="http://schemas.openxmlformats.org/officeDocument/2006/relationships/hyperlink" Target="https://www.theinstantgroup.com/en-gb" TargetMode="External"/><Relationship Id="rId5416" Type="http://schemas.openxmlformats.org/officeDocument/2006/relationships/hyperlink" Target="https://angel.co/company/integrated-business-systems-ibs" TargetMode="External"/><Relationship Id="rId5419" Type="http://schemas.openxmlformats.org/officeDocument/2006/relationships/hyperlink" Target="https://angel.co/company/investor-deal-room-1" TargetMode="External"/><Relationship Id="rId228" Type="http://schemas.openxmlformats.org/officeDocument/2006/relationships/hyperlink" Target="https://www.crunchbase.com/funding_round/qualia-labs-inc-series-d--50361bf9" TargetMode="External"/><Relationship Id="rId227" Type="http://schemas.openxmlformats.org/officeDocument/2006/relationships/hyperlink" Target="https://www.crunchbase.com/funding_round/qualia-labs-inc-series-c--80eec0e5" TargetMode="External"/><Relationship Id="rId226" Type="http://schemas.openxmlformats.org/officeDocument/2006/relationships/hyperlink" Target="https://www.crunchbase.com/funding_round/qualia-labs-inc-series-b--b8f1f071" TargetMode="External"/><Relationship Id="rId225" Type="http://schemas.openxmlformats.org/officeDocument/2006/relationships/hyperlink" Target="https://www.crunchbase.com/funding_round/qualia-labs-inc-series-a--05aceeb3" TargetMode="External"/><Relationship Id="rId229" Type="http://schemas.openxmlformats.org/officeDocument/2006/relationships/hyperlink" Target="https://www.crunchbase.com/organization/place-de12" TargetMode="External"/><Relationship Id="rId220" Type="http://schemas.openxmlformats.org/officeDocument/2006/relationships/hyperlink" Target="https://www.crunchbase.com/funding_round/placer-series-unknown--0227c1bb" TargetMode="External"/><Relationship Id="rId5410" Type="http://schemas.openxmlformats.org/officeDocument/2006/relationships/hyperlink" Target="https://angel.co/company/inreal" TargetMode="External"/><Relationship Id="rId224" Type="http://schemas.openxmlformats.org/officeDocument/2006/relationships/hyperlink" Target="https://www.google.com/url?sa=t&amp;rct=j&amp;q=&amp;esrc=s&amp;source=web&amp;cd=&amp;ved=2ahUKEwjFtMDH6ej-AhWjk4kEHX12DckQFnoECA4QAQ&amp;url=https%3A%2F%2Fwww.globenewswire.com%2Fnews-release%2F2020%2F12%2F21%2F2148941%2F0%2Fen%2FQualia-Becomes-Latest-Tech-Unicorn-with-65m-Series-D-Acquires-Adeptive-Software.html&amp;usg=AOvVaw1Ap0QM0sWmHO0uPwUGkWUr" TargetMode="External"/><Relationship Id="rId5413" Type="http://schemas.openxmlformats.org/officeDocument/2006/relationships/hyperlink" Target="https://www.insiteintelligence.com/" TargetMode="External"/><Relationship Id="rId223" Type="http://schemas.openxmlformats.org/officeDocument/2006/relationships/hyperlink" Target="https://www.qualia.com/" TargetMode="External"/><Relationship Id="rId5414" Type="http://schemas.openxmlformats.org/officeDocument/2006/relationships/hyperlink" Target="https://www.crunchbase.com/organization/the-instant-group" TargetMode="External"/><Relationship Id="rId222" Type="http://schemas.openxmlformats.org/officeDocument/2006/relationships/hyperlink" Target="https://www.crunchbase.com/organization/qualia-labs-inc" TargetMode="External"/><Relationship Id="rId5411" Type="http://schemas.openxmlformats.org/officeDocument/2006/relationships/hyperlink" Target="https://www.crunchbase.com/organization/inreal-technologies" TargetMode="External"/><Relationship Id="rId221" Type="http://schemas.openxmlformats.org/officeDocument/2006/relationships/hyperlink" Target="https://angel.co/company/qualialabs" TargetMode="External"/><Relationship Id="rId5412" Type="http://schemas.openxmlformats.org/officeDocument/2006/relationships/hyperlink" Target="https://inreal-tech.com/?lang=en" TargetMode="External"/><Relationship Id="rId5406" Type="http://schemas.openxmlformats.org/officeDocument/2006/relationships/hyperlink" Target="https://inolares.de/de/" TargetMode="External"/><Relationship Id="rId5407" Type="http://schemas.openxmlformats.org/officeDocument/2006/relationships/hyperlink" Target="https://angel.co/inovues" TargetMode="External"/><Relationship Id="rId5404" Type="http://schemas.openxmlformats.org/officeDocument/2006/relationships/hyperlink" Target="https://www.crunchbase.com/organization/infinitely-virtual" TargetMode="External"/><Relationship Id="rId5405" Type="http://schemas.openxmlformats.org/officeDocument/2006/relationships/hyperlink" Target="https://www.infinitelyvirtual.com/" TargetMode="External"/><Relationship Id="rId5408" Type="http://schemas.openxmlformats.org/officeDocument/2006/relationships/hyperlink" Target="https://www.crunchbase.com/organization/inovues" TargetMode="External"/><Relationship Id="rId5409" Type="http://schemas.openxmlformats.org/officeDocument/2006/relationships/hyperlink" Target="https://www.inovues.com/" TargetMode="External"/><Relationship Id="rId217" Type="http://schemas.openxmlformats.org/officeDocument/2006/relationships/hyperlink" Target="https://placer.ai/" TargetMode="External"/><Relationship Id="rId216" Type="http://schemas.openxmlformats.org/officeDocument/2006/relationships/hyperlink" Target="https://www.crunchbase.com/organization/placer-labs-inc" TargetMode="External"/><Relationship Id="rId215" Type="http://schemas.openxmlformats.org/officeDocument/2006/relationships/hyperlink" Target="https://angel.co/company/placer-data" TargetMode="External"/><Relationship Id="rId214" Type="http://schemas.openxmlformats.org/officeDocument/2006/relationships/hyperlink" Target="http://placer.ai" TargetMode="External"/><Relationship Id="rId219" Type="http://schemas.openxmlformats.org/officeDocument/2006/relationships/hyperlink" Target="https://www.crunchbase.com/funding_round/placer-pre-seed--c14dbd25" TargetMode="External"/><Relationship Id="rId218" Type="http://schemas.openxmlformats.org/officeDocument/2006/relationships/hyperlink" Target="https://techcrunch.com/2022/01/12/placer-ai-a-location-analytics-startup-finds-100m-at-a-1b-valuation/" TargetMode="External"/><Relationship Id="rId213" Type="http://schemas.openxmlformats.org/officeDocument/2006/relationships/hyperlink" Target="https://www.crunchbase.com/funding_round/flexe-series-d--876ad928" TargetMode="External"/><Relationship Id="rId5402" Type="http://schemas.openxmlformats.org/officeDocument/2006/relationships/hyperlink" Target="https://www.getinfill.com/" TargetMode="External"/><Relationship Id="rId212" Type="http://schemas.openxmlformats.org/officeDocument/2006/relationships/hyperlink" Target="https://www.crunchbase.com/funding_round/flexe-series-c--e804e288" TargetMode="External"/><Relationship Id="rId5403" Type="http://schemas.openxmlformats.org/officeDocument/2006/relationships/hyperlink" Target="https://www.crunchbase.com/search/organizations/field/organizations/location_identifiers/k%C3%B6nigswinter-nordrhein-westfalen" TargetMode="External"/><Relationship Id="rId211" Type="http://schemas.openxmlformats.org/officeDocument/2006/relationships/hyperlink" Target="https://www.google.com/url?sa=t&amp;rct=j&amp;q=&amp;esrc=s&amp;source=web&amp;cd=&amp;ved=2ahUKEwiy0Yr66Oj-AhXijIkEHWGTCacQFnoECBYQAQ&amp;url=https%3A%2F%2Fwww.geekwire.com%2F2022%2Fflexe-is-seattles-newest-unicorn-warehousing-startup-lands-119m-as-demand-grows%2F&amp;usg=AOvVaw1o2I8JZpvVY6Ni5MtDQTiO" TargetMode="External"/><Relationship Id="rId5400" Type="http://schemas.openxmlformats.org/officeDocument/2006/relationships/hyperlink" Target="https://www.crunchbase.com/organization/infabode" TargetMode="External"/><Relationship Id="rId210" Type="http://schemas.openxmlformats.org/officeDocument/2006/relationships/hyperlink" Target="https://www.flexe.com/" TargetMode="External"/><Relationship Id="rId5401" Type="http://schemas.openxmlformats.org/officeDocument/2006/relationships/hyperlink" Target="https://www.crunchbase.com/organization/infill" TargetMode="External"/><Relationship Id="rId4107" Type="http://schemas.openxmlformats.org/officeDocument/2006/relationships/hyperlink" Target="https://www.crunchbase.com/organization/ebrevia" TargetMode="External"/><Relationship Id="rId5439" Type="http://schemas.openxmlformats.org/officeDocument/2006/relationships/hyperlink" Target="http://jagaha.com" TargetMode="External"/><Relationship Id="rId4106" Type="http://schemas.openxmlformats.org/officeDocument/2006/relationships/hyperlink" Target="https://angel.co/ecomedes-1" TargetMode="External"/><Relationship Id="rId4109" Type="http://schemas.openxmlformats.org/officeDocument/2006/relationships/hyperlink" Target="https://www.crunchbase.com/organization/casa-2535" TargetMode="External"/><Relationship Id="rId5437" Type="http://schemas.openxmlformats.org/officeDocument/2006/relationships/hyperlink" Target="https://www.jabbrrbox.com/" TargetMode="External"/><Relationship Id="rId4108" Type="http://schemas.openxmlformats.org/officeDocument/2006/relationships/hyperlink" Target="http://ecomedes.com/" TargetMode="External"/><Relationship Id="rId5438" Type="http://schemas.openxmlformats.org/officeDocument/2006/relationships/hyperlink" Target="https://www.crunchbase.com/funding_round/jabbrrbox-pre-seed--e2006169" TargetMode="External"/><Relationship Id="rId249" Type="http://schemas.openxmlformats.org/officeDocument/2006/relationships/hyperlink" Target="https://www.google.com/url?sa=t&amp;rct=j&amp;q=&amp;esrc=s&amp;source=web&amp;cd=&amp;ved=2ahUKEwiJlOP36ej-AhWdkIkEHTUSAW8QFnoECBIQAQ&amp;url=https%3A%2F%2Fwww.businesswire.com%2Fnews%2Fhome%2F20221103005066%2Fen%2FAspen-Power-Partners-Announces-350-Million-Investment-from-Carlyle-to-Fuel-Growth-and-Acquisition-Strategy&amp;usg=AOvVaw3-Zs9cGTVUVnxc4cfYJWuV" TargetMode="External"/><Relationship Id="rId248" Type="http://schemas.openxmlformats.org/officeDocument/2006/relationships/hyperlink" Target="https://aspenpower.com/" TargetMode="External"/><Relationship Id="rId247" Type="http://schemas.openxmlformats.org/officeDocument/2006/relationships/hyperlink" Target="https://www.crunchbase.com/organization/aspen-power" TargetMode="External"/><Relationship Id="rId242" Type="http://schemas.openxmlformats.org/officeDocument/2006/relationships/hyperlink" Target="https://www.crunchbase.com/organization/redaptive-inc" TargetMode="External"/><Relationship Id="rId5431" Type="http://schemas.openxmlformats.org/officeDocument/2006/relationships/hyperlink" Target="https://www.crunchbase.com/organization/iotconnect" TargetMode="External"/><Relationship Id="rId241" Type="http://schemas.openxmlformats.org/officeDocument/2006/relationships/hyperlink" Target="https://www.crunchbase.com/funding_round/avenue-one-b06e-series-unknown--1bc65320" TargetMode="External"/><Relationship Id="rId5432" Type="http://schemas.openxmlformats.org/officeDocument/2006/relationships/hyperlink" Target="https://www.iotconnect.io/" TargetMode="External"/><Relationship Id="rId240" Type="http://schemas.openxmlformats.org/officeDocument/2006/relationships/hyperlink" Target="https://www.bloomberg.com/news/articles/2023-05-15/avenue-one-valued-at-nearly-1-billion-amid-housing-slowdown?sref=gni836kR" TargetMode="External"/><Relationship Id="rId4101" Type="http://schemas.openxmlformats.org/officeDocument/2006/relationships/hyperlink" Target="https://www.crunchbase.com/organization/sitekick" TargetMode="External"/><Relationship Id="rId4100" Type="http://schemas.openxmlformats.org/officeDocument/2006/relationships/hyperlink" Target="https://www.crunchbase.com/funding_round/restb-ai-seed--12040ef8" TargetMode="External"/><Relationship Id="rId5430" Type="http://schemas.openxmlformats.org/officeDocument/2006/relationships/hyperlink" Target="https://angel.co/company/iotconnect" TargetMode="External"/><Relationship Id="rId246" Type="http://schemas.openxmlformats.org/officeDocument/2006/relationships/hyperlink" Target="https://www.crunchbase.com/funding_round/redaptive-inc-debt-financing--e8a8b16e" TargetMode="External"/><Relationship Id="rId4103" Type="http://schemas.openxmlformats.org/officeDocument/2006/relationships/hyperlink" Target="https://angel.co/company/eano" TargetMode="External"/><Relationship Id="rId5435" Type="http://schemas.openxmlformats.org/officeDocument/2006/relationships/hyperlink" Target="https://www.ipsos-retailperformance.com/us/" TargetMode="External"/><Relationship Id="rId245" Type="http://schemas.openxmlformats.org/officeDocument/2006/relationships/hyperlink" Target="https://news.crunchbase.com/clean-tech-and-energy/redaptive-series-e-linse-capital/" TargetMode="External"/><Relationship Id="rId4102" Type="http://schemas.openxmlformats.org/officeDocument/2006/relationships/hyperlink" Target="http://www.sitekick.com" TargetMode="External"/><Relationship Id="rId5436" Type="http://schemas.openxmlformats.org/officeDocument/2006/relationships/hyperlink" Target="https://www.crunchbase.com/organization/jabbrrbox" TargetMode="External"/><Relationship Id="rId244" Type="http://schemas.openxmlformats.org/officeDocument/2006/relationships/hyperlink" Target="https://www.crunchbase.com/funding_round/redaptive-inc-series-c--66353aa5" TargetMode="External"/><Relationship Id="rId4105" Type="http://schemas.openxmlformats.org/officeDocument/2006/relationships/hyperlink" Target="https://www.eano.com/" TargetMode="External"/><Relationship Id="rId5433" Type="http://schemas.openxmlformats.org/officeDocument/2006/relationships/hyperlink" Target="https://angel.co/company/ipsos" TargetMode="External"/><Relationship Id="rId243" Type="http://schemas.openxmlformats.org/officeDocument/2006/relationships/hyperlink" Target="https://www.bnnbloomberg.ca/energy-efficiency-startup-redaptive-raises-200-million-from-cppib-1.1861299" TargetMode="External"/><Relationship Id="rId4104" Type="http://schemas.openxmlformats.org/officeDocument/2006/relationships/hyperlink" Target="https://www.crunchbase.com/organization/eanovation" TargetMode="External"/><Relationship Id="rId5434" Type="http://schemas.openxmlformats.org/officeDocument/2006/relationships/hyperlink" Target="https://www.crunchbase.com/organization/ipsos-retail-performance" TargetMode="External"/><Relationship Id="rId5428" Type="http://schemas.openxmlformats.org/officeDocument/2006/relationships/hyperlink" Target="https://invicara.com/" TargetMode="External"/><Relationship Id="rId5429" Type="http://schemas.openxmlformats.org/officeDocument/2006/relationships/hyperlink" Target="https://ionbox.net/" TargetMode="External"/><Relationship Id="rId5426" Type="http://schemas.openxmlformats.org/officeDocument/2006/relationships/hyperlink" Target="https://www.investreal.com/" TargetMode="External"/><Relationship Id="rId5427" Type="http://schemas.openxmlformats.org/officeDocument/2006/relationships/hyperlink" Target="https://www.crunchbase.com/organization/invicara" TargetMode="External"/><Relationship Id="rId239" Type="http://schemas.openxmlformats.org/officeDocument/2006/relationships/hyperlink" Target="https://www.avenue.one/" TargetMode="External"/><Relationship Id="rId238" Type="http://schemas.openxmlformats.org/officeDocument/2006/relationships/hyperlink" Target="https://www.crunchbase.com/organization/avenue-one-b06e" TargetMode="External"/><Relationship Id="rId237" Type="http://schemas.openxmlformats.org/officeDocument/2006/relationships/hyperlink" Target="https://www.crunchbase.com/organization/kin-insurance" TargetMode="External"/><Relationship Id="rId236" Type="http://schemas.openxmlformats.org/officeDocument/2006/relationships/hyperlink" Target="https://www.crunchbase.com/funding_round/kin-insurance-series-d--fde5b08d" TargetMode="External"/><Relationship Id="rId231" Type="http://schemas.openxmlformats.org/officeDocument/2006/relationships/hyperlink" Target="https://www.google.com/url?sa=t&amp;rct=j&amp;q=&amp;esrc=s&amp;source=web&amp;cd=&amp;ved=2ahUKEwiJ2onh6ej-AhVSjokEHcvtB6AQFnoECBMQAQ&amp;url=https%3A%2F%2Fnews.crunchbase.com%2Freal-estate-property-tech%2Freal-estate-100m-place-startup-investors%2F&amp;usg=AOvVaw16pKqBopNWBxuVUIseRZ4Q" TargetMode="External"/><Relationship Id="rId5420" Type="http://schemas.openxmlformats.org/officeDocument/2006/relationships/hyperlink" Target="https://www.crunchbase.com/organization/investor-deal-room" TargetMode="External"/><Relationship Id="rId230" Type="http://schemas.openxmlformats.org/officeDocument/2006/relationships/hyperlink" Target="https://place.com/" TargetMode="External"/><Relationship Id="rId5421" Type="http://schemas.openxmlformats.org/officeDocument/2006/relationships/hyperlink" Target="https://investordealroom.com/" TargetMode="External"/><Relationship Id="rId235" Type="http://schemas.openxmlformats.org/officeDocument/2006/relationships/hyperlink" Target="https://www.axios.com/pro/fintech-deals/2023/09/13/home-insurtech-kin-1-billion-valuation-unicorn" TargetMode="External"/><Relationship Id="rId5424" Type="http://schemas.openxmlformats.org/officeDocument/2006/relationships/hyperlink" Target="https://www.investormanagementservices.com" TargetMode="External"/><Relationship Id="rId234" Type="http://schemas.openxmlformats.org/officeDocument/2006/relationships/hyperlink" Target="https://www.kin.com/" TargetMode="External"/><Relationship Id="rId5425" Type="http://schemas.openxmlformats.org/officeDocument/2006/relationships/hyperlink" Target="https://www.crunchbase.com/organization/investreal" TargetMode="External"/><Relationship Id="rId233" Type="http://schemas.openxmlformats.org/officeDocument/2006/relationships/hyperlink" Target="https://www.crunchbase.com/organization/kin-insurance" TargetMode="External"/><Relationship Id="rId5422" Type="http://schemas.openxmlformats.org/officeDocument/2006/relationships/hyperlink" Target="https://angel.co/company/investor-management-services-1" TargetMode="External"/><Relationship Id="rId232" Type="http://schemas.openxmlformats.org/officeDocument/2006/relationships/hyperlink" Target="https://angel.co/company/kinsured" TargetMode="External"/><Relationship Id="rId5423" Type="http://schemas.openxmlformats.org/officeDocument/2006/relationships/hyperlink" Target="https://www.crunchbase.com/organization/investor-management-services" TargetMode="External"/><Relationship Id="rId206" Type="http://schemas.openxmlformats.org/officeDocument/2006/relationships/hyperlink" Target="https://prescientco.com/" TargetMode="External"/><Relationship Id="rId205" Type="http://schemas.openxmlformats.org/officeDocument/2006/relationships/hyperlink" Target="https://www.crunchbase.com/organization/prescient" TargetMode="External"/><Relationship Id="rId204" Type="http://schemas.openxmlformats.org/officeDocument/2006/relationships/hyperlink" Target="https://www.crunchbase.com/funding_round/nobroker-debt-financing--e68884a8" TargetMode="External"/><Relationship Id="rId203" Type="http://schemas.openxmlformats.org/officeDocument/2006/relationships/hyperlink" Target="https://www.crunchbase.com/funding_round/nobroker-series-e--c80320d0" TargetMode="External"/><Relationship Id="rId209" Type="http://schemas.openxmlformats.org/officeDocument/2006/relationships/hyperlink" Target="https://www.crunchbase.com/organization/flexe" TargetMode="External"/><Relationship Id="rId208" Type="http://schemas.openxmlformats.org/officeDocument/2006/relationships/hyperlink" Target="https://angel.co/company/flexe" TargetMode="External"/><Relationship Id="rId207" Type="http://schemas.openxmlformats.org/officeDocument/2006/relationships/hyperlink" Target="https://www.crunchbase.com/funding_round/prescient-private-equity--0d37ef09" TargetMode="External"/><Relationship Id="rId202" Type="http://schemas.openxmlformats.org/officeDocument/2006/relationships/hyperlink" Target="https://www.crunchbase.com/funding_round/nobroker-series-d--2bc1dc9f" TargetMode="External"/><Relationship Id="rId201" Type="http://schemas.openxmlformats.org/officeDocument/2006/relationships/hyperlink" Target="https://www.crunchbase.com/funding_round/nobroker-series-unknown--118fc354" TargetMode="External"/><Relationship Id="rId200" Type="http://schemas.openxmlformats.org/officeDocument/2006/relationships/hyperlink" Target="https://www.crunchbase.com/funding_round/nobroker-series-b--f4245975" TargetMode="External"/><Relationship Id="rId5490" Type="http://schemas.openxmlformats.org/officeDocument/2006/relationships/hyperlink" Target="https://angel.co/company/leadkit-1" TargetMode="External"/><Relationship Id="rId4161" Type="http://schemas.openxmlformats.org/officeDocument/2006/relationships/hyperlink" Target="https://www.crunchbase.com/organization/place-technology" TargetMode="External"/><Relationship Id="rId5493" Type="http://schemas.openxmlformats.org/officeDocument/2006/relationships/hyperlink" Target="https://angel.co/company/leasecalcs-inc" TargetMode="External"/><Relationship Id="rId4160" Type="http://schemas.openxmlformats.org/officeDocument/2006/relationships/hyperlink" Target="https://angel.co/company/place-technology" TargetMode="External"/><Relationship Id="rId5494" Type="http://schemas.openxmlformats.org/officeDocument/2006/relationships/hyperlink" Target="https://www.crunchbase.com/organization/leasecalcs" TargetMode="External"/><Relationship Id="rId4163" Type="http://schemas.openxmlformats.org/officeDocument/2006/relationships/hyperlink" Target="https://www.crunchbase.com/funding_round/place-technology-seed--f217bbc5" TargetMode="External"/><Relationship Id="rId5491" Type="http://schemas.openxmlformats.org/officeDocument/2006/relationships/hyperlink" Target="https://www.crunchbase.com/organization/leadkit" TargetMode="External"/><Relationship Id="rId4162" Type="http://schemas.openxmlformats.org/officeDocument/2006/relationships/hyperlink" Target="https://www.placetechnology.com/" TargetMode="External"/><Relationship Id="rId5492" Type="http://schemas.openxmlformats.org/officeDocument/2006/relationships/hyperlink" Target="http://www.getleadkit.com" TargetMode="External"/><Relationship Id="rId4165" Type="http://schemas.openxmlformats.org/officeDocument/2006/relationships/hyperlink" Target="https://www.crunchbase.com/organization/spacebase" TargetMode="External"/><Relationship Id="rId5497" Type="http://schemas.openxmlformats.org/officeDocument/2006/relationships/hyperlink" Target="https://leaseeagle.com/" TargetMode="External"/><Relationship Id="rId4164" Type="http://schemas.openxmlformats.org/officeDocument/2006/relationships/hyperlink" Target="https://angel.co/company/spacebase-1" TargetMode="External"/><Relationship Id="rId5498" Type="http://schemas.openxmlformats.org/officeDocument/2006/relationships/hyperlink" Target="https://angel.co/company/leasera-1" TargetMode="External"/><Relationship Id="rId4167" Type="http://schemas.openxmlformats.org/officeDocument/2006/relationships/hyperlink" Target="https://www.crunchbase.com/funding_round/spacebase-seed--627764fb" TargetMode="External"/><Relationship Id="rId5495" Type="http://schemas.openxmlformats.org/officeDocument/2006/relationships/hyperlink" Target="http://www.leasecalcs.com" TargetMode="External"/><Relationship Id="rId4166" Type="http://schemas.openxmlformats.org/officeDocument/2006/relationships/hyperlink" Target="https://www.crunchbase.com/organization/spacebase" TargetMode="External"/><Relationship Id="rId5496" Type="http://schemas.openxmlformats.org/officeDocument/2006/relationships/hyperlink" Target="https://www.crunchbase.com/organization/leaseeagle" TargetMode="External"/><Relationship Id="rId4169" Type="http://schemas.openxmlformats.org/officeDocument/2006/relationships/hyperlink" Target="https://www.bidmii.com/" TargetMode="External"/><Relationship Id="rId4168" Type="http://schemas.openxmlformats.org/officeDocument/2006/relationships/hyperlink" Target="https://www.crunchbase.com/organization/bidmii" TargetMode="External"/><Relationship Id="rId5499" Type="http://schemas.openxmlformats.org/officeDocument/2006/relationships/hyperlink" Target="https://www.crunchbase.com/organization/leasera" TargetMode="External"/><Relationship Id="rId4150" Type="http://schemas.openxmlformats.org/officeDocument/2006/relationships/hyperlink" Target="https://megalytics.net/" TargetMode="External"/><Relationship Id="rId5482" Type="http://schemas.openxmlformats.org/officeDocument/2006/relationships/hyperlink" Target="http://kwant.ai" TargetMode="External"/><Relationship Id="rId5483" Type="http://schemas.openxmlformats.org/officeDocument/2006/relationships/hyperlink" Target="http://landchecks.com/" TargetMode="External"/><Relationship Id="rId4152" Type="http://schemas.openxmlformats.org/officeDocument/2006/relationships/hyperlink" Target="https://angel.co/company/oppsites-" TargetMode="External"/><Relationship Id="rId5480" Type="http://schemas.openxmlformats.org/officeDocument/2006/relationships/hyperlink" Target="https://angel.co/company/ontarget-technologies" TargetMode="External"/><Relationship Id="rId4151" Type="http://schemas.openxmlformats.org/officeDocument/2006/relationships/hyperlink" Target="https://www.crunchbase.com/funding_round/megalytics-seed--f6e544a6" TargetMode="External"/><Relationship Id="rId5481" Type="http://schemas.openxmlformats.org/officeDocument/2006/relationships/hyperlink" Target="https://www.crunchbase.com/organization/ontarget-technologies" TargetMode="External"/><Relationship Id="rId4154" Type="http://schemas.openxmlformats.org/officeDocument/2006/relationships/hyperlink" Target="https://oppsites.com/" TargetMode="External"/><Relationship Id="rId5486" Type="http://schemas.openxmlformats.org/officeDocument/2006/relationships/hyperlink" Target="https://landlordy.com/" TargetMode="External"/><Relationship Id="rId4153" Type="http://schemas.openxmlformats.org/officeDocument/2006/relationships/hyperlink" Target="https://www.crunchbase.com/organization/oppsites" TargetMode="External"/><Relationship Id="rId5487" Type="http://schemas.openxmlformats.org/officeDocument/2006/relationships/hyperlink" Target="https://angel.co/company/larki" TargetMode="External"/><Relationship Id="rId4156" Type="http://schemas.openxmlformats.org/officeDocument/2006/relationships/hyperlink" Target="https://angel.co/company/sharedesk" TargetMode="External"/><Relationship Id="rId5484" Type="http://schemas.openxmlformats.org/officeDocument/2006/relationships/hyperlink" Target="https://angel.co/company/landlordy" TargetMode="External"/><Relationship Id="rId4155" Type="http://schemas.openxmlformats.org/officeDocument/2006/relationships/hyperlink" Target="https://www.crunchbase.com/funding_round/oppsites-seed--7e4f8b98" TargetMode="External"/><Relationship Id="rId5485" Type="http://schemas.openxmlformats.org/officeDocument/2006/relationships/hyperlink" Target="https://www.crunchbase.com/organization/landlordy" TargetMode="External"/><Relationship Id="rId4158" Type="http://schemas.openxmlformats.org/officeDocument/2006/relationships/hyperlink" Target="https://www.optixapp.com/" TargetMode="External"/><Relationship Id="rId4157" Type="http://schemas.openxmlformats.org/officeDocument/2006/relationships/hyperlink" Target="https://www.crunchbase.com/organization/shareddesks" TargetMode="External"/><Relationship Id="rId5488" Type="http://schemas.openxmlformats.org/officeDocument/2006/relationships/hyperlink" Target="https://www.crunchbase.com/organization/larki" TargetMode="External"/><Relationship Id="rId4159" Type="http://schemas.openxmlformats.org/officeDocument/2006/relationships/hyperlink" Target="https://www.crunchbase.com/funding_round/shareddesks-seed--5c34ebf7" TargetMode="External"/><Relationship Id="rId5489" Type="http://schemas.openxmlformats.org/officeDocument/2006/relationships/hyperlink" Target="https://larki.com.au/" TargetMode="External"/><Relationship Id="rId1910" Type="http://schemas.openxmlformats.org/officeDocument/2006/relationships/hyperlink" Target="https://latchel.com/" TargetMode="External"/><Relationship Id="rId1911" Type="http://schemas.openxmlformats.org/officeDocument/2006/relationships/hyperlink" Target="https://www.crunchbase.com/funding_round/latchel-pre-seed--47dbafd5" TargetMode="External"/><Relationship Id="rId1912" Type="http://schemas.openxmlformats.org/officeDocument/2006/relationships/hyperlink" Target="https://www.crunchbase.com/funding_round/latchel-seed--dddc03ce" TargetMode="External"/><Relationship Id="rId1913" Type="http://schemas.openxmlformats.org/officeDocument/2006/relationships/hyperlink" Target="https://www.crunchbase.com/funding_round/latchel-series-a--c49ade7d" TargetMode="External"/><Relationship Id="rId1914" Type="http://schemas.openxmlformats.org/officeDocument/2006/relationships/hyperlink" Target="https://www.crunchbase.com/funding_round/latchel-series-unknown--f756c0d6" TargetMode="External"/><Relationship Id="rId1915" Type="http://schemas.openxmlformats.org/officeDocument/2006/relationships/hyperlink" Target="https://www.crunchbase.com/organization/yotta-solar" TargetMode="External"/><Relationship Id="rId1916" Type="http://schemas.openxmlformats.org/officeDocument/2006/relationships/hyperlink" Target="https://www.yottaenergy.com/" TargetMode="External"/><Relationship Id="rId1917" Type="http://schemas.openxmlformats.org/officeDocument/2006/relationships/hyperlink" Target="https://angel.co/company/canopy-42" TargetMode="External"/><Relationship Id="rId1918" Type="http://schemas.openxmlformats.org/officeDocument/2006/relationships/hyperlink" Target="https://www.crunchbase.com/organization/canopy-cloud" TargetMode="External"/><Relationship Id="rId1919" Type="http://schemas.openxmlformats.org/officeDocument/2006/relationships/hyperlink" Target="http://www.canopy.cloud/" TargetMode="External"/><Relationship Id="rId4181" Type="http://schemas.openxmlformats.org/officeDocument/2006/relationships/hyperlink" Target="https://www.crunchbase.com/organization/ootbox" TargetMode="External"/><Relationship Id="rId4180" Type="http://schemas.openxmlformats.org/officeDocument/2006/relationships/hyperlink" Target="https://routekonnect.com/" TargetMode="External"/><Relationship Id="rId4183" Type="http://schemas.openxmlformats.org/officeDocument/2006/relationships/hyperlink" Target="https://www.crunchbase.com/funding_round/ootbox-seed--39bb2878" TargetMode="External"/><Relationship Id="rId4182" Type="http://schemas.openxmlformats.org/officeDocument/2006/relationships/hyperlink" Target="https://www.getootbox.com/" TargetMode="External"/><Relationship Id="rId4185" Type="http://schemas.openxmlformats.org/officeDocument/2006/relationships/hyperlink" Target="https://www.crunchbase.com/organization/local-logic" TargetMode="External"/><Relationship Id="rId4184" Type="http://schemas.openxmlformats.org/officeDocument/2006/relationships/hyperlink" Target="https://angel.co/company/locallogic" TargetMode="External"/><Relationship Id="rId4187" Type="http://schemas.openxmlformats.org/officeDocument/2006/relationships/hyperlink" Target="https://angel.co/motili" TargetMode="External"/><Relationship Id="rId4186" Type="http://schemas.openxmlformats.org/officeDocument/2006/relationships/hyperlink" Target="https://www.locallogic.co/" TargetMode="External"/><Relationship Id="rId4189" Type="http://schemas.openxmlformats.org/officeDocument/2006/relationships/hyperlink" Target="http://motili.com/" TargetMode="External"/><Relationship Id="rId4188" Type="http://schemas.openxmlformats.org/officeDocument/2006/relationships/hyperlink" Target="https://www.crunchbase.com/organization/motili" TargetMode="External"/><Relationship Id="rId1900" Type="http://schemas.openxmlformats.org/officeDocument/2006/relationships/hyperlink" Target="https://www.crunchbase.com/funding_round/building-robotics-seed--b45d1e0e" TargetMode="External"/><Relationship Id="rId1901" Type="http://schemas.openxmlformats.org/officeDocument/2006/relationships/hyperlink" Target="https://www.crunchbase.com/funding_round/building-robotics-series-a--feffac14" TargetMode="External"/><Relationship Id="rId1902" Type="http://schemas.openxmlformats.org/officeDocument/2006/relationships/hyperlink" Target="https://www.crunchbase.com/funding_round/building-robotics-series-b--ffe3f775" TargetMode="External"/><Relationship Id="rId1903" Type="http://schemas.openxmlformats.org/officeDocument/2006/relationships/hyperlink" Target="https://www.crunchbase.com/organization/building-robotics" TargetMode="External"/><Relationship Id="rId1904" Type="http://schemas.openxmlformats.org/officeDocument/2006/relationships/hyperlink" Target="https://www.crunchbase.com/organization/yardlynk" TargetMode="External"/><Relationship Id="rId1905" Type="http://schemas.openxmlformats.org/officeDocument/2006/relationships/hyperlink" Target="https://yardlink.com/" TargetMode="External"/><Relationship Id="rId1906" Type="http://schemas.openxmlformats.org/officeDocument/2006/relationships/hyperlink" Target="https://www.crunchbase.com/funding_round/yardlynk-seed--c502ddae" TargetMode="External"/><Relationship Id="rId1907" Type="http://schemas.openxmlformats.org/officeDocument/2006/relationships/hyperlink" Target="https://www.crunchbase.com/funding_round/yardlynk-series-a--61f7c28f" TargetMode="External"/><Relationship Id="rId1908" Type="http://schemas.openxmlformats.org/officeDocument/2006/relationships/hyperlink" Target="https://angel.co/company/latchel" TargetMode="External"/><Relationship Id="rId1909" Type="http://schemas.openxmlformats.org/officeDocument/2006/relationships/hyperlink" Target="https://www.crunchbase.com/organization/latchel" TargetMode="External"/><Relationship Id="rId4170" Type="http://schemas.openxmlformats.org/officeDocument/2006/relationships/hyperlink" Target="https://angel.co/company/trove" TargetMode="External"/><Relationship Id="rId4172" Type="http://schemas.openxmlformats.org/officeDocument/2006/relationships/hyperlink" Target="https://www.discovertrove.com/" TargetMode="External"/><Relationship Id="rId4171" Type="http://schemas.openxmlformats.org/officeDocument/2006/relationships/hyperlink" Target="https://www.crunchbase.com/organization/trove-2" TargetMode="External"/><Relationship Id="rId4174" Type="http://schemas.openxmlformats.org/officeDocument/2006/relationships/hyperlink" Target="https://www.crunchbase.com/organization/vector-homes" TargetMode="External"/><Relationship Id="rId4173" Type="http://schemas.openxmlformats.org/officeDocument/2006/relationships/hyperlink" Target="https://www.crunchbase.com/funding_round/trove-2-seed--033775b6" TargetMode="External"/><Relationship Id="rId4176" Type="http://schemas.openxmlformats.org/officeDocument/2006/relationships/hyperlink" Target="https://www.crunchbase.com/funding_round/vector-homes-pre-seed--0e040fd6" TargetMode="External"/><Relationship Id="rId4175" Type="http://schemas.openxmlformats.org/officeDocument/2006/relationships/hyperlink" Target="https://www.vectorhomes.co.uk/" TargetMode="External"/><Relationship Id="rId4178" Type="http://schemas.openxmlformats.org/officeDocument/2006/relationships/hyperlink" Target="https://www.crunchbase.com/funding_round/vector-homes-grant--621041b2" TargetMode="External"/><Relationship Id="rId4177" Type="http://schemas.openxmlformats.org/officeDocument/2006/relationships/hyperlink" Target="https://www.crunchbase.com/funding_round/vector-homes-seed--21c02b5b" TargetMode="External"/><Relationship Id="rId4179" Type="http://schemas.openxmlformats.org/officeDocument/2006/relationships/hyperlink" Target="https://www.crunchbase.com/organization/route-konnect" TargetMode="External"/><Relationship Id="rId4129" Type="http://schemas.openxmlformats.org/officeDocument/2006/relationships/hyperlink" Target="https://www.crunchbase.com/funding_round/green-badger-seed--2b174b13" TargetMode="External"/><Relationship Id="rId4128" Type="http://schemas.openxmlformats.org/officeDocument/2006/relationships/hyperlink" Target="https://getgreenbadger.com/" TargetMode="External"/><Relationship Id="rId5459" Type="http://schemas.openxmlformats.org/officeDocument/2006/relationships/hyperlink" Target="https://www.crunchbase.com/organization/kebony" TargetMode="External"/><Relationship Id="rId5450" Type="http://schemas.openxmlformats.org/officeDocument/2006/relationships/hyperlink" Target="https://www.us.jll.com/" TargetMode="External"/><Relationship Id="rId4121" Type="http://schemas.openxmlformats.org/officeDocument/2006/relationships/hyperlink" Target="https://www.crunchbase.com/funding_round/zityhub-private-equity--76116a49" TargetMode="External"/><Relationship Id="rId5453" Type="http://schemas.openxmlformats.org/officeDocument/2006/relationships/hyperlink" Target="https://www.crunchbase.com/organization/join-d22f" TargetMode="External"/><Relationship Id="rId4120" Type="http://schemas.openxmlformats.org/officeDocument/2006/relationships/hyperlink" Target="https://zityhub.com/" TargetMode="External"/><Relationship Id="rId5454" Type="http://schemas.openxmlformats.org/officeDocument/2006/relationships/hyperlink" Target="https://joinpdx.org/" TargetMode="External"/><Relationship Id="rId4123" Type="http://schemas.openxmlformats.org/officeDocument/2006/relationships/hyperlink" Target="https://www.crunchbase.com/organization/realync" TargetMode="External"/><Relationship Id="rId5451" Type="http://schemas.openxmlformats.org/officeDocument/2006/relationships/hyperlink" Target="https://angel.co/company/jocial-1" TargetMode="External"/><Relationship Id="rId4122" Type="http://schemas.openxmlformats.org/officeDocument/2006/relationships/hyperlink" Target="https://angel.co/company/realync" TargetMode="External"/><Relationship Id="rId5452" Type="http://schemas.openxmlformats.org/officeDocument/2006/relationships/hyperlink" Target="https://www.jocial.com/" TargetMode="External"/><Relationship Id="rId4125" Type="http://schemas.openxmlformats.org/officeDocument/2006/relationships/hyperlink" Target="https://www.crunchbase.com/funding_round/realync-seed--79a25278" TargetMode="External"/><Relationship Id="rId5457" Type="http://schemas.openxmlformats.org/officeDocument/2006/relationships/hyperlink" Target="http://kawsay.io" TargetMode="External"/><Relationship Id="rId4124" Type="http://schemas.openxmlformats.org/officeDocument/2006/relationships/hyperlink" Target="https://www.realync.com/" TargetMode="External"/><Relationship Id="rId5458" Type="http://schemas.openxmlformats.org/officeDocument/2006/relationships/hyperlink" Target="https://angel.co/company/kebony" TargetMode="External"/><Relationship Id="rId4127" Type="http://schemas.openxmlformats.org/officeDocument/2006/relationships/hyperlink" Target="https://www.crunchbase.com/organization/green-badger" TargetMode="External"/><Relationship Id="rId5455" Type="http://schemas.openxmlformats.org/officeDocument/2006/relationships/hyperlink" Target="https://www.crunchbase.com/organization/kahua" TargetMode="External"/><Relationship Id="rId4126" Type="http://schemas.openxmlformats.org/officeDocument/2006/relationships/hyperlink" Target="https://angel.co/company/green-badger-1" TargetMode="External"/><Relationship Id="rId5456" Type="http://schemas.openxmlformats.org/officeDocument/2006/relationships/hyperlink" Target="https://www.kahua.com/" TargetMode="External"/><Relationship Id="rId4118" Type="http://schemas.openxmlformats.org/officeDocument/2006/relationships/hyperlink" Target="https://www.crunchbase.com/funding_round/fabrica-ai-seed--c16e1d5a" TargetMode="External"/><Relationship Id="rId4117" Type="http://schemas.openxmlformats.org/officeDocument/2006/relationships/hyperlink" Target="https://www.crunchbase.com/funding_round/fabrica-ai-pre-seed--6554fe7c" TargetMode="External"/><Relationship Id="rId5448" Type="http://schemas.openxmlformats.org/officeDocument/2006/relationships/hyperlink" Target="http://www.jobnimbus.com/" TargetMode="External"/><Relationship Id="rId4119" Type="http://schemas.openxmlformats.org/officeDocument/2006/relationships/hyperlink" Target="https://www.crunchbase.com/organization/zityhub" TargetMode="External"/><Relationship Id="rId5449" Type="http://schemas.openxmlformats.org/officeDocument/2006/relationships/hyperlink" Target="https://www.crunchbase.com/organization/jll-spark" TargetMode="External"/><Relationship Id="rId4110" Type="http://schemas.openxmlformats.org/officeDocument/2006/relationships/hyperlink" Target="https://pros.casa/" TargetMode="External"/><Relationship Id="rId5442" Type="http://schemas.openxmlformats.org/officeDocument/2006/relationships/hyperlink" Target="https://www.jagaha.com/" TargetMode="External"/><Relationship Id="rId5443" Type="http://schemas.openxmlformats.org/officeDocument/2006/relationships/hyperlink" Target="https://angel.co/u/jas-business-system" TargetMode="External"/><Relationship Id="rId4112" Type="http://schemas.openxmlformats.org/officeDocument/2006/relationships/hyperlink" Target="https://www.s2amodular.com/" TargetMode="External"/><Relationship Id="rId5440" Type="http://schemas.openxmlformats.org/officeDocument/2006/relationships/hyperlink" Target="https://angel.co/company/jagaha" TargetMode="External"/><Relationship Id="rId4111" Type="http://schemas.openxmlformats.org/officeDocument/2006/relationships/hyperlink" Target="https://www.crunchbase.com/organization/s2a-modular" TargetMode="External"/><Relationship Id="rId5441" Type="http://schemas.openxmlformats.org/officeDocument/2006/relationships/hyperlink" Target="https://www.crunchbase.com/organization/jagaha" TargetMode="External"/><Relationship Id="rId4114" Type="http://schemas.openxmlformats.org/officeDocument/2006/relationships/hyperlink" Target="http://fabrica.ai" TargetMode="External"/><Relationship Id="rId5446" Type="http://schemas.openxmlformats.org/officeDocument/2006/relationships/hyperlink" Target="https://www.jellyswitch.com/" TargetMode="External"/><Relationship Id="rId4113" Type="http://schemas.openxmlformats.org/officeDocument/2006/relationships/hyperlink" Target="https://www.crunchbase.com/funding_round/s2a-modular-seed--1628c2b2" TargetMode="External"/><Relationship Id="rId5447" Type="http://schemas.openxmlformats.org/officeDocument/2006/relationships/hyperlink" Target="https://www.crunchbase.com/organization/jobnimbus" TargetMode="External"/><Relationship Id="rId4116" Type="http://schemas.openxmlformats.org/officeDocument/2006/relationships/hyperlink" Target="https://www.fabrica.ai/" TargetMode="External"/><Relationship Id="rId5444" Type="http://schemas.openxmlformats.org/officeDocument/2006/relationships/hyperlink" Target="http://www.jasbusinesssystems.com/" TargetMode="External"/><Relationship Id="rId4115" Type="http://schemas.openxmlformats.org/officeDocument/2006/relationships/hyperlink" Target="https://www.crunchbase.com/organization/fabrica-ai" TargetMode="External"/><Relationship Id="rId5445" Type="http://schemas.openxmlformats.org/officeDocument/2006/relationships/hyperlink" Target="https://angel.co/company/jellyswitch" TargetMode="External"/><Relationship Id="rId5471" Type="http://schemas.openxmlformats.org/officeDocument/2006/relationships/hyperlink" Target="https://angel.co/kodaro/" TargetMode="External"/><Relationship Id="rId5472" Type="http://schemas.openxmlformats.org/officeDocument/2006/relationships/hyperlink" Target="https://www.crunchbase.com/organization/kodaro" TargetMode="External"/><Relationship Id="rId4141" Type="http://schemas.openxmlformats.org/officeDocument/2006/relationships/hyperlink" Target="https://www.crunchbase.com/organization/akia" TargetMode="External"/><Relationship Id="rId4140" Type="http://schemas.openxmlformats.org/officeDocument/2006/relationships/hyperlink" Target="https://angel.co/company/akiaai" TargetMode="External"/><Relationship Id="rId5470" Type="http://schemas.openxmlformats.org/officeDocument/2006/relationships/hyperlink" Target="https://www.knogeo.com/" TargetMode="External"/><Relationship Id="rId4143" Type="http://schemas.openxmlformats.org/officeDocument/2006/relationships/hyperlink" Target="https://angel.co/company/cityvest" TargetMode="External"/><Relationship Id="rId5475" Type="http://schemas.openxmlformats.org/officeDocument/2006/relationships/hyperlink" Target="https://www.crunchbase.com/organization/kognition" TargetMode="External"/><Relationship Id="rId4142" Type="http://schemas.openxmlformats.org/officeDocument/2006/relationships/hyperlink" Target="https://akia.ai" TargetMode="External"/><Relationship Id="rId5476" Type="http://schemas.openxmlformats.org/officeDocument/2006/relationships/hyperlink" Target="http://www.kognition.ai/" TargetMode="External"/><Relationship Id="rId4145" Type="http://schemas.openxmlformats.org/officeDocument/2006/relationships/hyperlink" Target="https://www.cityvest.com/home.html" TargetMode="External"/><Relationship Id="rId5473" Type="http://schemas.openxmlformats.org/officeDocument/2006/relationships/hyperlink" Target="http://www.kodaro.com/" TargetMode="External"/><Relationship Id="rId4144" Type="http://schemas.openxmlformats.org/officeDocument/2006/relationships/hyperlink" Target="https://www.crunchbase.com/organization/citivest-com" TargetMode="External"/><Relationship Id="rId5474" Type="http://schemas.openxmlformats.org/officeDocument/2006/relationships/hyperlink" Target="https://angel.co/kognition" TargetMode="External"/><Relationship Id="rId4147" Type="http://schemas.openxmlformats.org/officeDocument/2006/relationships/hyperlink" Target="https://angel.co/blog" TargetMode="External"/><Relationship Id="rId5479" Type="http://schemas.openxmlformats.org/officeDocument/2006/relationships/hyperlink" Target="https://www.kqsensors.com/" TargetMode="External"/><Relationship Id="rId4146" Type="http://schemas.openxmlformats.org/officeDocument/2006/relationships/hyperlink" Target="https://www.crunchbase.com/funding_round/citivest-com-seed--409a6f78" TargetMode="External"/><Relationship Id="rId4149" Type="http://schemas.openxmlformats.org/officeDocument/2006/relationships/hyperlink" Target="https://www.crunchbase.com/organization/megalytics" TargetMode="External"/><Relationship Id="rId5477" Type="http://schemas.openxmlformats.org/officeDocument/2006/relationships/hyperlink" Target="https://www.crunchbase.com/organization/komfort-iq" TargetMode="External"/><Relationship Id="rId4148" Type="http://schemas.openxmlformats.org/officeDocument/2006/relationships/hyperlink" Target="https://www.crunchbase.com/organization/gyana" TargetMode="External"/><Relationship Id="rId5478" Type="http://schemas.openxmlformats.org/officeDocument/2006/relationships/hyperlink" Target="https://komfortiq.com" TargetMode="External"/><Relationship Id="rId4139" Type="http://schemas.openxmlformats.org/officeDocument/2006/relationships/hyperlink" Target="http://domuso.com/" TargetMode="External"/><Relationship Id="rId5460" Type="http://schemas.openxmlformats.org/officeDocument/2006/relationships/hyperlink" Target="https://us.kebony.com/" TargetMode="External"/><Relationship Id="rId5461" Type="http://schemas.openxmlformats.org/officeDocument/2006/relationships/hyperlink" Target="https://angel.co/company/keepe" TargetMode="External"/><Relationship Id="rId4130" Type="http://schemas.openxmlformats.org/officeDocument/2006/relationships/hyperlink" Target="https://wellfound.com/company/homesfy" TargetMode="External"/><Relationship Id="rId4132" Type="http://schemas.openxmlformats.org/officeDocument/2006/relationships/hyperlink" Target="http://www.homesfy.in/" TargetMode="External"/><Relationship Id="rId5464" Type="http://schemas.openxmlformats.org/officeDocument/2006/relationships/hyperlink" Target="https://angel.co/company/kitt" TargetMode="External"/><Relationship Id="rId4131" Type="http://schemas.openxmlformats.org/officeDocument/2006/relationships/hyperlink" Target="https://www.crunchbase.com/organization/homesfy" TargetMode="External"/><Relationship Id="rId5465" Type="http://schemas.openxmlformats.org/officeDocument/2006/relationships/hyperlink" Target="https://www.crunchbase.com/organization/kitt" TargetMode="External"/><Relationship Id="rId4134" Type="http://schemas.openxmlformats.org/officeDocument/2006/relationships/hyperlink" Target="https://angel.co/company/courbanize" TargetMode="External"/><Relationship Id="rId5462" Type="http://schemas.openxmlformats.org/officeDocument/2006/relationships/hyperlink" Target="https://www.crunchbase.com/organization/keepe" TargetMode="External"/><Relationship Id="rId4133" Type="http://schemas.openxmlformats.org/officeDocument/2006/relationships/hyperlink" Target="https://www.crunchbase.com/funding_round/homesfy-series-unknown--10c3370d" TargetMode="External"/><Relationship Id="rId5463" Type="http://schemas.openxmlformats.org/officeDocument/2006/relationships/hyperlink" Target="https://www.keepe.com/" TargetMode="External"/><Relationship Id="rId4136" Type="http://schemas.openxmlformats.org/officeDocument/2006/relationships/hyperlink" Target="https://www.courbanize.com/" TargetMode="External"/><Relationship Id="rId5468" Type="http://schemas.openxmlformats.org/officeDocument/2006/relationships/hyperlink" Target="https://angel.co/company/knogeo" TargetMode="External"/><Relationship Id="rId4135" Type="http://schemas.openxmlformats.org/officeDocument/2006/relationships/hyperlink" Target="https://www.crunchbase.com/organization/courbanize" TargetMode="External"/><Relationship Id="rId5469" Type="http://schemas.openxmlformats.org/officeDocument/2006/relationships/hyperlink" Target="https://www.crunchbase.com/organization/knogeo" TargetMode="External"/><Relationship Id="rId4138" Type="http://schemas.openxmlformats.org/officeDocument/2006/relationships/hyperlink" Target="https://www.crunchbase.com/organization/domuso-inc" TargetMode="External"/><Relationship Id="rId5466" Type="http://schemas.openxmlformats.org/officeDocument/2006/relationships/hyperlink" Target="https://kitt.co.nz/" TargetMode="External"/><Relationship Id="rId4137" Type="http://schemas.openxmlformats.org/officeDocument/2006/relationships/hyperlink" Target="https://angel.co/domuso" TargetMode="External"/><Relationship Id="rId5467" Type="http://schemas.openxmlformats.org/officeDocument/2006/relationships/hyperlink" Target="https://www.crunchbase.com/funding_round/kitt-pre-seed--453a04da" TargetMode="External"/><Relationship Id="rId1972" Type="http://schemas.openxmlformats.org/officeDocument/2006/relationships/hyperlink" Target="https://www.crunchbase.com/organization/atmos-506c" TargetMode="External"/><Relationship Id="rId1973" Type="http://schemas.openxmlformats.org/officeDocument/2006/relationships/hyperlink" Target="https://www.buildatmos.com/" TargetMode="External"/><Relationship Id="rId1974" Type="http://schemas.openxmlformats.org/officeDocument/2006/relationships/hyperlink" Target="https://www.crunchbase.com/funding_round/atmos-506c-seed--09ef3d93" TargetMode="External"/><Relationship Id="rId1975" Type="http://schemas.openxmlformats.org/officeDocument/2006/relationships/hyperlink" Target="https://www.crunchbase.com/funding_round/atmos-506c-series-a--3aa2b25f" TargetMode="External"/><Relationship Id="rId1976" Type="http://schemas.openxmlformats.org/officeDocument/2006/relationships/hyperlink" Target="https://www.crunchbase.com/organization/cottage" TargetMode="External"/><Relationship Id="rId1977" Type="http://schemas.openxmlformats.org/officeDocument/2006/relationships/hyperlink" Target="https://www.cotta.ge/" TargetMode="External"/><Relationship Id="rId1978" Type="http://schemas.openxmlformats.org/officeDocument/2006/relationships/hyperlink" Target="https://angel.co/company/fora-travel" TargetMode="External"/><Relationship Id="rId1979" Type="http://schemas.openxmlformats.org/officeDocument/2006/relationships/hyperlink" Target="https://www.crunchbase.com/organization/fora-9ac3" TargetMode="External"/><Relationship Id="rId1970" Type="http://schemas.openxmlformats.org/officeDocument/2006/relationships/hyperlink" Target="http://www.navigatorcre.com/" TargetMode="External"/><Relationship Id="rId1971" Type="http://schemas.openxmlformats.org/officeDocument/2006/relationships/hyperlink" Target="https://angel.co/company/atmosxr" TargetMode="External"/><Relationship Id="rId1961" Type="http://schemas.openxmlformats.org/officeDocument/2006/relationships/hyperlink" Target="https://www.crunchbase.com/funding_round/roofit-solar-series-unknown--ff517a0b" TargetMode="External"/><Relationship Id="rId1962" Type="http://schemas.openxmlformats.org/officeDocument/2006/relationships/hyperlink" Target="https://angel.co/company/liquidspace" TargetMode="External"/><Relationship Id="rId1963" Type="http://schemas.openxmlformats.org/officeDocument/2006/relationships/hyperlink" Target="https://www.crunchbase.com/organization/liquidspace" TargetMode="External"/><Relationship Id="rId1964" Type="http://schemas.openxmlformats.org/officeDocument/2006/relationships/hyperlink" Target="https://liquidspace.com/" TargetMode="External"/><Relationship Id="rId1965" Type="http://schemas.openxmlformats.org/officeDocument/2006/relationships/hyperlink" Target="https://www.crunchbase.com/funding_round/liquidspace-seed--be7b5f81" TargetMode="External"/><Relationship Id="rId1966" Type="http://schemas.openxmlformats.org/officeDocument/2006/relationships/hyperlink" Target="https://www.crunchbase.com/funding_round/liquidspace-series-a--34e2bc65" TargetMode="External"/><Relationship Id="rId1967" Type="http://schemas.openxmlformats.org/officeDocument/2006/relationships/hyperlink" Target="https://www.crunchbase.com/funding_round/liquidspace-series-b--b2a4784d" TargetMode="External"/><Relationship Id="rId1968" Type="http://schemas.openxmlformats.org/officeDocument/2006/relationships/hyperlink" Target="https://www.crunchbase.com/funding_round/liquidspace-series-c--57976dcd" TargetMode="External"/><Relationship Id="rId1969" Type="http://schemas.openxmlformats.org/officeDocument/2006/relationships/hyperlink" Target="https://www.crunchbase.com/organization/navigator-cre" TargetMode="External"/><Relationship Id="rId1960" Type="http://schemas.openxmlformats.org/officeDocument/2006/relationships/hyperlink" Target="https://www.crunchbase.com/funding_round/roofit-solar-series-b--3faae648" TargetMode="External"/><Relationship Id="rId1994" Type="http://schemas.openxmlformats.org/officeDocument/2006/relationships/hyperlink" Target="https://angel.co/company/actioniq" TargetMode="External"/><Relationship Id="rId1995" Type="http://schemas.openxmlformats.org/officeDocument/2006/relationships/hyperlink" Target="https://www.crunchbase.com/organization/actioniq" TargetMode="External"/><Relationship Id="rId1996" Type="http://schemas.openxmlformats.org/officeDocument/2006/relationships/hyperlink" Target="https://www.actioniq.com/" TargetMode="External"/><Relationship Id="rId1997" Type="http://schemas.openxmlformats.org/officeDocument/2006/relationships/hyperlink" Target="https://www.crunchbase.com/organization/actioniq/company_financials" TargetMode="External"/><Relationship Id="rId1998" Type="http://schemas.openxmlformats.org/officeDocument/2006/relationships/hyperlink" Target="https://www.crunchbase.com/funding_round/actioniq-series-a--3c52177f" TargetMode="External"/><Relationship Id="rId1999" Type="http://schemas.openxmlformats.org/officeDocument/2006/relationships/hyperlink" Target="https://angel.co/company/avenue-8-2" TargetMode="External"/><Relationship Id="rId1990" Type="http://schemas.openxmlformats.org/officeDocument/2006/relationships/hyperlink" Target="https://angel.co/propy-2" TargetMode="External"/><Relationship Id="rId1991" Type="http://schemas.openxmlformats.org/officeDocument/2006/relationships/hyperlink" Target="https://www.crunchbase.com/organization/propy" TargetMode="External"/><Relationship Id="rId1992" Type="http://schemas.openxmlformats.org/officeDocument/2006/relationships/hyperlink" Target="http://www.propy.com/" TargetMode="External"/><Relationship Id="rId1993" Type="http://schemas.openxmlformats.org/officeDocument/2006/relationships/hyperlink" Target="https://www.crunchbase.com/funding_round/propy-series-unknown--613e09be" TargetMode="External"/><Relationship Id="rId1983" Type="http://schemas.openxmlformats.org/officeDocument/2006/relationships/hyperlink" Target="https://angel.co/company/proxyclick-1" TargetMode="External"/><Relationship Id="rId1984" Type="http://schemas.openxmlformats.org/officeDocument/2006/relationships/hyperlink" Target="https://www.crunchbase.com/organization/proxyclick" TargetMode="External"/><Relationship Id="rId1985" Type="http://schemas.openxmlformats.org/officeDocument/2006/relationships/hyperlink" Target="http://www.proxyclick.com" TargetMode="External"/><Relationship Id="rId1986" Type="http://schemas.openxmlformats.org/officeDocument/2006/relationships/hyperlink" Target="https://www.crunchbase.com/organization/intelligent-city" TargetMode="External"/><Relationship Id="rId1987" Type="http://schemas.openxmlformats.org/officeDocument/2006/relationships/hyperlink" Target="http://www.intelligent-city.com/" TargetMode="External"/><Relationship Id="rId1988" Type="http://schemas.openxmlformats.org/officeDocument/2006/relationships/hyperlink" Target="https://www.crunchbase.com/funding_round/intelligent-city-seed--eff37042" TargetMode="External"/><Relationship Id="rId1989" Type="http://schemas.openxmlformats.org/officeDocument/2006/relationships/hyperlink" Target="https://www.crunchbase.com/funding_round/intelligent-city-series-a--908e6292" TargetMode="External"/><Relationship Id="rId1980" Type="http://schemas.openxmlformats.org/officeDocument/2006/relationships/hyperlink" Target="https://www.foratravel.com/" TargetMode="External"/><Relationship Id="rId1981" Type="http://schemas.openxmlformats.org/officeDocument/2006/relationships/hyperlink" Target="https://www.crunchbase.com/funding_round/fora-9ac3-seed--062aa53d" TargetMode="External"/><Relationship Id="rId1982" Type="http://schemas.openxmlformats.org/officeDocument/2006/relationships/hyperlink" Target="https://www.crunchbase.com/funding_round/fora-9ac3-series-a--bc4bc538" TargetMode="External"/><Relationship Id="rId1930" Type="http://schemas.openxmlformats.org/officeDocument/2006/relationships/hyperlink" Target="https://www.crunchbase.com/funding_round/unyoked-series-a--99edb122" TargetMode="External"/><Relationship Id="rId1931" Type="http://schemas.openxmlformats.org/officeDocument/2006/relationships/hyperlink" Target="https://www.crunchbase.com/organization/airside-mobile" TargetMode="External"/><Relationship Id="rId1932" Type="http://schemas.openxmlformats.org/officeDocument/2006/relationships/hyperlink" Target="https://airsidemobile.com/" TargetMode="External"/><Relationship Id="rId1933" Type="http://schemas.openxmlformats.org/officeDocument/2006/relationships/hyperlink" Target="https://angel.co/company/assetavenue" TargetMode="External"/><Relationship Id="rId1934" Type="http://schemas.openxmlformats.org/officeDocument/2006/relationships/hyperlink" Target="https://www.crunchbase.com/organization/assetavenue" TargetMode="External"/><Relationship Id="rId1935" Type="http://schemas.openxmlformats.org/officeDocument/2006/relationships/hyperlink" Target="http://assetavenue.com/" TargetMode="External"/><Relationship Id="rId1936" Type="http://schemas.openxmlformats.org/officeDocument/2006/relationships/hyperlink" Target="https://www.crunchbase.com/funding_round/assetavenue-seed--24b27bc6" TargetMode="External"/><Relationship Id="rId1937" Type="http://schemas.openxmlformats.org/officeDocument/2006/relationships/hyperlink" Target="https://www.crunchbase.com/funding_round/assetavenue-series-a--b39be376" TargetMode="External"/><Relationship Id="rId1938" Type="http://schemas.openxmlformats.org/officeDocument/2006/relationships/hyperlink" Target="https://angel.co/usewheelhouse" TargetMode="External"/><Relationship Id="rId1939" Type="http://schemas.openxmlformats.org/officeDocument/2006/relationships/hyperlink" Target="https://www.crunchbase.com/organization/usewheelhouse" TargetMode="External"/><Relationship Id="rId1920" Type="http://schemas.openxmlformats.org/officeDocument/2006/relationships/hyperlink" Target="https://www.crunchbase.com/funding_round/canopy-cloud-seed--6dd77d05" TargetMode="External"/><Relationship Id="rId1921" Type="http://schemas.openxmlformats.org/officeDocument/2006/relationships/hyperlink" Target="https://www.crunchbase.com/funding_round/canopy-cloud-series-a--c0c75a15" TargetMode="External"/><Relationship Id="rId1922" Type="http://schemas.openxmlformats.org/officeDocument/2006/relationships/hyperlink" Target="https://wellfound.com/company/kewazo" TargetMode="External"/><Relationship Id="rId1923" Type="http://schemas.openxmlformats.org/officeDocument/2006/relationships/hyperlink" Target="https://www.crunchbase.com/organization/kewazo" TargetMode="External"/><Relationship Id="rId1924" Type="http://schemas.openxmlformats.org/officeDocument/2006/relationships/hyperlink" Target="http://www.kewazo.com/" TargetMode="External"/><Relationship Id="rId1925" Type="http://schemas.openxmlformats.org/officeDocument/2006/relationships/hyperlink" Target="https://www.crunchbase.com/funding_round/kewazo-seed--7cbfe362" TargetMode="External"/><Relationship Id="rId1926" Type="http://schemas.openxmlformats.org/officeDocument/2006/relationships/hyperlink" Target="https://www.crunchbase.com/funding_round/kewazo-series-a--9eb027f8" TargetMode="External"/><Relationship Id="rId1927" Type="http://schemas.openxmlformats.org/officeDocument/2006/relationships/hyperlink" Target="https://wellfound.com/company/unyoked" TargetMode="External"/><Relationship Id="rId1928" Type="http://schemas.openxmlformats.org/officeDocument/2006/relationships/hyperlink" Target="https://www.crunchbase.com/organization/unyoked" TargetMode="External"/><Relationship Id="rId1929" Type="http://schemas.openxmlformats.org/officeDocument/2006/relationships/hyperlink" Target="http://www.unyoked.co/" TargetMode="External"/><Relationship Id="rId4190" Type="http://schemas.openxmlformats.org/officeDocument/2006/relationships/hyperlink" Target="https://angel.co/realquantum" TargetMode="External"/><Relationship Id="rId4192" Type="http://schemas.openxmlformats.org/officeDocument/2006/relationships/hyperlink" Target="http://realquantum.com/" TargetMode="External"/><Relationship Id="rId4191" Type="http://schemas.openxmlformats.org/officeDocument/2006/relationships/hyperlink" Target="https://www.crunchbase.com/organization/realquantum-llc" TargetMode="External"/><Relationship Id="rId4194" Type="http://schemas.openxmlformats.org/officeDocument/2006/relationships/hyperlink" Target="https://www.crunchbase.com/organization/homemove" TargetMode="External"/><Relationship Id="rId4193" Type="http://schemas.openxmlformats.org/officeDocument/2006/relationships/hyperlink" Target="https://wellfound.com/company/homemove" TargetMode="External"/><Relationship Id="rId4196" Type="http://schemas.openxmlformats.org/officeDocument/2006/relationships/hyperlink" Target="https://www.crunchbase.com/funding_round/homemove-pre-seed--4cc81f98" TargetMode="External"/><Relationship Id="rId4195" Type="http://schemas.openxmlformats.org/officeDocument/2006/relationships/hyperlink" Target="https://www.homemove.com/" TargetMode="External"/><Relationship Id="rId4198" Type="http://schemas.openxmlformats.org/officeDocument/2006/relationships/hyperlink" Target="https://www.crunchbase.com/organization/flow-laboratories-inc" TargetMode="External"/><Relationship Id="rId4197" Type="http://schemas.openxmlformats.org/officeDocument/2006/relationships/hyperlink" Target="https://angel.co/company/flow-labs" TargetMode="External"/><Relationship Id="rId4199" Type="http://schemas.openxmlformats.org/officeDocument/2006/relationships/hyperlink" Target="http://www.flowlabs.com/" TargetMode="External"/><Relationship Id="rId1950" Type="http://schemas.openxmlformats.org/officeDocument/2006/relationships/hyperlink" Target="https://www.crunchbase.com/organization/mapxus" TargetMode="External"/><Relationship Id="rId1951" Type="http://schemas.openxmlformats.org/officeDocument/2006/relationships/hyperlink" Target="http://www.mapxus.com/" TargetMode="External"/><Relationship Id="rId1952" Type="http://schemas.openxmlformats.org/officeDocument/2006/relationships/hyperlink" Target="https://www.crunchbase.com/funding_round/mapxus-seed--d8ad32e6" TargetMode="External"/><Relationship Id="rId1953" Type="http://schemas.openxmlformats.org/officeDocument/2006/relationships/hyperlink" Target="https://www.crunchbase.com/funding_round/mapxus-series-a--ce4e3c1b" TargetMode="External"/><Relationship Id="rId1954" Type="http://schemas.openxmlformats.org/officeDocument/2006/relationships/hyperlink" Target="https://www.crunchbase.com/funding_round/mapxus-series-b--13330293" TargetMode="External"/><Relationship Id="rId1955" Type="http://schemas.openxmlformats.org/officeDocument/2006/relationships/hyperlink" Target="https://www.crunchbase.com/organization/roofit-solar" TargetMode="External"/><Relationship Id="rId1956" Type="http://schemas.openxmlformats.org/officeDocument/2006/relationships/hyperlink" Target="https://roofit.solar/" TargetMode="External"/><Relationship Id="rId1957" Type="http://schemas.openxmlformats.org/officeDocument/2006/relationships/hyperlink" Target="https://www.crunchbase.com/funding_round/roofit-solar-pre-seed--3aa2461b" TargetMode="External"/><Relationship Id="rId1958" Type="http://schemas.openxmlformats.org/officeDocument/2006/relationships/hyperlink" Target="https://www.crunchbase.com/funding_round/roofit-solar-seed--8fe954e4" TargetMode="External"/><Relationship Id="rId1959" Type="http://schemas.openxmlformats.org/officeDocument/2006/relationships/hyperlink" Target="https://www.crunchbase.com/funding_round/roofit-solar-series-a--f5b6b695" TargetMode="External"/><Relationship Id="rId1940" Type="http://schemas.openxmlformats.org/officeDocument/2006/relationships/hyperlink" Target="http://www.usewheelhouse.com/" TargetMode="External"/><Relationship Id="rId1941" Type="http://schemas.openxmlformats.org/officeDocument/2006/relationships/hyperlink" Target="https://www.crunchbase.com/organization/azibo" TargetMode="External"/><Relationship Id="rId1942" Type="http://schemas.openxmlformats.org/officeDocument/2006/relationships/hyperlink" Target="https://azibo.com/" TargetMode="External"/><Relationship Id="rId1943" Type="http://schemas.openxmlformats.org/officeDocument/2006/relationships/hyperlink" Target="http://converge.io/" TargetMode="External"/><Relationship Id="rId1944" Type="http://schemas.openxmlformats.org/officeDocument/2006/relationships/hyperlink" Target="https://www.crunchbase.com/organization/converge-2" TargetMode="External"/><Relationship Id="rId1945" Type="http://schemas.openxmlformats.org/officeDocument/2006/relationships/hyperlink" Target="https://www.converge.io/" TargetMode="External"/><Relationship Id="rId1946" Type="http://schemas.openxmlformats.org/officeDocument/2006/relationships/hyperlink" Target="https://angel.co/company/darwin-14" TargetMode="External"/><Relationship Id="rId1947" Type="http://schemas.openxmlformats.org/officeDocument/2006/relationships/hyperlink" Target="https://www.darwinhomes.com" TargetMode="External"/><Relationship Id="rId1948" Type="http://schemas.openxmlformats.org/officeDocument/2006/relationships/hyperlink" Target="https://www.crunchbase.com/funding_round/darwin-homes-seed--e387f909" TargetMode="External"/><Relationship Id="rId1949" Type="http://schemas.openxmlformats.org/officeDocument/2006/relationships/hyperlink" Target="https://www.crunchbase.com/funding_round/darwin-homes-series-a--73c8e5c5" TargetMode="External"/><Relationship Id="rId509" Type="http://schemas.openxmlformats.org/officeDocument/2006/relationships/hyperlink" Target="https://www.crunchbase.com/funding_round/vergesense-series-b--2b005060" TargetMode="External"/><Relationship Id="rId508" Type="http://schemas.openxmlformats.org/officeDocument/2006/relationships/hyperlink" Target="https://www.crunchbase.com/organization/vergesense" TargetMode="External"/><Relationship Id="rId503" Type="http://schemas.openxmlformats.org/officeDocument/2006/relationships/hyperlink" Target="https://www.crunchbase.com/organization/spruce-holdings" TargetMode="External"/><Relationship Id="rId502" Type="http://schemas.openxmlformats.org/officeDocument/2006/relationships/hyperlink" Target="https://angel.co/company/spruce-8" TargetMode="External"/><Relationship Id="rId501" Type="http://schemas.openxmlformats.org/officeDocument/2006/relationships/hyperlink" Target="https://medium.com/@bhargreaves/towards-a-better-kind-of-home-8e1211a7f8fd" TargetMode="External"/><Relationship Id="rId500" Type="http://schemas.openxmlformats.org/officeDocument/2006/relationships/hyperlink" Target="https://www.crunchbase.com/funding_round/common-2-series-c--b5f3c3fc" TargetMode="External"/><Relationship Id="rId507" Type="http://schemas.openxmlformats.org/officeDocument/2006/relationships/hyperlink" Target="https://www.crunchbase.com/funding_round/zolostays-debt-financing--26ed7b1f" TargetMode="External"/><Relationship Id="rId506" Type="http://schemas.openxmlformats.org/officeDocument/2006/relationships/hyperlink" Target="http://zolostays.com/" TargetMode="External"/><Relationship Id="rId505" Type="http://schemas.openxmlformats.org/officeDocument/2006/relationships/hyperlink" Target="https://www.crunchbase.com/organization/zolostays" TargetMode="External"/><Relationship Id="rId504" Type="http://schemas.openxmlformats.org/officeDocument/2006/relationships/hyperlink" Target="https://angel.co/company/zolostays" TargetMode="External"/><Relationship Id="rId525" Type="http://schemas.openxmlformats.org/officeDocument/2006/relationships/hyperlink" Target="https://www.crunchbase.com/funding_round/swell-energy-series-unknown--e3736bac" TargetMode="External"/><Relationship Id="rId524" Type="http://schemas.openxmlformats.org/officeDocument/2006/relationships/hyperlink" Target="https://www.crunchbase.com/funding_round/swell-energy-series-b--3115b4af" TargetMode="External"/><Relationship Id="rId523" Type="http://schemas.openxmlformats.org/officeDocument/2006/relationships/hyperlink" Target="https://www.crunchbase.com/funding_round/swell-energy-series-a--497fae92" TargetMode="External"/><Relationship Id="rId522" Type="http://schemas.openxmlformats.org/officeDocument/2006/relationships/hyperlink" Target="https://www.crunchbase.com/funding_round/swell-energy-convertible-note--7957bb00" TargetMode="External"/><Relationship Id="rId529" Type="http://schemas.openxmlformats.org/officeDocument/2006/relationships/hyperlink" Target="https://www.crunchbase.com/funding_round/realpha-tech-corp-pre-seed--e1d194e8" TargetMode="External"/><Relationship Id="rId528" Type="http://schemas.openxmlformats.org/officeDocument/2006/relationships/hyperlink" Target="https://realpha.com/" TargetMode="External"/><Relationship Id="rId527" Type="http://schemas.openxmlformats.org/officeDocument/2006/relationships/hyperlink" Target="https://www.crunchbase.com/organization/realpha-tech-corp" TargetMode="External"/><Relationship Id="rId526" Type="http://schemas.openxmlformats.org/officeDocument/2006/relationships/hyperlink" Target="https://wellfound.com/company/realphatech" TargetMode="External"/><Relationship Id="rId521" Type="http://schemas.openxmlformats.org/officeDocument/2006/relationships/hyperlink" Target="https://www.swellenergy.com/" TargetMode="External"/><Relationship Id="rId520" Type="http://schemas.openxmlformats.org/officeDocument/2006/relationships/hyperlink" Target="https://www.crunchbase.com/organization/swell-energy" TargetMode="External"/><Relationship Id="rId519" Type="http://schemas.openxmlformats.org/officeDocument/2006/relationships/hyperlink" Target="https://angel.co/company/swell-energy" TargetMode="External"/><Relationship Id="rId514" Type="http://schemas.openxmlformats.org/officeDocument/2006/relationships/hyperlink" Target="https://www.crunchbase.com/funding_round/cretelligent-series-unknown--68e407b3" TargetMode="External"/><Relationship Id="rId513" Type="http://schemas.openxmlformats.org/officeDocument/2006/relationships/hyperlink" Target="https://www.cretelligent.com/" TargetMode="External"/><Relationship Id="rId512" Type="http://schemas.openxmlformats.org/officeDocument/2006/relationships/hyperlink" Target="https://www.crunchbase.com/organization/cretelligent" TargetMode="External"/><Relationship Id="rId511" Type="http://schemas.openxmlformats.org/officeDocument/2006/relationships/hyperlink" Target="https://www.crunchbase.com/funding_round/aclima-series-b--e4fa18fb" TargetMode="External"/><Relationship Id="rId518" Type="http://schemas.openxmlformats.org/officeDocument/2006/relationships/hyperlink" Target="https://www.offerpad.com/" TargetMode="External"/><Relationship Id="rId517" Type="http://schemas.openxmlformats.org/officeDocument/2006/relationships/hyperlink" Target="https://www.crunchbase.com/organization/offerpad" TargetMode="External"/><Relationship Id="rId516" Type="http://schemas.openxmlformats.org/officeDocument/2006/relationships/hyperlink" Target="https://angel.co/company/offerpad" TargetMode="External"/><Relationship Id="rId515" Type="http://schemas.openxmlformats.org/officeDocument/2006/relationships/hyperlink" Target="https://www.crunchbase.com/funding_round/cretelligent-debt-financing--81fb1507" TargetMode="External"/><Relationship Id="rId510" Type="http://schemas.openxmlformats.org/officeDocument/2006/relationships/hyperlink" Target="https://www.crunchbase.com/organization/aclima" TargetMode="External"/><Relationship Id="rId4206" Type="http://schemas.openxmlformats.org/officeDocument/2006/relationships/hyperlink" Target="https://inkuvi.com/" TargetMode="External"/><Relationship Id="rId5538" Type="http://schemas.openxmlformats.org/officeDocument/2006/relationships/hyperlink" Target="https://www.mapped.com/" TargetMode="External"/><Relationship Id="rId4205" Type="http://schemas.openxmlformats.org/officeDocument/2006/relationships/hyperlink" Target="https://www.crunchbase.com/organization/inkuvi" TargetMode="External"/><Relationship Id="rId5539" Type="http://schemas.openxmlformats.org/officeDocument/2006/relationships/hyperlink" Target="https://www.mappsnap.com/" TargetMode="External"/><Relationship Id="rId4208" Type="http://schemas.openxmlformats.org/officeDocument/2006/relationships/hyperlink" Target="https://angel.co/company/loftyai" TargetMode="External"/><Relationship Id="rId5536" Type="http://schemas.openxmlformats.org/officeDocument/2006/relationships/hyperlink" Target="https://angel.co/company/mapped" TargetMode="External"/><Relationship Id="rId4207" Type="http://schemas.openxmlformats.org/officeDocument/2006/relationships/hyperlink" Target="https://www.crunchbase.com/funding_round/inkuvi-seed--39060c35" TargetMode="External"/><Relationship Id="rId5537" Type="http://schemas.openxmlformats.org/officeDocument/2006/relationships/hyperlink" Target="https://www.crunchbase.com/organization/mapped-d316" TargetMode="External"/><Relationship Id="rId590" Type="http://schemas.openxmlformats.org/officeDocument/2006/relationships/hyperlink" Target="https://www.crunchbase.com/organization/carbon-clean-solutions" TargetMode="External"/><Relationship Id="rId4209" Type="http://schemas.openxmlformats.org/officeDocument/2006/relationships/hyperlink" Target="https://www.crunchbase.com/organization/lofty-ai" TargetMode="External"/><Relationship Id="rId589" Type="http://schemas.openxmlformats.org/officeDocument/2006/relationships/hyperlink" Target="https://www.crunchbase.com/funding_round/fervo-energy-series-c--2e3eab16" TargetMode="External"/><Relationship Id="rId588" Type="http://schemas.openxmlformats.org/officeDocument/2006/relationships/hyperlink" Target="https://www.crunchbase.com/funding_round/fervo-energy-series-b--02fc0ac5" TargetMode="External"/><Relationship Id="rId583" Type="http://schemas.openxmlformats.org/officeDocument/2006/relationships/hyperlink" Target="https://www.crunchbase.com/funding_round/jobber-series-d--89da4c28" TargetMode="External"/><Relationship Id="rId5530" Type="http://schemas.openxmlformats.org/officeDocument/2006/relationships/hyperlink" Target="https://www.crunchbase.com/organization/manor-straits" TargetMode="External"/><Relationship Id="rId582" Type="http://schemas.openxmlformats.org/officeDocument/2006/relationships/hyperlink" Target="https://www.crunchbase.com/funding_round/jobber-series-c--8914e188" TargetMode="External"/><Relationship Id="rId5531" Type="http://schemas.openxmlformats.org/officeDocument/2006/relationships/hyperlink" Target="https://manorstraits.com/" TargetMode="External"/><Relationship Id="rId581" Type="http://schemas.openxmlformats.org/officeDocument/2006/relationships/hyperlink" Target="https://www.crunchbase.com/funding_round/jobber-series-b--d8460304" TargetMode="External"/><Relationship Id="rId4200" Type="http://schemas.openxmlformats.org/officeDocument/2006/relationships/hyperlink" Target="https://angel.co/company/hent" TargetMode="External"/><Relationship Id="rId580" Type="http://schemas.openxmlformats.org/officeDocument/2006/relationships/hyperlink" Target="https://www.crunchbase.com/funding_round/jobber-series-a--6a5605a6" TargetMode="External"/><Relationship Id="rId587" Type="http://schemas.openxmlformats.org/officeDocument/2006/relationships/hyperlink" Target="https://www.crunchbase.com/funding_round/fervo-energy-series-a--748f663b" TargetMode="External"/><Relationship Id="rId4202" Type="http://schemas.openxmlformats.org/officeDocument/2006/relationships/hyperlink" Target="https://www.hent.com.br/" TargetMode="External"/><Relationship Id="rId5534" Type="http://schemas.openxmlformats.org/officeDocument/2006/relationships/hyperlink" Target="https://mapsystemsindia.com/" TargetMode="External"/><Relationship Id="rId586" Type="http://schemas.openxmlformats.org/officeDocument/2006/relationships/hyperlink" Target="https://www.crunchbase.com/funding_round/fervo-energy-seed--414eacc8" TargetMode="External"/><Relationship Id="rId4201" Type="http://schemas.openxmlformats.org/officeDocument/2006/relationships/hyperlink" Target="https://www.crunchbase.com/organization/hent" TargetMode="External"/><Relationship Id="rId5535" Type="http://schemas.openxmlformats.org/officeDocument/2006/relationships/hyperlink" Target="https://www.crunchbase.com/organization/mapyourproperty" TargetMode="External"/><Relationship Id="rId585" Type="http://schemas.openxmlformats.org/officeDocument/2006/relationships/hyperlink" Target="https://www.fervoenergy.com/" TargetMode="External"/><Relationship Id="rId4204" Type="http://schemas.openxmlformats.org/officeDocument/2006/relationships/hyperlink" Target="https://angel.co/company/inkuvi" TargetMode="External"/><Relationship Id="rId5532" Type="http://schemas.openxmlformats.org/officeDocument/2006/relationships/hyperlink" Target="https://angel.co/company/map-systems-5" TargetMode="External"/><Relationship Id="rId584" Type="http://schemas.openxmlformats.org/officeDocument/2006/relationships/hyperlink" Target="https://www.crunchbase.com/organization/fervo-energy" TargetMode="External"/><Relationship Id="rId4203" Type="http://schemas.openxmlformats.org/officeDocument/2006/relationships/hyperlink" Target="https://www.crunchbase.com/funding_round/hent-seed--68242830" TargetMode="External"/><Relationship Id="rId5533" Type="http://schemas.openxmlformats.org/officeDocument/2006/relationships/hyperlink" Target="https://www.crunchbase.com/organization/mapsystems" TargetMode="External"/><Relationship Id="rId5527" Type="http://schemas.openxmlformats.org/officeDocument/2006/relationships/hyperlink" Target="https://www.crunchbase.com/organization/manageteamz" TargetMode="External"/><Relationship Id="rId5528" Type="http://schemas.openxmlformats.org/officeDocument/2006/relationships/hyperlink" Target="https://www.manageteamz.com/" TargetMode="External"/><Relationship Id="rId5525" Type="http://schemas.openxmlformats.org/officeDocument/2006/relationships/hyperlink" Target="https://www.crunchbase.com/organization/managed-methods" TargetMode="External"/><Relationship Id="rId5526" Type="http://schemas.openxmlformats.org/officeDocument/2006/relationships/hyperlink" Target="https://managedmethods.com/" TargetMode="External"/><Relationship Id="rId5529" Type="http://schemas.openxmlformats.org/officeDocument/2006/relationships/hyperlink" Target="https://angel.co/company/manor-straits" TargetMode="External"/><Relationship Id="rId579" Type="http://schemas.openxmlformats.org/officeDocument/2006/relationships/hyperlink" Target="https://www.crunchbase.com/funding_round/jobber-seed--f338b877" TargetMode="External"/><Relationship Id="rId578" Type="http://schemas.openxmlformats.org/officeDocument/2006/relationships/hyperlink" Target="https://getjobber.com/" TargetMode="External"/><Relationship Id="rId577" Type="http://schemas.openxmlformats.org/officeDocument/2006/relationships/hyperlink" Target="https://www.crunchbase.com/organization/jobber" TargetMode="External"/><Relationship Id="rId572" Type="http://schemas.openxmlformats.org/officeDocument/2006/relationships/hyperlink" Target="https://www.crunchbase.com/funding_round/cohabs-seed--17b540f5" TargetMode="External"/><Relationship Id="rId571" Type="http://schemas.openxmlformats.org/officeDocument/2006/relationships/hyperlink" Target="http://www.cohabs.com/" TargetMode="External"/><Relationship Id="rId5520" Type="http://schemas.openxmlformats.org/officeDocument/2006/relationships/hyperlink" Target="https://angel.co/company/mach-energy" TargetMode="External"/><Relationship Id="rId570" Type="http://schemas.openxmlformats.org/officeDocument/2006/relationships/hyperlink" Target="https://www.crunchbase.com/organization/cohabs" TargetMode="External"/><Relationship Id="rId576" Type="http://schemas.openxmlformats.org/officeDocument/2006/relationships/hyperlink" Target="https://www.crunchbase.com/funding_round/cohabs-debt-financing--bcedc4ef" TargetMode="External"/><Relationship Id="rId5523" Type="http://schemas.openxmlformats.org/officeDocument/2006/relationships/hyperlink" Target="https://www.crunchbase.com/organization/mallcomm" TargetMode="External"/><Relationship Id="rId575" Type="http://schemas.openxmlformats.org/officeDocument/2006/relationships/hyperlink" Target="https://www.crunchbase.com/funding_round/cohabs-series-c--762b0e85" TargetMode="External"/><Relationship Id="rId5524" Type="http://schemas.openxmlformats.org/officeDocument/2006/relationships/hyperlink" Target="https://www.mallcommapp.com/welcome/" TargetMode="External"/><Relationship Id="rId574" Type="http://schemas.openxmlformats.org/officeDocument/2006/relationships/hyperlink" Target="https://www.crunchbase.com/funding_round/cohabs-series-b--4461852e" TargetMode="External"/><Relationship Id="rId5521" Type="http://schemas.openxmlformats.org/officeDocument/2006/relationships/hyperlink" Target="https://www.crunchbase.com/organization/mach-energy" TargetMode="External"/><Relationship Id="rId573" Type="http://schemas.openxmlformats.org/officeDocument/2006/relationships/hyperlink" Target="https://www.crunchbase.com/funding_round/cohabs-series-a--b486a16d" TargetMode="External"/><Relationship Id="rId5522" Type="http://schemas.openxmlformats.org/officeDocument/2006/relationships/hyperlink" Target="https://www.machenergy.com/" TargetMode="External"/><Relationship Id="rId4228" Type="http://schemas.openxmlformats.org/officeDocument/2006/relationships/hyperlink" Target="https://angel.co/company/pantree-1" TargetMode="External"/><Relationship Id="rId4227" Type="http://schemas.openxmlformats.org/officeDocument/2006/relationships/hyperlink" Target="http://www.livebixby.co/" TargetMode="External"/><Relationship Id="rId5558" Type="http://schemas.openxmlformats.org/officeDocument/2006/relationships/hyperlink" Target="https://moderansolutions.com/" TargetMode="External"/><Relationship Id="rId4229" Type="http://schemas.openxmlformats.org/officeDocument/2006/relationships/hyperlink" Target="https://www.crunchbase.com/organization/pantree" TargetMode="External"/><Relationship Id="rId5559" Type="http://schemas.openxmlformats.org/officeDocument/2006/relationships/hyperlink" Target="https://angel.co/company/monetics-1" TargetMode="External"/><Relationship Id="rId4220" Type="http://schemas.openxmlformats.org/officeDocument/2006/relationships/hyperlink" Target="https://angel.co/company/sensorsuite" TargetMode="External"/><Relationship Id="rId5552" Type="http://schemas.openxmlformats.org/officeDocument/2006/relationships/hyperlink" Target="https://www.crunchbase.com/organization/micro-strategies-inc" TargetMode="External"/><Relationship Id="rId5553" Type="http://schemas.openxmlformats.org/officeDocument/2006/relationships/hyperlink" Target="https://www.microstrat.com" TargetMode="External"/><Relationship Id="rId4222" Type="http://schemas.openxmlformats.org/officeDocument/2006/relationships/hyperlink" Target="https://www.sensorsuite.com/" TargetMode="External"/><Relationship Id="rId5550" Type="http://schemas.openxmlformats.org/officeDocument/2006/relationships/hyperlink" Target="https://www.crunchbase.com/organization/metrikus" TargetMode="External"/><Relationship Id="rId4221" Type="http://schemas.openxmlformats.org/officeDocument/2006/relationships/hyperlink" Target="https://www.crunchbase.com/organization/sensorsuite-inc" TargetMode="External"/><Relationship Id="rId5551" Type="http://schemas.openxmlformats.org/officeDocument/2006/relationships/hyperlink" Target="https://www.metrikus.io/" TargetMode="External"/><Relationship Id="rId4224" Type="http://schemas.openxmlformats.org/officeDocument/2006/relationships/hyperlink" Target="https://www.crunchbase.com/funding_round/sensorsuite-inc-seed--bd887259" TargetMode="External"/><Relationship Id="rId5556" Type="http://schemas.openxmlformats.org/officeDocument/2006/relationships/hyperlink" Target="https://www.moblz.com/" TargetMode="External"/><Relationship Id="rId4223" Type="http://schemas.openxmlformats.org/officeDocument/2006/relationships/hyperlink" Target="https://www.crunchbase.com/funding_round/sensorsuite-inc-pre-seed--7b05baac" TargetMode="External"/><Relationship Id="rId5557" Type="http://schemas.openxmlformats.org/officeDocument/2006/relationships/hyperlink" Target="https://www.crunchbase.com/organization/moderan" TargetMode="External"/><Relationship Id="rId4226" Type="http://schemas.openxmlformats.org/officeDocument/2006/relationships/hyperlink" Target="https://www.crunchbase.com/organization/bixby" TargetMode="External"/><Relationship Id="rId5554" Type="http://schemas.openxmlformats.org/officeDocument/2006/relationships/hyperlink" Target="https://microlabtech.com/" TargetMode="External"/><Relationship Id="rId4225" Type="http://schemas.openxmlformats.org/officeDocument/2006/relationships/hyperlink" Target="https://angel.co/livebixby" TargetMode="External"/><Relationship Id="rId5555" Type="http://schemas.openxmlformats.org/officeDocument/2006/relationships/hyperlink" Target="https://mistbox.com/" TargetMode="External"/><Relationship Id="rId4217" Type="http://schemas.openxmlformats.org/officeDocument/2006/relationships/hyperlink" Target="https://www.crunchbase.com/organization/123projetei" TargetMode="External"/><Relationship Id="rId5549" Type="http://schemas.openxmlformats.org/officeDocument/2006/relationships/hyperlink" Target="https://angel.co/company/metrikus-1" TargetMode="External"/><Relationship Id="rId4216" Type="http://schemas.openxmlformats.org/officeDocument/2006/relationships/hyperlink" Target="https://www.crunchbase.com/funding_round/salaryo-pre-seed--04a3afce" TargetMode="External"/><Relationship Id="rId4219" Type="http://schemas.openxmlformats.org/officeDocument/2006/relationships/hyperlink" Target="https://www.crunchbase.com/funding_round/123projetei-series-unknown--756194a4" TargetMode="External"/><Relationship Id="rId5547" Type="http://schemas.openxmlformats.org/officeDocument/2006/relationships/hyperlink" Target="https://www.crunchbase.com/organization/meridio" TargetMode="External"/><Relationship Id="rId4218" Type="http://schemas.openxmlformats.org/officeDocument/2006/relationships/hyperlink" Target="http://www.123projetei.com.br/" TargetMode="External"/><Relationship Id="rId5548" Type="http://schemas.openxmlformats.org/officeDocument/2006/relationships/hyperlink" Target="https://www.meridio.co/" TargetMode="External"/><Relationship Id="rId599" Type="http://schemas.openxmlformats.org/officeDocument/2006/relationships/hyperlink" Target="https://www.crunchbase.com/funding_round/roadrunner-recycling-series-unknown--7b964686" TargetMode="External"/><Relationship Id="rId594" Type="http://schemas.openxmlformats.org/officeDocument/2006/relationships/hyperlink" Target="https://www.roadrunnerwm.com/" TargetMode="External"/><Relationship Id="rId5541" Type="http://schemas.openxmlformats.org/officeDocument/2006/relationships/hyperlink" Target="https://www.crunchbase.com/organization/mapiq" TargetMode="External"/><Relationship Id="rId593" Type="http://schemas.openxmlformats.org/officeDocument/2006/relationships/hyperlink" Target="https://www.crunchbase.com/organization/roadrunner-recycling" TargetMode="External"/><Relationship Id="rId5542" Type="http://schemas.openxmlformats.org/officeDocument/2006/relationships/hyperlink" Target="https://www.mapiq.com/" TargetMode="External"/><Relationship Id="rId592" Type="http://schemas.openxmlformats.org/officeDocument/2006/relationships/hyperlink" Target="https://angel.co/company/roadrunner-recycling" TargetMode="External"/><Relationship Id="rId4211" Type="http://schemas.openxmlformats.org/officeDocument/2006/relationships/hyperlink" Target="https://www.crunchbase.com/organization/pocketbuildings" TargetMode="External"/><Relationship Id="rId591" Type="http://schemas.openxmlformats.org/officeDocument/2006/relationships/hyperlink" Target="https://www.carbonclean.com/" TargetMode="External"/><Relationship Id="rId4210" Type="http://schemas.openxmlformats.org/officeDocument/2006/relationships/hyperlink" Target="https://www.lofty.ai/" TargetMode="External"/><Relationship Id="rId5540" Type="http://schemas.openxmlformats.org/officeDocument/2006/relationships/hyperlink" Target="https://angel.co/company/mapiq" TargetMode="External"/><Relationship Id="rId598" Type="http://schemas.openxmlformats.org/officeDocument/2006/relationships/hyperlink" Target="https://www.crunchbase.com/funding_round/roadrunner-recycling-series-d--e7f614fd" TargetMode="External"/><Relationship Id="rId4213" Type="http://schemas.openxmlformats.org/officeDocument/2006/relationships/hyperlink" Target="https://angel.co/company/salaryo" TargetMode="External"/><Relationship Id="rId5545" Type="http://schemas.openxmlformats.org/officeDocument/2006/relationships/hyperlink" Target="https://www.crunchbase.com/organization/mashroom-4dd3" TargetMode="External"/><Relationship Id="rId597" Type="http://schemas.openxmlformats.org/officeDocument/2006/relationships/hyperlink" Target="https://www.crunchbase.com/funding_round/roadrunner-recycling-series-c--5b95c1ff" TargetMode="External"/><Relationship Id="rId4212" Type="http://schemas.openxmlformats.org/officeDocument/2006/relationships/hyperlink" Target="https://www.pocketbuildings.com/" TargetMode="External"/><Relationship Id="rId5546" Type="http://schemas.openxmlformats.org/officeDocument/2006/relationships/hyperlink" Target="https://www.mashroom.com" TargetMode="External"/><Relationship Id="rId596" Type="http://schemas.openxmlformats.org/officeDocument/2006/relationships/hyperlink" Target="https://www.crunchbase.com/funding_round/roadrunner-recycling-series-b--01ba898a" TargetMode="External"/><Relationship Id="rId4215" Type="http://schemas.openxmlformats.org/officeDocument/2006/relationships/hyperlink" Target="https://www.salaryo.com/" TargetMode="External"/><Relationship Id="rId5543" Type="http://schemas.openxmlformats.org/officeDocument/2006/relationships/hyperlink" Target="https://www.marketpier.com/" TargetMode="External"/><Relationship Id="rId595" Type="http://schemas.openxmlformats.org/officeDocument/2006/relationships/hyperlink" Target="https://www.crunchbase.com/funding_round/roadrunner-recycling-seed--6d01fc9d" TargetMode="External"/><Relationship Id="rId4214" Type="http://schemas.openxmlformats.org/officeDocument/2006/relationships/hyperlink" Target="https://www.crunchbase.com/organization/salaryo" TargetMode="External"/><Relationship Id="rId5544" Type="http://schemas.openxmlformats.org/officeDocument/2006/relationships/hyperlink" Target="https://angel.co/company/mashroom-1" TargetMode="External"/><Relationship Id="rId547" Type="http://schemas.openxmlformats.org/officeDocument/2006/relationships/hyperlink" Target="https://www.rentrezi.com/" TargetMode="External"/><Relationship Id="rId546" Type="http://schemas.openxmlformats.org/officeDocument/2006/relationships/hyperlink" Target="https://www.crunchbase.com/organization/rezi-2" TargetMode="External"/><Relationship Id="rId545" Type="http://schemas.openxmlformats.org/officeDocument/2006/relationships/hyperlink" Target="https://angel.co/company/rent-rezi" TargetMode="External"/><Relationship Id="rId544" Type="http://schemas.openxmlformats.org/officeDocument/2006/relationships/hyperlink" Target="https://www.crunchbase.com/funding_round/juniper-square-series-unknown--bdf31fa8" TargetMode="External"/><Relationship Id="rId549" Type="http://schemas.openxmlformats.org/officeDocument/2006/relationships/hyperlink" Target="https://www.crunchbase.com/funding_round/rezi-2-series-a--eef3d097" TargetMode="External"/><Relationship Id="rId548" Type="http://schemas.openxmlformats.org/officeDocument/2006/relationships/hyperlink" Target="https://www.crunchbase.com/funding_round/rezi-2-seed--741a427e" TargetMode="External"/><Relationship Id="rId543" Type="http://schemas.openxmlformats.org/officeDocument/2006/relationships/hyperlink" Target="https://www.junipersquare.com/" TargetMode="External"/><Relationship Id="rId542" Type="http://schemas.openxmlformats.org/officeDocument/2006/relationships/hyperlink" Target="https://www.crunchbase.com/funding_round/blocpower-debt-financing--eaedba14" TargetMode="External"/><Relationship Id="rId541" Type="http://schemas.openxmlformats.org/officeDocument/2006/relationships/hyperlink" Target="https://www.crunchbase.com/funding_round/blocpower-series-b--48b1bc2d" TargetMode="External"/><Relationship Id="rId540" Type="http://schemas.openxmlformats.org/officeDocument/2006/relationships/hyperlink" Target="https://www.crunchbase.com/funding_round/blocpower-series-a--6311e344" TargetMode="External"/><Relationship Id="rId536" Type="http://schemas.openxmlformats.org/officeDocument/2006/relationships/hyperlink" Target="https://www.crunchbase.com/organization/blocpower" TargetMode="External"/><Relationship Id="rId535" Type="http://schemas.openxmlformats.org/officeDocument/2006/relationships/hyperlink" Target="https://angel.co/company/blocpower-1" TargetMode="External"/><Relationship Id="rId534" Type="http://schemas.openxmlformats.org/officeDocument/2006/relationships/hyperlink" Target="https://www.crunchbase.com/funding_round/table-space-technologies-private-equity--d0b1752f" TargetMode="External"/><Relationship Id="rId533" Type="http://schemas.openxmlformats.org/officeDocument/2006/relationships/hyperlink" Target="https://tablespace.com/" TargetMode="External"/><Relationship Id="rId539" Type="http://schemas.openxmlformats.org/officeDocument/2006/relationships/hyperlink" Target="https://www.crunchbase.com/funding_round/blocpower-seed--6c87aa69" TargetMode="External"/><Relationship Id="rId538" Type="http://schemas.openxmlformats.org/officeDocument/2006/relationships/hyperlink" Target="https://www.crunchbase.com/funding_round/blocpower-pre-seed--57cb8db7" TargetMode="External"/><Relationship Id="rId537" Type="http://schemas.openxmlformats.org/officeDocument/2006/relationships/hyperlink" Target="https://www.blocpower.io/" TargetMode="External"/><Relationship Id="rId532" Type="http://schemas.openxmlformats.org/officeDocument/2006/relationships/hyperlink" Target="https://www.crunchbase.com/organization/table-space-technologies" TargetMode="External"/><Relationship Id="rId531" Type="http://schemas.openxmlformats.org/officeDocument/2006/relationships/hyperlink" Target="https://www.crunchbase.com/funding_round/realpha-tech-corp-debt-financing--606525e0" TargetMode="External"/><Relationship Id="rId530" Type="http://schemas.openxmlformats.org/officeDocument/2006/relationships/hyperlink" Target="https://www.crunchbase.com/funding_round/realpha-tech-corp-seed--b9b2a70c" TargetMode="External"/><Relationship Id="rId5516" Type="http://schemas.openxmlformats.org/officeDocument/2006/relationships/hyperlink" Target="https://www.locate.ai" TargetMode="External"/><Relationship Id="rId5517" Type="http://schemas.openxmlformats.org/officeDocument/2006/relationships/hyperlink" Target="https://angel.co/company/lucro" TargetMode="External"/><Relationship Id="rId5514" Type="http://schemas.openxmlformats.org/officeDocument/2006/relationships/hyperlink" Target="https://angel.co/company/locateai" TargetMode="External"/><Relationship Id="rId5515" Type="http://schemas.openxmlformats.org/officeDocument/2006/relationships/hyperlink" Target="https://www.crunchbase.com/organization/locateai" TargetMode="External"/><Relationship Id="rId5518" Type="http://schemas.openxmlformats.org/officeDocument/2006/relationships/hyperlink" Target="https://www.crunchbase.com/organization/lucro-8684" TargetMode="External"/><Relationship Id="rId5519" Type="http://schemas.openxmlformats.org/officeDocument/2006/relationships/hyperlink" Target="http://www.getlucro.com" TargetMode="External"/><Relationship Id="rId569" Type="http://schemas.openxmlformats.org/officeDocument/2006/relationships/hyperlink" Target="https://angel.co/company/cohabs-coliving" TargetMode="External"/><Relationship Id="rId568" Type="http://schemas.openxmlformats.org/officeDocument/2006/relationships/hyperlink" Target="https://www.crunchbase.com/funding_round/boston-metal-series-c--d3374b82" TargetMode="External"/><Relationship Id="rId567" Type="http://schemas.openxmlformats.org/officeDocument/2006/relationships/hyperlink" Target="https://www.crunchbase.com/funding_round/boston-metal-series-b--a740c718" TargetMode="External"/><Relationship Id="rId566" Type="http://schemas.openxmlformats.org/officeDocument/2006/relationships/hyperlink" Target="https://www.crunchbase.com/funding_round/boston-metal-series-a--91431bc4" TargetMode="External"/><Relationship Id="rId561" Type="http://schemas.openxmlformats.org/officeDocument/2006/relationships/hyperlink" Target="https://www.crunchbase.com/funding_round/billd-series-a--b86a5849" TargetMode="External"/><Relationship Id="rId560" Type="http://schemas.openxmlformats.org/officeDocument/2006/relationships/hyperlink" Target="https://billd.com/" TargetMode="External"/><Relationship Id="rId565" Type="http://schemas.openxmlformats.org/officeDocument/2006/relationships/hyperlink" Target="https://bostonmetal.com/" TargetMode="External"/><Relationship Id="rId5512" Type="http://schemas.openxmlformats.org/officeDocument/2006/relationships/hyperlink" Target="https://angel.co/company/lobby-cre" TargetMode="External"/><Relationship Id="rId564" Type="http://schemas.openxmlformats.org/officeDocument/2006/relationships/hyperlink" Target="https://www.crunchbase.com/organization/boston-metal" TargetMode="External"/><Relationship Id="rId5513" Type="http://schemas.openxmlformats.org/officeDocument/2006/relationships/hyperlink" Target="https://www.lobbycre.com/" TargetMode="External"/><Relationship Id="rId563" Type="http://schemas.openxmlformats.org/officeDocument/2006/relationships/hyperlink" Target="https://www.crunchbase.com/funding_round/billd-debt-financing--27b953f8" TargetMode="External"/><Relationship Id="rId5510" Type="http://schemas.openxmlformats.org/officeDocument/2006/relationships/hyperlink" Target="https://listingllama.com/" TargetMode="External"/><Relationship Id="rId562" Type="http://schemas.openxmlformats.org/officeDocument/2006/relationships/hyperlink" Target="https://www.crunchbase.com/funding_round/billd-series-b--6eb8b062" TargetMode="External"/><Relationship Id="rId5511" Type="http://schemas.openxmlformats.org/officeDocument/2006/relationships/hyperlink" Target="https://www.crunchbase.com/organization/loan-boss" TargetMode="External"/><Relationship Id="rId5505" Type="http://schemas.openxmlformats.org/officeDocument/2006/relationships/hyperlink" Target="https://www.crunchbase.com/organization/level-home" TargetMode="External"/><Relationship Id="rId5506" Type="http://schemas.openxmlformats.org/officeDocument/2006/relationships/hyperlink" Target="https://level.co/" TargetMode="External"/><Relationship Id="rId5503" Type="http://schemas.openxmlformats.org/officeDocument/2006/relationships/hyperlink" Target="https://www.leesmanindex.com/" TargetMode="External"/><Relationship Id="rId5504" Type="http://schemas.openxmlformats.org/officeDocument/2006/relationships/hyperlink" Target="https://angel.co/company/joinlevel" TargetMode="External"/><Relationship Id="rId5509" Type="http://schemas.openxmlformats.org/officeDocument/2006/relationships/hyperlink" Target="https://www.crunchbase.com/organization/listing-llama" TargetMode="External"/><Relationship Id="rId5507" Type="http://schemas.openxmlformats.org/officeDocument/2006/relationships/hyperlink" Target="https://www.crunchbase.com/organization/likk-technologies" TargetMode="External"/><Relationship Id="rId5508" Type="http://schemas.openxmlformats.org/officeDocument/2006/relationships/hyperlink" Target="https://www.likktechnologies.com/" TargetMode="External"/><Relationship Id="rId558" Type="http://schemas.openxmlformats.org/officeDocument/2006/relationships/hyperlink" Target="https://angel.co/company/billd-2" TargetMode="External"/><Relationship Id="rId557" Type="http://schemas.openxmlformats.org/officeDocument/2006/relationships/hyperlink" Target="https://www.livspace.com/in" TargetMode="External"/><Relationship Id="rId556" Type="http://schemas.openxmlformats.org/officeDocument/2006/relationships/hyperlink" Target="https://www.crunchbase.com/organization/livspace" TargetMode="External"/><Relationship Id="rId555" Type="http://schemas.openxmlformats.org/officeDocument/2006/relationships/hyperlink" Target="https://angel.co/company/livspace-1" TargetMode="External"/><Relationship Id="rId559" Type="http://schemas.openxmlformats.org/officeDocument/2006/relationships/hyperlink" Target="https://www.crunchbase.com/organization/billd" TargetMode="External"/><Relationship Id="rId550" Type="http://schemas.openxmlformats.org/officeDocument/2006/relationships/hyperlink" Target="https://www.forbes.com/sites/amydobson/2023/02/22/three-months-after-raising-100m-in-funding-rezi-lands-another-100m-deal/?sh=d09d0917a04d" TargetMode="External"/><Relationship Id="rId554" Type="http://schemas.openxmlformats.org/officeDocument/2006/relationships/hyperlink" Target="https://www.crunchbase.com/funding_round/span-io-series-unknown--30db5fa1" TargetMode="External"/><Relationship Id="rId5501" Type="http://schemas.openxmlformats.org/officeDocument/2006/relationships/hyperlink" Target="https://leasingbetter.com/" TargetMode="External"/><Relationship Id="rId553" Type="http://schemas.openxmlformats.org/officeDocument/2006/relationships/hyperlink" Target="https://www.span.io/" TargetMode="External"/><Relationship Id="rId5502" Type="http://schemas.openxmlformats.org/officeDocument/2006/relationships/hyperlink" Target="https://www.crunchbase.com/organization/leesman" TargetMode="External"/><Relationship Id="rId552" Type="http://schemas.openxmlformats.org/officeDocument/2006/relationships/hyperlink" Target="https://www.crunchbase.com/organization/span-io" TargetMode="External"/><Relationship Id="rId551" Type="http://schemas.openxmlformats.org/officeDocument/2006/relationships/hyperlink" Target="http://stan.io/" TargetMode="External"/><Relationship Id="rId5500" Type="http://schemas.openxmlformats.org/officeDocument/2006/relationships/hyperlink" Target="https://www.leasera.com" TargetMode="External"/><Relationship Id="rId4280" Type="http://schemas.openxmlformats.org/officeDocument/2006/relationships/hyperlink" Target="https://www.crunchbase.com/organization/cutstruct-technology-limited" TargetMode="External"/><Relationship Id="rId4282" Type="http://schemas.openxmlformats.org/officeDocument/2006/relationships/hyperlink" Target="https://www.crunchbase.com/funding_round/cutstruct-technology-limited-pre-seed--505d62a4" TargetMode="External"/><Relationship Id="rId4281" Type="http://schemas.openxmlformats.org/officeDocument/2006/relationships/hyperlink" Target="https://www.cutstruct.com/" TargetMode="External"/><Relationship Id="rId4284" Type="http://schemas.openxmlformats.org/officeDocument/2006/relationships/hyperlink" Target="https://www.crunchbase.com/organization/skrap" TargetMode="External"/><Relationship Id="rId4283" Type="http://schemas.openxmlformats.org/officeDocument/2006/relationships/hyperlink" Target="https://angel.co/company/skrap" TargetMode="External"/><Relationship Id="rId4286" Type="http://schemas.openxmlformats.org/officeDocument/2006/relationships/hyperlink" Target="https://www.crunchbase.com/funding_round/skrap-pre-seed--5818ce11" TargetMode="External"/><Relationship Id="rId4285" Type="http://schemas.openxmlformats.org/officeDocument/2006/relationships/hyperlink" Target="https://skrap.xyz/skrapweb/" TargetMode="External"/><Relationship Id="rId4288" Type="http://schemas.openxmlformats.org/officeDocument/2006/relationships/hyperlink" Target="https://angel.co/company/consorto-1/jobs" TargetMode="External"/><Relationship Id="rId4287" Type="http://schemas.openxmlformats.org/officeDocument/2006/relationships/hyperlink" Target="https://www.crunchbase.com/funding_round/skrap-seed--ee318a0f" TargetMode="External"/><Relationship Id="rId4289" Type="http://schemas.openxmlformats.org/officeDocument/2006/relationships/hyperlink" Target="https://www.crunchbase.com/organization/consorto" TargetMode="External"/><Relationship Id="rId4271" Type="http://schemas.openxmlformats.org/officeDocument/2006/relationships/hyperlink" Target="https://www.crunchbase.com/funding_round/dwello-1f00-seed--e14776b6" TargetMode="External"/><Relationship Id="rId4270" Type="http://schemas.openxmlformats.org/officeDocument/2006/relationships/hyperlink" Target="https://www.dwello.nl/" TargetMode="External"/><Relationship Id="rId4273" Type="http://schemas.openxmlformats.org/officeDocument/2006/relationships/hyperlink" Target="https://www.crunchbase.com/organization/at-hum" TargetMode="External"/><Relationship Id="rId4272" Type="http://schemas.openxmlformats.org/officeDocument/2006/relationships/hyperlink" Target="https://angel.co/company/athum" TargetMode="External"/><Relationship Id="rId4275" Type="http://schemas.openxmlformats.org/officeDocument/2006/relationships/hyperlink" Target="https://www.crunchbase.com/funding_round/at-hum-pre-seed--64c9f261" TargetMode="External"/><Relationship Id="rId4274" Type="http://schemas.openxmlformats.org/officeDocument/2006/relationships/hyperlink" Target="http://www.athum.com/" TargetMode="External"/><Relationship Id="rId4277" Type="http://schemas.openxmlformats.org/officeDocument/2006/relationships/hyperlink" Target="https://www.crunchbase.com/organization/spacepass" TargetMode="External"/><Relationship Id="rId4276" Type="http://schemas.openxmlformats.org/officeDocument/2006/relationships/hyperlink" Target="https://www.crunchbase.com/funding_round/at-hum-angel--1cea40a5" TargetMode="External"/><Relationship Id="rId4279" Type="http://schemas.openxmlformats.org/officeDocument/2006/relationships/hyperlink" Target="https://www.crunchbase.com/funding_round/spacepass-seed--2a0109fa" TargetMode="External"/><Relationship Id="rId4278" Type="http://schemas.openxmlformats.org/officeDocument/2006/relationships/hyperlink" Target="https://spacepass.global/" TargetMode="External"/><Relationship Id="rId4291" Type="http://schemas.openxmlformats.org/officeDocument/2006/relationships/hyperlink" Target="https://www.crunchbase.com/organization/student-rents" TargetMode="External"/><Relationship Id="rId4290" Type="http://schemas.openxmlformats.org/officeDocument/2006/relationships/hyperlink" Target="https://www.consorto.com/about" TargetMode="External"/><Relationship Id="rId4293" Type="http://schemas.openxmlformats.org/officeDocument/2006/relationships/hyperlink" Target="https://www.crunchbase.com/funding_round/student-rents-equity-crowdfunding--47f39967" TargetMode="External"/><Relationship Id="rId4292" Type="http://schemas.openxmlformats.org/officeDocument/2006/relationships/hyperlink" Target="https://studentrents.co.uk/" TargetMode="External"/><Relationship Id="rId4295" Type="http://schemas.openxmlformats.org/officeDocument/2006/relationships/hyperlink" Target="https://www.crunchbase.com/organization/jogogo" TargetMode="External"/><Relationship Id="rId4294" Type="http://schemas.openxmlformats.org/officeDocument/2006/relationships/hyperlink" Target="https://angel.co/company/jogogo" TargetMode="External"/><Relationship Id="rId4297" Type="http://schemas.openxmlformats.org/officeDocument/2006/relationships/hyperlink" Target="https://www.crunchbase.com/organization/rithum" TargetMode="External"/><Relationship Id="rId4296" Type="http://schemas.openxmlformats.org/officeDocument/2006/relationships/hyperlink" Target="http://jogogo.co/" TargetMode="External"/><Relationship Id="rId4299" Type="http://schemas.openxmlformats.org/officeDocument/2006/relationships/hyperlink" Target="https://www.crunchbase.com/funding_round/rithum-seed--d34e42e1" TargetMode="External"/><Relationship Id="rId4298" Type="http://schemas.openxmlformats.org/officeDocument/2006/relationships/hyperlink" Target="https://rithumhome.com/" TargetMode="External"/><Relationship Id="rId4249" Type="http://schemas.openxmlformats.org/officeDocument/2006/relationships/hyperlink" Target="https://angel.co/company/rail-yard" TargetMode="External"/><Relationship Id="rId5570" Type="http://schemas.openxmlformats.org/officeDocument/2006/relationships/hyperlink" Target="https://www.crunchbase.com/organization/movingnow-in" TargetMode="External"/><Relationship Id="rId5571" Type="http://schemas.openxmlformats.org/officeDocument/2006/relationships/hyperlink" Target="https://www.movingnow.in/" TargetMode="External"/><Relationship Id="rId4240" Type="http://schemas.openxmlformats.org/officeDocument/2006/relationships/hyperlink" Target="https://uniteliving.com/" TargetMode="External"/><Relationship Id="rId4242" Type="http://schemas.openxmlformats.org/officeDocument/2006/relationships/hyperlink" Target="https://www.crunchbase.com/organization/conectric" TargetMode="External"/><Relationship Id="rId5574" Type="http://schemas.openxmlformats.org/officeDocument/2006/relationships/hyperlink" Target="https://www.mrisoftware.com/" TargetMode="External"/><Relationship Id="rId4241" Type="http://schemas.openxmlformats.org/officeDocument/2006/relationships/hyperlink" Target="https://angel.co/company/conectric" TargetMode="External"/><Relationship Id="rId5575" Type="http://schemas.openxmlformats.org/officeDocument/2006/relationships/hyperlink" Target="https://www.crunchbase.com/organization/multipath-data" TargetMode="External"/><Relationship Id="rId4244" Type="http://schemas.openxmlformats.org/officeDocument/2006/relationships/hyperlink" Target="https://www.crunchbase.com/funding_round/conectric-seed--34db96dd" TargetMode="External"/><Relationship Id="rId5572" Type="http://schemas.openxmlformats.org/officeDocument/2006/relationships/hyperlink" Target="https://angel.co/company/mri-software" TargetMode="External"/><Relationship Id="rId4243" Type="http://schemas.openxmlformats.org/officeDocument/2006/relationships/hyperlink" Target="https://www.conectric.com/" TargetMode="External"/><Relationship Id="rId5573" Type="http://schemas.openxmlformats.org/officeDocument/2006/relationships/hyperlink" Target="https://www.crunchbase.com/organization/mri-software" TargetMode="External"/><Relationship Id="rId4246" Type="http://schemas.openxmlformats.org/officeDocument/2006/relationships/hyperlink" Target="https://www.crunchbase.com/organization/mavatar" TargetMode="External"/><Relationship Id="rId5578" Type="http://schemas.openxmlformats.org/officeDocument/2006/relationships/hyperlink" Target="https://www.mvisystems.com/" TargetMode="External"/><Relationship Id="rId4245" Type="http://schemas.openxmlformats.org/officeDocument/2006/relationships/hyperlink" Target="https://angel.co/company/mavatar-technologies" TargetMode="External"/><Relationship Id="rId5579" Type="http://schemas.openxmlformats.org/officeDocument/2006/relationships/hyperlink" Target="https://angel.co/company/my-perfect-workplace" TargetMode="External"/><Relationship Id="rId4248" Type="http://schemas.openxmlformats.org/officeDocument/2006/relationships/hyperlink" Target="https://www.crunchbase.com/funding_round/mavatar-seed--f038536d" TargetMode="External"/><Relationship Id="rId5576" Type="http://schemas.openxmlformats.org/officeDocument/2006/relationships/hyperlink" Target="https://multipathdata.com/" TargetMode="External"/><Relationship Id="rId4247" Type="http://schemas.openxmlformats.org/officeDocument/2006/relationships/hyperlink" Target="http://www.mavatar.com/" TargetMode="External"/><Relationship Id="rId5577" Type="http://schemas.openxmlformats.org/officeDocument/2006/relationships/hyperlink" Target="https://www.crunchbase.com/organization/mvi-systems" TargetMode="External"/><Relationship Id="rId4239" Type="http://schemas.openxmlformats.org/officeDocument/2006/relationships/hyperlink" Target="https://www.crunchbase.com/organization/unite-living" TargetMode="External"/><Relationship Id="rId4238" Type="http://schemas.openxmlformats.org/officeDocument/2006/relationships/hyperlink" Target="https://www.crunchbase.com/organization/spce" TargetMode="External"/><Relationship Id="rId5569" Type="http://schemas.openxmlformats.org/officeDocument/2006/relationships/hyperlink" Target="https://angel.co/company/mandate-logistics-systems-pvt-ltd" TargetMode="External"/><Relationship Id="rId5560" Type="http://schemas.openxmlformats.org/officeDocument/2006/relationships/hyperlink" Target="https://www.crunchbase.com/organization/monetics" TargetMode="External"/><Relationship Id="rId495" Type="http://schemas.openxmlformats.org/officeDocument/2006/relationships/hyperlink" Target="https://angel.co/company/common-living-1" TargetMode="External"/><Relationship Id="rId4231" Type="http://schemas.openxmlformats.org/officeDocument/2006/relationships/hyperlink" Target="https://www.crunchbase.com/funding_round/pantree-pre-seed--7551fc5e" TargetMode="External"/><Relationship Id="rId5563" Type="http://schemas.openxmlformats.org/officeDocument/2006/relationships/hyperlink" Target="https://www.crunchbase.com/organization/moodys-analytics" TargetMode="External"/><Relationship Id="rId494" Type="http://schemas.openxmlformats.org/officeDocument/2006/relationships/hyperlink" Target="https://www.crunchbase.com/funding_round/molekule-series-unknown--7fadac36" TargetMode="External"/><Relationship Id="rId4230" Type="http://schemas.openxmlformats.org/officeDocument/2006/relationships/hyperlink" Target="https://pantree.co/" TargetMode="External"/><Relationship Id="rId5564" Type="http://schemas.openxmlformats.org/officeDocument/2006/relationships/hyperlink" Target="https://www.moodysanalytics.com/" TargetMode="External"/><Relationship Id="rId493" Type="http://schemas.openxmlformats.org/officeDocument/2006/relationships/hyperlink" Target="https://www.crunchbase.com/funding_round/molekule-series-c--15fe6995" TargetMode="External"/><Relationship Id="rId4233" Type="http://schemas.openxmlformats.org/officeDocument/2006/relationships/hyperlink" Target="https://www.crunchbase.com/organization/arcbazar-com" TargetMode="External"/><Relationship Id="rId5561" Type="http://schemas.openxmlformats.org/officeDocument/2006/relationships/hyperlink" Target="https://www.monetics.app/" TargetMode="External"/><Relationship Id="rId492" Type="http://schemas.openxmlformats.org/officeDocument/2006/relationships/hyperlink" Target="https://www.crunchbase.com/funding_round/molekule-series-b--02799ec8" TargetMode="External"/><Relationship Id="rId4232" Type="http://schemas.openxmlformats.org/officeDocument/2006/relationships/hyperlink" Target="https://angel.co/company/arcbazar" TargetMode="External"/><Relationship Id="rId5562" Type="http://schemas.openxmlformats.org/officeDocument/2006/relationships/hyperlink" Target="https://angel.co/company/moody-s-analytics" TargetMode="External"/><Relationship Id="rId499" Type="http://schemas.openxmlformats.org/officeDocument/2006/relationships/hyperlink" Target="https://www.crunchbase.com/funding_round/common-2-series-b--dab55f79" TargetMode="External"/><Relationship Id="rId4235" Type="http://schemas.openxmlformats.org/officeDocument/2006/relationships/hyperlink" Target="https://www.crunchbase.com/funding_round/arcbazar-com-seed--9e752211" TargetMode="External"/><Relationship Id="rId5567" Type="http://schemas.openxmlformats.org/officeDocument/2006/relationships/hyperlink" Target="http://www.motionloft.com/" TargetMode="External"/><Relationship Id="rId498" Type="http://schemas.openxmlformats.org/officeDocument/2006/relationships/hyperlink" Target="https://www.crunchbase.com/funding_round/common-2-series-a--710bd1e1" TargetMode="External"/><Relationship Id="rId4234" Type="http://schemas.openxmlformats.org/officeDocument/2006/relationships/hyperlink" Target="https://www.arcbazar.com/" TargetMode="External"/><Relationship Id="rId5568" Type="http://schemas.openxmlformats.org/officeDocument/2006/relationships/hyperlink" Target="http://movingnow.in" TargetMode="External"/><Relationship Id="rId497" Type="http://schemas.openxmlformats.org/officeDocument/2006/relationships/hyperlink" Target="https://www.common.com" TargetMode="External"/><Relationship Id="rId4237" Type="http://schemas.openxmlformats.org/officeDocument/2006/relationships/hyperlink" Target="https://angel.co/liveinspce" TargetMode="External"/><Relationship Id="rId5565" Type="http://schemas.openxmlformats.org/officeDocument/2006/relationships/hyperlink" Target="https://angel.co/motionloft/" TargetMode="External"/><Relationship Id="rId496" Type="http://schemas.openxmlformats.org/officeDocument/2006/relationships/hyperlink" Target="https://www.crunchbase.com/organization/common-2" TargetMode="External"/><Relationship Id="rId4236" Type="http://schemas.openxmlformats.org/officeDocument/2006/relationships/hyperlink" Target="https://www.crunchbase.com/funding_round/arcbazar-com-series-unknown--de545652" TargetMode="External"/><Relationship Id="rId5566" Type="http://schemas.openxmlformats.org/officeDocument/2006/relationships/hyperlink" Target="https://www.crunchbase.com/organization/motionloft" TargetMode="External"/><Relationship Id="rId4260" Type="http://schemas.openxmlformats.org/officeDocument/2006/relationships/hyperlink" Target="https://angel.co/stacksource" TargetMode="External"/><Relationship Id="rId5592" Type="http://schemas.openxmlformats.org/officeDocument/2006/relationships/hyperlink" Target="http://netdoorz.com/" TargetMode="External"/><Relationship Id="rId5593" Type="http://schemas.openxmlformats.org/officeDocument/2006/relationships/hyperlink" Target="https://www.crunchbase.com/organization/nexe-lifestyle" TargetMode="External"/><Relationship Id="rId4262" Type="http://schemas.openxmlformats.org/officeDocument/2006/relationships/hyperlink" Target="http://stacksource.com/" TargetMode="External"/><Relationship Id="rId5590" Type="http://schemas.openxmlformats.org/officeDocument/2006/relationships/hyperlink" Target="https://angel.co/company/netdoorz" TargetMode="External"/><Relationship Id="rId4261" Type="http://schemas.openxmlformats.org/officeDocument/2006/relationships/hyperlink" Target="https://www.crunchbase.com/organization/stacksource" TargetMode="External"/><Relationship Id="rId5591" Type="http://schemas.openxmlformats.org/officeDocument/2006/relationships/hyperlink" Target="https://www.crunchbase.com/organization/netdoorz" TargetMode="External"/><Relationship Id="rId4264" Type="http://schemas.openxmlformats.org/officeDocument/2006/relationships/hyperlink" Target="https://www.crunchbase.com/organization/aetos-imaging" TargetMode="External"/><Relationship Id="rId5596" Type="http://schemas.openxmlformats.org/officeDocument/2006/relationships/hyperlink" Target="https://nexudus.com" TargetMode="External"/><Relationship Id="rId4263" Type="http://schemas.openxmlformats.org/officeDocument/2006/relationships/hyperlink" Target="https://wellfound.com/company/aetos-imaging" TargetMode="External"/><Relationship Id="rId5597" Type="http://schemas.openxmlformats.org/officeDocument/2006/relationships/hyperlink" Target="https://www.crunchbase.com/organization/nexus-systems" TargetMode="External"/><Relationship Id="rId4266" Type="http://schemas.openxmlformats.org/officeDocument/2006/relationships/hyperlink" Target="https://www.crunchbase.com/funding_round/aetos-imaging-seed--09d497a4" TargetMode="External"/><Relationship Id="rId5594" Type="http://schemas.openxmlformats.org/officeDocument/2006/relationships/hyperlink" Target="https://www.nexelifestyle.com/" TargetMode="External"/><Relationship Id="rId4265" Type="http://schemas.openxmlformats.org/officeDocument/2006/relationships/hyperlink" Target="https://aetosimaging.com/" TargetMode="External"/><Relationship Id="rId5595" Type="http://schemas.openxmlformats.org/officeDocument/2006/relationships/hyperlink" Target="https://www.crunchbase.com/organization/nexudus" TargetMode="External"/><Relationship Id="rId4268" Type="http://schemas.openxmlformats.org/officeDocument/2006/relationships/hyperlink" Target="https://wellfound.com/company/dwello-1" TargetMode="External"/><Relationship Id="rId4267" Type="http://schemas.openxmlformats.org/officeDocument/2006/relationships/hyperlink" Target="https://www.crunchbase.com/funding_round/aetos-imaging-debt-financing--99481c2f" TargetMode="External"/><Relationship Id="rId5598" Type="http://schemas.openxmlformats.org/officeDocument/2006/relationships/hyperlink" Target="https://nexussystems.com/" TargetMode="External"/><Relationship Id="rId4269" Type="http://schemas.openxmlformats.org/officeDocument/2006/relationships/hyperlink" Target="https://www.crunchbase.com/organization/dwello-1f00" TargetMode="External"/><Relationship Id="rId5599" Type="http://schemas.openxmlformats.org/officeDocument/2006/relationships/hyperlink" Target="https://angel.co/company/nimblechapps" TargetMode="External"/><Relationship Id="rId5581" Type="http://schemas.openxmlformats.org/officeDocument/2006/relationships/hyperlink" Target="https://myperfectworkplace.com/" TargetMode="External"/><Relationship Id="rId5582" Type="http://schemas.openxmlformats.org/officeDocument/2006/relationships/hyperlink" Target="https://angel.co/company/myriad-360-1" TargetMode="External"/><Relationship Id="rId4251" Type="http://schemas.openxmlformats.org/officeDocument/2006/relationships/hyperlink" Target="https://www.railyard.com/" TargetMode="External"/><Relationship Id="rId4250" Type="http://schemas.openxmlformats.org/officeDocument/2006/relationships/hyperlink" Target="https://www.crunchbase.com/organization/rail-yard" TargetMode="External"/><Relationship Id="rId5580" Type="http://schemas.openxmlformats.org/officeDocument/2006/relationships/hyperlink" Target="https://www.crunchbase.com/organization/my-perfect-workplace" TargetMode="External"/><Relationship Id="rId4253" Type="http://schemas.openxmlformats.org/officeDocument/2006/relationships/hyperlink" Target="https://angel.co/company/arextech" TargetMode="External"/><Relationship Id="rId5585" Type="http://schemas.openxmlformats.org/officeDocument/2006/relationships/hyperlink" Target="https://angel.co/company/mywifiextnetsetup" TargetMode="External"/><Relationship Id="rId4252" Type="http://schemas.openxmlformats.org/officeDocument/2006/relationships/hyperlink" Target="https://www.crunchbase.com/funding_round/rail-yard-seed--4c2d69d6" TargetMode="External"/><Relationship Id="rId5586" Type="http://schemas.openxmlformats.org/officeDocument/2006/relationships/hyperlink" Target="https://www.crunchbase.com/organization/mywifiext-f990" TargetMode="External"/><Relationship Id="rId4255" Type="http://schemas.openxmlformats.org/officeDocument/2006/relationships/hyperlink" Target="https://arex.technology/" TargetMode="External"/><Relationship Id="rId5583" Type="http://schemas.openxmlformats.org/officeDocument/2006/relationships/hyperlink" Target="https://www.crunchbase.com/organization/myriad360" TargetMode="External"/><Relationship Id="rId4254" Type="http://schemas.openxmlformats.org/officeDocument/2006/relationships/hyperlink" Target="https://www.crunchbase.com/organization/arextech" TargetMode="External"/><Relationship Id="rId5584" Type="http://schemas.openxmlformats.org/officeDocument/2006/relationships/hyperlink" Target="https://myriad360.com/" TargetMode="External"/><Relationship Id="rId4257" Type="http://schemas.openxmlformats.org/officeDocument/2006/relationships/hyperlink" Target="https://angel.co/company/meviapp" TargetMode="External"/><Relationship Id="rId5589" Type="http://schemas.openxmlformats.org/officeDocument/2006/relationships/hyperlink" Target="https://www.nesterly.com" TargetMode="External"/><Relationship Id="rId4256" Type="http://schemas.openxmlformats.org/officeDocument/2006/relationships/hyperlink" Target="https://www.crunchbase.com/funding_round/arextech-pre-seed--5eb7d7ca" TargetMode="External"/><Relationship Id="rId4259" Type="http://schemas.openxmlformats.org/officeDocument/2006/relationships/hyperlink" Target="https://www.mevi.io/home" TargetMode="External"/><Relationship Id="rId5587" Type="http://schemas.openxmlformats.org/officeDocument/2006/relationships/hyperlink" Target="https://mywiefiext.net/" TargetMode="External"/><Relationship Id="rId4258" Type="http://schemas.openxmlformats.org/officeDocument/2006/relationships/hyperlink" Target="https://www.crunchbase.com/organization/mevi" TargetMode="External"/><Relationship Id="rId5588" Type="http://schemas.openxmlformats.org/officeDocument/2006/relationships/hyperlink" Target="https://www.nearlist.com/" TargetMode="External"/><Relationship Id="rId409" Type="http://schemas.openxmlformats.org/officeDocument/2006/relationships/hyperlink" Target="https://www.crunchbase.com/organization/casavo" TargetMode="External"/><Relationship Id="rId404" Type="http://schemas.openxmlformats.org/officeDocument/2006/relationships/hyperlink" Target="https://www.crunchbase.com/funding_round/tado-series-e--447ce041" TargetMode="External"/><Relationship Id="rId403" Type="http://schemas.openxmlformats.org/officeDocument/2006/relationships/hyperlink" Target="https://www.crunchbase.com/funding_round/tado-series-d--3a0aa2fc" TargetMode="External"/><Relationship Id="rId402" Type="http://schemas.openxmlformats.org/officeDocument/2006/relationships/hyperlink" Target="https://www.crunchbase.com/funding_round/tado-series-c--2570dba1" TargetMode="External"/><Relationship Id="rId401" Type="http://schemas.openxmlformats.org/officeDocument/2006/relationships/hyperlink" Target="https://www.crunchbase.com/funding_round/tado-series-b--69075a52" TargetMode="External"/><Relationship Id="rId408" Type="http://schemas.openxmlformats.org/officeDocument/2006/relationships/hyperlink" Target="https://angel.co/company/casavo" TargetMode="External"/><Relationship Id="rId407" Type="http://schemas.openxmlformats.org/officeDocument/2006/relationships/hyperlink" Target="https://www.crunchbase.com/funding_round/tado-series-unknown--5c857b9f" TargetMode="External"/><Relationship Id="rId406" Type="http://schemas.openxmlformats.org/officeDocument/2006/relationships/hyperlink" Target="https://www.crunchbase.com/funding_round/tado-corporate-round--ae023c17" TargetMode="External"/><Relationship Id="rId405" Type="http://schemas.openxmlformats.org/officeDocument/2006/relationships/hyperlink" Target="https://www.crunchbase.com/funding_round/tado-series-f--dca75d4c" TargetMode="External"/><Relationship Id="rId400" Type="http://schemas.openxmlformats.org/officeDocument/2006/relationships/hyperlink" Target="https://www.crunchbase.com/funding_round/tado-series-a--a466c435" TargetMode="External"/><Relationship Id="rId4327" Type="http://schemas.openxmlformats.org/officeDocument/2006/relationships/hyperlink" Target="https://www.whyfly.com/" TargetMode="External"/><Relationship Id="rId5659" Type="http://schemas.openxmlformats.org/officeDocument/2006/relationships/hyperlink" Target="https://permits.com/" TargetMode="External"/><Relationship Id="rId4326" Type="http://schemas.openxmlformats.org/officeDocument/2006/relationships/hyperlink" Target="https://www.crunchbase.com/organization/whyfly" TargetMode="External"/><Relationship Id="rId4329" Type="http://schemas.openxmlformats.org/officeDocument/2006/relationships/hyperlink" Target="https://angel.co/company/cortex-3" TargetMode="External"/><Relationship Id="rId5657" Type="http://schemas.openxmlformats.org/officeDocument/2006/relationships/hyperlink" Target="https://angel.co/company/permitzone" TargetMode="External"/><Relationship Id="rId4328" Type="http://schemas.openxmlformats.org/officeDocument/2006/relationships/hyperlink" Target="https://www.crunchbase.com/funding_round/whyfly-seed--dd54207b" TargetMode="External"/><Relationship Id="rId5658" Type="http://schemas.openxmlformats.org/officeDocument/2006/relationships/hyperlink" Target="https://www.crunchbase.com/organization/permitzone" TargetMode="External"/><Relationship Id="rId469" Type="http://schemas.openxmlformats.org/officeDocument/2006/relationships/hyperlink" Target="https://www.crunchbase.com/funding_round/zeus-living-series-a--1ae238d9" TargetMode="External"/><Relationship Id="rId468" Type="http://schemas.openxmlformats.org/officeDocument/2006/relationships/hyperlink" Target="https://www.crunchbase.com/funding_round/zeus-living-seed--c5a7562b" TargetMode="External"/><Relationship Id="rId467" Type="http://schemas.openxmlformats.org/officeDocument/2006/relationships/hyperlink" Target="https://www.crunchbase.com/funding_round/zeus-living-pre-seed--e11c83ed" TargetMode="External"/><Relationship Id="rId462" Type="http://schemas.openxmlformats.org/officeDocument/2006/relationships/hyperlink" Target="https://www.crunchbase.com/funding_round/dealpath-series-c--b77791ef" TargetMode="External"/><Relationship Id="rId5651" Type="http://schemas.openxmlformats.org/officeDocument/2006/relationships/hyperlink" Target="http://www.patrocinium.com" TargetMode="External"/><Relationship Id="rId461" Type="http://schemas.openxmlformats.org/officeDocument/2006/relationships/hyperlink" Target="https://www.crunchbase.com/funding_round/dealpath-seed--ecca2d89" TargetMode="External"/><Relationship Id="rId5652" Type="http://schemas.openxmlformats.org/officeDocument/2006/relationships/hyperlink" Target="https://angel.co/company/peak-power-1" TargetMode="External"/><Relationship Id="rId460" Type="http://schemas.openxmlformats.org/officeDocument/2006/relationships/hyperlink" Target="http://www.dealpath.com/" TargetMode="External"/><Relationship Id="rId4321" Type="http://schemas.openxmlformats.org/officeDocument/2006/relationships/hyperlink" Target="https://www.crunchbase.com/funding_round/opiniion-inc-seed--487f0c02" TargetMode="External"/><Relationship Id="rId4320" Type="http://schemas.openxmlformats.org/officeDocument/2006/relationships/hyperlink" Target="https://www.opiniion.com/" TargetMode="External"/><Relationship Id="rId5650" Type="http://schemas.openxmlformats.org/officeDocument/2006/relationships/hyperlink" Target="https://www.crunchbase.com/organization/patrocinium-systems" TargetMode="External"/><Relationship Id="rId466" Type="http://schemas.openxmlformats.org/officeDocument/2006/relationships/hyperlink" Target="https://zeusliving.com" TargetMode="External"/><Relationship Id="rId4323" Type="http://schemas.openxmlformats.org/officeDocument/2006/relationships/hyperlink" Target="https://www.crunchbase.com/organization/revista" TargetMode="External"/><Relationship Id="rId5655" Type="http://schemas.openxmlformats.org/officeDocument/2006/relationships/hyperlink" Target="https://www.crunchbase.com/organization/peppyocean" TargetMode="External"/><Relationship Id="rId465" Type="http://schemas.openxmlformats.org/officeDocument/2006/relationships/hyperlink" Target="https://www.crunchbase.com/organization/zeus-living" TargetMode="External"/><Relationship Id="rId4322" Type="http://schemas.openxmlformats.org/officeDocument/2006/relationships/hyperlink" Target="https://angel.co/company/revista" TargetMode="External"/><Relationship Id="rId5656" Type="http://schemas.openxmlformats.org/officeDocument/2006/relationships/hyperlink" Target="https://www.peppyocean.com/" TargetMode="External"/><Relationship Id="rId464" Type="http://schemas.openxmlformats.org/officeDocument/2006/relationships/hyperlink" Target="https://angel.co/company/zeus" TargetMode="External"/><Relationship Id="rId4325" Type="http://schemas.openxmlformats.org/officeDocument/2006/relationships/hyperlink" Target="https://www.crunchbase.com/funding_round/revista-seed--e431ab9f" TargetMode="External"/><Relationship Id="rId5653" Type="http://schemas.openxmlformats.org/officeDocument/2006/relationships/hyperlink" Target="http://www.peakpowerenergy.com/" TargetMode="External"/><Relationship Id="rId463" Type="http://schemas.openxmlformats.org/officeDocument/2006/relationships/hyperlink" Target="https://www.crunchbase.com/funding_round/dealpath-corporate-round--5cf95709" TargetMode="External"/><Relationship Id="rId4324" Type="http://schemas.openxmlformats.org/officeDocument/2006/relationships/hyperlink" Target="https://revistamed.com/" TargetMode="External"/><Relationship Id="rId5654" Type="http://schemas.openxmlformats.org/officeDocument/2006/relationships/hyperlink" Target="https://angel.co/company/peppyocean" TargetMode="External"/><Relationship Id="rId4316" Type="http://schemas.openxmlformats.org/officeDocument/2006/relationships/hyperlink" Target="https://angel.co/company/kairos-iot" TargetMode="External"/><Relationship Id="rId5648" Type="http://schemas.openxmlformats.org/officeDocument/2006/relationships/hyperlink" Target="https://www.crunchbase.com/organization/parafin" TargetMode="External"/><Relationship Id="rId4315" Type="http://schemas.openxmlformats.org/officeDocument/2006/relationships/hyperlink" Target="https://www.coworker.com/" TargetMode="External"/><Relationship Id="rId5649" Type="http://schemas.openxmlformats.org/officeDocument/2006/relationships/hyperlink" Target="http://www.parafin3d.com/" TargetMode="External"/><Relationship Id="rId4318" Type="http://schemas.openxmlformats.org/officeDocument/2006/relationships/hyperlink" Target="https://www.kairoswater.io/" TargetMode="External"/><Relationship Id="rId5646" Type="http://schemas.openxmlformats.org/officeDocument/2006/relationships/hyperlink" Target="https://paperstac.com/" TargetMode="External"/><Relationship Id="rId4317" Type="http://schemas.openxmlformats.org/officeDocument/2006/relationships/hyperlink" Target="https://www.crunchbase.com/organization/kairos-iot" TargetMode="External"/><Relationship Id="rId5647" Type="http://schemas.openxmlformats.org/officeDocument/2006/relationships/hyperlink" Target="https://angel.co/company/parafin" TargetMode="External"/><Relationship Id="rId4319" Type="http://schemas.openxmlformats.org/officeDocument/2006/relationships/hyperlink" Target="https://www.crunchbase.com/organization/opiniion-inc" TargetMode="External"/><Relationship Id="rId459" Type="http://schemas.openxmlformats.org/officeDocument/2006/relationships/hyperlink" Target="https://www.crunchbase.com/organization/dealpath" TargetMode="External"/><Relationship Id="rId458" Type="http://schemas.openxmlformats.org/officeDocument/2006/relationships/hyperlink" Target="https://angel.co/dealpath" TargetMode="External"/><Relationship Id="rId457" Type="http://schemas.openxmlformats.org/officeDocument/2006/relationships/hyperlink" Target="https://www.crunchbase.com/funding_round/compstak-debt-financing--1da6d1cc" TargetMode="External"/><Relationship Id="rId456" Type="http://schemas.openxmlformats.org/officeDocument/2006/relationships/hyperlink" Target="https://www.crunchbase.com/funding_round/compstak-series-unknown--8fa2595a" TargetMode="External"/><Relationship Id="rId451" Type="http://schemas.openxmlformats.org/officeDocument/2006/relationships/hyperlink" Target="https://angel.co/cherre" TargetMode="External"/><Relationship Id="rId5640" Type="http://schemas.openxmlformats.org/officeDocument/2006/relationships/hyperlink" Target="https://www.crunchbase.com/organization/padmint" TargetMode="External"/><Relationship Id="rId450" Type="http://schemas.openxmlformats.org/officeDocument/2006/relationships/hyperlink" Target="https://www.crunchbase.com/funding_round/fetch-package-debt-financing--469ff0b8" TargetMode="External"/><Relationship Id="rId5641" Type="http://schemas.openxmlformats.org/officeDocument/2006/relationships/hyperlink" Target="http://www.padmint.com/" TargetMode="External"/><Relationship Id="rId4310" Type="http://schemas.openxmlformats.org/officeDocument/2006/relationships/hyperlink" Target="https://floodscores.com/" TargetMode="External"/><Relationship Id="rId455" Type="http://schemas.openxmlformats.org/officeDocument/2006/relationships/hyperlink" Target="https://www.prweb.com/releases/2014/11/prweb12328941.htm" TargetMode="External"/><Relationship Id="rId4312" Type="http://schemas.openxmlformats.org/officeDocument/2006/relationships/hyperlink" Target="https://www.crunchbase.com/organization/abstract-tokenization" TargetMode="External"/><Relationship Id="rId5644" Type="http://schemas.openxmlformats.org/officeDocument/2006/relationships/hyperlink" Target="https://angel.co/company/paperstac" TargetMode="External"/><Relationship Id="rId454" Type="http://schemas.openxmlformats.org/officeDocument/2006/relationships/hyperlink" Target="http://www.compstak.com/" TargetMode="External"/><Relationship Id="rId4311" Type="http://schemas.openxmlformats.org/officeDocument/2006/relationships/hyperlink" Target="https://www.crunchbase.com/funding_round/coastal-risk-consulting-seed--eb00958d" TargetMode="External"/><Relationship Id="rId5645" Type="http://schemas.openxmlformats.org/officeDocument/2006/relationships/hyperlink" Target="https://www.crunchbase.com/organization/paperstac" TargetMode="External"/><Relationship Id="rId453" Type="http://schemas.openxmlformats.org/officeDocument/2006/relationships/hyperlink" Target="https://www.crunchbase.com/organization/compstak" TargetMode="External"/><Relationship Id="rId4314" Type="http://schemas.openxmlformats.org/officeDocument/2006/relationships/hyperlink" Target="https://www.crunchbase.com/organization/coworker" TargetMode="External"/><Relationship Id="rId5642" Type="http://schemas.openxmlformats.org/officeDocument/2006/relationships/hyperlink" Target="https://angel.co/company/pando-group" TargetMode="External"/><Relationship Id="rId452" Type="http://schemas.openxmlformats.org/officeDocument/2006/relationships/hyperlink" Target="https://angel.co/compstak" TargetMode="External"/><Relationship Id="rId4313" Type="http://schemas.openxmlformats.org/officeDocument/2006/relationships/hyperlink" Target="http://coworker.com/" TargetMode="External"/><Relationship Id="rId5643" Type="http://schemas.openxmlformats.org/officeDocument/2006/relationships/hyperlink" Target="https://www.pandogrp.com/who-we-are.html" TargetMode="External"/><Relationship Id="rId3018" Type="http://schemas.openxmlformats.org/officeDocument/2006/relationships/hyperlink" Target="https://www.crunchbase.com/funding_round/smartpm-technologies-corporate-round--f4441861" TargetMode="External"/><Relationship Id="rId4349" Type="http://schemas.openxmlformats.org/officeDocument/2006/relationships/hyperlink" Target="https://www.crunchbase.com/funding_round/tribboo-pre-seed--36015b5b" TargetMode="External"/><Relationship Id="rId3017" Type="http://schemas.openxmlformats.org/officeDocument/2006/relationships/hyperlink" Target="https://www.crunchbase.com/funding_round/smartpm-technologies-angel--dc6f2432" TargetMode="External"/><Relationship Id="rId4348" Type="http://schemas.openxmlformats.org/officeDocument/2006/relationships/hyperlink" Target="https://www.tribboo.co/" TargetMode="External"/><Relationship Id="rId5679" Type="http://schemas.openxmlformats.org/officeDocument/2006/relationships/hyperlink" Target="https://www.crunchbase.com/organization/pointguard" TargetMode="External"/><Relationship Id="rId3019" Type="http://schemas.openxmlformats.org/officeDocument/2006/relationships/hyperlink" Target="https://angel.co/alphaflow/" TargetMode="External"/><Relationship Id="rId491" Type="http://schemas.openxmlformats.org/officeDocument/2006/relationships/hyperlink" Target="https://www.crunchbase.com/funding_round/molekule-series-a--27197b87" TargetMode="External"/><Relationship Id="rId490" Type="http://schemas.openxmlformats.org/officeDocument/2006/relationships/hyperlink" Target="https://www.crunchbase.com/funding_round/molekule-seed--d1ce5bfb" TargetMode="External"/><Relationship Id="rId489" Type="http://schemas.openxmlformats.org/officeDocument/2006/relationships/hyperlink" Target="https://molekule.com/" TargetMode="External"/><Relationship Id="rId5670" Type="http://schemas.openxmlformats.org/officeDocument/2006/relationships/hyperlink" Target="https://www.crunchbase.com/organization/planitar" TargetMode="External"/><Relationship Id="rId484" Type="http://schemas.openxmlformats.org/officeDocument/2006/relationships/hyperlink" Target="https://www.crunchbase.com/organization/orbital-insight-inc" TargetMode="External"/><Relationship Id="rId3010" Type="http://schemas.openxmlformats.org/officeDocument/2006/relationships/hyperlink" Target="https://www.crunchbase.com/organization/groundfloor-2" TargetMode="External"/><Relationship Id="rId4341" Type="http://schemas.openxmlformats.org/officeDocument/2006/relationships/hyperlink" Target="https://www.crunchbase.com/organization/seqoon" TargetMode="External"/><Relationship Id="rId5673" Type="http://schemas.openxmlformats.org/officeDocument/2006/relationships/hyperlink" Target="https://plannedgrocery.com/" TargetMode="External"/><Relationship Id="rId483" Type="http://schemas.openxmlformats.org/officeDocument/2006/relationships/hyperlink" Target="https://angel.co/orbital-insight" TargetMode="External"/><Relationship Id="rId4340" Type="http://schemas.openxmlformats.org/officeDocument/2006/relationships/hyperlink" Target="https://angel.co/company/seqoon" TargetMode="External"/><Relationship Id="rId5674" Type="http://schemas.openxmlformats.org/officeDocument/2006/relationships/hyperlink" Target="https://angel.co/company/pocketstop" TargetMode="External"/><Relationship Id="rId482" Type="http://schemas.openxmlformats.org/officeDocument/2006/relationships/hyperlink" Target="https://www.crunchbase.com/funding_round/bevi-grant--30140538" TargetMode="External"/><Relationship Id="rId3012" Type="http://schemas.openxmlformats.org/officeDocument/2006/relationships/hyperlink" Target="https://www.crunchbase.com/organization/skyline-robotics" TargetMode="External"/><Relationship Id="rId4343" Type="http://schemas.openxmlformats.org/officeDocument/2006/relationships/hyperlink" Target="https://www.crunchbase.com/funding_round/seqoon-pre-seed--f520c172" TargetMode="External"/><Relationship Id="rId5671" Type="http://schemas.openxmlformats.org/officeDocument/2006/relationships/hyperlink" Target="https://goiguide.com/" TargetMode="External"/><Relationship Id="rId481" Type="http://schemas.openxmlformats.org/officeDocument/2006/relationships/hyperlink" Target="https://www.crunchbase.com/funding_round/bevi-convertible-note--554de48d" TargetMode="External"/><Relationship Id="rId3011" Type="http://schemas.openxmlformats.org/officeDocument/2006/relationships/hyperlink" Target="https://groundfloor.us/" TargetMode="External"/><Relationship Id="rId4342" Type="http://schemas.openxmlformats.org/officeDocument/2006/relationships/hyperlink" Target="https://www.seqoon.com/" TargetMode="External"/><Relationship Id="rId5672" Type="http://schemas.openxmlformats.org/officeDocument/2006/relationships/hyperlink" Target="https://www.crunchbase.com/organization/planned-grocery" TargetMode="External"/><Relationship Id="rId488" Type="http://schemas.openxmlformats.org/officeDocument/2006/relationships/hyperlink" Target="https://www.crunchbase.com/organization/molekule" TargetMode="External"/><Relationship Id="rId3014" Type="http://schemas.openxmlformats.org/officeDocument/2006/relationships/hyperlink" Target="https://www.crunchbase.com/organization/smartpm-technologies" TargetMode="External"/><Relationship Id="rId4345" Type="http://schemas.openxmlformats.org/officeDocument/2006/relationships/hyperlink" Target="https://www.crunchbase.com/organization/stringbean-technologies" TargetMode="External"/><Relationship Id="rId5677" Type="http://schemas.openxmlformats.org/officeDocument/2006/relationships/hyperlink" Target="https://www.crunchbase.com/organization/point-load-power" TargetMode="External"/><Relationship Id="rId487" Type="http://schemas.openxmlformats.org/officeDocument/2006/relationships/hyperlink" Target="https://www.crunchbase.com/funding_round/peerstreet-debt-financing--ceacb92d" TargetMode="External"/><Relationship Id="rId3013" Type="http://schemas.openxmlformats.org/officeDocument/2006/relationships/hyperlink" Target="https://www.skylinerobotics.com/" TargetMode="External"/><Relationship Id="rId4344" Type="http://schemas.openxmlformats.org/officeDocument/2006/relationships/hyperlink" Target="https://angel.co/company/stringbean-technologies" TargetMode="External"/><Relationship Id="rId5678" Type="http://schemas.openxmlformats.org/officeDocument/2006/relationships/hyperlink" Target="https://www.pointloadpower.com/" TargetMode="External"/><Relationship Id="rId486" Type="http://schemas.openxmlformats.org/officeDocument/2006/relationships/hyperlink" Target="https://www.crunchbase.com/funding_round/orbital-insight-inc-series-e--51f4799f" TargetMode="External"/><Relationship Id="rId3016" Type="http://schemas.openxmlformats.org/officeDocument/2006/relationships/hyperlink" Target="https://www.crunchbase.com/funding_round/smartpm-technologies-seed--aca0ee20" TargetMode="External"/><Relationship Id="rId4347" Type="http://schemas.openxmlformats.org/officeDocument/2006/relationships/hyperlink" Target="https://www.crunchbase.com/organization/tribboo" TargetMode="External"/><Relationship Id="rId5675" Type="http://schemas.openxmlformats.org/officeDocument/2006/relationships/hyperlink" Target="https://www.crunchbase.com/organization/pocketstop" TargetMode="External"/><Relationship Id="rId485" Type="http://schemas.openxmlformats.org/officeDocument/2006/relationships/hyperlink" Target="http://www.orbitalinsight.com/" TargetMode="External"/><Relationship Id="rId3015" Type="http://schemas.openxmlformats.org/officeDocument/2006/relationships/hyperlink" Target="https://smartpmtech.com/" TargetMode="External"/><Relationship Id="rId4346" Type="http://schemas.openxmlformats.org/officeDocument/2006/relationships/hyperlink" Target="http://www.stringbean.tech/" TargetMode="External"/><Relationship Id="rId5676" Type="http://schemas.openxmlformats.org/officeDocument/2006/relationships/hyperlink" Target="https://pocketstop.com/" TargetMode="External"/><Relationship Id="rId3007" Type="http://schemas.openxmlformats.org/officeDocument/2006/relationships/hyperlink" Target="https://www.getplunk.com/" TargetMode="External"/><Relationship Id="rId4338" Type="http://schemas.openxmlformats.org/officeDocument/2006/relationships/hyperlink" Target="https://richr.com/" TargetMode="External"/><Relationship Id="rId3006" Type="http://schemas.openxmlformats.org/officeDocument/2006/relationships/hyperlink" Target="https://www.crunchbase.com/organization/plunk-1950" TargetMode="External"/><Relationship Id="rId4337" Type="http://schemas.openxmlformats.org/officeDocument/2006/relationships/hyperlink" Target="https://www.crunchbase.com/organization/richr" TargetMode="External"/><Relationship Id="rId3009" Type="http://schemas.openxmlformats.org/officeDocument/2006/relationships/hyperlink" Target="https://angel.co/company/groundfloor" TargetMode="External"/><Relationship Id="rId5668" Type="http://schemas.openxmlformats.org/officeDocument/2006/relationships/hyperlink" Target="https://www.crunchbase.com/organization/planhub" TargetMode="External"/><Relationship Id="rId3008" Type="http://schemas.openxmlformats.org/officeDocument/2006/relationships/hyperlink" Target="https://www.crunchbase.com/funding_round/plunk-1950-seed--505f52c5" TargetMode="External"/><Relationship Id="rId4339" Type="http://schemas.openxmlformats.org/officeDocument/2006/relationships/hyperlink" Target="https://www.crunchbase.com/funding_round/richr-pre-seed--76e63546" TargetMode="External"/><Relationship Id="rId5669" Type="http://schemas.openxmlformats.org/officeDocument/2006/relationships/hyperlink" Target="https://www.planhub.com/" TargetMode="External"/><Relationship Id="rId480" Type="http://schemas.openxmlformats.org/officeDocument/2006/relationships/hyperlink" Target="https://www.crunchbase.com/funding_round/bevi-series-d--b130ffcb" TargetMode="External"/><Relationship Id="rId479" Type="http://schemas.openxmlformats.org/officeDocument/2006/relationships/hyperlink" Target="https://www.crunchbase.com/funding_round/bevi-series-c--2138a604" TargetMode="External"/><Relationship Id="rId478" Type="http://schemas.openxmlformats.org/officeDocument/2006/relationships/hyperlink" Target="https://www.crunchbase.com/funding_round/bevi-series-b--15ab52ad" TargetMode="External"/><Relationship Id="rId473" Type="http://schemas.openxmlformats.org/officeDocument/2006/relationships/hyperlink" Target="https://angel.co/company/bevi-1" TargetMode="External"/><Relationship Id="rId4330" Type="http://schemas.openxmlformats.org/officeDocument/2006/relationships/hyperlink" Target="https://www.crunchbase.com/organization/cortex-4" TargetMode="External"/><Relationship Id="rId5662" Type="http://schemas.openxmlformats.org/officeDocument/2006/relationships/hyperlink" Target="https://perspective3-d.com/" TargetMode="External"/><Relationship Id="rId472" Type="http://schemas.openxmlformats.org/officeDocument/2006/relationships/hyperlink" Target="https://www.crunchbase.com/funding_round/zeus-living-debt-financing--04bbf850" TargetMode="External"/><Relationship Id="rId5663" Type="http://schemas.openxmlformats.org/officeDocument/2006/relationships/hyperlink" Target="https://angel.co/u/phoenixrs" TargetMode="External"/><Relationship Id="rId471" Type="http://schemas.openxmlformats.org/officeDocument/2006/relationships/hyperlink" Target="https://www.crunchbase.com/funding_round/zeus-living-series-unknown--c5fbd565" TargetMode="External"/><Relationship Id="rId3001" Type="http://schemas.openxmlformats.org/officeDocument/2006/relationships/hyperlink" Target="https://angel.co/company/kaarta" TargetMode="External"/><Relationship Id="rId4332" Type="http://schemas.openxmlformats.org/officeDocument/2006/relationships/hyperlink" Target="https://www.crunchbase.com/funding_round/cortex-4-pre-seed--796c9ef3" TargetMode="External"/><Relationship Id="rId5660" Type="http://schemas.openxmlformats.org/officeDocument/2006/relationships/hyperlink" Target="https://www.crunchbase.com/organization/pereview-software" TargetMode="External"/><Relationship Id="rId470" Type="http://schemas.openxmlformats.org/officeDocument/2006/relationships/hyperlink" Target="https://www.crunchbase.com/funding_round/zeus-living-series-b--011d2499" TargetMode="External"/><Relationship Id="rId3000" Type="http://schemas.openxmlformats.org/officeDocument/2006/relationships/hyperlink" Target="https://www.crunchbase.com/funding_round/mogul-series-a--22200795" TargetMode="External"/><Relationship Id="rId4331" Type="http://schemas.openxmlformats.org/officeDocument/2006/relationships/hyperlink" Target="https://www.meetcortex.com/" TargetMode="External"/><Relationship Id="rId5661" Type="http://schemas.openxmlformats.org/officeDocument/2006/relationships/hyperlink" Target="https://pereviewsoftware.com/" TargetMode="External"/><Relationship Id="rId477" Type="http://schemas.openxmlformats.org/officeDocument/2006/relationships/hyperlink" Target="https://www.crunchbase.com/funding_round/bevi-series-a--0d9545df" TargetMode="External"/><Relationship Id="rId3003" Type="http://schemas.openxmlformats.org/officeDocument/2006/relationships/hyperlink" Target="https://www.kaarta.com/" TargetMode="External"/><Relationship Id="rId4334" Type="http://schemas.openxmlformats.org/officeDocument/2006/relationships/hyperlink" Target="https://www.crunchbase.com/organization/halo-2e0a" TargetMode="External"/><Relationship Id="rId5666" Type="http://schemas.openxmlformats.org/officeDocument/2006/relationships/hyperlink" Target="https://pinput.com/" TargetMode="External"/><Relationship Id="rId476" Type="http://schemas.openxmlformats.org/officeDocument/2006/relationships/hyperlink" Target="https://www.crunchbase.com/funding_round/bevi-seed--d1b37e66" TargetMode="External"/><Relationship Id="rId3002" Type="http://schemas.openxmlformats.org/officeDocument/2006/relationships/hyperlink" Target="https://www.crunchbase.com/organization/kaarta" TargetMode="External"/><Relationship Id="rId4333" Type="http://schemas.openxmlformats.org/officeDocument/2006/relationships/hyperlink" Target="https://angel.co/company/halocures" TargetMode="External"/><Relationship Id="rId5667" Type="http://schemas.openxmlformats.org/officeDocument/2006/relationships/hyperlink" Target="https://www.placeint.com" TargetMode="External"/><Relationship Id="rId475" Type="http://schemas.openxmlformats.org/officeDocument/2006/relationships/hyperlink" Target="http://www.bevi.co/" TargetMode="External"/><Relationship Id="rId3005" Type="http://schemas.openxmlformats.org/officeDocument/2006/relationships/hyperlink" Target="https://angel.co/company/getplunk" TargetMode="External"/><Relationship Id="rId4336" Type="http://schemas.openxmlformats.org/officeDocument/2006/relationships/hyperlink" Target="https://angel.co/company/richr" TargetMode="External"/><Relationship Id="rId5664" Type="http://schemas.openxmlformats.org/officeDocument/2006/relationships/hyperlink" Target="https://www.phoenixrs.com/" TargetMode="External"/><Relationship Id="rId474" Type="http://schemas.openxmlformats.org/officeDocument/2006/relationships/hyperlink" Target="https://www.crunchbase.com/organization/bevi" TargetMode="External"/><Relationship Id="rId3004" Type="http://schemas.openxmlformats.org/officeDocument/2006/relationships/hyperlink" Target="https://www.crunchbase.com/funding_round/kaarta-series-a--822d16a6" TargetMode="External"/><Relationship Id="rId4335" Type="http://schemas.openxmlformats.org/officeDocument/2006/relationships/hyperlink" Target="https://mobilerf.com/" TargetMode="External"/><Relationship Id="rId5665" Type="http://schemas.openxmlformats.org/officeDocument/2006/relationships/hyperlink" Target="https://angel.co/company/pinput-real-estate-technology" TargetMode="External"/><Relationship Id="rId5615" Type="http://schemas.openxmlformats.org/officeDocument/2006/relationships/hyperlink" Target="https://angel.co/officespace-com" TargetMode="External"/><Relationship Id="rId5616" Type="http://schemas.openxmlformats.org/officeDocument/2006/relationships/hyperlink" Target="https://www.crunchbase.com/organization/officespace-com" TargetMode="External"/><Relationship Id="rId5613" Type="http://schemas.openxmlformats.org/officeDocument/2006/relationships/hyperlink" Target="https://angel.co/company/office-app" TargetMode="External"/><Relationship Id="rId5614" Type="http://schemas.openxmlformats.org/officeDocument/2006/relationships/hyperlink" Target="https://www.crunchbase.com/organization/office-app" TargetMode="External"/><Relationship Id="rId5619" Type="http://schemas.openxmlformats.org/officeDocument/2006/relationships/hyperlink" Target="https://www.crunchbase.com/organization/oizom" TargetMode="External"/><Relationship Id="rId5617" Type="http://schemas.openxmlformats.org/officeDocument/2006/relationships/hyperlink" Target="http://www.officespace.com/" TargetMode="External"/><Relationship Id="rId5618" Type="http://schemas.openxmlformats.org/officeDocument/2006/relationships/hyperlink" Target="https://angel.co/oizom" TargetMode="External"/><Relationship Id="rId426" Type="http://schemas.openxmlformats.org/officeDocument/2006/relationships/hyperlink" Target="https://www.lahaus.com/" TargetMode="External"/><Relationship Id="rId425" Type="http://schemas.openxmlformats.org/officeDocument/2006/relationships/hyperlink" Target="https://www.crunchbase.com/organization/la-haus" TargetMode="External"/><Relationship Id="rId424" Type="http://schemas.openxmlformats.org/officeDocument/2006/relationships/hyperlink" Target="https://angel.co/company/la-haus" TargetMode="External"/><Relationship Id="rId423" Type="http://schemas.openxmlformats.org/officeDocument/2006/relationships/hyperlink" Target="https://www.crunchbase.com/funding_round/lev-debt-financing--4b8fbc7d" TargetMode="External"/><Relationship Id="rId429" Type="http://schemas.openxmlformats.org/officeDocument/2006/relationships/hyperlink" Target="https://www.crunchbase.com/funding_round/la-haus-seed--f3de73a9" TargetMode="External"/><Relationship Id="rId428" Type="http://schemas.openxmlformats.org/officeDocument/2006/relationships/hyperlink" Target="https://www.crunchbase.com/funding_round/la-haus-pre-seed--4e406d08" TargetMode="External"/><Relationship Id="rId427" Type="http://schemas.openxmlformats.org/officeDocument/2006/relationships/hyperlink" Target="https://app.dealroom.co/companies/la_haus" TargetMode="External"/><Relationship Id="rId422" Type="http://schemas.openxmlformats.org/officeDocument/2006/relationships/hyperlink" Target="https://therealdeal.com/new-york/2022/05/05/cre-finance-marketplace-lev-raises-70m-series-b-confirming-trd-report/" TargetMode="External"/><Relationship Id="rId5611" Type="http://schemas.openxmlformats.org/officeDocument/2006/relationships/hyperlink" Target="https://www.offerd.com/" TargetMode="External"/><Relationship Id="rId421" Type="http://schemas.openxmlformats.org/officeDocument/2006/relationships/hyperlink" Target="https://www.levcapital.com/" TargetMode="External"/><Relationship Id="rId5612" Type="http://schemas.openxmlformats.org/officeDocument/2006/relationships/hyperlink" Target="https://www.office-hub.com/" TargetMode="External"/><Relationship Id="rId420" Type="http://schemas.openxmlformats.org/officeDocument/2006/relationships/hyperlink" Target="https://www.crunchbase.com/organization/lev" TargetMode="External"/><Relationship Id="rId5610" Type="http://schemas.openxmlformats.org/officeDocument/2006/relationships/hyperlink" Target="https://www.oddwayinternational.com/" TargetMode="External"/><Relationship Id="rId5604" Type="http://schemas.openxmlformats.org/officeDocument/2006/relationships/hyperlink" Target="http://www.novamen.ca/" TargetMode="External"/><Relationship Id="rId5605" Type="http://schemas.openxmlformats.org/officeDocument/2006/relationships/hyperlink" Target="https://angel.co/company/ntrustinfotech-1" TargetMode="External"/><Relationship Id="rId5602" Type="http://schemas.openxmlformats.org/officeDocument/2006/relationships/hyperlink" Target="https://angel.co/u/novamen-1" TargetMode="External"/><Relationship Id="rId5603" Type="http://schemas.openxmlformats.org/officeDocument/2006/relationships/hyperlink" Target="https://www.crunchbase.com/organization/novamem" TargetMode="External"/><Relationship Id="rId5608" Type="http://schemas.openxmlformats.org/officeDocument/2006/relationships/hyperlink" Target="https://angel.co/u/oddway-international-2" TargetMode="External"/><Relationship Id="rId5609" Type="http://schemas.openxmlformats.org/officeDocument/2006/relationships/hyperlink" Target="https://www.crunchbase.com/organization/oddway-international" TargetMode="External"/><Relationship Id="rId5606" Type="http://schemas.openxmlformats.org/officeDocument/2006/relationships/hyperlink" Target="https://www.crunchbase.com/organization/ntrust-acc3" TargetMode="External"/><Relationship Id="rId5607" Type="http://schemas.openxmlformats.org/officeDocument/2006/relationships/hyperlink" Target="https://www.ntrustinfotech.com/" TargetMode="External"/><Relationship Id="rId415" Type="http://schemas.openxmlformats.org/officeDocument/2006/relationships/hyperlink" Target="https://www.crunchbase.com/funding_round/casavo-series-b--fbb5a29f" TargetMode="External"/><Relationship Id="rId414" Type="http://schemas.openxmlformats.org/officeDocument/2006/relationships/hyperlink" Target="https://www.crunchbase.com/funding_round/casavo-series-a--fc476e04" TargetMode="External"/><Relationship Id="rId413" Type="http://schemas.openxmlformats.org/officeDocument/2006/relationships/hyperlink" Target="https://www.crunchbase.com/funding_round/casavo-seed--9cb0874d" TargetMode="External"/><Relationship Id="rId412" Type="http://schemas.openxmlformats.org/officeDocument/2006/relationships/hyperlink" Target="https://www.crunchbase.com/funding_round/casavo-pre-seed--4c6ffdc2" TargetMode="External"/><Relationship Id="rId419" Type="http://schemas.openxmlformats.org/officeDocument/2006/relationships/hyperlink" Target="https://www.crunchbase.com/funding_round/casavo-debt-financing--30a74241" TargetMode="External"/><Relationship Id="rId418" Type="http://schemas.openxmlformats.org/officeDocument/2006/relationships/hyperlink" Target="https://www.crunchbase.com/funding_round/casavo-series-unknown--8f54ace9" TargetMode="External"/><Relationship Id="rId417" Type="http://schemas.openxmlformats.org/officeDocument/2006/relationships/hyperlink" Target="https://www.crunchbase.com/funding_round/casavo-series-d--8da519ba" TargetMode="External"/><Relationship Id="rId416" Type="http://schemas.openxmlformats.org/officeDocument/2006/relationships/hyperlink" Target="https://www.crunchbase.com/funding_round/casavo-series-c--c77aab0f" TargetMode="External"/><Relationship Id="rId411" Type="http://schemas.openxmlformats.org/officeDocument/2006/relationships/hyperlink" Target="https://www.google.com/url?sa=t&amp;rct=j&amp;q=&amp;esrc=s&amp;source=web&amp;cd=&amp;ved=2ahUKEwiCy8ejoen-AhWUIDQIHYLFBQEQFnoECBIQAQ&amp;url=https%3A%2F%2Ftechcrunch.com%2F2022%2F07%2F19%2Fcasavo-an-opendoor-style-proptech-from-italy-raises-410m-to-expand-its-instant-buyer-platform-across-europe%2F&amp;usg=AOvVaw1ITQe0CiSXFZLjQCwxWpJH" TargetMode="External"/><Relationship Id="rId5600" Type="http://schemas.openxmlformats.org/officeDocument/2006/relationships/hyperlink" Target="https://www.crunchbase.com/organization/nimblechapps-ltd" TargetMode="External"/><Relationship Id="rId410" Type="http://schemas.openxmlformats.org/officeDocument/2006/relationships/hyperlink" Target="https://casavo.com/" TargetMode="External"/><Relationship Id="rId5601" Type="http://schemas.openxmlformats.org/officeDocument/2006/relationships/hyperlink" Target="https://www.nimblechapps.com/" TargetMode="External"/><Relationship Id="rId4305" Type="http://schemas.openxmlformats.org/officeDocument/2006/relationships/hyperlink" Target="https://houseafrica.io/" TargetMode="External"/><Relationship Id="rId5637" Type="http://schemas.openxmlformats.org/officeDocument/2006/relationships/hyperlink" Target="https://www.outerrealmvr.com/" TargetMode="External"/><Relationship Id="rId4304" Type="http://schemas.openxmlformats.org/officeDocument/2006/relationships/hyperlink" Target="https://www.crunchbase.com/organization/houseafrica" TargetMode="External"/><Relationship Id="rId5638" Type="http://schemas.openxmlformats.org/officeDocument/2006/relationships/hyperlink" Target="https://www.crunchbase.com/organization/pactriglo-inc" TargetMode="External"/><Relationship Id="rId4307" Type="http://schemas.openxmlformats.org/officeDocument/2006/relationships/hyperlink" Target="https://www.crunchbase.com/funding_round/houseafrica-seed--4cf39838" TargetMode="External"/><Relationship Id="rId5635" Type="http://schemas.openxmlformats.org/officeDocument/2006/relationships/hyperlink" Target="https://www.crunchbase.com/organization/otso-corp" TargetMode="External"/><Relationship Id="rId4306" Type="http://schemas.openxmlformats.org/officeDocument/2006/relationships/hyperlink" Target="https://www.crunchbase.com/funding_round/houseafrica-pre-seed--e1e453cf" TargetMode="External"/><Relationship Id="rId5636" Type="http://schemas.openxmlformats.org/officeDocument/2006/relationships/hyperlink" Target="https://otso.io/" TargetMode="External"/><Relationship Id="rId4309" Type="http://schemas.openxmlformats.org/officeDocument/2006/relationships/hyperlink" Target="https://www.crunchbase.com/organization/coastal-risk-consulting" TargetMode="External"/><Relationship Id="rId4308" Type="http://schemas.openxmlformats.org/officeDocument/2006/relationships/hyperlink" Target="https://angel.co/company/coastal-risk-consulting" TargetMode="External"/><Relationship Id="rId5639" Type="http://schemas.openxmlformats.org/officeDocument/2006/relationships/hyperlink" Target="https://pactriglo.com/" TargetMode="External"/><Relationship Id="rId448" Type="http://schemas.openxmlformats.org/officeDocument/2006/relationships/hyperlink" Target="https://www.crunchbase.com/funding_round/fetch-package-series-b--fb91c2d1" TargetMode="External"/><Relationship Id="rId447" Type="http://schemas.openxmlformats.org/officeDocument/2006/relationships/hyperlink" Target="https://www.crunchbase.com/funding_round/fetch-package-angel--501142b9" TargetMode="External"/><Relationship Id="rId446" Type="http://schemas.openxmlformats.org/officeDocument/2006/relationships/hyperlink" Target="https://app.dealroom.co/companies/fetch_package" TargetMode="External"/><Relationship Id="rId445" Type="http://schemas.openxmlformats.org/officeDocument/2006/relationships/hyperlink" Target="https://www.fetchpackage.com/" TargetMode="External"/><Relationship Id="rId449" Type="http://schemas.openxmlformats.org/officeDocument/2006/relationships/hyperlink" Target="https://www.crunchbase.com/funding_round/fetch-package-series-unknown--686cd22d" TargetMode="External"/><Relationship Id="rId440" Type="http://schemas.openxmlformats.org/officeDocument/2006/relationships/hyperlink" Target="https://www.crunchbase.com/organization/the-life-house-group" TargetMode="External"/><Relationship Id="rId5630" Type="http://schemas.openxmlformats.org/officeDocument/2006/relationships/hyperlink" Target="https://www.crunchbase.com/organization/open-box-software" TargetMode="External"/><Relationship Id="rId444" Type="http://schemas.openxmlformats.org/officeDocument/2006/relationships/hyperlink" Target="https://www.crunchbase.com/organization/fetch-package" TargetMode="External"/><Relationship Id="rId4301" Type="http://schemas.openxmlformats.org/officeDocument/2006/relationships/hyperlink" Target="https://www.crunchbase.com/organization/land-intelligence" TargetMode="External"/><Relationship Id="rId5633" Type="http://schemas.openxmlformats.org/officeDocument/2006/relationships/hyperlink" Target="https://www.crunchbase.com/organization/orchard-funding" TargetMode="External"/><Relationship Id="rId443" Type="http://schemas.openxmlformats.org/officeDocument/2006/relationships/hyperlink" Target="https://angel.co/company/fetch-package" TargetMode="External"/><Relationship Id="rId4300" Type="http://schemas.openxmlformats.org/officeDocument/2006/relationships/hyperlink" Target="https://angel.co/company/land-intelligence" TargetMode="External"/><Relationship Id="rId5634" Type="http://schemas.openxmlformats.org/officeDocument/2006/relationships/hyperlink" Target="https://orchardfunding.com/" TargetMode="External"/><Relationship Id="rId442" Type="http://schemas.openxmlformats.org/officeDocument/2006/relationships/hyperlink" Target="https://www.google.com/url?sa=t&amp;rct=j&amp;q=&amp;esrc=s&amp;source=web&amp;cd=&amp;ved=2ahUKEwjb6K3opOn-AhV-ADQIHdKVCNUQFnoECB0QAQ&amp;url=https%3A%2F%2Fwww.bloomberg.com%2Fnews%2Farticles%2F2021-12-02%2Fkayak-backed-hotel-startup-life-house-raises-new-funding&amp;usg=AOvVaw2Eh3IQxtwhz7asipbThGaM" TargetMode="External"/><Relationship Id="rId4303" Type="http://schemas.openxmlformats.org/officeDocument/2006/relationships/hyperlink" Target="https://www.crunchbase.com/funding_round/land-intelligence-seed--82cdc484" TargetMode="External"/><Relationship Id="rId5631" Type="http://schemas.openxmlformats.org/officeDocument/2006/relationships/hyperlink" Target="https://www.openboxsoftware.com/" TargetMode="External"/><Relationship Id="rId441" Type="http://schemas.openxmlformats.org/officeDocument/2006/relationships/hyperlink" Target="http://www.lifehousehotels.com/" TargetMode="External"/><Relationship Id="rId4302" Type="http://schemas.openxmlformats.org/officeDocument/2006/relationships/hyperlink" Target="https://landintelligence.net/" TargetMode="External"/><Relationship Id="rId5632" Type="http://schemas.openxmlformats.org/officeDocument/2006/relationships/hyperlink" Target="https://angel.co/u/orchardfunding" TargetMode="External"/><Relationship Id="rId5626" Type="http://schemas.openxmlformats.org/officeDocument/2006/relationships/hyperlink" Target="https://angel.co/u/onyx-adjusting" TargetMode="External"/><Relationship Id="rId5627" Type="http://schemas.openxmlformats.org/officeDocument/2006/relationships/hyperlink" Target="https://onyxadjusting.ca/" TargetMode="External"/><Relationship Id="rId5624" Type="http://schemas.openxmlformats.org/officeDocument/2006/relationships/hyperlink" Target="https://angel.co/company/onechirp" TargetMode="External"/><Relationship Id="rId5625" Type="http://schemas.openxmlformats.org/officeDocument/2006/relationships/hyperlink" Target="http://www.onechirp.com/" TargetMode="External"/><Relationship Id="rId5628" Type="http://schemas.openxmlformats.org/officeDocument/2006/relationships/hyperlink" Target="https://angel.co/company/op2mize-energy" TargetMode="External"/><Relationship Id="rId5629" Type="http://schemas.openxmlformats.org/officeDocument/2006/relationships/hyperlink" Target="https://op2mize.com/" TargetMode="External"/><Relationship Id="rId437" Type="http://schemas.openxmlformats.org/officeDocument/2006/relationships/hyperlink" Target="https://www.crunchbase.com/funding_round/snappt-series-unknown--3cac87c5" TargetMode="External"/><Relationship Id="rId436" Type="http://schemas.openxmlformats.org/officeDocument/2006/relationships/hyperlink" Target="https://www.crunchbase.com/funding_round/snappt-series-a--df21a280" TargetMode="External"/><Relationship Id="rId435" Type="http://schemas.openxmlformats.org/officeDocument/2006/relationships/hyperlink" Target="https://www.snappt.com/" TargetMode="External"/><Relationship Id="rId434" Type="http://schemas.openxmlformats.org/officeDocument/2006/relationships/hyperlink" Target="https://www.crunchbase.com/organization/snappt" TargetMode="External"/><Relationship Id="rId439" Type="http://schemas.openxmlformats.org/officeDocument/2006/relationships/hyperlink" Target="https://angel.co/company/lifehousehotels" TargetMode="External"/><Relationship Id="rId438" Type="http://schemas.openxmlformats.org/officeDocument/2006/relationships/hyperlink" Target="https://www.crunchbase.com/funding_round/snappt-non-equity-assistance--57ea7e7c" TargetMode="External"/><Relationship Id="rId433" Type="http://schemas.openxmlformats.org/officeDocument/2006/relationships/hyperlink" Target="https://www.crunchbase.com/funding_round/la-haus-debt-financing--5dbe09f5" TargetMode="External"/><Relationship Id="rId5622" Type="http://schemas.openxmlformats.org/officeDocument/2006/relationships/hyperlink" Target="https://www.crunchbase.com/organization/om-infosoft-2147" TargetMode="External"/><Relationship Id="rId432" Type="http://schemas.openxmlformats.org/officeDocument/2006/relationships/hyperlink" Target="https://www.crunchbase.com/funding_round/la-haus-series-unknown--114ba8b2" TargetMode="External"/><Relationship Id="rId5623" Type="http://schemas.openxmlformats.org/officeDocument/2006/relationships/hyperlink" Target="http://www.ominfosoft.com/" TargetMode="External"/><Relationship Id="rId431" Type="http://schemas.openxmlformats.org/officeDocument/2006/relationships/hyperlink" Target="https://www.crunchbase.com/funding_round/la-haus-series-c--798f8d7b" TargetMode="External"/><Relationship Id="rId5620" Type="http://schemas.openxmlformats.org/officeDocument/2006/relationships/hyperlink" Target="http://oizom.com/" TargetMode="External"/><Relationship Id="rId430" Type="http://schemas.openxmlformats.org/officeDocument/2006/relationships/hyperlink" Target="https://www.crunchbase.com/funding_round/la-haus-series-a--33faf1a7" TargetMode="External"/><Relationship Id="rId5621" Type="http://schemas.openxmlformats.org/officeDocument/2006/relationships/hyperlink" Target="https://angel.co/company/om-infosoft-1" TargetMode="External"/><Relationship Id="rId6108" Type="http://schemas.openxmlformats.org/officeDocument/2006/relationships/hyperlink" Target="https://www.crunchbase.com/organization/terraquanta" TargetMode="External"/><Relationship Id="rId6109" Type="http://schemas.openxmlformats.org/officeDocument/2006/relationships/hyperlink" Target="http://terraquanta.io/" TargetMode="External"/><Relationship Id="rId6102" Type="http://schemas.openxmlformats.org/officeDocument/2006/relationships/hyperlink" Target="http://www.tenanttracker.net/" TargetMode="External"/><Relationship Id="rId6103" Type="http://schemas.openxmlformats.org/officeDocument/2006/relationships/hyperlink" Target="https://www.crunchbase.com/organization/tenantsee" TargetMode="External"/><Relationship Id="rId6100" Type="http://schemas.openxmlformats.org/officeDocument/2006/relationships/hyperlink" Target="https://angel.co/company/tenant-tracker" TargetMode="External"/><Relationship Id="rId6101" Type="http://schemas.openxmlformats.org/officeDocument/2006/relationships/hyperlink" Target="https://www.crunchbase.com/organization/tenant-tracker" TargetMode="External"/><Relationship Id="rId6106" Type="http://schemas.openxmlformats.org/officeDocument/2006/relationships/hyperlink" Target="https://www.crunchbase.com/organization/termsheet" TargetMode="External"/><Relationship Id="rId6107" Type="http://schemas.openxmlformats.org/officeDocument/2006/relationships/hyperlink" Target="https://www.termsheet.com" TargetMode="External"/><Relationship Id="rId6104" Type="http://schemas.openxmlformats.org/officeDocument/2006/relationships/hyperlink" Target="https://www.tenantsee.co/" TargetMode="External"/><Relationship Id="rId6105" Type="http://schemas.openxmlformats.org/officeDocument/2006/relationships/hyperlink" Target="https://angel.co/company/gotermsheet" TargetMode="External"/><Relationship Id="rId6120" Type="http://schemas.openxmlformats.org/officeDocument/2006/relationships/hyperlink" Target="http://www.thedetectiongroup.com/" TargetMode="External"/><Relationship Id="rId6121" Type="http://schemas.openxmlformats.org/officeDocument/2006/relationships/hyperlink" Target="https://angel.co/company/the-news-funnel" TargetMode="External"/><Relationship Id="rId6124" Type="http://schemas.openxmlformats.org/officeDocument/2006/relationships/hyperlink" Target="https://angel.co/company/espace-nexus-nexus-workspace-shared-office-and-coworking-space" TargetMode="External"/><Relationship Id="rId6125" Type="http://schemas.openxmlformats.org/officeDocument/2006/relationships/hyperlink" Target="https://nexusworkspaces.com/" TargetMode="External"/><Relationship Id="rId6122" Type="http://schemas.openxmlformats.org/officeDocument/2006/relationships/hyperlink" Target="https://www.crunchbase.com/organization/the-news-funnel" TargetMode="External"/><Relationship Id="rId6123" Type="http://schemas.openxmlformats.org/officeDocument/2006/relationships/hyperlink" Target="https://www.thenewsfunnel.com/" TargetMode="External"/><Relationship Id="rId6128" Type="http://schemas.openxmlformats.org/officeDocument/2006/relationships/hyperlink" Target="https://angel.co/company/thehousemonk" TargetMode="External"/><Relationship Id="rId6129" Type="http://schemas.openxmlformats.org/officeDocument/2006/relationships/hyperlink" Target="https://www.crunchbase.com/organization/thehousemonk" TargetMode="External"/><Relationship Id="rId6126" Type="http://schemas.openxmlformats.org/officeDocument/2006/relationships/hyperlink" Target="http://theexchangeusa.com" TargetMode="External"/><Relationship Id="rId6127" Type="http://schemas.openxmlformats.org/officeDocument/2006/relationships/hyperlink" Target="https://theexchangeusa.com/?view=desktop" TargetMode="External"/><Relationship Id="rId6119" Type="http://schemas.openxmlformats.org/officeDocument/2006/relationships/hyperlink" Target="https://www.crunchbase.com/organization/the-detection-group" TargetMode="External"/><Relationship Id="rId6110" Type="http://schemas.openxmlformats.org/officeDocument/2006/relationships/hyperlink" Target="https://angel.co/company/brighthouse" TargetMode="External"/><Relationship Id="rId6113" Type="http://schemas.openxmlformats.org/officeDocument/2006/relationships/hyperlink" Target="https://thebrokerlist.com/" TargetMode="External"/><Relationship Id="rId6114" Type="http://schemas.openxmlformats.org/officeDocument/2006/relationships/hyperlink" Target="https://angel.co/company/the-collective-living" TargetMode="External"/><Relationship Id="rId6111" Type="http://schemas.openxmlformats.org/officeDocument/2006/relationships/hyperlink" Target="https://thebrighthouse.us/" TargetMode="External"/><Relationship Id="rId6112" Type="http://schemas.openxmlformats.org/officeDocument/2006/relationships/hyperlink" Target="https://www.crunchbase.com/organization/the-broker-list" TargetMode="External"/><Relationship Id="rId6117" Type="http://schemas.openxmlformats.org/officeDocument/2006/relationships/hyperlink" Target="https://thecxapp.com/" TargetMode="External"/><Relationship Id="rId6118" Type="http://schemas.openxmlformats.org/officeDocument/2006/relationships/hyperlink" Target="https://angel.co/company/the-detection-group" TargetMode="External"/><Relationship Id="rId6115" Type="http://schemas.openxmlformats.org/officeDocument/2006/relationships/hyperlink" Target="https://www.thecollective.com/" TargetMode="External"/><Relationship Id="rId6116" Type="http://schemas.openxmlformats.org/officeDocument/2006/relationships/hyperlink" Target="https://www.crunchbase.com/organization/the-cxapp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ngel.co/company/aurora-solar" TargetMode="External"/><Relationship Id="rId3" Type="http://schemas.openxmlformats.org/officeDocument/2006/relationships/hyperlink" Target="https://www.crunchbase.com/organization/aurora-solar" TargetMode="External"/><Relationship Id="rId4" Type="http://schemas.openxmlformats.org/officeDocument/2006/relationships/hyperlink" Target="https://www.aurorasolar.com/" TargetMode="External"/><Relationship Id="rId9" Type="http://schemas.openxmlformats.org/officeDocument/2006/relationships/hyperlink" Target="https://www.crunchbase.com/funding_round/equipmentshare-seed--c144765e" TargetMode="External"/><Relationship Id="rId5" Type="http://schemas.openxmlformats.org/officeDocument/2006/relationships/hyperlink" Target="https://wellfound.com/company/equipmentshare" TargetMode="External"/><Relationship Id="rId6" Type="http://schemas.openxmlformats.org/officeDocument/2006/relationships/hyperlink" Target="https://www.crunchbase.com/organization/equipmentshare" TargetMode="External"/><Relationship Id="rId7" Type="http://schemas.openxmlformats.org/officeDocument/2006/relationships/hyperlink" Target="https://www.equipmentshare.com/" TargetMode="External"/><Relationship Id="rId8" Type="http://schemas.openxmlformats.org/officeDocument/2006/relationships/hyperlink" Target="https://tracxn.com/d/companies/equipmentshare/___guqkH_UzWRtVQ8RJc5mMBWxMGy5JtmXKheb07TNNQU" TargetMode="External"/><Relationship Id="rId3911" Type="http://schemas.openxmlformats.org/officeDocument/2006/relationships/hyperlink" Target="https://www.crunchbase.com/organization/casaiq" TargetMode="External"/><Relationship Id="rId3910" Type="http://schemas.openxmlformats.org/officeDocument/2006/relationships/hyperlink" Target="https://angel.co/livezego" TargetMode="External"/><Relationship Id="rId3913" Type="http://schemas.openxmlformats.org/officeDocument/2006/relationships/hyperlink" Target="https://angel.co/company/bldup-2" TargetMode="External"/><Relationship Id="rId3912" Type="http://schemas.openxmlformats.org/officeDocument/2006/relationships/hyperlink" Target="http://zego.io/" TargetMode="External"/><Relationship Id="rId3915" Type="http://schemas.openxmlformats.org/officeDocument/2006/relationships/hyperlink" Target="https://www.bldup.com/" TargetMode="External"/><Relationship Id="rId3914" Type="http://schemas.openxmlformats.org/officeDocument/2006/relationships/hyperlink" Target="https://www.crunchbase.com/organization/bldup" TargetMode="External"/><Relationship Id="rId3917" Type="http://schemas.openxmlformats.org/officeDocument/2006/relationships/hyperlink" Target="https://showplacehq.com/" TargetMode="External"/><Relationship Id="rId3916" Type="http://schemas.openxmlformats.org/officeDocument/2006/relationships/hyperlink" Target="https://www.crunchbase.com/organization/showplace" TargetMode="External"/><Relationship Id="rId3919" Type="http://schemas.openxmlformats.org/officeDocument/2006/relationships/hyperlink" Target="https://www.incitu.us/" TargetMode="External"/><Relationship Id="rId3918" Type="http://schemas.openxmlformats.org/officeDocument/2006/relationships/hyperlink" Target="https://www.crunchbase.com/organization/incitu" TargetMode="External"/><Relationship Id="rId6190" Type="http://schemas.openxmlformats.org/officeDocument/2006/relationships/hyperlink" Target="https://www.crunchbase.com/organization/upside-realty-pty-ltd" TargetMode="External"/><Relationship Id="rId6182" Type="http://schemas.openxmlformats.org/officeDocument/2006/relationships/hyperlink" Target="https://www.crunchbase.com/organization/twostay" TargetMode="External"/><Relationship Id="rId6183" Type="http://schemas.openxmlformats.org/officeDocument/2006/relationships/hyperlink" Target="https://twostay.work/" TargetMode="External"/><Relationship Id="rId6180" Type="http://schemas.openxmlformats.org/officeDocument/2006/relationships/hyperlink" Target="https://www.crunchbase.com/organization/tvisha-technologies-inc" TargetMode="External"/><Relationship Id="rId6181" Type="http://schemas.openxmlformats.org/officeDocument/2006/relationships/hyperlink" Target="https://www.tvisha.com/services/mobile-app-development-company-maintenance-support-android-ios.html" TargetMode="External"/><Relationship Id="rId6186" Type="http://schemas.openxmlformats.org/officeDocument/2006/relationships/hyperlink" Target="https://angel.co/company/unifi-labs-1" TargetMode="External"/><Relationship Id="rId6187" Type="http://schemas.openxmlformats.org/officeDocument/2006/relationships/hyperlink" Target="https://www.crunchbase.com/organization/unifi-labs-inc" TargetMode="External"/><Relationship Id="rId6184" Type="http://schemas.openxmlformats.org/officeDocument/2006/relationships/hyperlink" Target="https://www.crunchbase.com/organization/unico-properties-llc" TargetMode="External"/><Relationship Id="rId6185" Type="http://schemas.openxmlformats.org/officeDocument/2006/relationships/hyperlink" Target="https://unicoprop.com/" TargetMode="External"/><Relationship Id="rId6188" Type="http://schemas.openxmlformats.org/officeDocument/2006/relationships/hyperlink" Target="https://unifilabs.com/" TargetMode="External"/><Relationship Id="rId6189" Type="http://schemas.openxmlformats.org/officeDocument/2006/relationships/hyperlink" Target="https://angel.co/company/upside-realty" TargetMode="External"/><Relationship Id="rId3900" Type="http://schemas.openxmlformats.org/officeDocument/2006/relationships/hyperlink" Target="https://www.crunchbase.com/organization/envelope-city-inc" TargetMode="External"/><Relationship Id="rId3902" Type="http://schemas.openxmlformats.org/officeDocument/2006/relationships/hyperlink" Target="https://www.crunchbase.com/funding_round/envelope-city-inc-seed--ce394602" TargetMode="External"/><Relationship Id="rId3901" Type="http://schemas.openxmlformats.org/officeDocument/2006/relationships/hyperlink" Target="https://envelope.city/" TargetMode="External"/><Relationship Id="rId3904" Type="http://schemas.openxmlformats.org/officeDocument/2006/relationships/hyperlink" Target="https://www.crunchbase.com/organization/goby-2" TargetMode="External"/><Relationship Id="rId3903" Type="http://schemas.openxmlformats.org/officeDocument/2006/relationships/hyperlink" Target="https://angel.co/goby-co" TargetMode="External"/><Relationship Id="rId3906" Type="http://schemas.openxmlformats.org/officeDocument/2006/relationships/hyperlink" Target="https://www.shaker.io/" TargetMode="External"/><Relationship Id="rId3905" Type="http://schemas.openxmlformats.org/officeDocument/2006/relationships/hyperlink" Target="http://www.goby.co/" TargetMode="External"/><Relationship Id="rId3908" Type="http://schemas.openxmlformats.org/officeDocument/2006/relationships/hyperlink" Target="https://www.crunchbase.com/organization/toweriq" TargetMode="External"/><Relationship Id="rId3907" Type="http://schemas.openxmlformats.org/officeDocument/2006/relationships/hyperlink" Target="https://angel.co/company/toweriq-1" TargetMode="External"/><Relationship Id="rId3909" Type="http://schemas.openxmlformats.org/officeDocument/2006/relationships/hyperlink" Target="http://www.mytoweriq.com/" TargetMode="External"/><Relationship Id="rId6171" Type="http://schemas.openxmlformats.org/officeDocument/2006/relationships/hyperlink" Target="https://www.crunchbase.com/organization/trimble" TargetMode="External"/><Relationship Id="rId6172" Type="http://schemas.openxmlformats.org/officeDocument/2006/relationships/hyperlink" Target="https://realestate.trimble.com/" TargetMode="External"/><Relationship Id="rId6170" Type="http://schemas.openxmlformats.org/officeDocument/2006/relationships/hyperlink" Target="https://angel.co/company/trimble-navigation" TargetMode="External"/><Relationship Id="rId6175" Type="http://schemas.openxmlformats.org/officeDocument/2006/relationships/hyperlink" Target="https://angel.co/company/trrend" TargetMode="External"/><Relationship Id="rId6176" Type="http://schemas.openxmlformats.org/officeDocument/2006/relationships/hyperlink" Target="https://www.crunchbase.com/organization/trrend" TargetMode="External"/><Relationship Id="rId6173" Type="http://schemas.openxmlformats.org/officeDocument/2006/relationships/hyperlink" Target="https://angel.co/company/trova-io" TargetMode="External"/><Relationship Id="rId6174" Type="http://schemas.openxmlformats.org/officeDocument/2006/relationships/hyperlink" Target="https://www.trova.io/" TargetMode="External"/><Relationship Id="rId6179" Type="http://schemas.openxmlformats.org/officeDocument/2006/relationships/hyperlink" Target="https://www.turnerfreeman.com.au/" TargetMode="External"/><Relationship Id="rId6177" Type="http://schemas.openxmlformats.org/officeDocument/2006/relationships/hyperlink" Target="http://www.trrend.com/" TargetMode="External"/><Relationship Id="rId6178" Type="http://schemas.openxmlformats.org/officeDocument/2006/relationships/hyperlink" Target="https://angel.co/company/turner-freeman-lawyers" TargetMode="External"/><Relationship Id="rId3931" Type="http://schemas.openxmlformats.org/officeDocument/2006/relationships/hyperlink" Target="https://www.crunchbase.com/organization/redist" TargetMode="External"/><Relationship Id="rId2600" Type="http://schemas.openxmlformats.org/officeDocument/2006/relationships/hyperlink" Target="https://angel.co/company/canoa-1" TargetMode="External"/><Relationship Id="rId3930" Type="http://schemas.openxmlformats.org/officeDocument/2006/relationships/hyperlink" Target="http://monograph.io" TargetMode="External"/><Relationship Id="rId2601" Type="http://schemas.openxmlformats.org/officeDocument/2006/relationships/hyperlink" Target="https://www.crunchbase.com/organization/canoa" TargetMode="External"/><Relationship Id="rId3933" Type="http://schemas.openxmlformats.org/officeDocument/2006/relationships/hyperlink" Target="https://angel.co/company/rayon" TargetMode="External"/><Relationship Id="rId2602" Type="http://schemas.openxmlformats.org/officeDocument/2006/relationships/hyperlink" Target="http://www.canoa.supply/" TargetMode="External"/><Relationship Id="rId3932" Type="http://schemas.openxmlformats.org/officeDocument/2006/relationships/hyperlink" Target="https://www.redist.us/" TargetMode="External"/><Relationship Id="rId2603" Type="http://schemas.openxmlformats.org/officeDocument/2006/relationships/hyperlink" Target="https://www.crunchbase.com/funding_round/canoa-pre-seed--a7ae0025" TargetMode="External"/><Relationship Id="rId3935" Type="http://schemas.openxmlformats.org/officeDocument/2006/relationships/hyperlink" Target="https://www.rayon.design/" TargetMode="External"/><Relationship Id="rId2604" Type="http://schemas.openxmlformats.org/officeDocument/2006/relationships/hyperlink" Target="https://www.crunchbase.com/funding_round/canoa-seed--a063a4c9" TargetMode="External"/><Relationship Id="rId3934" Type="http://schemas.openxmlformats.org/officeDocument/2006/relationships/hyperlink" Target="https://www.crunchbase.com/organization/rayon" TargetMode="External"/><Relationship Id="rId2605" Type="http://schemas.openxmlformats.org/officeDocument/2006/relationships/hyperlink" Target="https://www.crunchbase.com/organization/linhuiba" TargetMode="External"/><Relationship Id="rId3937" Type="http://schemas.openxmlformats.org/officeDocument/2006/relationships/hyperlink" Target="https://www.crunchbase.com/organization/yap%C4%B1radar-com" TargetMode="External"/><Relationship Id="rId2606" Type="http://schemas.openxmlformats.org/officeDocument/2006/relationships/hyperlink" Target="https://www.linhuiba.com/" TargetMode="External"/><Relationship Id="rId3936" Type="http://schemas.openxmlformats.org/officeDocument/2006/relationships/hyperlink" Target="https://www.crunchbase.com/funding_round/rayon-pre-seed--42381b5a" TargetMode="External"/><Relationship Id="rId808" Type="http://schemas.openxmlformats.org/officeDocument/2006/relationships/hyperlink" Target="https://www.zillow.com/" TargetMode="External"/><Relationship Id="rId2607" Type="http://schemas.openxmlformats.org/officeDocument/2006/relationships/hyperlink" Target="https://www.crunchbase.com/funding_round/linhuiba-series-a--f9d9d7a9" TargetMode="External"/><Relationship Id="rId3939" Type="http://schemas.openxmlformats.org/officeDocument/2006/relationships/hyperlink" Target="https://www.crunchbase.com/funding_round/yap%C4%B1radar-com-seed--bf788078" TargetMode="External"/><Relationship Id="rId807" Type="http://schemas.openxmlformats.org/officeDocument/2006/relationships/hyperlink" Target="https://www.zillow.com/" TargetMode="External"/><Relationship Id="rId2608" Type="http://schemas.openxmlformats.org/officeDocument/2006/relationships/hyperlink" Target="https://www.crunchbase.com/funding_round/linhuiba-series-b--ddfcbaed" TargetMode="External"/><Relationship Id="rId3938" Type="http://schemas.openxmlformats.org/officeDocument/2006/relationships/hyperlink" Target="https://www.yapiradar.com/" TargetMode="External"/><Relationship Id="rId806" Type="http://schemas.openxmlformats.org/officeDocument/2006/relationships/hyperlink" Target="https://angel.co/company/zillow" TargetMode="External"/><Relationship Id="rId2609" Type="http://schemas.openxmlformats.org/officeDocument/2006/relationships/hyperlink" Target="https://www.crunchbase.com/funding_round/linhuiba-series-c--4e28ff86" TargetMode="External"/><Relationship Id="rId805" Type="http://schemas.openxmlformats.org/officeDocument/2006/relationships/hyperlink" Target="https://aquicore.com/" TargetMode="External"/><Relationship Id="rId809" Type="http://schemas.openxmlformats.org/officeDocument/2006/relationships/hyperlink" Target="https://angel.co/company/radarlabs" TargetMode="External"/><Relationship Id="rId800" Type="http://schemas.openxmlformats.org/officeDocument/2006/relationships/hyperlink" Target="https://www.crunchbase.com/funding_round/limehome-series-a--907daeab" TargetMode="External"/><Relationship Id="rId804" Type="http://schemas.openxmlformats.org/officeDocument/2006/relationships/hyperlink" Target="https://www.crunchbase.com/organization/aquicore" TargetMode="External"/><Relationship Id="rId803" Type="http://schemas.openxmlformats.org/officeDocument/2006/relationships/hyperlink" Target="https://angel.co/company/aquicore" TargetMode="External"/><Relationship Id="rId802" Type="http://schemas.openxmlformats.org/officeDocument/2006/relationships/hyperlink" Target="https://www.crunchbase.com/funding_round/limehome-series-unknown--f501762d" TargetMode="External"/><Relationship Id="rId801" Type="http://schemas.openxmlformats.org/officeDocument/2006/relationships/hyperlink" Target="https://www.crunchbase.com/funding_round/limehome-series-b--a02db19a" TargetMode="External"/><Relationship Id="rId3920" Type="http://schemas.openxmlformats.org/officeDocument/2006/relationships/hyperlink" Target="https://www.crunchbase.com/funding_round/incitu-pre-seed--b72bef97" TargetMode="External"/><Relationship Id="rId3922" Type="http://schemas.openxmlformats.org/officeDocument/2006/relationships/hyperlink" Target="https://www.crunchbase.com/organization/deep-blocks" TargetMode="External"/><Relationship Id="rId3921" Type="http://schemas.openxmlformats.org/officeDocument/2006/relationships/hyperlink" Target="https://wellfound.com/company/deepblocks" TargetMode="External"/><Relationship Id="rId3924" Type="http://schemas.openxmlformats.org/officeDocument/2006/relationships/hyperlink" Target="https://refreshmiami.com/deepblocks-is-using-ai-to-make-site-selection-more-efficient-and-effective/" TargetMode="External"/><Relationship Id="rId3923" Type="http://schemas.openxmlformats.org/officeDocument/2006/relationships/hyperlink" Target="http://deepblocks.com/" TargetMode="External"/><Relationship Id="rId3926" Type="http://schemas.openxmlformats.org/officeDocument/2006/relationships/hyperlink" Target="https://carbonaide.com/" TargetMode="External"/><Relationship Id="rId3925" Type="http://schemas.openxmlformats.org/officeDocument/2006/relationships/hyperlink" Target="https://www.crunchbase.com/organization/carbonaide" TargetMode="External"/><Relationship Id="rId3928" Type="http://schemas.openxmlformats.org/officeDocument/2006/relationships/hyperlink" Target="https://angel.co/company/monograph" TargetMode="External"/><Relationship Id="rId3927" Type="http://schemas.openxmlformats.org/officeDocument/2006/relationships/hyperlink" Target="https://www.crunchbase.com/funding_round/carbonaide-seed--36819ef4" TargetMode="External"/><Relationship Id="rId3929" Type="http://schemas.openxmlformats.org/officeDocument/2006/relationships/hyperlink" Target="https://www.crunchbase.com/organization/monograph" TargetMode="External"/><Relationship Id="rId6193" Type="http://schemas.openxmlformats.org/officeDocument/2006/relationships/hyperlink" Target="https://www.crunchbase.com/organization/homevest" TargetMode="External"/><Relationship Id="rId6194" Type="http://schemas.openxmlformats.org/officeDocument/2006/relationships/hyperlink" Target="https://upandup.co/" TargetMode="External"/><Relationship Id="rId6191" Type="http://schemas.openxmlformats.org/officeDocument/2006/relationships/hyperlink" Target="https://upside.com.au/" TargetMode="External"/><Relationship Id="rId6192" Type="http://schemas.openxmlformats.org/officeDocument/2006/relationships/hyperlink" Target="https://angel.co/company/upandup" TargetMode="External"/><Relationship Id="rId6197" Type="http://schemas.openxmlformats.org/officeDocument/2006/relationships/hyperlink" Target="https://www.crunchbase.com/organization/us-mortgage-corporation" TargetMode="External"/><Relationship Id="rId6198" Type="http://schemas.openxmlformats.org/officeDocument/2006/relationships/hyperlink" Target="https://www.usmortgages.com/" TargetMode="External"/><Relationship Id="rId6195" Type="http://schemas.openxmlformats.org/officeDocument/2006/relationships/hyperlink" Target="https://urbanrisklab.org/work" TargetMode="External"/><Relationship Id="rId6196" Type="http://schemas.openxmlformats.org/officeDocument/2006/relationships/hyperlink" Target="https://angel.co/company/us-mortgages" TargetMode="External"/><Relationship Id="rId6199" Type="http://schemas.openxmlformats.org/officeDocument/2006/relationships/hyperlink" Target="https://valuerequest.com/" TargetMode="External"/><Relationship Id="rId6142" Type="http://schemas.openxmlformats.org/officeDocument/2006/relationships/hyperlink" Target="https://www.crunchbase.com/organization/tomedes-translation-localization-service" TargetMode="External"/><Relationship Id="rId6143" Type="http://schemas.openxmlformats.org/officeDocument/2006/relationships/hyperlink" Target="https://www.tomedes.com/" TargetMode="External"/><Relationship Id="rId6140" Type="http://schemas.openxmlformats.org/officeDocument/2006/relationships/hyperlink" Target="https://www.thomsondata.com/" TargetMode="External"/><Relationship Id="rId6141" Type="http://schemas.openxmlformats.org/officeDocument/2006/relationships/hyperlink" Target="https://angel.co/u/tomedes-translation" TargetMode="External"/><Relationship Id="rId6146" Type="http://schemas.openxmlformats.org/officeDocument/2006/relationships/hyperlink" Target="https://www.crunchbase.com/organization/tophap" TargetMode="External"/><Relationship Id="rId6147" Type="http://schemas.openxmlformats.org/officeDocument/2006/relationships/hyperlink" Target="https://www.tophap.com/" TargetMode="External"/><Relationship Id="rId6144" Type="http://schemas.openxmlformats.org/officeDocument/2006/relationships/hyperlink" Target="https://www.crunchbase.com/organization/mallcomm" TargetMode="External"/><Relationship Id="rId6145" Type="http://schemas.openxmlformats.org/officeDocument/2006/relationships/hyperlink" Target="https://www.mallcommapp.com/" TargetMode="External"/><Relationship Id="rId6148" Type="http://schemas.openxmlformats.org/officeDocument/2006/relationships/hyperlink" Target="https://angel.co/company/topup-consultants" TargetMode="External"/><Relationship Id="rId6149" Type="http://schemas.openxmlformats.org/officeDocument/2006/relationships/hyperlink" Target="https://www.crunchbase.com/organization/topup-consultants" TargetMode="External"/><Relationship Id="rId6131" Type="http://schemas.openxmlformats.org/officeDocument/2006/relationships/hyperlink" Target="https://angel.co/company/thepro3dstudio" TargetMode="External"/><Relationship Id="rId6132" Type="http://schemas.openxmlformats.org/officeDocument/2006/relationships/hyperlink" Target="https://www.crunchbase.com/organization/thepro3dstudio" TargetMode="External"/><Relationship Id="rId6130" Type="http://schemas.openxmlformats.org/officeDocument/2006/relationships/hyperlink" Target="https://thehousemonk.com/" TargetMode="External"/><Relationship Id="rId6135" Type="http://schemas.openxmlformats.org/officeDocument/2006/relationships/hyperlink" Target="https://thermtest.com/" TargetMode="External"/><Relationship Id="rId6136" Type="http://schemas.openxmlformats.org/officeDocument/2006/relationships/hyperlink" Target="https://www.crunchbase.com/organization/thesmarterplace" TargetMode="External"/><Relationship Id="rId6133" Type="http://schemas.openxmlformats.org/officeDocument/2006/relationships/hyperlink" Target="https://professional3dservices.com/" TargetMode="External"/><Relationship Id="rId6134" Type="http://schemas.openxmlformats.org/officeDocument/2006/relationships/hyperlink" Target="https://www.crunchbase.com/organization/thermtest-europe" TargetMode="External"/><Relationship Id="rId6139" Type="http://schemas.openxmlformats.org/officeDocument/2006/relationships/hyperlink" Target="https://www.crunchbase.com/organization/thomson-data-08ae" TargetMode="External"/><Relationship Id="rId6137" Type="http://schemas.openxmlformats.org/officeDocument/2006/relationships/hyperlink" Target="https://www.thesmarterplace.com/en/" TargetMode="External"/><Relationship Id="rId6138" Type="http://schemas.openxmlformats.org/officeDocument/2006/relationships/hyperlink" Target="https://angel.co/company/thomsondata" TargetMode="External"/><Relationship Id="rId6160" Type="http://schemas.openxmlformats.org/officeDocument/2006/relationships/hyperlink" Target="https://www.crunchbase.com/organization/transactency" TargetMode="External"/><Relationship Id="rId6161" Type="http://schemas.openxmlformats.org/officeDocument/2006/relationships/hyperlink" Target="https://www.transactency.com/" TargetMode="External"/><Relationship Id="rId6164" Type="http://schemas.openxmlformats.org/officeDocument/2006/relationships/hyperlink" Target="https://www.transparentcity.co/" TargetMode="External"/><Relationship Id="rId6165" Type="http://schemas.openxmlformats.org/officeDocument/2006/relationships/hyperlink" Target="https://angel.co/company/trepp-1" TargetMode="External"/><Relationship Id="rId6162" Type="http://schemas.openxmlformats.org/officeDocument/2006/relationships/hyperlink" Target="https://angel.co/company/transparentcity" TargetMode="External"/><Relationship Id="rId6163" Type="http://schemas.openxmlformats.org/officeDocument/2006/relationships/hyperlink" Target="https://www.crunchbase.com/organization/transparentcity-co" TargetMode="External"/><Relationship Id="rId6168" Type="http://schemas.openxmlformats.org/officeDocument/2006/relationships/hyperlink" Target="https://www.crunchbase.com/organization/triax-technologies-inc" TargetMode="External"/><Relationship Id="rId6169" Type="http://schemas.openxmlformats.org/officeDocument/2006/relationships/hyperlink" Target="https://www.triaxtec.com/" TargetMode="External"/><Relationship Id="rId6166" Type="http://schemas.openxmlformats.org/officeDocument/2006/relationships/hyperlink" Target="https://www.crunchbase.com/organization/trepp" TargetMode="External"/><Relationship Id="rId6167" Type="http://schemas.openxmlformats.org/officeDocument/2006/relationships/hyperlink" Target="http://www.trepp.com/" TargetMode="External"/><Relationship Id="rId6150" Type="http://schemas.openxmlformats.org/officeDocument/2006/relationships/hyperlink" Target="https://www.topupconsultants.com/" TargetMode="External"/><Relationship Id="rId6153" Type="http://schemas.openxmlformats.org/officeDocument/2006/relationships/hyperlink" Target="https://www.touchsource.com/" TargetMode="External"/><Relationship Id="rId6154" Type="http://schemas.openxmlformats.org/officeDocument/2006/relationships/hyperlink" Target="https://www.crunchbase.com/organization/tower360" TargetMode="External"/><Relationship Id="rId6151" Type="http://schemas.openxmlformats.org/officeDocument/2006/relationships/hyperlink" Target="https://angel.co/company/touchsource/" TargetMode="External"/><Relationship Id="rId6152" Type="http://schemas.openxmlformats.org/officeDocument/2006/relationships/hyperlink" Target="https://www.crunchbase.com/organization/touchsource" TargetMode="External"/><Relationship Id="rId6157" Type="http://schemas.openxmlformats.org/officeDocument/2006/relationships/hyperlink" Target="https://www.crunchbase.com/organization/academy-of-computer-education" TargetMode="External"/><Relationship Id="rId6158" Type="http://schemas.openxmlformats.org/officeDocument/2006/relationships/hyperlink" Target="http://www.trainace.com/" TargetMode="External"/><Relationship Id="rId6155" Type="http://schemas.openxmlformats.org/officeDocument/2006/relationships/hyperlink" Target="https://www.tower360.co/en/" TargetMode="External"/><Relationship Id="rId6156" Type="http://schemas.openxmlformats.org/officeDocument/2006/relationships/hyperlink" Target="https://angel.co/company/trainace" TargetMode="External"/><Relationship Id="rId6159" Type="http://schemas.openxmlformats.org/officeDocument/2006/relationships/hyperlink" Target="https://angel.co/company/transactency" TargetMode="External"/><Relationship Id="rId1334" Type="http://schemas.openxmlformats.org/officeDocument/2006/relationships/hyperlink" Target="https://www.crunchbase.com/funding_round/resortpass-convertible-note--b00006f8" TargetMode="External"/><Relationship Id="rId2665" Type="http://schemas.openxmlformats.org/officeDocument/2006/relationships/hyperlink" Target="https://www.crunchbase.com/funding_round/laundry-sucks-pre-seed--dbdcd00b" TargetMode="External"/><Relationship Id="rId3997" Type="http://schemas.openxmlformats.org/officeDocument/2006/relationships/hyperlink" Target="https://www.gryps.io/" TargetMode="External"/><Relationship Id="rId1335" Type="http://schemas.openxmlformats.org/officeDocument/2006/relationships/hyperlink" Target="https://www.crunchbase.com/funding_round/resortpass-seed--c441bf28" TargetMode="External"/><Relationship Id="rId2666" Type="http://schemas.openxmlformats.org/officeDocument/2006/relationships/hyperlink" Target="https://www.crunchbase.com/funding_round/laundry-sucks-seed--5562286c" TargetMode="External"/><Relationship Id="rId3996" Type="http://schemas.openxmlformats.org/officeDocument/2006/relationships/hyperlink" Target="https://www.crunchbase.com/organization/gryps" TargetMode="External"/><Relationship Id="rId1336" Type="http://schemas.openxmlformats.org/officeDocument/2006/relationships/hyperlink" Target="https://www.crunchbase.com/funding_round/resortpass-series-a--f6b105a6" TargetMode="External"/><Relationship Id="rId2667" Type="http://schemas.openxmlformats.org/officeDocument/2006/relationships/hyperlink" Target="https://angel.co/company/envairo" TargetMode="External"/><Relationship Id="rId3999" Type="http://schemas.openxmlformats.org/officeDocument/2006/relationships/hyperlink" Target="https://www.inteliglas.com/" TargetMode="External"/><Relationship Id="rId1337" Type="http://schemas.openxmlformats.org/officeDocument/2006/relationships/hyperlink" Target="https://www.crunchbase.com/funding_round/resortpass-series-b--9dac3d0f" TargetMode="External"/><Relationship Id="rId2668" Type="http://schemas.openxmlformats.org/officeDocument/2006/relationships/hyperlink" Target="https://www.crunchbase.com/organization/envairo" TargetMode="External"/><Relationship Id="rId3998" Type="http://schemas.openxmlformats.org/officeDocument/2006/relationships/hyperlink" Target="https://www.crunchbase.com/organization/inteliglas-corporation-b000" TargetMode="External"/><Relationship Id="rId1338" Type="http://schemas.openxmlformats.org/officeDocument/2006/relationships/hyperlink" Target="https://wellfound.com/company/sunroof-international-holding-ab-4" TargetMode="External"/><Relationship Id="rId2669" Type="http://schemas.openxmlformats.org/officeDocument/2006/relationships/hyperlink" Target="https://www.crunchbase.com/funding_round/entouch-controls-series-a--4ac07fc9" TargetMode="External"/><Relationship Id="rId1339" Type="http://schemas.openxmlformats.org/officeDocument/2006/relationships/hyperlink" Target="https://www.crunchbase.com/organization/sunroof" TargetMode="External"/><Relationship Id="rId745" Type="http://schemas.openxmlformats.org/officeDocument/2006/relationships/hyperlink" Target="https://www.crunchbase.com/organization/matterport" TargetMode="External"/><Relationship Id="rId744" Type="http://schemas.openxmlformats.org/officeDocument/2006/relationships/hyperlink" Target="https://angel.co/company/matterport" TargetMode="External"/><Relationship Id="rId743" Type="http://schemas.openxmlformats.org/officeDocument/2006/relationships/hyperlink" Target="https://www.crunchbase.com/funding_round/dronebase-corporate-round--8c20cba5" TargetMode="External"/><Relationship Id="rId742" Type="http://schemas.openxmlformats.org/officeDocument/2006/relationships/hyperlink" Target="https://www.crunchbase.com/funding_round/dronebase-series-e--3bc75faa" TargetMode="External"/><Relationship Id="rId749" Type="http://schemas.openxmlformats.org/officeDocument/2006/relationships/hyperlink" Target="https://angel.co/company/infogrid-1" TargetMode="External"/><Relationship Id="rId748" Type="http://schemas.openxmlformats.org/officeDocument/2006/relationships/hyperlink" Target="https://buildots.com/" TargetMode="External"/><Relationship Id="rId747" Type="http://schemas.openxmlformats.org/officeDocument/2006/relationships/hyperlink" Target="https://www.crunchbase.com/organization/buildots" TargetMode="External"/><Relationship Id="rId746" Type="http://schemas.openxmlformats.org/officeDocument/2006/relationships/hyperlink" Target="https://www.matterport.com/" TargetMode="External"/><Relationship Id="rId3991" Type="http://schemas.openxmlformats.org/officeDocument/2006/relationships/hyperlink" Target="https://www.crunchbase.com/funding_round/avesdo-seed--a85f7abc" TargetMode="External"/><Relationship Id="rId2660" Type="http://schemas.openxmlformats.org/officeDocument/2006/relationships/hyperlink" Target="https://www.crunchbase.com/funding_round/plantd-series-unknown--e38f40a8" TargetMode="External"/><Relationship Id="rId3990" Type="http://schemas.openxmlformats.org/officeDocument/2006/relationships/hyperlink" Target="https://avesdo.com/" TargetMode="External"/><Relationship Id="rId741" Type="http://schemas.openxmlformats.org/officeDocument/2006/relationships/hyperlink" Target="https://www.crunchbase.com/funding_round/dronebase-series-unknown--1ebf8481" TargetMode="External"/><Relationship Id="rId1330" Type="http://schemas.openxmlformats.org/officeDocument/2006/relationships/hyperlink" Target="https://therealdeal.com/national/2022/07/12/modular-startup-raises-38m-says-its-the-opposite-of-katerra/" TargetMode="External"/><Relationship Id="rId2661" Type="http://schemas.openxmlformats.org/officeDocument/2006/relationships/hyperlink" Target="https://www.crunchbase.com/funding_round/plantd-series-a--c9c085cc" TargetMode="External"/><Relationship Id="rId3993" Type="http://schemas.openxmlformats.org/officeDocument/2006/relationships/hyperlink" Target="https://www.crunchbase.com/organization/ebrevia" TargetMode="External"/><Relationship Id="rId740" Type="http://schemas.openxmlformats.org/officeDocument/2006/relationships/hyperlink" Target="https://www.crunchbase.com/funding_round/dronebase-series-c--dffdc6cd" TargetMode="External"/><Relationship Id="rId1331" Type="http://schemas.openxmlformats.org/officeDocument/2006/relationships/hyperlink" Target="https://angel.co/company/resortpass" TargetMode="External"/><Relationship Id="rId2662" Type="http://schemas.openxmlformats.org/officeDocument/2006/relationships/hyperlink" Target="https://wellfound.com/company/laundrysucks" TargetMode="External"/><Relationship Id="rId3992" Type="http://schemas.openxmlformats.org/officeDocument/2006/relationships/hyperlink" Target="https://angel.co/company/ebrevia-3" TargetMode="External"/><Relationship Id="rId1332" Type="http://schemas.openxmlformats.org/officeDocument/2006/relationships/hyperlink" Target="https://www.crunchbase.com/organization/resortpass" TargetMode="External"/><Relationship Id="rId2663" Type="http://schemas.openxmlformats.org/officeDocument/2006/relationships/hyperlink" Target="https://www.crunchbase.com/organization/laundry-sucks" TargetMode="External"/><Relationship Id="rId3995" Type="http://schemas.openxmlformats.org/officeDocument/2006/relationships/hyperlink" Target="https://angel.co/company/gryps_io" TargetMode="External"/><Relationship Id="rId1333" Type="http://schemas.openxmlformats.org/officeDocument/2006/relationships/hyperlink" Target="https://www.resortpass.com/" TargetMode="External"/><Relationship Id="rId2664" Type="http://schemas.openxmlformats.org/officeDocument/2006/relationships/hyperlink" Target="http://www.getpresso.co/" TargetMode="External"/><Relationship Id="rId3994" Type="http://schemas.openxmlformats.org/officeDocument/2006/relationships/hyperlink" Target="https://ebrevia.com/" TargetMode="External"/><Relationship Id="rId1323" Type="http://schemas.openxmlformats.org/officeDocument/2006/relationships/hyperlink" Target="https://helixre.com/" TargetMode="External"/><Relationship Id="rId2654" Type="http://schemas.openxmlformats.org/officeDocument/2006/relationships/hyperlink" Target="https://apaleo.com/" TargetMode="External"/><Relationship Id="rId3986" Type="http://schemas.openxmlformats.org/officeDocument/2006/relationships/hyperlink" Target="https://www.valuebase.co/" TargetMode="External"/><Relationship Id="rId1324" Type="http://schemas.openxmlformats.org/officeDocument/2006/relationships/hyperlink" Target="https://www.crunchbase.com/funding_round/flux-factory-seed--5b00830f" TargetMode="External"/><Relationship Id="rId2655" Type="http://schemas.openxmlformats.org/officeDocument/2006/relationships/hyperlink" Target="https://www.crunchbase.com/funding_round/apaleo-seed--26b58ab2" TargetMode="External"/><Relationship Id="rId3985" Type="http://schemas.openxmlformats.org/officeDocument/2006/relationships/hyperlink" Target="https://www.crunchbase.com/organization/valuebase" TargetMode="External"/><Relationship Id="rId1325" Type="http://schemas.openxmlformats.org/officeDocument/2006/relationships/hyperlink" Target="https://www.crunchbase.com/funding_round/flux-factory-series-a--d75e7442" TargetMode="External"/><Relationship Id="rId2656" Type="http://schemas.openxmlformats.org/officeDocument/2006/relationships/hyperlink" Target="https://www.crunchbase.com/funding_round/apaleo-series-a--062047ea" TargetMode="External"/><Relationship Id="rId3988" Type="http://schemas.openxmlformats.org/officeDocument/2006/relationships/hyperlink" Target="https://angel.co/company/avesdo" TargetMode="External"/><Relationship Id="rId1326" Type="http://schemas.openxmlformats.org/officeDocument/2006/relationships/hyperlink" Target="https://www.crunchbase.com/funding_round/flux-factory-series-b--631b82aa" TargetMode="External"/><Relationship Id="rId2657" Type="http://schemas.openxmlformats.org/officeDocument/2006/relationships/hyperlink" Target="https://wellfound.com/company/plantd-1" TargetMode="External"/><Relationship Id="rId3987" Type="http://schemas.openxmlformats.org/officeDocument/2006/relationships/hyperlink" Target="https://www.crunchbase.com/funding_round/valuebase-pre-seed--80073f05" TargetMode="External"/><Relationship Id="rId1327" Type="http://schemas.openxmlformats.org/officeDocument/2006/relationships/hyperlink" Target="https://angel.co/company/assembly-osm" TargetMode="External"/><Relationship Id="rId2658" Type="http://schemas.openxmlformats.org/officeDocument/2006/relationships/hyperlink" Target="https://www.crunchbase.com/organization/plantd" TargetMode="External"/><Relationship Id="rId1328" Type="http://schemas.openxmlformats.org/officeDocument/2006/relationships/hyperlink" Target="https://www.crunchbase.com/organization/assembly-osm" TargetMode="External"/><Relationship Id="rId2659" Type="http://schemas.openxmlformats.org/officeDocument/2006/relationships/hyperlink" Target="https://plantdmaterials.com/" TargetMode="External"/><Relationship Id="rId3989" Type="http://schemas.openxmlformats.org/officeDocument/2006/relationships/hyperlink" Target="https://www.crunchbase.com/organization/avesdo" TargetMode="External"/><Relationship Id="rId1329" Type="http://schemas.openxmlformats.org/officeDocument/2006/relationships/hyperlink" Target="http://assemblyosm.com/" TargetMode="External"/><Relationship Id="rId739" Type="http://schemas.openxmlformats.org/officeDocument/2006/relationships/hyperlink" Target="https://www.crunchbase.com/funding_round/dronebase-series-b--d9f2686b" TargetMode="External"/><Relationship Id="rId734" Type="http://schemas.openxmlformats.org/officeDocument/2006/relationships/hyperlink" Target="https://www.crunchbase.com/funding_round/hqo-series-unknown--95a7a136" TargetMode="External"/><Relationship Id="rId733" Type="http://schemas.openxmlformats.org/officeDocument/2006/relationships/hyperlink" Target="https://www.crunchbase.com/funding_round/hqo-series-d--0a8fbbcf" TargetMode="External"/><Relationship Id="rId732" Type="http://schemas.openxmlformats.org/officeDocument/2006/relationships/hyperlink" Target="http://www.hqo.co/" TargetMode="External"/><Relationship Id="rId731" Type="http://schemas.openxmlformats.org/officeDocument/2006/relationships/hyperlink" Target="https://www.crunchbase.com/organization/hqo" TargetMode="External"/><Relationship Id="rId738" Type="http://schemas.openxmlformats.org/officeDocument/2006/relationships/hyperlink" Target="https://www.crunchbase.com/funding_round/dronebase-series-a--38c43fca" TargetMode="External"/><Relationship Id="rId737" Type="http://schemas.openxmlformats.org/officeDocument/2006/relationships/hyperlink" Target="https://www.crunchbase.com/funding_round/dronebase-seed--a89b3330" TargetMode="External"/><Relationship Id="rId736" Type="http://schemas.openxmlformats.org/officeDocument/2006/relationships/hyperlink" Target="https://www.zeitview.com/" TargetMode="External"/><Relationship Id="rId735" Type="http://schemas.openxmlformats.org/officeDocument/2006/relationships/hyperlink" Target="https://www.crunchbase.com/organization/dronebase" TargetMode="External"/><Relationship Id="rId3980" Type="http://schemas.openxmlformats.org/officeDocument/2006/relationships/hyperlink" Target="https://www.crunchbase.com/organization/realcrowd" TargetMode="External"/><Relationship Id="rId730" Type="http://schemas.openxmlformats.org/officeDocument/2006/relationships/hyperlink" Target="https://angel.co/hqoapp/" TargetMode="External"/><Relationship Id="rId2650" Type="http://schemas.openxmlformats.org/officeDocument/2006/relationships/hyperlink" Target="https://www.goyesler.com/" TargetMode="External"/><Relationship Id="rId3982" Type="http://schemas.openxmlformats.org/officeDocument/2006/relationships/hyperlink" Target="https://www.crunchbase.com/funding_round/realcrowd-seed--123cbedd" TargetMode="External"/><Relationship Id="rId1320" Type="http://schemas.openxmlformats.org/officeDocument/2006/relationships/hyperlink" Target="https://himaxwell.com/" TargetMode="External"/><Relationship Id="rId2651" Type="http://schemas.openxmlformats.org/officeDocument/2006/relationships/hyperlink" Target="https://www.crunchbase.com/funding_round/yesler-6ade-seed--363607d6" TargetMode="External"/><Relationship Id="rId3981" Type="http://schemas.openxmlformats.org/officeDocument/2006/relationships/hyperlink" Target="https://www.realcrowd.com/" TargetMode="External"/><Relationship Id="rId1321" Type="http://schemas.openxmlformats.org/officeDocument/2006/relationships/hyperlink" Target="https://angel.co/company/helix-re" TargetMode="External"/><Relationship Id="rId2652" Type="http://schemas.openxmlformats.org/officeDocument/2006/relationships/hyperlink" Target="https://angel.co/company/apaleo" TargetMode="External"/><Relationship Id="rId3984" Type="http://schemas.openxmlformats.org/officeDocument/2006/relationships/hyperlink" Target="https://guiker.com/" TargetMode="External"/><Relationship Id="rId1322" Type="http://schemas.openxmlformats.org/officeDocument/2006/relationships/hyperlink" Target="https://www.crunchbase.com/organization/flux-factory" TargetMode="External"/><Relationship Id="rId2653" Type="http://schemas.openxmlformats.org/officeDocument/2006/relationships/hyperlink" Target="https://www.crunchbase.com/organization/apaleo" TargetMode="External"/><Relationship Id="rId3983" Type="http://schemas.openxmlformats.org/officeDocument/2006/relationships/hyperlink" Target="https://www.crunchbase.com/organization/guiker-%E5%BD%92%E5%A3%B3" TargetMode="External"/><Relationship Id="rId1356" Type="http://schemas.openxmlformats.org/officeDocument/2006/relationships/hyperlink" Target="http://www.taskrabbit.com/" TargetMode="External"/><Relationship Id="rId2687" Type="http://schemas.openxmlformats.org/officeDocument/2006/relationships/hyperlink" Target="https://angel.co/company/till-1" TargetMode="External"/><Relationship Id="rId1357" Type="http://schemas.openxmlformats.org/officeDocument/2006/relationships/hyperlink" Target="https://angel.co/company/culdesac-2" TargetMode="External"/><Relationship Id="rId2688" Type="http://schemas.openxmlformats.org/officeDocument/2006/relationships/hyperlink" Target="https://www.crunchbase.com/organization/till-inc" TargetMode="External"/><Relationship Id="rId1358" Type="http://schemas.openxmlformats.org/officeDocument/2006/relationships/hyperlink" Target="https://www.crunchbase.com/organization/culdesac-f070" TargetMode="External"/><Relationship Id="rId2689" Type="http://schemas.openxmlformats.org/officeDocument/2006/relationships/hyperlink" Target="https://www.hellotill.com" TargetMode="External"/><Relationship Id="rId1359" Type="http://schemas.openxmlformats.org/officeDocument/2006/relationships/hyperlink" Target="https://culdesac.com/" TargetMode="External"/><Relationship Id="rId767" Type="http://schemas.openxmlformats.org/officeDocument/2006/relationships/hyperlink" Target="https://www.crunchbase.com/organization/locus-robotics" TargetMode="External"/><Relationship Id="rId766" Type="http://schemas.openxmlformats.org/officeDocument/2006/relationships/hyperlink" Target="https://www.lower.com/" TargetMode="External"/><Relationship Id="rId765" Type="http://schemas.openxmlformats.org/officeDocument/2006/relationships/hyperlink" Target="https://www.crunchbase.com/organization/lower" TargetMode="External"/><Relationship Id="rId764" Type="http://schemas.openxmlformats.org/officeDocument/2006/relationships/hyperlink" Target="https://smartrent.com/" TargetMode="External"/><Relationship Id="rId769" Type="http://schemas.openxmlformats.org/officeDocument/2006/relationships/hyperlink" Target="https://www.crunchbase.com/funding_round/locus-robotics-series-a--a61ec5bd" TargetMode="External"/><Relationship Id="rId768" Type="http://schemas.openxmlformats.org/officeDocument/2006/relationships/hyperlink" Target="https://locusrobotics.com/" TargetMode="External"/><Relationship Id="rId2680" Type="http://schemas.openxmlformats.org/officeDocument/2006/relationships/hyperlink" Target="https://www.crunchbase.com/organization/nationwide-engineering-group" TargetMode="External"/><Relationship Id="rId1350" Type="http://schemas.openxmlformats.org/officeDocument/2006/relationships/hyperlink" Target="https://www.amenitiz.com/" TargetMode="External"/><Relationship Id="rId2681" Type="http://schemas.openxmlformats.org/officeDocument/2006/relationships/hyperlink" Target="https://www.nationwideengineering.co.uk/" TargetMode="External"/><Relationship Id="rId1351" Type="http://schemas.openxmlformats.org/officeDocument/2006/relationships/hyperlink" Target="https://angel.co/company/companycam" TargetMode="External"/><Relationship Id="rId2682" Type="http://schemas.openxmlformats.org/officeDocument/2006/relationships/hyperlink" Target="https://angel.co/company/tumble-2" TargetMode="External"/><Relationship Id="rId763" Type="http://schemas.openxmlformats.org/officeDocument/2006/relationships/hyperlink" Target="https://makespace.com/" TargetMode="External"/><Relationship Id="rId1352" Type="http://schemas.openxmlformats.org/officeDocument/2006/relationships/hyperlink" Target="https://www.crunchbase.com/organization/companycam" TargetMode="External"/><Relationship Id="rId2683" Type="http://schemas.openxmlformats.org/officeDocument/2006/relationships/hyperlink" Target="https://www.crunchbase.com/organization/tumble" TargetMode="External"/><Relationship Id="rId762" Type="http://schemas.openxmlformats.org/officeDocument/2006/relationships/hyperlink" Target="https://www.crunchbase.com/organization/makespace" TargetMode="External"/><Relationship Id="rId1353" Type="http://schemas.openxmlformats.org/officeDocument/2006/relationships/hyperlink" Target="https://companycam.com/" TargetMode="External"/><Relationship Id="rId2684" Type="http://schemas.openxmlformats.org/officeDocument/2006/relationships/hyperlink" Target="https://tumble.to/" TargetMode="External"/><Relationship Id="rId761" Type="http://schemas.openxmlformats.org/officeDocument/2006/relationships/hyperlink" Target="https://angel.co/company/makespace" TargetMode="External"/><Relationship Id="rId1354" Type="http://schemas.openxmlformats.org/officeDocument/2006/relationships/hyperlink" Target="https://angel.co/company/taskrabbit" TargetMode="External"/><Relationship Id="rId2685" Type="http://schemas.openxmlformats.org/officeDocument/2006/relationships/hyperlink" Target="https://www.crunchbase.com/funding_round/tumble-pre-seed--58d3529f" TargetMode="External"/><Relationship Id="rId760" Type="http://schemas.openxmlformats.org/officeDocument/2006/relationships/hyperlink" Target="http://www.planradar.com" TargetMode="External"/><Relationship Id="rId1355" Type="http://schemas.openxmlformats.org/officeDocument/2006/relationships/hyperlink" Target="https://www.crunchbase.com/organization/taskrabbit" TargetMode="External"/><Relationship Id="rId2686" Type="http://schemas.openxmlformats.org/officeDocument/2006/relationships/hyperlink" Target="https://www.crunchbase.com/funding_round/tumble-seed--2b721e80" TargetMode="External"/><Relationship Id="rId1345" Type="http://schemas.openxmlformats.org/officeDocument/2006/relationships/hyperlink" Target="https://www.crunchbase.com/organization/doorstead" TargetMode="External"/><Relationship Id="rId2676" Type="http://schemas.openxmlformats.org/officeDocument/2006/relationships/hyperlink" Target="http://www.okapi.ai/" TargetMode="External"/><Relationship Id="rId1346" Type="http://schemas.openxmlformats.org/officeDocument/2006/relationships/hyperlink" Target="https://www.doorstead.com/" TargetMode="External"/><Relationship Id="rId2677" Type="http://schemas.openxmlformats.org/officeDocument/2006/relationships/hyperlink" Target="https://www.crunchbase.com/organization/simplifyy" TargetMode="External"/><Relationship Id="rId1347" Type="http://schemas.openxmlformats.org/officeDocument/2006/relationships/hyperlink" Target="https://www.crunchbase.com/funding_round/doorstead-series-b--64ce2547" TargetMode="External"/><Relationship Id="rId2678" Type="http://schemas.openxmlformats.org/officeDocument/2006/relationships/hyperlink" Target="https://simplifyy.com/" TargetMode="External"/><Relationship Id="rId1348" Type="http://schemas.openxmlformats.org/officeDocument/2006/relationships/hyperlink" Target="https://angel.co/company/amenitiz" TargetMode="External"/><Relationship Id="rId2679" Type="http://schemas.openxmlformats.org/officeDocument/2006/relationships/hyperlink" Target="https://www.crunchbase.com/funding_round/simplifyy-pre-seed--183f477c" TargetMode="External"/><Relationship Id="rId1349" Type="http://schemas.openxmlformats.org/officeDocument/2006/relationships/hyperlink" Target="https://www.crunchbase.com/organization/amenitiz" TargetMode="External"/><Relationship Id="rId756" Type="http://schemas.openxmlformats.org/officeDocument/2006/relationships/hyperlink" Target="https://www.crunchbase.com/organization/block-renovation" TargetMode="External"/><Relationship Id="rId755" Type="http://schemas.openxmlformats.org/officeDocument/2006/relationships/hyperlink" Target="https://angel.co/company/block-renovation" TargetMode="External"/><Relationship Id="rId754" Type="http://schemas.openxmlformats.org/officeDocument/2006/relationships/hyperlink" Target="https://belonghome.com/" TargetMode="External"/><Relationship Id="rId753" Type="http://schemas.openxmlformats.org/officeDocument/2006/relationships/hyperlink" Target="https://www.crunchbase.com/organization/belong-336d" TargetMode="External"/><Relationship Id="rId759" Type="http://schemas.openxmlformats.org/officeDocument/2006/relationships/hyperlink" Target="https://www.crunchbase.com/organization/defectradar" TargetMode="External"/><Relationship Id="rId758" Type="http://schemas.openxmlformats.org/officeDocument/2006/relationships/hyperlink" Target="https://angel.co/company/planradar-2" TargetMode="External"/><Relationship Id="rId757" Type="http://schemas.openxmlformats.org/officeDocument/2006/relationships/hyperlink" Target="https://www.blockrenovation.com/" TargetMode="External"/><Relationship Id="rId2670" Type="http://schemas.openxmlformats.org/officeDocument/2006/relationships/hyperlink" Target="https://www.crunchbase.com/funding_round/entouch-controls-series-b--4e01424a" TargetMode="External"/><Relationship Id="rId1340" Type="http://schemas.openxmlformats.org/officeDocument/2006/relationships/hyperlink" Target="https://www.sunroof.se/" TargetMode="External"/><Relationship Id="rId2671" Type="http://schemas.openxmlformats.org/officeDocument/2006/relationships/hyperlink" Target="https://www.crunchbase.com/funding_round/entouch-controls-series-c--bae5f440" TargetMode="External"/><Relationship Id="rId752" Type="http://schemas.openxmlformats.org/officeDocument/2006/relationships/hyperlink" Target="https://www.crunchbase.com/funding_round/infogrid-d81e-series-b--0e37b7bc" TargetMode="External"/><Relationship Id="rId1341" Type="http://schemas.openxmlformats.org/officeDocument/2006/relationships/hyperlink" Target="https://www.crunchbase.com/funding_round/sunroof-seed--01f5ad58" TargetMode="External"/><Relationship Id="rId2672" Type="http://schemas.openxmlformats.org/officeDocument/2006/relationships/hyperlink" Target="https://angel.co/enertiv" TargetMode="External"/><Relationship Id="rId751" Type="http://schemas.openxmlformats.org/officeDocument/2006/relationships/hyperlink" Target="https://www.infogrid.io/" TargetMode="External"/><Relationship Id="rId1342" Type="http://schemas.openxmlformats.org/officeDocument/2006/relationships/hyperlink" Target="https://www.crunchbase.com/funding_round/sunroof-series-a--0b05face" TargetMode="External"/><Relationship Id="rId2673" Type="http://schemas.openxmlformats.org/officeDocument/2006/relationships/hyperlink" Target="https://www.crunchbase.com/organization/enertiv" TargetMode="External"/><Relationship Id="rId750" Type="http://schemas.openxmlformats.org/officeDocument/2006/relationships/hyperlink" Target="https://www.crunchbase.com/organization/infogrid-d81e" TargetMode="External"/><Relationship Id="rId1343" Type="http://schemas.openxmlformats.org/officeDocument/2006/relationships/hyperlink" Target="https://www.crunchbase.com/funding_round/sunroof-series-unknown--049b5bb5" TargetMode="External"/><Relationship Id="rId2674" Type="http://schemas.openxmlformats.org/officeDocument/2006/relationships/hyperlink" Target="http://www.enertiv.com/" TargetMode="External"/><Relationship Id="rId1344" Type="http://schemas.openxmlformats.org/officeDocument/2006/relationships/hyperlink" Target="https://angel.co/company/doorstead" TargetMode="External"/><Relationship Id="rId2675" Type="http://schemas.openxmlformats.org/officeDocument/2006/relationships/hyperlink" Target="https://www.crunchbase.com/organization/okapi-f5af" TargetMode="External"/><Relationship Id="rId2621" Type="http://schemas.openxmlformats.org/officeDocument/2006/relationships/hyperlink" Target="https://angel.co/company/firedome" TargetMode="External"/><Relationship Id="rId3953" Type="http://schemas.openxmlformats.org/officeDocument/2006/relationships/hyperlink" Target="https://www.crunchbase.com/organization/symterra" TargetMode="External"/><Relationship Id="rId2622" Type="http://schemas.openxmlformats.org/officeDocument/2006/relationships/hyperlink" Target="https://www.crunchbase.com/organization/firedome" TargetMode="External"/><Relationship Id="rId3952" Type="http://schemas.openxmlformats.org/officeDocument/2006/relationships/hyperlink" Target="https://www.sicontainerbuilds.com/" TargetMode="External"/><Relationship Id="rId2623" Type="http://schemas.openxmlformats.org/officeDocument/2006/relationships/hyperlink" Target="https://firedome.io/" TargetMode="External"/><Relationship Id="rId3955" Type="http://schemas.openxmlformats.org/officeDocument/2006/relationships/hyperlink" Target="https://angel.co/company/termscout-1" TargetMode="External"/><Relationship Id="rId2624" Type="http://schemas.openxmlformats.org/officeDocument/2006/relationships/hyperlink" Target="http://crunchbase.com/organization/gigstreem" TargetMode="External"/><Relationship Id="rId3954" Type="http://schemas.openxmlformats.org/officeDocument/2006/relationships/hyperlink" Target="https://www.crunchbase.com/funding_round/symterra-seed--86f42d85" TargetMode="External"/><Relationship Id="rId2625" Type="http://schemas.openxmlformats.org/officeDocument/2006/relationships/hyperlink" Target="https://gigstreem.com/" TargetMode="External"/><Relationship Id="rId3957" Type="http://schemas.openxmlformats.org/officeDocument/2006/relationships/hyperlink" Target="https://termscout.com/" TargetMode="External"/><Relationship Id="rId2626" Type="http://schemas.openxmlformats.org/officeDocument/2006/relationships/hyperlink" Target="https://www.crunchbase.com/funding_round/gigstreem-series-unknown--1509d2e6" TargetMode="External"/><Relationship Id="rId3956" Type="http://schemas.openxmlformats.org/officeDocument/2006/relationships/hyperlink" Target="https://www.crunchbase.com/organization/termscout-95d7" TargetMode="External"/><Relationship Id="rId2627" Type="http://schemas.openxmlformats.org/officeDocument/2006/relationships/hyperlink" Target="https://www.crunchbase.com/organization/livly" TargetMode="External"/><Relationship Id="rId3959" Type="http://schemas.openxmlformats.org/officeDocument/2006/relationships/hyperlink" Target="https://www.crunchbase.com/funding_round/termscout-95d7-seed--8f6d555a" TargetMode="External"/><Relationship Id="rId2628" Type="http://schemas.openxmlformats.org/officeDocument/2006/relationships/hyperlink" Target="http://www.livly.io/" TargetMode="External"/><Relationship Id="rId3958" Type="http://schemas.openxmlformats.org/officeDocument/2006/relationships/hyperlink" Target="https://www.crunchbase.com/funding_round/termscout-95d7-pre-seed--99fad51b" TargetMode="External"/><Relationship Id="rId709" Type="http://schemas.openxmlformats.org/officeDocument/2006/relationships/hyperlink" Target="https://www.crunchbase.com/funding_round/moxion-power-co-pre-seed--9977447a" TargetMode="External"/><Relationship Id="rId2629" Type="http://schemas.openxmlformats.org/officeDocument/2006/relationships/hyperlink" Target="https://angel.co/company/onespot" TargetMode="External"/><Relationship Id="rId708" Type="http://schemas.openxmlformats.org/officeDocument/2006/relationships/hyperlink" Target="https://www.moxionpower.com/" TargetMode="External"/><Relationship Id="rId707" Type="http://schemas.openxmlformats.org/officeDocument/2006/relationships/hyperlink" Target="https://www.crunchbase.com/organization/moxion-power-co" TargetMode="External"/><Relationship Id="rId706" Type="http://schemas.openxmlformats.org/officeDocument/2006/relationships/hyperlink" Target="https://angel.co/company/moxion-power-co" TargetMode="External"/><Relationship Id="rId701" Type="http://schemas.openxmlformats.org/officeDocument/2006/relationships/hyperlink" Target="https://www.crunchbase.com/organization/domio-inc" TargetMode="External"/><Relationship Id="rId700" Type="http://schemas.openxmlformats.org/officeDocument/2006/relationships/hyperlink" Target="https://reali.com/get-app/" TargetMode="External"/><Relationship Id="rId705" Type="http://schemas.openxmlformats.org/officeDocument/2006/relationships/hyperlink" Target="https://www.zolar.de/en" TargetMode="External"/><Relationship Id="rId704" Type="http://schemas.openxmlformats.org/officeDocument/2006/relationships/hyperlink" Target="https://www.crunchbase.com/organization/zolar" TargetMode="External"/><Relationship Id="rId703" Type="http://schemas.openxmlformats.org/officeDocument/2006/relationships/hyperlink" Target="https://www.crunchbase.com/funding_round/domio-inc-convertible-note--4fa34b89" TargetMode="External"/><Relationship Id="rId702" Type="http://schemas.openxmlformats.org/officeDocument/2006/relationships/hyperlink" Target="https://www.crunchbase.com/funding_round/domio-inc-seed--cd47db4b" TargetMode="External"/><Relationship Id="rId3951" Type="http://schemas.openxmlformats.org/officeDocument/2006/relationships/hyperlink" Target="https://www.crunchbase.com/organization/s-i-container-build" TargetMode="External"/><Relationship Id="rId2620" Type="http://schemas.openxmlformats.org/officeDocument/2006/relationships/hyperlink" Target="https://www.crunchbase.com/funding_round/brokers-engineers-seed--9663855b" TargetMode="External"/><Relationship Id="rId3950" Type="http://schemas.openxmlformats.org/officeDocument/2006/relationships/hyperlink" Target="https://justmovein.com/" TargetMode="External"/><Relationship Id="rId2610" Type="http://schemas.openxmlformats.org/officeDocument/2006/relationships/hyperlink" Target="https://angel.co/company/altrio" TargetMode="External"/><Relationship Id="rId3942" Type="http://schemas.openxmlformats.org/officeDocument/2006/relationships/hyperlink" Target="http://geocv.com/" TargetMode="External"/><Relationship Id="rId2611" Type="http://schemas.openxmlformats.org/officeDocument/2006/relationships/hyperlink" Target="https://www.crunchbase.com/organization/altrio" TargetMode="External"/><Relationship Id="rId3941" Type="http://schemas.openxmlformats.org/officeDocument/2006/relationships/hyperlink" Target="https://www.crunchbase.com/organization/geocv" TargetMode="External"/><Relationship Id="rId2612" Type="http://schemas.openxmlformats.org/officeDocument/2006/relationships/hyperlink" Target="https://altrio.com/" TargetMode="External"/><Relationship Id="rId3944" Type="http://schemas.openxmlformats.org/officeDocument/2006/relationships/hyperlink" Target="https://www.arbonics.com/" TargetMode="External"/><Relationship Id="rId2613" Type="http://schemas.openxmlformats.org/officeDocument/2006/relationships/hyperlink" Target="https://www.crunchbase.com/funding_round/altrio-seed--b1cdb4d6" TargetMode="External"/><Relationship Id="rId3943" Type="http://schemas.openxmlformats.org/officeDocument/2006/relationships/hyperlink" Target="https://www.crunchbase.com/organization/arbonics" TargetMode="External"/><Relationship Id="rId2614" Type="http://schemas.openxmlformats.org/officeDocument/2006/relationships/hyperlink" Target="https://www.crunchbase.com/funding_round/altrio-series-a--c6865711" TargetMode="External"/><Relationship Id="rId3946" Type="http://schemas.openxmlformats.org/officeDocument/2006/relationships/hyperlink" Target="https://www.crunchbase.com/organization/freesi" TargetMode="External"/><Relationship Id="rId2615" Type="http://schemas.openxmlformats.org/officeDocument/2006/relationships/hyperlink" Target="https://angel.co/company/anthemiq" TargetMode="External"/><Relationship Id="rId3945" Type="http://schemas.openxmlformats.org/officeDocument/2006/relationships/hyperlink" Target="https://www.crunchbase.com/funding_round/arbonics-pre-seed--b01bc9c2" TargetMode="External"/><Relationship Id="rId2616" Type="http://schemas.openxmlformats.org/officeDocument/2006/relationships/hyperlink" Target="https://www.crunchbase.com/organization/anthemiq" TargetMode="External"/><Relationship Id="rId3948" Type="http://schemas.openxmlformats.org/officeDocument/2006/relationships/hyperlink" Target="https://www.crunchbase.com/funding_round/freesi-seed--bf22c759" TargetMode="External"/><Relationship Id="rId2617" Type="http://schemas.openxmlformats.org/officeDocument/2006/relationships/hyperlink" Target="https://www.anthemiq.com/" TargetMode="External"/><Relationship Id="rId3947" Type="http://schemas.openxmlformats.org/officeDocument/2006/relationships/hyperlink" Target="https://freesi.io/en/" TargetMode="External"/><Relationship Id="rId2618" Type="http://schemas.openxmlformats.org/officeDocument/2006/relationships/hyperlink" Target="https://www.crunchbase.com/organization/brokers-engineers" TargetMode="External"/><Relationship Id="rId2619" Type="http://schemas.openxmlformats.org/officeDocument/2006/relationships/hyperlink" Target="https://benetlease.com/" TargetMode="External"/><Relationship Id="rId3949" Type="http://schemas.openxmlformats.org/officeDocument/2006/relationships/hyperlink" Target="https://www.crunchbase.com/organization/just-move-in" TargetMode="External"/><Relationship Id="rId3940" Type="http://schemas.openxmlformats.org/officeDocument/2006/relationships/hyperlink" Target="https://angel.co/geocv-1" TargetMode="External"/><Relationship Id="rId1312" Type="http://schemas.openxmlformats.org/officeDocument/2006/relationships/hyperlink" Target="https://www.crunchbase.com/funding_round/eden-series-a--8b9e25be" TargetMode="External"/><Relationship Id="rId2643" Type="http://schemas.openxmlformats.org/officeDocument/2006/relationships/hyperlink" Target="https://landgate.com/" TargetMode="External"/><Relationship Id="rId3975" Type="http://schemas.openxmlformats.org/officeDocument/2006/relationships/hyperlink" Target="https://angel.co/company/rabbu" TargetMode="External"/><Relationship Id="rId1313" Type="http://schemas.openxmlformats.org/officeDocument/2006/relationships/hyperlink" Target="https://www.crunchbase.com/funding_round/eden-series-b--a60bcd53" TargetMode="External"/><Relationship Id="rId2644" Type="http://schemas.openxmlformats.org/officeDocument/2006/relationships/hyperlink" Target="https://www.crunchbase.com/funding_round/petrovalues-series-unknown--23e914ff" TargetMode="External"/><Relationship Id="rId3974" Type="http://schemas.openxmlformats.org/officeDocument/2006/relationships/hyperlink" Target="https://www.gridics.com/" TargetMode="External"/><Relationship Id="rId1314" Type="http://schemas.openxmlformats.org/officeDocument/2006/relationships/hyperlink" Target="https://angel.co/company/spruceapp" TargetMode="External"/><Relationship Id="rId2645" Type="http://schemas.openxmlformats.org/officeDocument/2006/relationships/hyperlink" Target="https://www.crunchbase.com/funding_round/petrovalues-series-unknown--7fec6686" TargetMode="External"/><Relationship Id="rId3977" Type="http://schemas.openxmlformats.org/officeDocument/2006/relationships/hyperlink" Target="https://www.rabbu.com" TargetMode="External"/><Relationship Id="rId1315" Type="http://schemas.openxmlformats.org/officeDocument/2006/relationships/hyperlink" Target="https://www.crunchbase.com/organization/spruce-inc" TargetMode="External"/><Relationship Id="rId2646" Type="http://schemas.openxmlformats.org/officeDocument/2006/relationships/hyperlink" Target="https://www.crunchbase.com/organization/tongo-44fc" TargetMode="External"/><Relationship Id="rId3976" Type="http://schemas.openxmlformats.org/officeDocument/2006/relationships/hyperlink" Target="https://www.crunchbase.com/organization/rabbu" TargetMode="External"/><Relationship Id="rId1316" Type="http://schemas.openxmlformats.org/officeDocument/2006/relationships/hyperlink" Target="https://getspruce.com/" TargetMode="External"/><Relationship Id="rId2647" Type="http://schemas.openxmlformats.org/officeDocument/2006/relationships/hyperlink" Target="https://gettongo.com/" TargetMode="External"/><Relationship Id="rId3979" Type="http://schemas.openxmlformats.org/officeDocument/2006/relationships/hyperlink" Target="https://angel.co/company/realcrowd" TargetMode="External"/><Relationship Id="rId1317" Type="http://schemas.openxmlformats.org/officeDocument/2006/relationships/hyperlink" Target="https://www.crunchbase.com/funding_round/spruce-inc-series-b--ca0e28b6" TargetMode="External"/><Relationship Id="rId2648" Type="http://schemas.openxmlformats.org/officeDocument/2006/relationships/hyperlink" Target="https://www.crunchbase.com/funding_round/tongo-44fc-seed--54bdd248" TargetMode="External"/><Relationship Id="rId3978" Type="http://schemas.openxmlformats.org/officeDocument/2006/relationships/hyperlink" Target="https://www.crunchbase.com/funding_round/rabbu-seed--2f82b93b" TargetMode="External"/><Relationship Id="rId1318" Type="http://schemas.openxmlformats.org/officeDocument/2006/relationships/hyperlink" Target="https://angel.co/company/maxwell-financial-labs" TargetMode="External"/><Relationship Id="rId2649" Type="http://schemas.openxmlformats.org/officeDocument/2006/relationships/hyperlink" Target="https://www.crunchbase.com/organization/yesler-6ade" TargetMode="External"/><Relationship Id="rId1319" Type="http://schemas.openxmlformats.org/officeDocument/2006/relationships/hyperlink" Target="https://www.crunchbase.com/organization/maxwell-financial-labs-inc" TargetMode="External"/><Relationship Id="rId729" Type="http://schemas.openxmlformats.org/officeDocument/2006/relationships/hyperlink" Target="https://www.crunchbase.com/funding_round/expedi-debt-financing--964a5a74" TargetMode="External"/><Relationship Id="rId728" Type="http://schemas.openxmlformats.org/officeDocument/2006/relationships/hyperlink" Target="https://www.crunchbase.com/funding_round/expedi-series-unknown--e0aa6c89" TargetMode="External"/><Relationship Id="rId723" Type="http://schemas.openxmlformats.org/officeDocument/2006/relationships/hyperlink" Target="https://www.goexpedi.com/" TargetMode="External"/><Relationship Id="rId722" Type="http://schemas.openxmlformats.org/officeDocument/2006/relationships/hyperlink" Target="https://www.crunchbase.com/organization/expedi" TargetMode="External"/><Relationship Id="rId721" Type="http://schemas.openxmlformats.org/officeDocument/2006/relationships/hyperlink" Target="https://angel.co/company/goexpedi" TargetMode="External"/><Relationship Id="rId720" Type="http://schemas.openxmlformats.org/officeDocument/2006/relationships/hyperlink" Target="https://www.versatile.ai/" TargetMode="External"/><Relationship Id="rId727" Type="http://schemas.openxmlformats.org/officeDocument/2006/relationships/hyperlink" Target="https://www.crunchbase.com/funding_round/expedi-series-c--b3f98eac" TargetMode="External"/><Relationship Id="rId726" Type="http://schemas.openxmlformats.org/officeDocument/2006/relationships/hyperlink" Target="https://www.crunchbase.com/funding_round/expedi-series-b--1565f066" TargetMode="External"/><Relationship Id="rId725" Type="http://schemas.openxmlformats.org/officeDocument/2006/relationships/hyperlink" Target="https://www.crunchbase.com/funding_round/expedi-series-a--2b10dd74" TargetMode="External"/><Relationship Id="rId724" Type="http://schemas.openxmlformats.org/officeDocument/2006/relationships/hyperlink" Target="https://www.crunchbase.com/funding_round/expedi-seed--a3e2d1ab" TargetMode="External"/><Relationship Id="rId3971" Type="http://schemas.openxmlformats.org/officeDocument/2006/relationships/hyperlink" Target="https://www.crunchbase.com/funding_round/bractlet-series-a--5a3237bd" TargetMode="External"/><Relationship Id="rId2640" Type="http://schemas.openxmlformats.org/officeDocument/2006/relationships/hyperlink" Target="https://covertree.com/" TargetMode="External"/><Relationship Id="rId3970" Type="http://schemas.openxmlformats.org/officeDocument/2006/relationships/hyperlink" Target="https://www.crunchbase.com/funding_round/bractlet-seed--26e66a2b" TargetMode="External"/><Relationship Id="rId1310" Type="http://schemas.openxmlformats.org/officeDocument/2006/relationships/hyperlink" Target="https://www.eden.io" TargetMode="External"/><Relationship Id="rId2641" Type="http://schemas.openxmlformats.org/officeDocument/2006/relationships/hyperlink" Target="https://www.crunchbase.com/funding_round/cover-tree-seed--53f4075b" TargetMode="External"/><Relationship Id="rId3973" Type="http://schemas.openxmlformats.org/officeDocument/2006/relationships/hyperlink" Target="https://www.crunchbase.com/organization/gridics" TargetMode="External"/><Relationship Id="rId1311" Type="http://schemas.openxmlformats.org/officeDocument/2006/relationships/hyperlink" Target="https://www.crunchbase.com/funding_round/eden-seed--44d051e8" TargetMode="External"/><Relationship Id="rId2642" Type="http://schemas.openxmlformats.org/officeDocument/2006/relationships/hyperlink" Target="https://www.crunchbase.com/organization/petrovalues" TargetMode="External"/><Relationship Id="rId3972" Type="http://schemas.openxmlformats.org/officeDocument/2006/relationships/hyperlink" Target="https://angel.co/company/gridics" TargetMode="External"/><Relationship Id="rId1301" Type="http://schemas.openxmlformats.org/officeDocument/2006/relationships/hyperlink" Target="https://www.luxwall.com/" TargetMode="External"/><Relationship Id="rId2632" Type="http://schemas.openxmlformats.org/officeDocument/2006/relationships/hyperlink" Target="https://angel.co/company/shipmonk" TargetMode="External"/><Relationship Id="rId3964" Type="http://schemas.openxmlformats.org/officeDocument/2006/relationships/hyperlink" Target="https://angel.co/company/askporter" TargetMode="External"/><Relationship Id="rId1302" Type="http://schemas.openxmlformats.org/officeDocument/2006/relationships/hyperlink" Target="https://www.crunchbase.com/funding_round/luxwall-seed--654850ed" TargetMode="External"/><Relationship Id="rId2633" Type="http://schemas.openxmlformats.org/officeDocument/2006/relationships/hyperlink" Target="https://www.crunchbase.com/organization/shipmonk" TargetMode="External"/><Relationship Id="rId3963" Type="http://schemas.openxmlformats.org/officeDocument/2006/relationships/hyperlink" Target="https://www.crunchbase.com/funding_round/spotlar-seed--51bb5229" TargetMode="External"/><Relationship Id="rId1303" Type="http://schemas.openxmlformats.org/officeDocument/2006/relationships/hyperlink" Target="https://www.crunchbase.com/funding_round/luxwall-series-a--dd14bda3" TargetMode="External"/><Relationship Id="rId2634" Type="http://schemas.openxmlformats.org/officeDocument/2006/relationships/hyperlink" Target="http://shipmonk.com" TargetMode="External"/><Relationship Id="rId3966" Type="http://schemas.openxmlformats.org/officeDocument/2006/relationships/hyperlink" Target="https://www.askporter.com/" TargetMode="External"/><Relationship Id="rId1304" Type="http://schemas.openxmlformats.org/officeDocument/2006/relationships/hyperlink" Target="https://angel.co/company/acasa-2" TargetMode="External"/><Relationship Id="rId2635" Type="http://schemas.openxmlformats.org/officeDocument/2006/relationships/hyperlink" Target="https://www.crunchbase.com/funding_round/shipmonk-series-a--2cc86033" TargetMode="External"/><Relationship Id="rId3965" Type="http://schemas.openxmlformats.org/officeDocument/2006/relationships/hyperlink" Target="https://www.crunchbase.com/organization/askporter" TargetMode="External"/><Relationship Id="rId1305" Type="http://schemas.openxmlformats.org/officeDocument/2006/relationships/hyperlink" Target="https://www.crunchbase.com/organization/acasa" TargetMode="External"/><Relationship Id="rId2636" Type="http://schemas.openxmlformats.org/officeDocument/2006/relationships/hyperlink" Target="https://www.crunchbase.com/organization/worlds-9772" TargetMode="External"/><Relationship Id="rId3968" Type="http://schemas.openxmlformats.org/officeDocument/2006/relationships/hyperlink" Target="https://www.crunchbase.com/organization/bractlet" TargetMode="External"/><Relationship Id="rId1306" Type="http://schemas.openxmlformats.org/officeDocument/2006/relationships/hyperlink" Target="https://www.castia.com/" TargetMode="External"/><Relationship Id="rId2637" Type="http://schemas.openxmlformats.org/officeDocument/2006/relationships/hyperlink" Target="https://worlds.io/" TargetMode="External"/><Relationship Id="rId3967" Type="http://schemas.openxmlformats.org/officeDocument/2006/relationships/hyperlink" Target="https://angel.co/company/bractlet" TargetMode="External"/><Relationship Id="rId1307" Type="http://schemas.openxmlformats.org/officeDocument/2006/relationships/hyperlink" Target="https://www.crunchbase.com/funding_round/acasa-debt-financing--bbffdacc" TargetMode="External"/><Relationship Id="rId2638" Type="http://schemas.openxmlformats.org/officeDocument/2006/relationships/hyperlink" Target="https://www.crunchbase.com/funding_round/worlds-9772-series-a--6ca19742" TargetMode="External"/><Relationship Id="rId1308" Type="http://schemas.openxmlformats.org/officeDocument/2006/relationships/hyperlink" Target="https://angel.co/company/eden" TargetMode="External"/><Relationship Id="rId2639" Type="http://schemas.openxmlformats.org/officeDocument/2006/relationships/hyperlink" Target="https://www.crunchbase.com/organization/cover-tree" TargetMode="External"/><Relationship Id="rId3969" Type="http://schemas.openxmlformats.org/officeDocument/2006/relationships/hyperlink" Target="https://bractlet.com/" TargetMode="External"/><Relationship Id="rId1309" Type="http://schemas.openxmlformats.org/officeDocument/2006/relationships/hyperlink" Target="https://www.crunchbase.com/organization/eden" TargetMode="External"/><Relationship Id="rId719" Type="http://schemas.openxmlformats.org/officeDocument/2006/relationships/hyperlink" Target="https://www.crunchbase.com/organization/versatile-natures" TargetMode="External"/><Relationship Id="rId718" Type="http://schemas.openxmlformats.org/officeDocument/2006/relationships/hyperlink" Target="http://www.soundhound.com" TargetMode="External"/><Relationship Id="rId717" Type="http://schemas.openxmlformats.org/officeDocument/2006/relationships/hyperlink" Target="https://www.crunchbase.com/organization/soundhound" TargetMode="External"/><Relationship Id="rId712" Type="http://schemas.openxmlformats.org/officeDocument/2006/relationships/hyperlink" Target="https://www.crunchbase.com/funding_round/moxion-power-co-series-b--2203cbec" TargetMode="External"/><Relationship Id="rId711" Type="http://schemas.openxmlformats.org/officeDocument/2006/relationships/hyperlink" Target="https://www.crunchbase.com/funding_round/moxion-power-co-series-a--8bb6d3d1" TargetMode="External"/><Relationship Id="rId710" Type="http://schemas.openxmlformats.org/officeDocument/2006/relationships/hyperlink" Target="https://www.crunchbase.com/funding_round/moxion-power-co-seed--0d956191" TargetMode="External"/><Relationship Id="rId716" Type="http://schemas.openxmlformats.org/officeDocument/2006/relationships/hyperlink" Target="https://angel.co/company/soundhound" TargetMode="External"/><Relationship Id="rId715" Type="http://schemas.openxmlformats.org/officeDocument/2006/relationships/hyperlink" Target="https://www.builtrobotics.com/" TargetMode="External"/><Relationship Id="rId714" Type="http://schemas.openxmlformats.org/officeDocument/2006/relationships/hyperlink" Target="https://www.crunchbase.com/organization/built-robotics" TargetMode="External"/><Relationship Id="rId713" Type="http://schemas.openxmlformats.org/officeDocument/2006/relationships/hyperlink" Target="https://angel.co/u/built-robotics-1" TargetMode="External"/><Relationship Id="rId3960" Type="http://schemas.openxmlformats.org/officeDocument/2006/relationships/hyperlink" Target="https://www.crunchbase.com/organization/spotlar" TargetMode="External"/><Relationship Id="rId2630" Type="http://schemas.openxmlformats.org/officeDocument/2006/relationships/hyperlink" Target="https://www.crunchbase.com/organization/onespot" TargetMode="External"/><Relationship Id="rId3962" Type="http://schemas.openxmlformats.org/officeDocument/2006/relationships/hyperlink" Target="https://www.crunchbase.com/funding_round/spotlar-pre-seed--08f53ddc" TargetMode="External"/><Relationship Id="rId1300" Type="http://schemas.openxmlformats.org/officeDocument/2006/relationships/hyperlink" Target="https://www.crunchbase.com/organization/luxwall" TargetMode="External"/><Relationship Id="rId2631" Type="http://schemas.openxmlformats.org/officeDocument/2006/relationships/hyperlink" Target="http://www.onespot.com" TargetMode="External"/><Relationship Id="rId3961" Type="http://schemas.openxmlformats.org/officeDocument/2006/relationships/hyperlink" Target="https://www.spotlar.com.br/" TargetMode="External"/><Relationship Id="rId1378" Type="http://schemas.openxmlformats.org/officeDocument/2006/relationships/hyperlink" Target="https://angel.co/company/readyspaces" TargetMode="External"/><Relationship Id="rId1379" Type="http://schemas.openxmlformats.org/officeDocument/2006/relationships/hyperlink" Target="https://www.crunchbase.com/organization/readyspaces" TargetMode="External"/><Relationship Id="rId789" Type="http://schemas.openxmlformats.org/officeDocument/2006/relationships/hyperlink" Target="https://www.crunchbase.com/organization/easyknock" TargetMode="External"/><Relationship Id="rId788" Type="http://schemas.openxmlformats.org/officeDocument/2006/relationships/hyperlink" Target="https://angel.co/company/easyknock" TargetMode="External"/><Relationship Id="rId787" Type="http://schemas.openxmlformats.org/officeDocument/2006/relationships/hyperlink" Target="https://www.crunchbase.com/funding_round/truework-series-c--5fbca6eb" TargetMode="External"/><Relationship Id="rId786" Type="http://schemas.openxmlformats.org/officeDocument/2006/relationships/hyperlink" Target="https://www.crunchbase.com/funding_round/truework-series-b--7136114e" TargetMode="External"/><Relationship Id="rId781" Type="http://schemas.openxmlformats.org/officeDocument/2006/relationships/hyperlink" Target="https://angel.co/company/truework" TargetMode="External"/><Relationship Id="rId1370" Type="http://schemas.openxmlformats.org/officeDocument/2006/relationships/hyperlink" Target="https://www.crunchbase.com/organization/calthorpe-analytics" TargetMode="External"/><Relationship Id="rId780" Type="http://schemas.openxmlformats.org/officeDocument/2006/relationships/hyperlink" Target="https://www.crunchbase.com/funding_round/eo-charging-private-equity--9efeec53" TargetMode="External"/><Relationship Id="rId1371" Type="http://schemas.openxmlformats.org/officeDocument/2006/relationships/hyperlink" Target="http://www.urbanfootprint.com/" TargetMode="External"/><Relationship Id="rId1372" Type="http://schemas.openxmlformats.org/officeDocument/2006/relationships/hyperlink" Target="https://angel.co/company/sympower" TargetMode="External"/><Relationship Id="rId1373" Type="http://schemas.openxmlformats.org/officeDocument/2006/relationships/hyperlink" Target="https://www.crunchbase.com/organization/sympower" TargetMode="External"/><Relationship Id="rId785" Type="http://schemas.openxmlformats.org/officeDocument/2006/relationships/hyperlink" Target="https://www.crunchbase.com/funding_round/truework-series-a--e2031a60" TargetMode="External"/><Relationship Id="rId1374" Type="http://schemas.openxmlformats.org/officeDocument/2006/relationships/hyperlink" Target="http://www.sympower.net/" TargetMode="External"/><Relationship Id="rId784" Type="http://schemas.openxmlformats.org/officeDocument/2006/relationships/hyperlink" Target="https://www.crunchbase.com/funding_round/truework-seed--0324e204" TargetMode="External"/><Relationship Id="rId1375" Type="http://schemas.openxmlformats.org/officeDocument/2006/relationships/hyperlink" Target="https://www.crunchbase.com/funding_round/sympower-seed--b382eb8b" TargetMode="External"/><Relationship Id="rId783" Type="http://schemas.openxmlformats.org/officeDocument/2006/relationships/hyperlink" Target="https://www.truework.com/" TargetMode="External"/><Relationship Id="rId1376" Type="http://schemas.openxmlformats.org/officeDocument/2006/relationships/hyperlink" Target="https://www.crunchbase.com/funding_round/sympower-series-a--5344a973" TargetMode="External"/><Relationship Id="rId782" Type="http://schemas.openxmlformats.org/officeDocument/2006/relationships/hyperlink" Target="https://www.crunchbase.com/organization/truework" TargetMode="External"/><Relationship Id="rId1377" Type="http://schemas.openxmlformats.org/officeDocument/2006/relationships/hyperlink" Target="https://www.crunchbase.com/funding_round/sympower-series-b--6471fd20" TargetMode="External"/><Relationship Id="rId1367" Type="http://schemas.openxmlformats.org/officeDocument/2006/relationships/hyperlink" Target="https://www.solarcycle.us/" TargetMode="External"/><Relationship Id="rId2698" Type="http://schemas.openxmlformats.org/officeDocument/2006/relationships/hyperlink" Target="https://www.crunchbase.com/funding_round/archistar-series-a--8657d3a2" TargetMode="External"/><Relationship Id="rId1368" Type="http://schemas.openxmlformats.org/officeDocument/2006/relationships/hyperlink" Target="https://www.crunchbase.com/funding_round/solarcycle-inc-series-a--580005b8" TargetMode="External"/><Relationship Id="rId2699" Type="http://schemas.openxmlformats.org/officeDocument/2006/relationships/hyperlink" Target="https://wellfound.com/company/soil-connect" TargetMode="External"/><Relationship Id="rId1369" Type="http://schemas.openxmlformats.org/officeDocument/2006/relationships/hyperlink" Target="https://angel.co/company/urbanfootprint" TargetMode="External"/><Relationship Id="rId778" Type="http://schemas.openxmlformats.org/officeDocument/2006/relationships/hyperlink" Target="https://www.crunchbase.com/organization/eo-charging" TargetMode="External"/><Relationship Id="rId777" Type="http://schemas.openxmlformats.org/officeDocument/2006/relationships/hyperlink" Target="https://www.crunchbase.com/funding_round/realwear-series-b--9ef1d6f2" TargetMode="External"/><Relationship Id="rId776" Type="http://schemas.openxmlformats.org/officeDocument/2006/relationships/hyperlink" Target="https://www.crunchbase.com/funding_round/realwear-series-a--becccc27" TargetMode="External"/><Relationship Id="rId775" Type="http://schemas.openxmlformats.org/officeDocument/2006/relationships/hyperlink" Target="https://realwear.com//" TargetMode="External"/><Relationship Id="rId779" Type="http://schemas.openxmlformats.org/officeDocument/2006/relationships/hyperlink" Target="https://www.eocharging.com/" TargetMode="External"/><Relationship Id="rId770" Type="http://schemas.openxmlformats.org/officeDocument/2006/relationships/hyperlink" Target="https://www.crunchbase.com/funding_round/locus-robotics-series-b--bdaf913b" TargetMode="External"/><Relationship Id="rId2690" Type="http://schemas.openxmlformats.org/officeDocument/2006/relationships/hyperlink" Target="https://www.crunchbase.com/funding_round/till-inc-seed--a943d44d" TargetMode="External"/><Relationship Id="rId1360" Type="http://schemas.openxmlformats.org/officeDocument/2006/relationships/hyperlink" Target="https://angel.co/company/lodgify" TargetMode="External"/><Relationship Id="rId2691" Type="http://schemas.openxmlformats.org/officeDocument/2006/relationships/hyperlink" Target="https://www.crunchbase.com/organization/daybase" TargetMode="External"/><Relationship Id="rId1361" Type="http://schemas.openxmlformats.org/officeDocument/2006/relationships/hyperlink" Target="https://www.crunchbase.com/organization/lodgify" TargetMode="External"/><Relationship Id="rId2692" Type="http://schemas.openxmlformats.org/officeDocument/2006/relationships/hyperlink" Target="https://www.daybase.co/" TargetMode="External"/><Relationship Id="rId1362" Type="http://schemas.openxmlformats.org/officeDocument/2006/relationships/hyperlink" Target="https://www.lodgify.com/" TargetMode="External"/><Relationship Id="rId2693" Type="http://schemas.openxmlformats.org/officeDocument/2006/relationships/hyperlink" Target="https://angel.co/company/archistar" TargetMode="External"/><Relationship Id="rId774" Type="http://schemas.openxmlformats.org/officeDocument/2006/relationships/hyperlink" Target="https://www.crunchbase.com/organization/realwear" TargetMode="External"/><Relationship Id="rId1363" Type="http://schemas.openxmlformats.org/officeDocument/2006/relationships/hyperlink" Target="https://www.crunchbase.com/funding_round/lodgify-seed--4f62a5bf" TargetMode="External"/><Relationship Id="rId2694" Type="http://schemas.openxmlformats.org/officeDocument/2006/relationships/hyperlink" Target="https://www.crunchbase.com/organization/archistar" TargetMode="External"/><Relationship Id="rId773" Type="http://schemas.openxmlformats.org/officeDocument/2006/relationships/hyperlink" Target="https://angel.co/company/realwear" TargetMode="External"/><Relationship Id="rId1364" Type="http://schemas.openxmlformats.org/officeDocument/2006/relationships/hyperlink" Target="https://www.crunchbase.com/funding_round/lodgify-series-a--1dac10c2" TargetMode="External"/><Relationship Id="rId2695" Type="http://schemas.openxmlformats.org/officeDocument/2006/relationships/hyperlink" Target="https://archistar.ai/" TargetMode="External"/><Relationship Id="rId772" Type="http://schemas.openxmlformats.org/officeDocument/2006/relationships/hyperlink" Target="https://www.crunchbase.com/funding_round/locus-robotics-series-d--d0f4ece1" TargetMode="External"/><Relationship Id="rId1365" Type="http://schemas.openxmlformats.org/officeDocument/2006/relationships/hyperlink" Target="https://www.crunchbase.com/funding_round/lodgify-series-b--405d034e" TargetMode="External"/><Relationship Id="rId2696" Type="http://schemas.openxmlformats.org/officeDocument/2006/relationships/hyperlink" Target="https://www.crunchbase.com/funding_round/archistar-pre-seed--e71d1cab" TargetMode="External"/><Relationship Id="rId771" Type="http://schemas.openxmlformats.org/officeDocument/2006/relationships/hyperlink" Target="https://www.crunchbase.com/funding_round/locus-robotics-series-c--9f48ec6f" TargetMode="External"/><Relationship Id="rId1366" Type="http://schemas.openxmlformats.org/officeDocument/2006/relationships/hyperlink" Target="https://www.crunchbase.com/organization/solarcycle-inc" TargetMode="External"/><Relationship Id="rId2697" Type="http://schemas.openxmlformats.org/officeDocument/2006/relationships/hyperlink" Target="https://www.crunchbase.com/funding_round/archistar-seed--3633f520" TargetMode="External"/><Relationship Id="rId1390" Type="http://schemas.openxmlformats.org/officeDocument/2006/relationships/hyperlink" Target="https://www.voltus.co/" TargetMode="External"/><Relationship Id="rId1391" Type="http://schemas.openxmlformats.org/officeDocument/2006/relationships/hyperlink" Target="https://www.crunchbase.com/funding_round/voltus-inc-series-a--25c4f799" TargetMode="External"/><Relationship Id="rId1392" Type="http://schemas.openxmlformats.org/officeDocument/2006/relationships/hyperlink" Target="https://www.crunchbase.com/funding_round/voltus-inc-series-b--e0627f2b" TargetMode="External"/><Relationship Id="rId1393" Type="http://schemas.openxmlformats.org/officeDocument/2006/relationships/hyperlink" Target="https://www.crunchbase.com/organization/arrived-homes" TargetMode="External"/><Relationship Id="rId1394" Type="http://schemas.openxmlformats.org/officeDocument/2006/relationships/hyperlink" Target="https://arrivedhomes.com/" TargetMode="External"/><Relationship Id="rId1395" Type="http://schemas.openxmlformats.org/officeDocument/2006/relationships/hyperlink" Target="https://angel.co/company/haulhub" TargetMode="External"/><Relationship Id="rId1396" Type="http://schemas.openxmlformats.org/officeDocument/2006/relationships/hyperlink" Target="https://www.crunchbase.com/organization/haulhub" TargetMode="External"/><Relationship Id="rId1397" Type="http://schemas.openxmlformats.org/officeDocument/2006/relationships/hyperlink" Target="http://haulhub.com" TargetMode="External"/><Relationship Id="rId1398" Type="http://schemas.openxmlformats.org/officeDocument/2006/relationships/hyperlink" Target="https://angel.co/mindspace" TargetMode="External"/><Relationship Id="rId1399" Type="http://schemas.openxmlformats.org/officeDocument/2006/relationships/hyperlink" Target="https://www.crunchbase.com/organization/mindspace" TargetMode="External"/><Relationship Id="rId1389" Type="http://schemas.openxmlformats.org/officeDocument/2006/relationships/hyperlink" Target="https://www.crunchbase.com/organization/voltus-inc" TargetMode="External"/><Relationship Id="rId799" Type="http://schemas.openxmlformats.org/officeDocument/2006/relationships/hyperlink" Target="https://www.crunchbase.com/funding_round/limehome-pre-seed--cd98d04d" TargetMode="External"/><Relationship Id="rId798" Type="http://schemas.openxmlformats.org/officeDocument/2006/relationships/hyperlink" Target="http://www.limehome.de" TargetMode="External"/><Relationship Id="rId797" Type="http://schemas.openxmlformats.org/officeDocument/2006/relationships/hyperlink" Target="https://www.crunchbase.com/organization/limehome" TargetMode="External"/><Relationship Id="rId1380" Type="http://schemas.openxmlformats.org/officeDocument/2006/relationships/hyperlink" Target="https://readyspaces.com/" TargetMode="External"/><Relationship Id="rId792" Type="http://schemas.openxmlformats.org/officeDocument/2006/relationships/hyperlink" Target="http://ten-x.com" TargetMode="External"/><Relationship Id="rId1381" Type="http://schemas.openxmlformats.org/officeDocument/2006/relationships/hyperlink" Target="https://readyspaces.com/" TargetMode="External"/><Relationship Id="rId791" Type="http://schemas.openxmlformats.org/officeDocument/2006/relationships/hyperlink" Target="https://www.crunchbase.com/organization/ice-energy-inc" TargetMode="External"/><Relationship Id="rId1382" Type="http://schemas.openxmlformats.org/officeDocument/2006/relationships/hyperlink" Target="https://www.crunchbase.com/funding_round/readyspaces-debt-financing--bc139c58" TargetMode="External"/><Relationship Id="rId790" Type="http://schemas.openxmlformats.org/officeDocument/2006/relationships/hyperlink" Target="https://www.easyknock.com/" TargetMode="External"/><Relationship Id="rId1383" Type="http://schemas.openxmlformats.org/officeDocument/2006/relationships/hyperlink" Target="https://www.crunchbase.com/organization/cove-tool" TargetMode="External"/><Relationship Id="rId1384" Type="http://schemas.openxmlformats.org/officeDocument/2006/relationships/hyperlink" Target="https://www.cove.tools/" TargetMode="External"/><Relationship Id="rId796" Type="http://schemas.openxmlformats.org/officeDocument/2006/relationships/hyperlink" Target="https://angel.co/company/limehome-1" TargetMode="External"/><Relationship Id="rId1385" Type="http://schemas.openxmlformats.org/officeDocument/2006/relationships/hyperlink" Target="https://www.crunchbase.com/funding_round/cove-tool-pre-seed--f85c8d5b" TargetMode="External"/><Relationship Id="rId795" Type="http://schemas.openxmlformats.org/officeDocument/2006/relationships/hyperlink" Target="http://ten-x.com/" TargetMode="External"/><Relationship Id="rId1386" Type="http://schemas.openxmlformats.org/officeDocument/2006/relationships/hyperlink" Target="https://www.crunchbase.com/funding_round/cove-tool-seed--6ae0966c" TargetMode="External"/><Relationship Id="rId794" Type="http://schemas.openxmlformats.org/officeDocument/2006/relationships/hyperlink" Target="https://www.crunchbase.com/organization/ten-x" TargetMode="External"/><Relationship Id="rId1387" Type="http://schemas.openxmlformats.org/officeDocument/2006/relationships/hyperlink" Target="https://www.crunchbase.com/funding_round/cove-tool-series-a--9667e3f5" TargetMode="External"/><Relationship Id="rId793" Type="http://schemas.openxmlformats.org/officeDocument/2006/relationships/hyperlink" Target="https://angel.co/company/tenx" TargetMode="External"/><Relationship Id="rId1388" Type="http://schemas.openxmlformats.org/officeDocument/2006/relationships/hyperlink" Target="https://angel.co/company/voltus" TargetMode="External"/><Relationship Id="rId6229" Type="http://schemas.openxmlformats.org/officeDocument/2006/relationships/hyperlink" Target="https://www.3dvoxel.xyz/" TargetMode="External"/><Relationship Id="rId6220" Type="http://schemas.openxmlformats.org/officeDocument/2006/relationships/hyperlink" Target="https://angel.co/company/visual-lease" TargetMode="External"/><Relationship Id="rId6223" Type="http://schemas.openxmlformats.org/officeDocument/2006/relationships/hyperlink" Target="https://angel.co/company/vivoaquatics" TargetMode="External"/><Relationship Id="rId6224" Type="http://schemas.openxmlformats.org/officeDocument/2006/relationships/hyperlink" Target="https://www.crunchbase.com/organization/vivoaquatics" TargetMode="External"/><Relationship Id="rId6221" Type="http://schemas.openxmlformats.org/officeDocument/2006/relationships/hyperlink" Target="https://www.crunchbase.com/organization/visual-lease" TargetMode="External"/><Relationship Id="rId6222" Type="http://schemas.openxmlformats.org/officeDocument/2006/relationships/hyperlink" Target="https://visuallease.com/" TargetMode="External"/><Relationship Id="rId6227" Type="http://schemas.openxmlformats.org/officeDocument/2006/relationships/hyperlink" Target="https://volum.co/" TargetMode="External"/><Relationship Id="rId6228" Type="http://schemas.openxmlformats.org/officeDocument/2006/relationships/hyperlink" Target="https://www.crunchbase.com/organization/voxel-6c36" TargetMode="External"/><Relationship Id="rId6225" Type="http://schemas.openxmlformats.org/officeDocument/2006/relationships/hyperlink" Target="http://www.vivoaquatics.com" TargetMode="External"/><Relationship Id="rId6226" Type="http://schemas.openxmlformats.org/officeDocument/2006/relationships/hyperlink" Target="https://www.crunchbase.com/organization/kowffice/company_financials" TargetMode="External"/><Relationship Id="rId6218" Type="http://schemas.openxmlformats.org/officeDocument/2006/relationships/hyperlink" Target="http://www.virtualapt.com/" TargetMode="External"/><Relationship Id="rId6219" Type="http://schemas.openxmlformats.org/officeDocument/2006/relationships/hyperlink" Target="https://virtuallystagingproperties.com/" TargetMode="External"/><Relationship Id="rId6212" Type="http://schemas.openxmlformats.org/officeDocument/2006/relationships/hyperlink" Target="https://www.crunchbase.com/organization/videoms-com" TargetMode="External"/><Relationship Id="rId6213" Type="http://schemas.openxmlformats.org/officeDocument/2006/relationships/hyperlink" Target="https://videoms.com" TargetMode="External"/><Relationship Id="rId6210" Type="http://schemas.openxmlformats.org/officeDocument/2006/relationships/hyperlink" Target="https://www.elevatorvideosystems.com/" TargetMode="External"/><Relationship Id="rId6211" Type="http://schemas.openxmlformats.org/officeDocument/2006/relationships/hyperlink" Target="https://angel.co/company/dream-videoms" TargetMode="External"/><Relationship Id="rId6216" Type="http://schemas.openxmlformats.org/officeDocument/2006/relationships/hyperlink" Target="https://angel.co/virtualapt" TargetMode="External"/><Relationship Id="rId6217" Type="http://schemas.openxmlformats.org/officeDocument/2006/relationships/hyperlink" Target="https://www.crunchbase.com/organization/virtualapt" TargetMode="External"/><Relationship Id="rId6214" Type="http://schemas.openxmlformats.org/officeDocument/2006/relationships/hyperlink" Target="https://www.crunchbase.com/organization/view-promotion-gmbh" TargetMode="External"/><Relationship Id="rId6215" Type="http://schemas.openxmlformats.org/officeDocument/2006/relationships/hyperlink" Target="http://view-elevator.com/" TargetMode="External"/><Relationship Id="rId6241" Type="http://schemas.openxmlformats.org/officeDocument/2006/relationships/hyperlink" Target="http://www.wasteplace.com" TargetMode="External"/><Relationship Id="rId6242" Type="http://schemas.openxmlformats.org/officeDocument/2006/relationships/hyperlink" Target="https://angel.co/company/waypoint-building" TargetMode="External"/><Relationship Id="rId6240" Type="http://schemas.openxmlformats.org/officeDocument/2006/relationships/hyperlink" Target="https://www.crunchbase.com/organization/wasteplace" TargetMode="External"/><Relationship Id="rId6245" Type="http://schemas.openxmlformats.org/officeDocument/2006/relationships/hyperlink" Target="https://www.crunchbase.com/organization/westfalia-technologies-inc" TargetMode="External"/><Relationship Id="rId6246" Type="http://schemas.openxmlformats.org/officeDocument/2006/relationships/hyperlink" Target="https://www.westfaliausa.com/" TargetMode="External"/><Relationship Id="rId6243" Type="http://schemas.openxmlformats.org/officeDocument/2006/relationships/hyperlink" Target="https://www.crunchbase.com/organization/waypoint-building-group" TargetMode="External"/><Relationship Id="rId6244" Type="http://schemas.openxmlformats.org/officeDocument/2006/relationships/hyperlink" Target="https://angel.co/company/westfalia-technologies" TargetMode="External"/><Relationship Id="rId6249" Type="http://schemas.openxmlformats.org/officeDocument/2006/relationships/hyperlink" Target="https://angel.co/company/whereipark" TargetMode="External"/><Relationship Id="rId6247" Type="http://schemas.openxmlformats.org/officeDocument/2006/relationships/hyperlink" Target="https://angel.co/company/whatfloor" TargetMode="External"/><Relationship Id="rId6248" Type="http://schemas.openxmlformats.org/officeDocument/2006/relationships/hyperlink" Target="http://what-floor.com" TargetMode="External"/><Relationship Id="rId6230" Type="http://schemas.openxmlformats.org/officeDocument/2006/relationships/hyperlink" Target="https://www.crunchbase.com/funding_round/voxel-6c36-pre-seed--999c71b0" TargetMode="External"/><Relationship Id="rId6231" Type="http://schemas.openxmlformats.org/officeDocument/2006/relationships/hyperlink" Target="https://angel.co/company/voyanta" TargetMode="External"/><Relationship Id="rId6234" Type="http://schemas.openxmlformats.org/officeDocument/2006/relationships/hyperlink" Target="https://www.crunchbase.com/organization/vu-city" TargetMode="External"/><Relationship Id="rId6235" Type="http://schemas.openxmlformats.org/officeDocument/2006/relationships/hyperlink" Target="https://vu.city/" TargetMode="External"/><Relationship Id="rId6232" Type="http://schemas.openxmlformats.org/officeDocument/2006/relationships/hyperlink" Target="https://www.crunchbase.com/organization/voyanta" TargetMode="External"/><Relationship Id="rId6233" Type="http://schemas.openxmlformats.org/officeDocument/2006/relationships/hyperlink" Target="http://voyanta.com" TargetMode="External"/><Relationship Id="rId6238" Type="http://schemas.openxmlformats.org/officeDocument/2006/relationships/hyperlink" Target="http://warmlyyours.com/en-US" TargetMode="External"/><Relationship Id="rId6239" Type="http://schemas.openxmlformats.org/officeDocument/2006/relationships/hyperlink" Target="https://angel.co/company/wasteplace" TargetMode="External"/><Relationship Id="rId6236" Type="http://schemas.openxmlformats.org/officeDocument/2006/relationships/hyperlink" Target="https://angel.co/company/warmlyyours" TargetMode="External"/><Relationship Id="rId6237" Type="http://schemas.openxmlformats.org/officeDocument/2006/relationships/hyperlink" Target="https://www.crunchbase.com/organization/warmlyyours" TargetMode="External"/><Relationship Id="rId6209" Type="http://schemas.openxmlformats.org/officeDocument/2006/relationships/hyperlink" Target="https://angel.co/company/videocomm-technologies" TargetMode="External"/><Relationship Id="rId6207" Type="http://schemas.openxmlformats.org/officeDocument/2006/relationships/hyperlink" Target="https://www.verticalrent.com/" TargetMode="External"/><Relationship Id="rId6208" Type="http://schemas.openxmlformats.org/officeDocument/2006/relationships/hyperlink" Target="https://www.vertifyanalytics.com" TargetMode="External"/><Relationship Id="rId6201" Type="http://schemas.openxmlformats.org/officeDocument/2006/relationships/hyperlink" Target="https://www.crunchbase.com/organization/velis-real-estate-tech" TargetMode="External"/><Relationship Id="rId6202" Type="http://schemas.openxmlformats.org/officeDocument/2006/relationships/hyperlink" Target="http://velistech.com/" TargetMode="External"/><Relationship Id="rId6200" Type="http://schemas.openxmlformats.org/officeDocument/2006/relationships/hyperlink" Target="https://angel.co/company/velis-real-estate-tech" TargetMode="External"/><Relationship Id="rId6205" Type="http://schemas.openxmlformats.org/officeDocument/2006/relationships/hyperlink" Target="https://angel.co/company/verticalrent" TargetMode="External"/><Relationship Id="rId6206" Type="http://schemas.openxmlformats.org/officeDocument/2006/relationships/hyperlink" Target="https://www.crunchbase.com/organization/verticalrent" TargetMode="External"/><Relationship Id="rId6203" Type="http://schemas.openxmlformats.org/officeDocument/2006/relationships/hyperlink" Target="https://www.crunchbase.com/organization/venture-co-holdings-inc" TargetMode="External"/><Relationship Id="rId6204" Type="http://schemas.openxmlformats.org/officeDocument/2006/relationships/hyperlink" Target="https://venture.co/" TargetMode="External"/><Relationship Id="rId2700" Type="http://schemas.openxmlformats.org/officeDocument/2006/relationships/hyperlink" Target="https://www.crunchbase.com/organization/soil-connect" TargetMode="External"/><Relationship Id="rId2701" Type="http://schemas.openxmlformats.org/officeDocument/2006/relationships/hyperlink" Target="https://www.soilconnect.com/" TargetMode="External"/><Relationship Id="rId2702" Type="http://schemas.openxmlformats.org/officeDocument/2006/relationships/hyperlink" Target="https://www.crunchbase.com/funding_round/soil-connect-pre-seed--2b2e7d4e" TargetMode="External"/><Relationship Id="rId2703" Type="http://schemas.openxmlformats.org/officeDocument/2006/relationships/hyperlink" Target="https://www.crunchbase.com/funding_round/soil-connect-seed--62f267af" TargetMode="External"/><Relationship Id="rId2704" Type="http://schemas.openxmlformats.org/officeDocument/2006/relationships/hyperlink" Target="https://www.crunchbase.com/funding_round/soil-connect-series-unknown--b8c9452a" TargetMode="External"/><Relationship Id="rId2705" Type="http://schemas.openxmlformats.org/officeDocument/2006/relationships/hyperlink" Target="https://angel.co/company/goodcover-co" TargetMode="External"/><Relationship Id="rId2706" Type="http://schemas.openxmlformats.org/officeDocument/2006/relationships/hyperlink" Target="https://www.crunchbase.com/organization/goodcover" TargetMode="External"/><Relationship Id="rId2707" Type="http://schemas.openxmlformats.org/officeDocument/2006/relationships/hyperlink" Target="https://www.goodcover.com/" TargetMode="External"/><Relationship Id="rId2708" Type="http://schemas.openxmlformats.org/officeDocument/2006/relationships/hyperlink" Target="https://www.crunchbase.com/funding_round/goodcover-seed--4b443872" TargetMode="External"/><Relationship Id="rId2709" Type="http://schemas.openxmlformats.org/officeDocument/2006/relationships/hyperlink" Target="https://www.crunchbase.com/funding_round/goodcover-series-a--9764a28e" TargetMode="External"/><Relationship Id="rId6292" Type="http://schemas.openxmlformats.org/officeDocument/2006/relationships/hyperlink" Target="https://angel.co/company/zenbit-1" TargetMode="External"/><Relationship Id="rId6293" Type="http://schemas.openxmlformats.org/officeDocument/2006/relationships/hyperlink" Target="https://www.crunchbase.com/organization/zenbit" TargetMode="External"/><Relationship Id="rId6290" Type="http://schemas.openxmlformats.org/officeDocument/2006/relationships/hyperlink" Target="https://www.crunchbase.com/organization/zaclab-technologies-pvt-ltd" TargetMode="External"/><Relationship Id="rId6291" Type="http://schemas.openxmlformats.org/officeDocument/2006/relationships/hyperlink" Target="https://zaclab.com/" TargetMode="External"/><Relationship Id="rId6296" Type="http://schemas.openxmlformats.org/officeDocument/2006/relationships/hyperlink" Target="https://www.zilpertrenchless.com" TargetMode="External"/><Relationship Id="rId6297" Type="http://schemas.openxmlformats.org/officeDocument/2006/relationships/hyperlink" Target="https://www.crunchbase.com/organization/agilitas-energy" TargetMode="External"/><Relationship Id="rId6294" Type="http://schemas.openxmlformats.org/officeDocument/2006/relationships/hyperlink" Target="https://www.crunchbase.com/organization/zigg-capital" TargetMode="External"/><Relationship Id="rId6295" Type="http://schemas.openxmlformats.org/officeDocument/2006/relationships/hyperlink" Target="http://ziggcap.com/" TargetMode="External"/><Relationship Id="rId6298" Type="http://schemas.openxmlformats.org/officeDocument/2006/relationships/hyperlink" Target="https://agilitasenergy.com/" TargetMode="External"/><Relationship Id="rId6299" Type="http://schemas.openxmlformats.org/officeDocument/2006/relationships/hyperlink" Target="https://www.crunchbase.com/organization/animated-insights" TargetMode="External"/><Relationship Id="rId2720" Type="http://schemas.openxmlformats.org/officeDocument/2006/relationships/hyperlink" Target="http://www.apto.com/" TargetMode="External"/><Relationship Id="rId2721" Type="http://schemas.openxmlformats.org/officeDocument/2006/relationships/hyperlink" Target="https://www.crunchbase.com/organization/awning" TargetMode="External"/><Relationship Id="rId2722" Type="http://schemas.openxmlformats.org/officeDocument/2006/relationships/hyperlink" Target="https://www.awning.com/" TargetMode="External"/><Relationship Id="rId2723" Type="http://schemas.openxmlformats.org/officeDocument/2006/relationships/hyperlink" Target="https://angel.co/company/sayvero" TargetMode="External"/><Relationship Id="rId2724" Type="http://schemas.openxmlformats.org/officeDocument/2006/relationships/hyperlink" Target="https://www.crunchbase.com/organization/surecave" TargetMode="External"/><Relationship Id="rId2725" Type="http://schemas.openxmlformats.org/officeDocument/2006/relationships/hyperlink" Target="https://www.sayvero.com/vero/splash/" TargetMode="External"/><Relationship Id="rId2726" Type="http://schemas.openxmlformats.org/officeDocument/2006/relationships/hyperlink" Target="https://www.crunchbase.com/funding_round/surecave-seed--fae857a4" TargetMode="External"/><Relationship Id="rId2727" Type="http://schemas.openxmlformats.org/officeDocument/2006/relationships/hyperlink" Target="https://www.crunchbase.com/funding_round/surecave-series-b--0a8db4e5" TargetMode="External"/><Relationship Id="rId2728" Type="http://schemas.openxmlformats.org/officeDocument/2006/relationships/hyperlink" Target="https://angel.co/company/nada-inc" TargetMode="External"/><Relationship Id="rId2729" Type="http://schemas.openxmlformats.org/officeDocument/2006/relationships/hyperlink" Target="https://www.crunchbase.com/organization/nada" TargetMode="External"/><Relationship Id="rId2710" Type="http://schemas.openxmlformats.org/officeDocument/2006/relationships/hyperlink" Target="https://angel.co/company/jupe-1" TargetMode="External"/><Relationship Id="rId2711" Type="http://schemas.openxmlformats.org/officeDocument/2006/relationships/hyperlink" Target="https://www.crunchbase.com/organization/jupe" TargetMode="External"/><Relationship Id="rId2712" Type="http://schemas.openxmlformats.org/officeDocument/2006/relationships/hyperlink" Target="https://jupe.com/" TargetMode="External"/><Relationship Id="rId2713" Type="http://schemas.openxmlformats.org/officeDocument/2006/relationships/hyperlink" Target="https://www.crunchbase.com/organization/wynwood-house" TargetMode="External"/><Relationship Id="rId2714" Type="http://schemas.openxmlformats.org/officeDocument/2006/relationships/hyperlink" Target="https://wynwood-house.com/" TargetMode="External"/><Relationship Id="rId2715" Type="http://schemas.openxmlformats.org/officeDocument/2006/relationships/hyperlink" Target="https://www.crunchbase.com/funding_round/wynwood-house-pre-seed--c3d6a644" TargetMode="External"/><Relationship Id="rId2716" Type="http://schemas.openxmlformats.org/officeDocument/2006/relationships/hyperlink" Target="https://www.crunchbase.com/funding_round/wynwood-house-seed--424c8a94" TargetMode="External"/><Relationship Id="rId2717" Type="http://schemas.openxmlformats.org/officeDocument/2006/relationships/hyperlink" Target="https://www.crunchbase.com/funding_round/wynwood-house-seed--424c8a94" TargetMode="External"/><Relationship Id="rId2718" Type="http://schemas.openxmlformats.org/officeDocument/2006/relationships/hyperlink" Target="https://angel.co/apto-1" TargetMode="External"/><Relationship Id="rId2719" Type="http://schemas.openxmlformats.org/officeDocument/2006/relationships/hyperlink" Target="https://www.crunchbase.com/organization/apto" TargetMode="External"/><Relationship Id="rId6260" Type="http://schemas.openxmlformats.org/officeDocument/2006/relationships/hyperlink" Target="https://www.crunchbase.com/organization/wishkarma-media-works" TargetMode="External"/><Relationship Id="rId6263" Type="http://schemas.openxmlformats.org/officeDocument/2006/relationships/hyperlink" Target="https://wiseagent.com/" TargetMode="External"/><Relationship Id="rId6264" Type="http://schemas.openxmlformats.org/officeDocument/2006/relationships/hyperlink" Target="https://www.crunchbase.com/organization/woodstacker" TargetMode="External"/><Relationship Id="rId6261" Type="http://schemas.openxmlformats.org/officeDocument/2006/relationships/hyperlink" Target="http://www.wishkarma.com/" TargetMode="External"/><Relationship Id="rId6262" Type="http://schemas.openxmlformats.org/officeDocument/2006/relationships/hyperlink" Target="https://www.crunchbase.com/organization/wise-agent" TargetMode="External"/><Relationship Id="rId6267" Type="http://schemas.openxmlformats.org/officeDocument/2006/relationships/hyperlink" Target="https://www.crunchbase.com/organization/woosper-infotech" TargetMode="External"/><Relationship Id="rId6268" Type="http://schemas.openxmlformats.org/officeDocument/2006/relationships/hyperlink" Target="http://www.woosper.com/" TargetMode="External"/><Relationship Id="rId6265" Type="http://schemas.openxmlformats.org/officeDocument/2006/relationships/hyperlink" Target="http://www.woodstacker.com/" TargetMode="External"/><Relationship Id="rId6266" Type="http://schemas.openxmlformats.org/officeDocument/2006/relationships/hyperlink" Target="https://angel.co/u/woosper-infotech" TargetMode="External"/><Relationship Id="rId6269" Type="http://schemas.openxmlformats.org/officeDocument/2006/relationships/hyperlink" Target="https://www.crunchbase.com/organization/work-shop" TargetMode="External"/><Relationship Id="rId6252" Type="http://schemas.openxmlformats.org/officeDocument/2006/relationships/hyperlink" Target="https://angel.co/company/whitney-technology" TargetMode="External"/><Relationship Id="rId6253" Type="http://schemas.openxmlformats.org/officeDocument/2006/relationships/hyperlink" Target="https://www.crunchbase.com/organization/whitney-technology" TargetMode="External"/><Relationship Id="rId6250" Type="http://schemas.openxmlformats.org/officeDocument/2006/relationships/hyperlink" Target="https://www.crunchbase.com/organization/whereipark" TargetMode="External"/><Relationship Id="rId6251" Type="http://schemas.openxmlformats.org/officeDocument/2006/relationships/hyperlink" Target="https://www.whereipark.com/" TargetMode="External"/><Relationship Id="rId6256" Type="http://schemas.openxmlformats.org/officeDocument/2006/relationships/hyperlink" Target="https://www.crunchbase.com/organization/wifi-waiter" TargetMode="External"/><Relationship Id="rId6257" Type="http://schemas.openxmlformats.org/officeDocument/2006/relationships/hyperlink" Target="https://www.wifiwaiter.net/" TargetMode="External"/><Relationship Id="rId6254" Type="http://schemas.openxmlformats.org/officeDocument/2006/relationships/hyperlink" Target="https://whitneytechnology.com/" TargetMode="External"/><Relationship Id="rId6255" Type="http://schemas.openxmlformats.org/officeDocument/2006/relationships/hyperlink" Target="https://angel.co/company/torchfi" TargetMode="External"/><Relationship Id="rId6258" Type="http://schemas.openxmlformats.org/officeDocument/2006/relationships/hyperlink" Target="http://wishkarma.com" TargetMode="External"/><Relationship Id="rId6259" Type="http://schemas.openxmlformats.org/officeDocument/2006/relationships/hyperlink" Target="https://angel.co/company/wishkarma-media-works" TargetMode="External"/><Relationship Id="rId6281" Type="http://schemas.openxmlformats.org/officeDocument/2006/relationships/hyperlink" Target="https://angel.co/company/xpressdocs" TargetMode="External"/><Relationship Id="rId6282" Type="http://schemas.openxmlformats.org/officeDocument/2006/relationships/hyperlink" Target="https://www.crunchbase.com/organization/xpressdocs" TargetMode="External"/><Relationship Id="rId6280" Type="http://schemas.openxmlformats.org/officeDocument/2006/relationships/hyperlink" Target="http://www.xbosoft.com/" TargetMode="External"/><Relationship Id="rId6285" Type="http://schemas.openxmlformats.org/officeDocument/2006/relationships/hyperlink" Target="https://www.crunchbase.com/organization/yardi-systems" TargetMode="External"/><Relationship Id="rId6286" Type="http://schemas.openxmlformats.org/officeDocument/2006/relationships/hyperlink" Target="https://www.yardi.com/" TargetMode="External"/><Relationship Id="rId6283" Type="http://schemas.openxmlformats.org/officeDocument/2006/relationships/hyperlink" Target="https://www.xpressdocs.com/" TargetMode="External"/><Relationship Id="rId6284" Type="http://schemas.openxmlformats.org/officeDocument/2006/relationships/hyperlink" Target="https://angel.co/yardi-systems" TargetMode="External"/><Relationship Id="rId6289" Type="http://schemas.openxmlformats.org/officeDocument/2006/relationships/hyperlink" Target="http://www.younity.io/" TargetMode="External"/><Relationship Id="rId6287" Type="http://schemas.openxmlformats.org/officeDocument/2006/relationships/hyperlink" Target="https://angel.co/company/younity-2" TargetMode="External"/><Relationship Id="rId6288" Type="http://schemas.openxmlformats.org/officeDocument/2006/relationships/hyperlink" Target="https://www.crunchbase.com/organization/younity" TargetMode="External"/><Relationship Id="rId6270" Type="http://schemas.openxmlformats.org/officeDocument/2006/relationships/hyperlink" Target="http://workshop-mg.com/" TargetMode="External"/><Relationship Id="rId6271" Type="http://schemas.openxmlformats.org/officeDocument/2006/relationships/hyperlink" Target="https://angel.co/company/workorder-es-1" TargetMode="External"/><Relationship Id="rId6274" Type="http://schemas.openxmlformats.org/officeDocument/2006/relationships/hyperlink" Target="https://www.crunchbase.com/organization/wrex" TargetMode="External"/><Relationship Id="rId6275" Type="http://schemas.openxmlformats.org/officeDocument/2006/relationships/hyperlink" Target="https://www.wrex.co/" TargetMode="External"/><Relationship Id="rId6272" Type="http://schemas.openxmlformats.org/officeDocument/2006/relationships/hyperlink" Target="https://www.goworkspace.com/" TargetMode="External"/><Relationship Id="rId6273" Type="http://schemas.openxmlformats.org/officeDocument/2006/relationships/hyperlink" Target="https://angel.co/company/wrex" TargetMode="External"/><Relationship Id="rId6278" Type="http://schemas.openxmlformats.org/officeDocument/2006/relationships/hyperlink" Target="https://angel.co/company/xbosoft" TargetMode="External"/><Relationship Id="rId6279" Type="http://schemas.openxmlformats.org/officeDocument/2006/relationships/hyperlink" Target="https://www.crunchbase.com/organization/xbosoft" TargetMode="External"/><Relationship Id="rId6276" Type="http://schemas.openxmlformats.org/officeDocument/2006/relationships/hyperlink" Target="https://www.crunchbase.com/organization/wtc-next" TargetMode="External"/><Relationship Id="rId6277" Type="http://schemas.openxmlformats.org/officeDocument/2006/relationships/hyperlink" Target="http://www.wtcnext.com/" TargetMode="External"/><Relationship Id="rId1455" Type="http://schemas.openxmlformats.org/officeDocument/2006/relationships/hyperlink" Target="https://www.crunchbase.com/organization/steadily" TargetMode="External"/><Relationship Id="rId2786" Type="http://schemas.openxmlformats.org/officeDocument/2006/relationships/hyperlink" Target="https://angel.co/iotas" TargetMode="External"/><Relationship Id="rId1456" Type="http://schemas.openxmlformats.org/officeDocument/2006/relationships/hyperlink" Target="https://www.steadily.com/" TargetMode="External"/><Relationship Id="rId2787" Type="http://schemas.openxmlformats.org/officeDocument/2006/relationships/hyperlink" Target="https://www.crunchbase.com/organization/iotas-inc" TargetMode="External"/><Relationship Id="rId1457" Type="http://schemas.openxmlformats.org/officeDocument/2006/relationships/hyperlink" Target="https://angel.co/company/porter-in-2" TargetMode="External"/><Relationship Id="rId2788" Type="http://schemas.openxmlformats.org/officeDocument/2006/relationships/hyperlink" Target="http://www.iotashome.com/" TargetMode="External"/><Relationship Id="rId1458" Type="http://schemas.openxmlformats.org/officeDocument/2006/relationships/hyperlink" Target="https://www.crunchbase.com/organization/the-porter" TargetMode="External"/><Relationship Id="rId2789" Type="http://schemas.openxmlformats.org/officeDocument/2006/relationships/hyperlink" Target="https://angel.co/company/structionsite" TargetMode="External"/><Relationship Id="rId1459" Type="http://schemas.openxmlformats.org/officeDocument/2006/relationships/hyperlink" Target="http://porter.in/" TargetMode="External"/><Relationship Id="rId629" Type="http://schemas.openxmlformats.org/officeDocument/2006/relationships/hyperlink" Target="https://www.kiavi.com/" TargetMode="External"/><Relationship Id="rId624" Type="http://schemas.openxmlformats.org/officeDocument/2006/relationships/hyperlink" Target="https://www.crunchbase.com/funding_round/solf%C3%A1cil-series-c--b75cf0d4" TargetMode="External"/><Relationship Id="rId623" Type="http://schemas.openxmlformats.org/officeDocument/2006/relationships/hyperlink" Target="https://www.crunchbase.com/funding_round/solf%C3%A1cil-series-b--7259f36c" TargetMode="External"/><Relationship Id="rId622" Type="http://schemas.openxmlformats.org/officeDocument/2006/relationships/hyperlink" Target="https://www.crunchbase.com/funding_round/solf%C3%A1cil-series-a--90e1eb1c" TargetMode="External"/><Relationship Id="rId621" Type="http://schemas.openxmlformats.org/officeDocument/2006/relationships/hyperlink" Target="https://www.crunchbase.com/funding_round/solf%C3%A1cil-seed--6b775b5c" TargetMode="External"/><Relationship Id="rId628" Type="http://schemas.openxmlformats.org/officeDocument/2006/relationships/hyperlink" Target="https://www.crunchbase.com/organization/kiavi" TargetMode="External"/><Relationship Id="rId627" Type="http://schemas.openxmlformats.org/officeDocument/2006/relationships/hyperlink" Target="https://www.crunchbase.com/organization/blend-labs" TargetMode="External"/><Relationship Id="rId626" Type="http://schemas.openxmlformats.org/officeDocument/2006/relationships/hyperlink" Target="https://www.deepki.com/" TargetMode="External"/><Relationship Id="rId625" Type="http://schemas.openxmlformats.org/officeDocument/2006/relationships/hyperlink" Target="https://www.crunchbase.com/organization/deepki" TargetMode="External"/><Relationship Id="rId2780" Type="http://schemas.openxmlformats.org/officeDocument/2006/relationships/hyperlink" Target="https://costcertified.com/" TargetMode="External"/><Relationship Id="rId1450" Type="http://schemas.openxmlformats.org/officeDocument/2006/relationships/hyperlink" Target="https://angel.co/company/meetelise-1" TargetMode="External"/><Relationship Id="rId2781" Type="http://schemas.openxmlformats.org/officeDocument/2006/relationships/hyperlink" Target="https://angel.co/company/buildup-technologies-1" TargetMode="External"/><Relationship Id="rId620" Type="http://schemas.openxmlformats.org/officeDocument/2006/relationships/hyperlink" Target="http://solfacil.com.br/" TargetMode="External"/><Relationship Id="rId1451" Type="http://schemas.openxmlformats.org/officeDocument/2006/relationships/hyperlink" Target="https://www.crunchbase.com/organization/meetelise" TargetMode="External"/><Relationship Id="rId2782" Type="http://schemas.openxmlformats.org/officeDocument/2006/relationships/hyperlink" Target="https://www.crunchbase.com/organization/buildup" TargetMode="External"/><Relationship Id="rId1452" Type="http://schemas.openxmlformats.org/officeDocument/2006/relationships/hyperlink" Target="http://www.meetelise.com" TargetMode="External"/><Relationship Id="rId2783" Type="http://schemas.openxmlformats.org/officeDocument/2006/relationships/hyperlink" Target="https://www.buildup.co/" TargetMode="External"/><Relationship Id="rId1453" Type="http://schemas.openxmlformats.org/officeDocument/2006/relationships/hyperlink" Target="https://www.crunchbase.com/funding_round/meetelise-series-c--7051c863" TargetMode="External"/><Relationship Id="rId2784" Type="http://schemas.openxmlformats.org/officeDocument/2006/relationships/hyperlink" Target="https://www.crunchbase.com/funding_round/buildup-seed--3975c460" TargetMode="External"/><Relationship Id="rId1454" Type="http://schemas.openxmlformats.org/officeDocument/2006/relationships/hyperlink" Target="https://angel.co/company/steadily" TargetMode="External"/><Relationship Id="rId2785" Type="http://schemas.openxmlformats.org/officeDocument/2006/relationships/hyperlink" Target="https://www.crunchbase.com/funding_round/buildup-series-a--2116a578" TargetMode="External"/><Relationship Id="rId1444" Type="http://schemas.openxmlformats.org/officeDocument/2006/relationships/hyperlink" Target="https://www.upflex.com/" TargetMode="External"/><Relationship Id="rId2775" Type="http://schemas.openxmlformats.org/officeDocument/2006/relationships/hyperlink" Target="https://angel.co/company/mastt" TargetMode="External"/><Relationship Id="rId1445" Type="http://schemas.openxmlformats.org/officeDocument/2006/relationships/hyperlink" Target="https://angel.co/company/pilot-5" TargetMode="External"/><Relationship Id="rId2776" Type="http://schemas.openxmlformats.org/officeDocument/2006/relationships/hyperlink" Target="https://www.crunchbase.com/organization/mastt" TargetMode="External"/><Relationship Id="rId1446" Type="http://schemas.openxmlformats.org/officeDocument/2006/relationships/hyperlink" Target="https://www.crunchbase.com/organization/pilot-2" TargetMode="External"/><Relationship Id="rId2777" Type="http://schemas.openxmlformats.org/officeDocument/2006/relationships/hyperlink" Target="https://www.mastt.com/" TargetMode="External"/><Relationship Id="rId1447" Type="http://schemas.openxmlformats.org/officeDocument/2006/relationships/hyperlink" Target="https://angel.co/company/withco" TargetMode="External"/><Relationship Id="rId2778" Type="http://schemas.openxmlformats.org/officeDocument/2006/relationships/hyperlink" Target="https://angel.co/company/costcertified-2" TargetMode="External"/><Relationship Id="rId1448" Type="http://schemas.openxmlformats.org/officeDocument/2006/relationships/hyperlink" Target="https://www.crunchbase.com/organization/withco" TargetMode="External"/><Relationship Id="rId2779" Type="http://schemas.openxmlformats.org/officeDocument/2006/relationships/hyperlink" Target="https://www.crunchbase.com/organization/costcertified" TargetMode="External"/><Relationship Id="rId1449" Type="http://schemas.openxmlformats.org/officeDocument/2006/relationships/hyperlink" Target="https://with.co/" TargetMode="External"/><Relationship Id="rId619" Type="http://schemas.openxmlformats.org/officeDocument/2006/relationships/hyperlink" Target="https://www.crunchbase.com/organization/solf%C3%A1cil" TargetMode="External"/><Relationship Id="rId618" Type="http://schemas.openxmlformats.org/officeDocument/2006/relationships/hyperlink" Target="https://www.crunchbase.com/funding_round/r-zero-series-c--ae4b9af1" TargetMode="External"/><Relationship Id="rId613" Type="http://schemas.openxmlformats.org/officeDocument/2006/relationships/hyperlink" Target="https://www.crunchbase.com/organization/r-zero" TargetMode="External"/><Relationship Id="rId612" Type="http://schemas.openxmlformats.org/officeDocument/2006/relationships/hyperlink" Target="https://wellfound.com/company/r-zero-1" TargetMode="External"/><Relationship Id="rId611" Type="http://schemas.openxmlformats.org/officeDocument/2006/relationships/hyperlink" Target="https://www.crunchbase.com/funding_round/hometap-series-unknown--6b27c370" TargetMode="External"/><Relationship Id="rId610" Type="http://schemas.openxmlformats.org/officeDocument/2006/relationships/hyperlink" Target="https://www.hometap.com/" TargetMode="External"/><Relationship Id="rId617" Type="http://schemas.openxmlformats.org/officeDocument/2006/relationships/hyperlink" Target="https://www.crunchbase.com/funding_round/r-zero-series-b--d24509a1" TargetMode="External"/><Relationship Id="rId616" Type="http://schemas.openxmlformats.org/officeDocument/2006/relationships/hyperlink" Target="https://www.crunchbase.com/funding_round/r-zero-series-a--70955f98" TargetMode="External"/><Relationship Id="rId615" Type="http://schemas.openxmlformats.org/officeDocument/2006/relationships/hyperlink" Target="https://www.crunchbase.com/funding_round/r-zero-seed--10dc9f5d" TargetMode="External"/><Relationship Id="rId614" Type="http://schemas.openxmlformats.org/officeDocument/2006/relationships/hyperlink" Target="https://www.rzero.com/" TargetMode="External"/><Relationship Id="rId2770" Type="http://schemas.openxmlformats.org/officeDocument/2006/relationships/hyperlink" Target="https://fintor.com/" TargetMode="External"/><Relationship Id="rId1440" Type="http://schemas.openxmlformats.org/officeDocument/2006/relationships/hyperlink" Target="https://www.crunchbase.com/organization/northspyre" TargetMode="External"/><Relationship Id="rId2771" Type="http://schemas.openxmlformats.org/officeDocument/2006/relationships/hyperlink" Target="https://www.crunchbase.com/funding_round/fintor-pre-seed--0495f610" TargetMode="External"/><Relationship Id="rId1441" Type="http://schemas.openxmlformats.org/officeDocument/2006/relationships/hyperlink" Target="http://www.northspyre.com/" TargetMode="External"/><Relationship Id="rId2772" Type="http://schemas.openxmlformats.org/officeDocument/2006/relationships/hyperlink" Target="https://www.crunchbase.com/funding_round/fintor-seed--60e157ce" TargetMode="External"/><Relationship Id="rId1442" Type="http://schemas.openxmlformats.org/officeDocument/2006/relationships/hyperlink" Target="https://angel.co/company/upflex" TargetMode="External"/><Relationship Id="rId2773" Type="http://schemas.openxmlformats.org/officeDocument/2006/relationships/hyperlink" Target="https://www.crunchbase.com/organization/key-c0c5" TargetMode="External"/><Relationship Id="rId1443" Type="http://schemas.openxmlformats.org/officeDocument/2006/relationships/hyperlink" Target="https://www.crunchbase.com/organization/upflex" TargetMode="External"/><Relationship Id="rId2774" Type="http://schemas.openxmlformats.org/officeDocument/2006/relationships/hyperlink" Target="https://lifeatkey.com/" TargetMode="External"/><Relationship Id="rId1477" Type="http://schemas.openxmlformats.org/officeDocument/2006/relationships/hyperlink" Target="https://www.crunchbase.com/organization/breezeway" TargetMode="External"/><Relationship Id="rId1478" Type="http://schemas.openxmlformats.org/officeDocument/2006/relationships/hyperlink" Target="http://www.breezeway.io/" TargetMode="External"/><Relationship Id="rId1479" Type="http://schemas.openxmlformats.org/officeDocument/2006/relationships/hyperlink" Target="https://www.crunchbase.com/funding_round/breezeway-series-b--20c06bf2" TargetMode="External"/><Relationship Id="rId646" Type="http://schemas.openxmlformats.org/officeDocument/2006/relationships/hyperlink" Target="https://www.plentific.com/en-gb/" TargetMode="External"/><Relationship Id="rId645" Type="http://schemas.openxmlformats.org/officeDocument/2006/relationships/hyperlink" Target="https://www.crunchbase.com/organization/plentific" TargetMode="External"/><Relationship Id="rId644" Type="http://schemas.openxmlformats.org/officeDocument/2006/relationships/hyperlink" Target="https://angel.co/company/plentific" TargetMode="External"/><Relationship Id="rId643" Type="http://schemas.openxmlformats.org/officeDocument/2006/relationships/hyperlink" Target="https://renorun.com/en" TargetMode="External"/><Relationship Id="rId649" Type="http://schemas.openxmlformats.org/officeDocument/2006/relationships/hyperlink" Target="https://www.crunchbase.com/funding_round/gropyus-series-b--55db9c6b" TargetMode="External"/><Relationship Id="rId648" Type="http://schemas.openxmlformats.org/officeDocument/2006/relationships/hyperlink" Target="https://gropyus.com/" TargetMode="External"/><Relationship Id="rId647" Type="http://schemas.openxmlformats.org/officeDocument/2006/relationships/hyperlink" Target="https://www.crunchbase.com/organization/gropyus" TargetMode="External"/><Relationship Id="rId1470" Type="http://schemas.openxmlformats.org/officeDocument/2006/relationships/hyperlink" Target="https://www.assignar.com/" TargetMode="External"/><Relationship Id="rId1471" Type="http://schemas.openxmlformats.org/officeDocument/2006/relationships/hyperlink" Target="https://www.crunchbase.com/organization/nomagic" TargetMode="External"/><Relationship Id="rId1472" Type="http://schemas.openxmlformats.org/officeDocument/2006/relationships/hyperlink" Target="https://nomagic.ai/" TargetMode="External"/><Relationship Id="rId642" Type="http://schemas.openxmlformats.org/officeDocument/2006/relationships/hyperlink" Target="https://www.crunchbase.com/organization/renorun" TargetMode="External"/><Relationship Id="rId1473" Type="http://schemas.openxmlformats.org/officeDocument/2006/relationships/hyperlink" Target="https://angel.co/company/generationhome" TargetMode="External"/><Relationship Id="rId641" Type="http://schemas.openxmlformats.org/officeDocument/2006/relationships/hyperlink" Target="https://angel.co/company/renorun" TargetMode="External"/><Relationship Id="rId1474" Type="http://schemas.openxmlformats.org/officeDocument/2006/relationships/hyperlink" Target="https://www.crunchbase.com/organization/generation-home" TargetMode="External"/><Relationship Id="rId640" Type="http://schemas.openxmlformats.org/officeDocument/2006/relationships/hyperlink" Target="https://point.com/" TargetMode="External"/><Relationship Id="rId1475" Type="http://schemas.openxmlformats.org/officeDocument/2006/relationships/hyperlink" Target="https://www.generationhome.com/" TargetMode="External"/><Relationship Id="rId1476" Type="http://schemas.openxmlformats.org/officeDocument/2006/relationships/hyperlink" Target="https://angel.co/company/breezeway" TargetMode="External"/><Relationship Id="rId1466" Type="http://schemas.openxmlformats.org/officeDocument/2006/relationships/hyperlink" Target="https://www.crunchbase.com/organization/juno-residential" TargetMode="External"/><Relationship Id="rId2797" Type="http://schemas.openxmlformats.org/officeDocument/2006/relationships/hyperlink" Target="https://www.crunchbase.com/funding_round/sitezeus-series-unknown--98972161" TargetMode="External"/><Relationship Id="rId1467" Type="http://schemas.openxmlformats.org/officeDocument/2006/relationships/hyperlink" Target="https://juno.co/" TargetMode="External"/><Relationship Id="rId2798" Type="http://schemas.openxmlformats.org/officeDocument/2006/relationships/hyperlink" Target="https://www.crunchbase.com/organization/braid-75b6" TargetMode="External"/><Relationship Id="rId1468" Type="http://schemas.openxmlformats.org/officeDocument/2006/relationships/hyperlink" Target="https://angel.co/company/assignar" TargetMode="External"/><Relationship Id="rId2799" Type="http://schemas.openxmlformats.org/officeDocument/2006/relationships/hyperlink" Target="http://www.pylonlending.com/" TargetMode="External"/><Relationship Id="rId1469" Type="http://schemas.openxmlformats.org/officeDocument/2006/relationships/hyperlink" Target="https://www.crunchbase.com/organization/assignar" TargetMode="External"/><Relationship Id="rId635" Type="http://schemas.openxmlformats.org/officeDocument/2006/relationships/hyperlink" Target="https://www.crunchbase.com/organization/nesto" TargetMode="External"/><Relationship Id="rId634" Type="http://schemas.openxmlformats.org/officeDocument/2006/relationships/hyperlink" Target="https://angel.co/company/nesto-2" TargetMode="External"/><Relationship Id="rId633" Type="http://schemas.openxmlformats.org/officeDocument/2006/relationships/hyperlink" Target="https://www.latch.com/" TargetMode="External"/><Relationship Id="rId632" Type="http://schemas.openxmlformats.org/officeDocument/2006/relationships/hyperlink" Target="https://www.crunchbase.com/organization/latch" TargetMode="External"/><Relationship Id="rId639" Type="http://schemas.openxmlformats.org/officeDocument/2006/relationships/hyperlink" Target="https://www.crunchbase.com/organization/point-4" TargetMode="External"/><Relationship Id="rId638" Type="http://schemas.openxmlformats.org/officeDocument/2006/relationships/hyperlink" Target="https://angel.co/company/point-4" TargetMode="External"/><Relationship Id="rId637" Type="http://schemas.openxmlformats.org/officeDocument/2006/relationships/hyperlink" Target="https://www.crunchbase.com/funding_round/nesto-series-c--71f7317d" TargetMode="External"/><Relationship Id="rId636" Type="http://schemas.openxmlformats.org/officeDocument/2006/relationships/hyperlink" Target="https://www.nesto.ca/" TargetMode="External"/><Relationship Id="rId2790" Type="http://schemas.openxmlformats.org/officeDocument/2006/relationships/hyperlink" Target="https://www.crunchbase.com/organization/structionsite-inc" TargetMode="External"/><Relationship Id="rId1460" Type="http://schemas.openxmlformats.org/officeDocument/2006/relationships/hyperlink" Target="https://angel.co/company/disperse-io" TargetMode="External"/><Relationship Id="rId2791" Type="http://schemas.openxmlformats.org/officeDocument/2006/relationships/hyperlink" Target="https://structionsite.com/" TargetMode="External"/><Relationship Id="rId1461" Type="http://schemas.openxmlformats.org/officeDocument/2006/relationships/hyperlink" Target="https://www.crunchbase.com/organization/disperse-io" TargetMode="External"/><Relationship Id="rId2792" Type="http://schemas.openxmlformats.org/officeDocument/2006/relationships/hyperlink" Target="https://www.crunchbase.com/funding_round/structionsite-inc-seed--5727241a" TargetMode="External"/><Relationship Id="rId631" Type="http://schemas.openxmlformats.org/officeDocument/2006/relationships/hyperlink" Target="https://angel.co/company/latch" TargetMode="External"/><Relationship Id="rId1462" Type="http://schemas.openxmlformats.org/officeDocument/2006/relationships/hyperlink" Target="https://disperse.io/" TargetMode="External"/><Relationship Id="rId2793" Type="http://schemas.openxmlformats.org/officeDocument/2006/relationships/hyperlink" Target="https://www.crunchbase.com/funding_round/structionsite-inc-series-a--c10c1554" TargetMode="External"/><Relationship Id="rId630" Type="http://schemas.openxmlformats.org/officeDocument/2006/relationships/hyperlink" Target="https://www.crunchbase.com/funding_round/kiavi-debt-financing--8fb3463b" TargetMode="External"/><Relationship Id="rId1463" Type="http://schemas.openxmlformats.org/officeDocument/2006/relationships/hyperlink" Target="https://www.crunchbase.com/funding_round/disperse-io-seed--a4f025f8" TargetMode="External"/><Relationship Id="rId2794" Type="http://schemas.openxmlformats.org/officeDocument/2006/relationships/hyperlink" Target="https://angel.co/sitezeus/" TargetMode="External"/><Relationship Id="rId1464" Type="http://schemas.openxmlformats.org/officeDocument/2006/relationships/hyperlink" Target="https://www.crunchbase.com/funding_round/disperse-io-series-a--641c33f3" TargetMode="External"/><Relationship Id="rId2795" Type="http://schemas.openxmlformats.org/officeDocument/2006/relationships/hyperlink" Target="https://www.crunchbase.com/organization/sitezeus" TargetMode="External"/><Relationship Id="rId1465" Type="http://schemas.openxmlformats.org/officeDocument/2006/relationships/hyperlink" Target="https://www.crunchbase.com/funding_round/disperse-io-series-b--55a8b300" TargetMode="External"/><Relationship Id="rId2796" Type="http://schemas.openxmlformats.org/officeDocument/2006/relationships/hyperlink" Target="https://sitezeus.com/" TargetMode="External"/><Relationship Id="rId1411" Type="http://schemas.openxmlformats.org/officeDocument/2006/relationships/hyperlink" Target="https://www.crunchbase.com/organization/clipcall" TargetMode="External"/><Relationship Id="rId2742" Type="http://schemas.openxmlformats.org/officeDocument/2006/relationships/hyperlink" Target="https://angel.co/company/bizly" TargetMode="External"/><Relationship Id="rId1412" Type="http://schemas.openxmlformats.org/officeDocument/2006/relationships/hyperlink" Target="https://www.home365.co/" TargetMode="External"/><Relationship Id="rId2743" Type="http://schemas.openxmlformats.org/officeDocument/2006/relationships/hyperlink" Target="https://www.crunchbase.com/organization/bizly" TargetMode="External"/><Relationship Id="rId1413" Type="http://schemas.openxmlformats.org/officeDocument/2006/relationships/hyperlink" Target="https://angel.co/company/proemion" TargetMode="External"/><Relationship Id="rId2744" Type="http://schemas.openxmlformats.org/officeDocument/2006/relationships/hyperlink" Target="http://www.bizly.com/" TargetMode="External"/><Relationship Id="rId1414" Type="http://schemas.openxmlformats.org/officeDocument/2006/relationships/hyperlink" Target="https://www.crunchbase.com/organization/proemion" TargetMode="External"/><Relationship Id="rId2745" Type="http://schemas.openxmlformats.org/officeDocument/2006/relationships/hyperlink" Target="https://www.crunchbase.com/funding_round/bizly-pre-seed--a5eee240" TargetMode="External"/><Relationship Id="rId1415" Type="http://schemas.openxmlformats.org/officeDocument/2006/relationships/hyperlink" Target="https://www.proemion.com/en/" TargetMode="External"/><Relationship Id="rId2746" Type="http://schemas.openxmlformats.org/officeDocument/2006/relationships/hyperlink" Target="https://www.crunchbase.com/funding_round/bizly-seed--7040f60b" TargetMode="External"/><Relationship Id="rId1416" Type="http://schemas.openxmlformats.org/officeDocument/2006/relationships/hyperlink" Target="https://www.crunchbase.com/funding_round/proemion-series-unknown--08b09dac" TargetMode="External"/><Relationship Id="rId2747" Type="http://schemas.openxmlformats.org/officeDocument/2006/relationships/hyperlink" Target="https://angel.co/company/gohoken" TargetMode="External"/><Relationship Id="rId1417" Type="http://schemas.openxmlformats.org/officeDocument/2006/relationships/hyperlink" Target="https://www.crunchbase.com/organization/arturo-inc" TargetMode="External"/><Relationship Id="rId2748" Type="http://schemas.openxmlformats.org/officeDocument/2006/relationships/hyperlink" Target="https://www.crunchbase.com/organization/hoken-holdings-inc" TargetMode="External"/><Relationship Id="rId1418" Type="http://schemas.openxmlformats.org/officeDocument/2006/relationships/hyperlink" Target="https://www.arturo.ai/" TargetMode="External"/><Relationship Id="rId2749" Type="http://schemas.openxmlformats.org/officeDocument/2006/relationships/hyperlink" Target="http://gohoken.com/" TargetMode="External"/><Relationship Id="rId1419" Type="http://schemas.openxmlformats.org/officeDocument/2006/relationships/hyperlink" Target="https://angel.co/company/fundrise" TargetMode="External"/><Relationship Id="rId2740" Type="http://schemas.openxmlformats.org/officeDocument/2006/relationships/hyperlink" Target="https://www.crunchbase.com/organization/virtual-facility" TargetMode="External"/><Relationship Id="rId1410" Type="http://schemas.openxmlformats.org/officeDocument/2006/relationships/hyperlink" Target="https://www.crunchbase.com/funding_round/sensat-series-b--81813e4b" TargetMode="External"/><Relationship Id="rId2741" Type="http://schemas.openxmlformats.org/officeDocument/2006/relationships/hyperlink" Target="https://www.crunchbase.com/funding_round/virtual-facility-seed--79c43c91" TargetMode="External"/><Relationship Id="rId1400" Type="http://schemas.openxmlformats.org/officeDocument/2006/relationships/hyperlink" Target="http://www.mindspace.me/" TargetMode="External"/><Relationship Id="rId2731" Type="http://schemas.openxmlformats.org/officeDocument/2006/relationships/hyperlink" Target="https://www.crunchbase.com/funding_round/nada-pre-seed--4a0fb88f" TargetMode="External"/><Relationship Id="rId1401" Type="http://schemas.openxmlformats.org/officeDocument/2006/relationships/hyperlink" Target="https://angel.co/company/vesta" TargetMode="External"/><Relationship Id="rId2732" Type="http://schemas.openxmlformats.org/officeDocument/2006/relationships/hyperlink" Target="https://www.crunchbase.com/funding_round/nada-seed--7ad3e500" TargetMode="External"/><Relationship Id="rId1402" Type="http://schemas.openxmlformats.org/officeDocument/2006/relationships/hyperlink" Target="https://www.crunchbase.com/organization/vesta-431c" TargetMode="External"/><Relationship Id="rId2733" Type="http://schemas.openxmlformats.org/officeDocument/2006/relationships/hyperlink" Target="https://angel.co/buildingiq" TargetMode="External"/><Relationship Id="rId1403" Type="http://schemas.openxmlformats.org/officeDocument/2006/relationships/hyperlink" Target="https://www.usevesta.com/" TargetMode="External"/><Relationship Id="rId2734" Type="http://schemas.openxmlformats.org/officeDocument/2006/relationships/hyperlink" Target="https://www.crunchbase.com/organization/buildingiq" TargetMode="External"/><Relationship Id="rId1404" Type="http://schemas.openxmlformats.org/officeDocument/2006/relationships/hyperlink" Target="https://angel.co/company/hubblehq" TargetMode="External"/><Relationship Id="rId2735" Type="http://schemas.openxmlformats.org/officeDocument/2006/relationships/hyperlink" Target="http://www.buildingiq.com/" TargetMode="External"/><Relationship Id="rId1405" Type="http://schemas.openxmlformats.org/officeDocument/2006/relationships/hyperlink" Target="https://www.crunchbase.com/organization/hubblehq" TargetMode="External"/><Relationship Id="rId2736" Type="http://schemas.openxmlformats.org/officeDocument/2006/relationships/hyperlink" Target="https://angel.co/company/made-renovation" TargetMode="External"/><Relationship Id="rId1406" Type="http://schemas.openxmlformats.org/officeDocument/2006/relationships/hyperlink" Target="https://hubblehq.com/" TargetMode="External"/><Relationship Id="rId2737" Type="http://schemas.openxmlformats.org/officeDocument/2006/relationships/hyperlink" Target="https://www.crunchbase.com/organization/made-renovation" TargetMode="External"/><Relationship Id="rId1407" Type="http://schemas.openxmlformats.org/officeDocument/2006/relationships/hyperlink" Target="https://angel.co/company/sensat" TargetMode="External"/><Relationship Id="rId2738" Type="http://schemas.openxmlformats.org/officeDocument/2006/relationships/hyperlink" Target="https://www.maderenovation.com/" TargetMode="External"/><Relationship Id="rId1408" Type="http://schemas.openxmlformats.org/officeDocument/2006/relationships/hyperlink" Target="https://www.crunchbase.com/organization/sensat" TargetMode="External"/><Relationship Id="rId2739" Type="http://schemas.openxmlformats.org/officeDocument/2006/relationships/hyperlink" Target="https://angel.co/company/virtual-facility" TargetMode="External"/><Relationship Id="rId1409" Type="http://schemas.openxmlformats.org/officeDocument/2006/relationships/hyperlink" Target="https://www.sensat.co.uk/" TargetMode="External"/><Relationship Id="rId2730" Type="http://schemas.openxmlformats.org/officeDocument/2006/relationships/hyperlink" Target="https://www.nada.co/" TargetMode="External"/><Relationship Id="rId1433" Type="http://schemas.openxmlformats.org/officeDocument/2006/relationships/hyperlink" Target="https://www.crunchbase.com/funding_round/butlr-0e8d-pre-seed--5bf99fed" TargetMode="External"/><Relationship Id="rId2764" Type="http://schemas.openxmlformats.org/officeDocument/2006/relationships/hyperlink" Target="http://www.movvo.com/" TargetMode="External"/><Relationship Id="rId1434" Type="http://schemas.openxmlformats.org/officeDocument/2006/relationships/hyperlink" Target="https://www.crunchbase.com/funding_round/butlr-0e8d-seed--de704c60" TargetMode="External"/><Relationship Id="rId2765" Type="http://schemas.openxmlformats.org/officeDocument/2006/relationships/hyperlink" Target="https://angel.co/company/rentableapts" TargetMode="External"/><Relationship Id="rId1435" Type="http://schemas.openxmlformats.org/officeDocument/2006/relationships/hyperlink" Target="https://www.crunchbase.com/funding_round/butlr-0e8d-series-a--1a9e4645" TargetMode="External"/><Relationship Id="rId2766" Type="http://schemas.openxmlformats.org/officeDocument/2006/relationships/hyperlink" Target="https://www.crunchbase.com/organization/abodo" TargetMode="External"/><Relationship Id="rId1436" Type="http://schemas.openxmlformats.org/officeDocument/2006/relationships/hyperlink" Target="https://www.crunchbase.com/funding_round/butlr-0e8d-series-unknown--5391a20b" TargetMode="External"/><Relationship Id="rId2767" Type="http://schemas.openxmlformats.org/officeDocument/2006/relationships/hyperlink" Target="https://www.rentable.co/" TargetMode="External"/><Relationship Id="rId1437" Type="http://schemas.openxmlformats.org/officeDocument/2006/relationships/hyperlink" Target="https://www.crunchbase.com/organization/houwzer-2" TargetMode="External"/><Relationship Id="rId2768" Type="http://schemas.openxmlformats.org/officeDocument/2006/relationships/hyperlink" Target="https://angel.co/company/fintor" TargetMode="External"/><Relationship Id="rId1438" Type="http://schemas.openxmlformats.org/officeDocument/2006/relationships/hyperlink" Target="https://houwzer.com/" TargetMode="External"/><Relationship Id="rId2769" Type="http://schemas.openxmlformats.org/officeDocument/2006/relationships/hyperlink" Target="https://www.crunchbase.com/organization/fintor" TargetMode="External"/><Relationship Id="rId1439" Type="http://schemas.openxmlformats.org/officeDocument/2006/relationships/hyperlink" Target="https://angel.co/company/northspyre" TargetMode="External"/><Relationship Id="rId609" Type="http://schemas.openxmlformats.org/officeDocument/2006/relationships/hyperlink" Target="https://www.crunchbase.com/organization/hometap" TargetMode="External"/><Relationship Id="rId608" Type="http://schemas.openxmlformats.org/officeDocument/2006/relationships/hyperlink" Target="https://angel.co/company/hometap" TargetMode="External"/><Relationship Id="rId607" Type="http://schemas.openxmlformats.org/officeDocument/2006/relationships/hyperlink" Target="https://www.crunchbase.com/funding_round/holidu-series-e--b2dbdc0a" TargetMode="External"/><Relationship Id="rId602" Type="http://schemas.openxmlformats.org/officeDocument/2006/relationships/hyperlink" Target="https://www.holidu.com/" TargetMode="External"/><Relationship Id="rId601" Type="http://schemas.openxmlformats.org/officeDocument/2006/relationships/hyperlink" Target="https://www.crunchbase.com/organization/holidu" TargetMode="External"/><Relationship Id="rId600" Type="http://schemas.openxmlformats.org/officeDocument/2006/relationships/hyperlink" Target="https://angel.co/company/holidu" TargetMode="External"/><Relationship Id="rId606" Type="http://schemas.openxmlformats.org/officeDocument/2006/relationships/hyperlink" Target="https://www.crunchbase.com/funding_round/holidu-series-d--dae30b9e" TargetMode="External"/><Relationship Id="rId605" Type="http://schemas.openxmlformats.org/officeDocument/2006/relationships/hyperlink" Target="https://www.crunchbase.com/funding_round/holidu-series-c--1d4b1581" TargetMode="External"/><Relationship Id="rId604" Type="http://schemas.openxmlformats.org/officeDocument/2006/relationships/hyperlink" Target="https://www.crunchbase.com/funding_round/holidu-series-a--96c858ab" TargetMode="External"/><Relationship Id="rId603" Type="http://schemas.openxmlformats.org/officeDocument/2006/relationships/hyperlink" Target="https://www.crunchbase.com/funding_round/holidu-seed--6e0dc6a8" TargetMode="External"/><Relationship Id="rId2760" Type="http://schemas.openxmlformats.org/officeDocument/2006/relationships/hyperlink" Target="https://www.crunchbase.com/funding_round/flair-3-seed--2c35abff" TargetMode="External"/><Relationship Id="rId1430" Type="http://schemas.openxmlformats.org/officeDocument/2006/relationships/hyperlink" Target="https://angel.co/company/butlr-ai" TargetMode="External"/><Relationship Id="rId2761" Type="http://schemas.openxmlformats.org/officeDocument/2006/relationships/hyperlink" Target="https://www.crunchbase.com/funding_round/flair-3-series-a--5d69ee73" TargetMode="External"/><Relationship Id="rId1431" Type="http://schemas.openxmlformats.org/officeDocument/2006/relationships/hyperlink" Target="https://www.crunchbase.com/organization/butlr-0e8d" TargetMode="External"/><Relationship Id="rId2762" Type="http://schemas.openxmlformats.org/officeDocument/2006/relationships/hyperlink" Target="https://angel.co/movvo" TargetMode="External"/><Relationship Id="rId1432" Type="http://schemas.openxmlformats.org/officeDocument/2006/relationships/hyperlink" Target="https://www.butlr.io/" TargetMode="External"/><Relationship Id="rId2763" Type="http://schemas.openxmlformats.org/officeDocument/2006/relationships/hyperlink" Target="https://www.crunchbase.com/organization/around-knowledge" TargetMode="External"/><Relationship Id="rId1422" Type="http://schemas.openxmlformats.org/officeDocument/2006/relationships/hyperlink" Target="https://angel.co/company/geophy" TargetMode="External"/><Relationship Id="rId2753" Type="http://schemas.openxmlformats.org/officeDocument/2006/relationships/hyperlink" Target="http://www.thestorefront.com/" TargetMode="External"/><Relationship Id="rId1423" Type="http://schemas.openxmlformats.org/officeDocument/2006/relationships/hyperlink" Target="https://www.crunchbase.com/organization/officerank" TargetMode="External"/><Relationship Id="rId2754" Type="http://schemas.openxmlformats.org/officeDocument/2006/relationships/hyperlink" Target="https://angel.co/company/sensorflow" TargetMode="External"/><Relationship Id="rId1424" Type="http://schemas.openxmlformats.org/officeDocument/2006/relationships/hyperlink" Target="https://geophy.com/" TargetMode="External"/><Relationship Id="rId2755" Type="http://schemas.openxmlformats.org/officeDocument/2006/relationships/hyperlink" Target="https://www.crunchbase.com/organization/sensorflow" TargetMode="External"/><Relationship Id="rId1425" Type="http://schemas.openxmlformats.org/officeDocument/2006/relationships/hyperlink" Target="https://angel.co/company/landa_app" TargetMode="External"/><Relationship Id="rId2756" Type="http://schemas.openxmlformats.org/officeDocument/2006/relationships/hyperlink" Target="http://www.sensorflow.co/" TargetMode="External"/><Relationship Id="rId1426" Type="http://schemas.openxmlformats.org/officeDocument/2006/relationships/hyperlink" Target="https://www.crunchbase.com/organization/landa-8cfe" TargetMode="External"/><Relationship Id="rId2757" Type="http://schemas.openxmlformats.org/officeDocument/2006/relationships/hyperlink" Target="https://angel.co/company/flair-systems" TargetMode="External"/><Relationship Id="rId1427" Type="http://schemas.openxmlformats.org/officeDocument/2006/relationships/hyperlink" Target="https://www.landa.app/" TargetMode="External"/><Relationship Id="rId2758" Type="http://schemas.openxmlformats.org/officeDocument/2006/relationships/hyperlink" Target="https://www.crunchbase.com/organization/flair-3" TargetMode="External"/><Relationship Id="rId1428" Type="http://schemas.openxmlformats.org/officeDocument/2006/relationships/hyperlink" Target="https://www.crunchbase.com/funding_round/landa-8cfe-seed--e49eb084" TargetMode="External"/><Relationship Id="rId2759" Type="http://schemas.openxmlformats.org/officeDocument/2006/relationships/hyperlink" Target="https://flair.co/" TargetMode="External"/><Relationship Id="rId1429" Type="http://schemas.openxmlformats.org/officeDocument/2006/relationships/hyperlink" Target="https://www.crunchbase.com/funding_round/landa-8cfe-series-a--040d7a89" TargetMode="External"/><Relationship Id="rId2750" Type="http://schemas.openxmlformats.org/officeDocument/2006/relationships/hyperlink" Target="https://www.crunchbase.com/funding_round/hoken-holdings-inc-seed--e3f530b9" TargetMode="External"/><Relationship Id="rId1420" Type="http://schemas.openxmlformats.org/officeDocument/2006/relationships/hyperlink" Target="https://www.crunchbase.com/organization/fundrise" TargetMode="External"/><Relationship Id="rId2751" Type="http://schemas.openxmlformats.org/officeDocument/2006/relationships/hyperlink" Target="https://angel.co/storefront" TargetMode="External"/><Relationship Id="rId1421" Type="http://schemas.openxmlformats.org/officeDocument/2006/relationships/hyperlink" Target="https://fundrise.com/" TargetMode="External"/><Relationship Id="rId2752" Type="http://schemas.openxmlformats.org/officeDocument/2006/relationships/hyperlink" Target="https://www.crunchbase.com/organization/storefront" TargetMode="External"/><Relationship Id="rId699" Type="http://schemas.openxmlformats.org/officeDocument/2006/relationships/hyperlink" Target="https://www.crunchbase.com/organization/reali" TargetMode="External"/><Relationship Id="rId698" Type="http://schemas.openxmlformats.org/officeDocument/2006/relationships/hyperlink" Target="https://angel.co/company/reali-3" TargetMode="External"/><Relationship Id="rId693" Type="http://schemas.openxmlformats.org/officeDocument/2006/relationships/hyperlink" Target="https://www.crunchbase.com/funding_round/turnkey-vacation-rentals-series-d--de69a862" TargetMode="External"/><Relationship Id="rId692" Type="http://schemas.openxmlformats.org/officeDocument/2006/relationships/hyperlink" Target="https://www.crunchbase.com/funding_round/turnkey-vacation-rentals-series-c--05ce0d23" TargetMode="External"/><Relationship Id="rId691" Type="http://schemas.openxmlformats.org/officeDocument/2006/relationships/hyperlink" Target="https://www.crunchbase.com/funding_round/turnkey-vacation-rentals-series-b--ed2513c8" TargetMode="External"/><Relationship Id="rId690" Type="http://schemas.openxmlformats.org/officeDocument/2006/relationships/hyperlink" Target="https://www.crunchbase.com/funding_round/turnkey-vacation-rentals-series-a--7d9ae037" TargetMode="External"/><Relationship Id="rId697" Type="http://schemas.openxmlformats.org/officeDocument/2006/relationships/hyperlink" Target="https://www.scandit.com/" TargetMode="External"/><Relationship Id="rId696" Type="http://schemas.openxmlformats.org/officeDocument/2006/relationships/hyperlink" Target="https://www.crunchbase.com/organization/scandit/funding_financials" TargetMode="External"/><Relationship Id="rId695" Type="http://schemas.openxmlformats.org/officeDocument/2006/relationships/hyperlink" Target="https://angel.co/company/scandit-2" TargetMode="External"/><Relationship Id="rId694" Type="http://schemas.openxmlformats.org/officeDocument/2006/relationships/hyperlink" Target="https://www.crunchbase.com/funding_round/turnkey-vacation-rentals-series-e--149ce14d" TargetMode="External"/><Relationship Id="rId1499" Type="http://schemas.openxmlformats.org/officeDocument/2006/relationships/hyperlink" Target="https://www.crunchbase.com/organization/agora-real-estate-technologies" TargetMode="External"/><Relationship Id="rId668" Type="http://schemas.openxmlformats.org/officeDocument/2006/relationships/hyperlink" Target="https://esusurent.com/" TargetMode="External"/><Relationship Id="rId667" Type="http://schemas.openxmlformats.org/officeDocument/2006/relationships/hyperlink" Target="https://www.crunchbase.com/organization/esusu-financial-inc" TargetMode="External"/><Relationship Id="rId666" Type="http://schemas.openxmlformats.org/officeDocument/2006/relationships/hyperlink" Target="https://angel.co/company/esusu" TargetMode="External"/><Relationship Id="rId665" Type="http://schemas.openxmlformats.org/officeDocument/2006/relationships/hyperlink" Target="https://www.crunchbase.com/funding_round/wander-6a24-debt-financing--1ae72947" TargetMode="External"/><Relationship Id="rId669" Type="http://schemas.openxmlformats.org/officeDocument/2006/relationships/hyperlink" Target="https://www.crunchbase.com/organization/tibber" TargetMode="External"/><Relationship Id="rId1490" Type="http://schemas.openxmlformats.org/officeDocument/2006/relationships/hyperlink" Target="https://angel.co/company/integrity-first-maintenance" TargetMode="External"/><Relationship Id="rId660" Type="http://schemas.openxmlformats.org/officeDocument/2006/relationships/hyperlink" Target="https://www.crunchbase.com/organization/sense" TargetMode="External"/><Relationship Id="rId1491" Type="http://schemas.openxmlformats.org/officeDocument/2006/relationships/hyperlink" Target="https://www.crunchbase.com/organization/ifm-restoration" TargetMode="External"/><Relationship Id="rId1492" Type="http://schemas.openxmlformats.org/officeDocument/2006/relationships/hyperlink" Target="https://ifmrestoration.com" TargetMode="External"/><Relationship Id="rId1493" Type="http://schemas.openxmlformats.org/officeDocument/2006/relationships/hyperlink" Target="https://www.crunchbase.com/funding_round/ifm-restoration-series-a--49e09ee5" TargetMode="External"/><Relationship Id="rId1494" Type="http://schemas.openxmlformats.org/officeDocument/2006/relationships/hyperlink" Target="https://www.crunchbase.com/funding_round/ifm-restoration-series-b--c339f8b6" TargetMode="External"/><Relationship Id="rId664" Type="http://schemas.openxmlformats.org/officeDocument/2006/relationships/hyperlink" Target="https://www.crunchbase.com/funding_round/wander-6a24-series-unknown--02d86925" TargetMode="External"/><Relationship Id="rId1495" Type="http://schemas.openxmlformats.org/officeDocument/2006/relationships/hyperlink" Target="https://www.crunchbase.com/organization/fractal-homes" TargetMode="External"/><Relationship Id="rId663" Type="http://schemas.openxmlformats.org/officeDocument/2006/relationships/hyperlink" Target="https://www.wander.com/" TargetMode="External"/><Relationship Id="rId1496" Type="http://schemas.openxmlformats.org/officeDocument/2006/relationships/hyperlink" Target="https://www.fractal.homes/" TargetMode="External"/><Relationship Id="rId662" Type="http://schemas.openxmlformats.org/officeDocument/2006/relationships/hyperlink" Target="https://www.crunchbase.com/organization/wander-6a24" TargetMode="External"/><Relationship Id="rId1497" Type="http://schemas.openxmlformats.org/officeDocument/2006/relationships/hyperlink" Target="https://www.crunchbase.com/funding_round/fractal-homes-seed--a55c9dd7" TargetMode="External"/><Relationship Id="rId661" Type="http://schemas.openxmlformats.org/officeDocument/2006/relationships/hyperlink" Target="https://sense.com/" TargetMode="External"/><Relationship Id="rId1498" Type="http://schemas.openxmlformats.org/officeDocument/2006/relationships/hyperlink" Target="https://www.crunchbase.com/funding_round/fractal-homes-debt-financing--efc98cba" TargetMode="External"/><Relationship Id="rId1488" Type="http://schemas.openxmlformats.org/officeDocument/2006/relationships/hyperlink" Target="https://www.doorloop.com/" TargetMode="External"/><Relationship Id="rId1489" Type="http://schemas.openxmlformats.org/officeDocument/2006/relationships/hyperlink" Target="https://www.crunchbase.com/funding_round/doorloop-series-a--46d9a228" TargetMode="External"/><Relationship Id="rId657" Type="http://schemas.openxmlformats.org/officeDocument/2006/relationships/hyperlink" Target="https://www.crunchbase.com/organization/stoa-fund" TargetMode="External"/><Relationship Id="rId656" Type="http://schemas.openxmlformats.org/officeDocument/2006/relationships/hyperlink" Target="https://angel.co/company/flipos-by-stoa-usa" TargetMode="External"/><Relationship Id="rId655" Type="http://schemas.openxmlformats.org/officeDocument/2006/relationships/hyperlink" Target="https://openly.com/" TargetMode="External"/><Relationship Id="rId654" Type="http://schemas.openxmlformats.org/officeDocument/2006/relationships/hyperlink" Target="https://www.crunchbase.com/organization/openly-inc" TargetMode="External"/><Relationship Id="rId659" Type="http://schemas.openxmlformats.org/officeDocument/2006/relationships/hyperlink" Target="https://angel.co/company/senselabsinc" TargetMode="External"/><Relationship Id="rId658" Type="http://schemas.openxmlformats.org/officeDocument/2006/relationships/hyperlink" Target="https://flipos.com/" TargetMode="External"/><Relationship Id="rId1480" Type="http://schemas.openxmlformats.org/officeDocument/2006/relationships/hyperlink" Target="https://angel.co/company/darkstore" TargetMode="External"/><Relationship Id="rId1481" Type="http://schemas.openxmlformats.org/officeDocument/2006/relationships/hyperlink" Target="https://www.crunchbase.com/organization/darkstore" TargetMode="External"/><Relationship Id="rId1482" Type="http://schemas.openxmlformats.org/officeDocument/2006/relationships/hyperlink" Target="https://www.darkstore.com/" TargetMode="External"/><Relationship Id="rId1483" Type="http://schemas.openxmlformats.org/officeDocument/2006/relationships/hyperlink" Target="https://angel.co/appfolio" TargetMode="External"/><Relationship Id="rId653" Type="http://schemas.openxmlformats.org/officeDocument/2006/relationships/hyperlink" Target="https://angel.co/company/openlyinsured" TargetMode="External"/><Relationship Id="rId1484" Type="http://schemas.openxmlformats.org/officeDocument/2006/relationships/hyperlink" Target="https://www.crunchbase.com/organization/appfolio" TargetMode="External"/><Relationship Id="rId652" Type="http://schemas.openxmlformats.org/officeDocument/2006/relationships/hyperlink" Target="https://www.crunchbase.com/organization/commongrounds-workspace" TargetMode="External"/><Relationship Id="rId1485" Type="http://schemas.openxmlformats.org/officeDocument/2006/relationships/hyperlink" Target="http://www.appfolio.com/" TargetMode="External"/><Relationship Id="rId651" Type="http://schemas.openxmlformats.org/officeDocument/2006/relationships/hyperlink" Target="https://angel.co/commongrounds" TargetMode="External"/><Relationship Id="rId1486" Type="http://schemas.openxmlformats.org/officeDocument/2006/relationships/hyperlink" Target="https://angel.co/company/doorloop" TargetMode="External"/><Relationship Id="rId650" Type="http://schemas.openxmlformats.org/officeDocument/2006/relationships/hyperlink" Target="https://www.crunchbase.com/funding_round/gropyus-corporate-round--b04bd369" TargetMode="External"/><Relationship Id="rId1487" Type="http://schemas.openxmlformats.org/officeDocument/2006/relationships/hyperlink" Target="https://www.crunchbase.com/organization/doorloop" TargetMode="External"/><Relationship Id="rId689" Type="http://schemas.openxmlformats.org/officeDocument/2006/relationships/hyperlink" Target="https://www.crunchbase.com/funding_round/turnkey-vacation-rentals-seed--55231a86" TargetMode="External"/><Relationship Id="rId688" Type="http://schemas.openxmlformats.org/officeDocument/2006/relationships/hyperlink" Target="https://www.turnkeyvr.com" TargetMode="External"/><Relationship Id="rId687" Type="http://schemas.openxmlformats.org/officeDocument/2006/relationships/hyperlink" Target="https://www.crunchbase.com/organization/turnkey-vacation-rentals" TargetMode="External"/><Relationship Id="rId682" Type="http://schemas.openxmlformats.org/officeDocument/2006/relationships/hyperlink" Target="https://www.crunchbase.com/organization/homebound" TargetMode="External"/><Relationship Id="rId681" Type="http://schemas.openxmlformats.org/officeDocument/2006/relationships/hyperlink" Target="https://angel.co/company/homebound-2" TargetMode="External"/><Relationship Id="rId680" Type="http://schemas.openxmlformats.org/officeDocument/2006/relationships/hyperlink" Target="https://www.crunchbase.com/funding_round/housecanary-series-unknown--2e606a5d" TargetMode="External"/><Relationship Id="rId686" Type="http://schemas.openxmlformats.org/officeDocument/2006/relationships/hyperlink" Target="https://angel.co/company/turnkey-vacation-rentals" TargetMode="External"/><Relationship Id="rId685" Type="http://schemas.openxmlformats.org/officeDocument/2006/relationships/hyperlink" Target="https://evolve.com/" TargetMode="External"/><Relationship Id="rId684" Type="http://schemas.openxmlformats.org/officeDocument/2006/relationships/hyperlink" Target="https://www.crunchbase.com/organization/evolve-vacation-rental-network" TargetMode="External"/><Relationship Id="rId683" Type="http://schemas.openxmlformats.org/officeDocument/2006/relationships/hyperlink" Target="https://www.homebound.com/" TargetMode="External"/><Relationship Id="rId679" Type="http://schemas.openxmlformats.org/officeDocument/2006/relationships/hyperlink" Target="https://www.crunchbase.com/funding_round/housecanary-seed--ff60ee89" TargetMode="External"/><Relationship Id="rId678" Type="http://schemas.openxmlformats.org/officeDocument/2006/relationships/hyperlink" Target="https://www.housecanary.com/" TargetMode="External"/><Relationship Id="rId677" Type="http://schemas.openxmlformats.org/officeDocument/2006/relationships/hyperlink" Target="https://www.crunchbase.com/organization/housecanary" TargetMode="External"/><Relationship Id="rId676" Type="http://schemas.openxmlformats.org/officeDocument/2006/relationships/hyperlink" Target="https://angel.co/company/housecanary" TargetMode="External"/><Relationship Id="rId671" Type="http://schemas.openxmlformats.org/officeDocument/2006/relationships/hyperlink" Target="https://www.crunchbase.com/organization/econic-c582" TargetMode="External"/><Relationship Id="rId670" Type="http://schemas.openxmlformats.org/officeDocument/2006/relationships/hyperlink" Target="https://tibber.com/en" TargetMode="External"/><Relationship Id="rId675" Type="http://schemas.openxmlformats.org/officeDocument/2006/relationships/hyperlink" Target="https://www.crunchbase.com/funding_round/breather-series-d--1347c809" TargetMode="External"/><Relationship Id="rId674" Type="http://schemas.openxmlformats.org/officeDocument/2006/relationships/hyperlink" Target="https://www.crunchbase.com/funding_round/econic-c582-debt-financing--efafeb6c" TargetMode="External"/><Relationship Id="rId673" Type="http://schemas.openxmlformats.org/officeDocument/2006/relationships/hyperlink" Target="https://www.crunchbase.com/funding_round/econic-c582-series-unknown--530a06d5" TargetMode="External"/><Relationship Id="rId672" Type="http://schemas.openxmlformats.org/officeDocument/2006/relationships/hyperlink" Target="https://econic.homes/" TargetMode="External"/><Relationship Id="rId5019" Type="http://schemas.openxmlformats.org/officeDocument/2006/relationships/hyperlink" Target="https://angel.co/company/deskpass" TargetMode="External"/><Relationship Id="rId6340" Type="http://schemas.openxmlformats.org/officeDocument/2006/relationships/hyperlink" Target="https://angel.co/company/officespace-software-1" TargetMode="External"/><Relationship Id="rId5010" Type="http://schemas.openxmlformats.org/officeDocument/2006/relationships/hyperlink" Target="https://dealforcecre.com/" TargetMode="External"/><Relationship Id="rId6341" Type="http://schemas.openxmlformats.org/officeDocument/2006/relationships/hyperlink" Target="https://www.crunchbase.com/organization/officespace-software" TargetMode="External"/><Relationship Id="rId5013" Type="http://schemas.openxmlformats.org/officeDocument/2006/relationships/hyperlink" Target="https://angel.co/dealstat-rei/" TargetMode="External"/><Relationship Id="rId6344" Type="http://schemas.openxmlformats.org/officeDocument/2006/relationships/hyperlink" Target="https://www.crunchbase.com/organization/pretto" TargetMode="External"/><Relationship Id="rId5014" Type="http://schemas.openxmlformats.org/officeDocument/2006/relationships/hyperlink" Target="https://www.crunchbase.com/organization/dealstat-rei-inc" TargetMode="External"/><Relationship Id="rId6345" Type="http://schemas.openxmlformats.org/officeDocument/2006/relationships/hyperlink" Target="https://www.pretto.fr/" TargetMode="External"/><Relationship Id="rId5011" Type="http://schemas.openxmlformats.org/officeDocument/2006/relationships/hyperlink" Target="https://www.crunchbase.com/organization/dealius" TargetMode="External"/><Relationship Id="rId6342" Type="http://schemas.openxmlformats.org/officeDocument/2006/relationships/hyperlink" Target="https://www.officespacesoftware.com/" TargetMode="External"/><Relationship Id="rId5012" Type="http://schemas.openxmlformats.org/officeDocument/2006/relationships/hyperlink" Target="http://dealius.com/" TargetMode="External"/><Relationship Id="rId6343" Type="http://schemas.openxmlformats.org/officeDocument/2006/relationships/hyperlink" Target="https://angel.co/company/pretto" TargetMode="External"/><Relationship Id="rId5017" Type="http://schemas.openxmlformats.org/officeDocument/2006/relationships/hyperlink" Target="https://www.crunchbase.com/organization/dealsumm" TargetMode="External"/><Relationship Id="rId6348" Type="http://schemas.openxmlformats.org/officeDocument/2006/relationships/hyperlink" Target="https://www.crunchbase.com/funding_round/safelystay-pre-seed--5d156fde" TargetMode="External"/><Relationship Id="rId5018" Type="http://schemas.openxmlformats.org/officeDocument/2006/relationships/hyperlink" Target="https://www.dealsumm.com/" TargetMode="External"/><Relationship Id="rId6349" Type="http://schemas.openxmlformats.org/officeDocument/2006/relationships/hyperlink" Target="https://www.crunchbase.com/organization/second-avenue-group" TargetMode="External"/><Relationship Id="rId5015" Type="http://schemas.openxmlformats.org/officeDocument/2006/relationships/hyperlink" Target="http://www.dealstatrei.com/" TargetMode="External"/><Relationship Id="rId6346" Type="http://schemas.openxmlformats.org/officeDocument/2006/relationships/hyperlink" Target="https://www.crunchbase.com/organization/safelystay" TargetMode="External"/><Relationship Id="rId5016" Type="http://schemas.openxmlformats.org/officeDocument/2006/relationships/hyperlink" Target="https://angel.co/company/dealsumm" TargetMode="External"/><Relationship Id="rId6347" Type="http://schemas.openxmlformats.org/officeDocument/2006/relationships/hyperlink" Target="https://safely.com/" TargetMode="External"/><Relationship Id="rId5008" Type="http://schemas.openxmlformats.org/officeDocument/2006/relationships/hyperlink" Target="http://dealboard.org" TargetMode="External"/><Relationship Id="rId6339" Type="http://schemas.openxmlformats.org/officeDocument/2006/relationships/hyperlink" Target="https://www.nexii.com/" TargetMode="External"/><Relationship Id="rId5009" Type="http://schemas.openxmlformats.org/officeDocument/2006/relationships/hyperlink" Target="https://angel.co/company/dealforcecre" TargetMode="External"/><Relationship Id="rId6330" Type="http://schemas.openxmlformats.org/officeDocument/2006/relationships/hyperlink" Target="https://haus.me/" TargetMode="External"/><Relationship Id="rId5002" Type="http://schemas.openxmlformats.org/officeDocument/2006/relationships/hyperlink" Target="http://www.datexdata.com" TargetMode="External"/><Relationship Id="rId6333" Type="http://schemas.openxmlformats.org/officeDocument/2006/relationships/hyperlink" Target="https://www.crunchbase.com/organization/kterio" TargetMode="External"/><Relationship Id="rId5003" Type="http://schemas.openxmlformats.org/officeDocument/2006/relationships/hyperlink" Target="https://www.crunchbase.com/organization/datoz" TargetMode="External"/><Relationship Id="rId6334" Type="http://schemas.openxmlformats.org/officeDocument/2006/relationships/hyperlink" Target="https://kterio.com/" TargetMode="External"/><Relationship Id="rId5000" Type="http://schemas.openxmlformats.org/officeDocument/2006/relationships/hyperlink" Target="https://angel.co/company/datex-property-solutions" TargetMode="External"/><Relationship Id="rId6331" Type="http://schemas.openxmlformats.org/officeDocument/2006/relationships/hyperlink" Target="https://www.crunchbase.com/organization/houza" TargetMode="External"/><Relationship Id="rId5001" Type="http://schemas.openxmlformats.org/officeDocument/2006/relationships/hyperlink" Target="https://www.crunchbase.com/organization/datex-property-solutions" TargetMode="External"/><Relationship Id="rId6332" Type="http://schemas.openxmlformats.org/officeDocument/2006/relationships/hyperlink" Target="https://houza.com/en/" TargetMode="External"/><Relationship Id="rId5006" Type="http://schemas.openxmlformats.org/officeDocument/2006/relationships/hyperlink" Target="https://www.deacondumpsters.com/" TargetMode="External"/><Relationship Id="rId6337" Type="http://schemas.openxmlformats.org/officeDocument/2006/relationships/hyperlink" Target="https://angel.co/company/nexii" TargetMode="External"/><Relationship Id="rId5007" Type="http://schemas.openxmlformats.org/officeDocument/2006/relationships/hyperlink" Target="https://www.crunchbase.com/organization/crelow" TargetMode="External"/><Relationship Id="rId6338" Type="http://schemas.openxmlformats.org/officeDocument/2006/relationships/hyperlink" Target="https://www.crunchbase.com/organization/nexii" TargetMode="External"/><Relationship Id="rId5004" Type="http://schemas.openxmlformats.org/officeDocument/2006/relationships/hyperlink" Target="https://www.datoz.com/" TargetMode="External"/><Relationship Id="rId6335" Type="http://schemas.openxmlformats.org/officeDocument/2006/relationships/hyperlink" Target="https://www.crunchbase.com/organization/living-cities" TargetMode="External"/><Relationship Id="rId5005" Type="http://schemas.openxmlformats.org/officeDocument/2006/relationships/hyperlink" Target="https://angel.co/company/deacon-dumpsters-1" TargetMode="External"/><Relationship Id="rId6336" Type="http://schemas.openxmlformats.org/officeDocument/2006/relationships/hyperlink" Target="https://livingcities.xyz/" TargetMode="External"/><Relationship Id="rId5031" Type="http://schemas.openxmlformats.org/officeDocument/2006/relationships/hyperlink" Target="https://www.crunchbase.com/organization/district" TargetMode="External"/><Relationship Id="rId6362" Type="http://schemas.openxmlformats.org/officeDocument/2006/relationships/hyperlink" Target="http://www.airlitegroup.com.au/" TargetMode="External"/><Relationship Id="rId5032" Type="http://schemas.openxmlformats.org/officeDocument/2006/relationships/hyperlink" Target="http://www.district-app.com" TargetMode="External"/><Relationship Id="rId6363" Type="http://schemas.openxmlformats.org/officeDocument/2006/relationships/hyperlink" Target="https://angel.co/company/allmyhomes-1" TargetMode="External"/><Relationship Id="rId6360" Type="http://schemas.openxmlformats.org/officeDocument/2006/relationships/hyperlink" Target="https://www.crunchbase.com/organization/wayleadr" TargetMode="External"/><Relationship Id="rId5030" Type="http://schemas.openxmlformats.org/officeDocument/2006/relationships/hyperlink" Target="https://www.getdigsy.com" TargetMode="External"/><Relationship Id="rId6361" Type="http://schemas.openxmlformats.org/officeDocument/2006/relationships/hyperlink" Target="https://www.wayleadr.com/" TargetMode="External"/><Relationship Id="rId5035" Type="http://schemas.openxmlformats.org/officeDocument/2006/relationships/hyperlink" Target="https://angel.co/company/diversified-properties" TargetMode="External"/><Relationship Id="rId6366" Type="http://schemas.openxmlformats.org/officeDocument/2006/relationships/hyperlink" Target="https://www.crunchbase.com/funding_round/allmyhomes-series-unknown--3d0f58d3" TargetMode="External"/><Relationship Id="rId5036" Type="http://schemas.openxmlformats.org/officeDocument/2006/relationships/hyperlink" Target="https://www.diversified-property.com/" TargetMode="External"/><Relationship Id="rId6367" Type="http://schemas.openxmlformats.org/officeDocument/2006/relationships/hyperlink" Target="https://angel.co/company/beyondhq" TargetMode="External"/><Relationship Id="rId5033" Type="http://schemas.openxmlformats.org/officeDocument/2006/relationships/hyperlink" Target="https://www.crunchbase.com/organization/district-technologies" TargetMode="External"/><Relationship Id="rId6364" Type="http://schemas.openxmlformats.org/officeDocument/2006/relationships/hyperlink" Target="https://www.crunchbase.com/organization/allmyhomes" TargetMode="External"/><Relationship Id="rId5034" Type="http://schemas.openxmlformats.org/officeDocument/2006/relationships/hyperlink" Target="https://www.district-tech.com/" TargetMode="External"/><Relationship Id="rId6365" Type="http://schemas.openxmlformats.org/officeDocument/2006/relationships/hyperlink" Target="https://www.allmyhomes.com/de/" TargetMode="External"/><Relationship Id="rId5039" Type="http://schemas.openxmlformats.org/officeDocument/2006/relationships/hyperlink" Target="https://angel.co/company/dolphin-heat-transfer-pvt-ltd" TargetMode="External"/><Relationship Id="rId5037" Type="http://schemas.openxmlformats.org/officeDocument/2006/relationships/hyperlink" Target="https://angel.co/company/dog-parker/jobs" TargetMode="External"/><Relationship Id="rId6368" Type="http://schemas.openxmlformats.org/officeDocument/2006/relationships/hyperlink" Target="https://www.crunchbase.com/organization/beyondhq" TargetMode="External"/><Relationship Id="rId5038" Type="http://schemas.openxmlformats.org/officeDocument/2006/relationships/hyperlink" Target="https://hellodogspot.com/" TargetMode="External"/><Relationship Id="rId6369" Type="http://schemas.openxmlformats.org/officeDocument/2006/relationships/hyperlink" Target="http://www.beyondhq.co/" TargetMode="External"/><Relationship Id="rId5020" Type="http://schemas.openxmlformats.org/officeDocument/2006/relationships/hyperlink" Target="https://www.crunchbase.com/organization/deskpass" TargetMode="External"/><Relationship Id="rId6351" Type="http://schemas.openxmlformats.org/officeDocument/2006/relationships/hyperlink" Target="https://angel.co/company/shubham-housing-2" TargetMode="External"/><Relationship Id="rId5021" Type="http://schemas.openxmlformats.org/officeDocument/2006/relationships/hyperlink" Target="https://www.deskpass.com/" TargetMode="External"/><Relationship Id="rId6352" Type="http://schemas.openxmlformats.org/officeDocument/2006/relationships/hyperlink" Target="https://www.crunchbase.com/organization/shubham-housing-development-finance-company" TargetMode="External"/><Relationship Id="rId6350" Type="http://schemas.openxmlformats.org/officeDocument/2006/relationships/hyperlink" Target="https://www.secondavenue.com/" TargetMode="External"/><Relationship Id="rId5024" Type="http://schemas.openxmlformats.org/officeDocument/2006/relationships/hyperlink" Target="https://www.detectivfrei.ch/" TargetMode="External"/><Relationship Id="rId6355" Type="http://schemas.openxmlformats.org/officeDocument/2006/relationships/hyperlink" Target="https://www.crunchbase.com/organization/spectral-a8c9" TargetMode="External"/><Relationship Id="rId5025" Type="http://schemas.openxmlformats.org/officeDocument/2006/relationships/hyperlink" Target="https://angel.co/detente-technologies-pvt-ltd" TargetMode="External"/><Relationship Id="rId6356" Type="http://schemas.openxmlformats.org/officeDocument/2006/relationships/hyperlink" Target="https://www.spectral.finance/" TargetMode="External"/><Relationship Id="rId5022" Type="http://schemas.openxmlformats.org/officeDocument/2006/relationships/hyperlink" Target="https://angel.co/u/detectivfrei-ag" TargetMode="External"/><Relationship Id="rId6353" Type="http://schemas.openxmlformats.org/officeDocument/2006/relationships/hyperlink" Target="https://shubham.co/" TargetMode="External"/><Relationship Id="rId5023" Type="http://schemas.openxmlformats.org/officeDocument/2006/relationships/hyperlink" Target="https://www.crunchbase.com/organization/detectivfrei" TargetMode="External"/><Relationship Id="rId6354" Type="http://schemas.openxmlformats.org/officeDocument/2006/relationships/hyperlink" Target="https://angel.co/company/spectral-finance" TargetMode="External"/><Relationship Id="rId5028" Type="http://schemas.openxmlformats.org/officeDocument/2006/relationships/hyperlink" Target="https://angel.co/company/digsy" TargetMode="External"/><Relationship Id="rId6359" Type="http://schemas.openxmlformats.org/officeDocument/2006/relationships/hyperlink" Target="https://volpi.tech/" TargetMode="External"/><Relationship Id="rId5029" Type="http://schemas.openxmlformats.org/officeDocument/2006/relationships/hyperlink" Target="https://www.crunchbase.com/organization/digsy" TargetMode="External"/><Relationship Id="rId5026" Type="http://schemas.openxmlformats.org/officeDocument/2006/relationships/hyperlink" Target="https://www.crunchbase.com/organization/detente-technologies-pvt-ltd" TargetMode="External"/><Relationship Id="rId6357" Type="http://schemas.openxmlformats.org/officeDocument/2006/relationships/hyperlink" Target="https://www.crunchbase.com/funding_round/spectral-a8c9-seed--5b75a22a" TargetMode="External"/><Relationship Id="rId5027" Type="http://schemas.openxmlformats.org/officeDocument/2006/relationships/hyperlink" Target="http://www.detentech.com" TargetMode="External"/><Relationship Id="rId6358" Type="http://schemas.openxmlformats.org/officeDocument/2006/relationships/hyperlink" Target="https://www.crunchbase.com/organization/volpi-7a9d" TargetMode="External"/><Relationship Id="rId6308" Type="http://schemas.openxmlformats.org/officeDocument/2006/relationships/hyperlink" Target="https://www.constructsecure.com/" TargetMode="External"/><Relationship Id="rId6309" Type="http://schemas.openxmlformats.org/officeDocument/2006/relationships/hyperlink" Target="https://www.crunchbase.com/organization/erste-hausverwaltung-gmbh" TargetMode="External"/><Relationship Id="rId6306" Type="http://schemas.openxmlformats.org/officeDocument/2006/relationships/hyperlink" Target="https://angel.co/company/constructsecure" TargetMode="External"/><Relationship Id="rId6307" Type="http://schemas.openxmlformats.org/officeDocument/2006/relationships/hyperlink" Target="https://www.crunchbase.com/organization/constructsecure" TargetMode="External"/><Relationship Id="rId6300" Type="http://schemas.openxmlformats.org/officeDocument/2006/relationships/hyperlink" Target="https://www.animated-insights.com/" TargetMode="External"/><Relationship Id="rId6301" Type="http://schemas.openxmlformats.org/officeDocument/2006/relationships/hyperlink" Target="https://www.crunchbase.com/organization/circa-7a83" TargetMode="External"/><Relationship Id="rId6304" Type="http://schemas.openxmlformats.org/officeDocument/2006/relationships/hyperlink" Target="https://www.crunchbase.com/organization/common-energy" TargetMode="External"/><Relationship Id="rId6305" Type="http://schemas.openxmlformats.org/officeDocument/2006/relationships/hyperlink" Target="https://www.commonenergy.us/" TargetMode="External"/><Relationship Id="rId6302" Type="http://schemas.openxmlformats.org/officeDocument/2006/relationships/hyperlink" Target="https://www.wearecirca.com/" TargetMode="External"/><Relationship Id="rId6303" Type="http://schemas.openxmlformats.org/officeDocument/2006/relationships/hyperlink" Target="https://angel.co/company/common-energy-1" TargetMode="External"/><Relationship Id="rId6328" Type="http://schemas.openxmlformats.org/officeDocument/2006/relationships/hyperlink" Target="https://angel.co/company/haus_me" TargetMode="External"/><Relationship Id="rId6329" Type="http://schemas.openxmlformats.org/officeDocument/2006/relationships/hyperlink" Target="https://www.crunchbase.com/organization/haus-me" TargetMode="External"/><Relationship Id="rId6322" Type="http://schemas.openxmlformats.org/officeDocument/2006/relationships/hyperlink" Target="https://www.giatecscientific.com/" TargetMode="External"/><Relationship Id="rId6323" Type="http://schemas.openxmlformats.org/officeDocument/2006/relationships/hyperlink" Target="https://www.crunchbase.com/funding_round/giatec-scientific-seed--b67cee0a" TargetMode="External"/><Relationship Id="rId6320" Type="http://schemas.openxmlformats.org/officeDocument/2006/relationships/hyperlink" Target="https://angel.co/company/giatec-scientific" TargetMode="External"/><Relationship Id="rId6321" Type="http://schemas.openxmlformats.org/officeDocument/2006/relationships/hyperlink" Target="https://www.crunchbase.com/organization/giatec-scientific" TargetMode="External"/><Relationship Id="rId6326" Type="http://schemas.openxmlformats.org/officeDocument/2006/relationships/hyperlink" Target="https://www.usehammock.com/" TargetMode="External"/><Relationship Id="rId6327" Type="http://schemas.openxmlformats.org/officeDocument/2006/relationships/hyperlink" Target="http://haus.me/" TargetMode="External"/><Relationship Id="rId6324" Type="http://schemas.openxmlformats.org/officeDocument/2006/relationships/hyperlink" Target="https://angel.co/company/hammock-3" TargetMode="External"/><Relationship Id="rId6325" Type="http://schemas.openxmlformats.org/officeDocument/2006/relationships/hyperlink" Target="https://www.crunchbase.com/organization/hammock-4a65" TargetMode="External"/><Relationship Id="rId6319" Type="http://schemas.openxmlformats.org/officeDocument/2006/relationships/hyperlink" Target="https://www.foresite.tech/" TargetMode="External"/><Relationship Id="rId6317" Type="http://schemas.openxmlformats.org/officeDocument/2006/relationships/hyperlink" Target="https://flyway.app/" TargetMode="External"/><Relationship Id="rId6318" Type="http://schemas.openxmlformats.org/officeDocument/2006/relationships/hyperlink" Target="https://www.crunchbase.com/organization/foresite-ebb2" TargetMode="External"/><Relationship Id="rId6311" Type="http://schemas.openxmlformats.org/officeDocument/2006/relationships/hyperlink" Target="https://www.crunchbase.com/organization/flashhouse" TargetMode="External"/><Relationship Id="rId6312" Type="http://schemas.openxmlformats.org/officeDocument/2006/relationships/hyperlink" Target="https://hifello.com/" TargetMode="External"/><Relationship Id="rId6310" Type="http://schemas.openxmlformats.org/officeDocument/2006/relationships/hyperlink" Target="https://erste-hausverwaltung.de/" TargetMode="External"/><Relationship Id="rId6315" Type="http://schemas.openxmlformats.org/officeDocument/2006/relationships/hyperlink" Target="https://angel.co/company/flyway_homes" TargetMode="External"/><Relationship Id="rId6316" Type="http://schemas.openxmlformats.org/officeDocument/2006/relationships/hyperlink" Target="https://www.crunchbase.com/organization/flyway-e121" TargetMode="External"/><Relationship Id="rId6313" Type="http://schemas.openxmlformats.org/officeDocument/2006/relationships/hyperlink" Target="https://www.crunchbase.com/organization/firstclose" TargetMode="External"/><Relationship Id="rId6314" Type="http://schemas.openxmlformats.org/officeDocument/2006/relationships/hyperlink" Target="https://firstclose.com/" TargetMode="External"/><Relationship Id="rId2820" Type="http://schemas.openxmlformats.org/officeDocument/2006/relationships/hyperlink" Target="https://www.crunchbase.com/organization/tabas" TargetMode="External"/><Relationship Id="rId2821" Type="http://schemas.openxmlformats.org/officeDocument/2006/relationships/hyperlink" Target="https://tabas.com/" TargetMode="External"/><Relationship Id="rId2822" Type="http://schemas.openxmlformats.org/officeDocument/2006/relationships/hyperlink" Target="https://angel.co/company/inspectify" TargetMode="External"/><Relationship Id="rId2823" Type="http://schemas.openxmlformats.org/officeDocument/2006/relationships/hyperlink" Target="https://www.crunchbase.com/organization/inspectify-dd08" TargetMode="External"/><Relationship Id="rId2824" Type="http://schemas.openxmlformats.org/officeDocument/2006/relationships/hyperlink" Target="https://www.inspectify.com/" TargetMode="External"/><Relationship Id="rId2825" Type="http://schemas.openxmlformats.org/officeDocument/2006/relationships/hyperlink" Target="https://angel.co/company/rabbet" TargetMode="External"/><Relationship Id="rId2826" Type="http://schemas.openxmlformats.org/officeDocument/2006/relationships/hyperlink" Target="https://www.crunchbase.com/organization/contract-simply" TargetMode="External"/><Relationship Id="rId2827" Type="http://schemas.openxmlformats.org/officeDocument/2006/relationships/hyperlink" Target="https://rabbet.com/" TargetMode="External"/><Relationship Id="rId2828" Type="http://schemas.openxmlformats.org/officeDocument/2006/relationships/hyperlink" Target="https://www.crunchbase.com/organization/over-c-2" TargetMode="External"/><Relationship Id="rId2829" Type="http://schemas.openxmlformats.org/officeDocument/2006/relationships/hyperlink" Target="https://over-c.com/" TargetMode="External"/><Relationship Id="rId5093" Type="http://schemas.openxmlformats.org/officeDocument/2006/relationships/hyperlink" Target="https://angel.co/company/endive-software-1" TargetMode="External"/><Relationship Id="rId5094" Type="http://schemas.openxmlformats.org/officeDocument/2006/relationships/hyperlink" Target="https://www.crunchbase.com/organization/endive-software" TargetMode="External"/><Relationship Id="rId5091" Type="http://schemas.openxmlformats.org/officeDocument/2006/relationships/hyperlink" Target="https://www.crunchbase.com/organization/en-trak" TargetMode="External"/><Relationship Id="rId5092" Type="http://schemas.openxmlformats.org/officeDocument/2006/relationships/hyperlink" Target="https://www.en-trak.com/" TargetMode="External"/><Relationship Id="rId5097" Type="http://schemas.openxmlformats.org/officeDocument/2006/relationships/hyperlink" Target="https://www.crunchbase.com/organization/energy-watch" TargetMode="External"/><Relationship Id="rId5098" Type="http://schemas.openxmlformats.org/officeDocument/2006/relationships/hyperlink" Target="https://energywatch-inc.com/" TargetMode="External"/><Relationship Id="rId5095" Type="http://schemas.openxmlformats.org/officeDocument/2006/relationships/hyperlink" Target="http://www.endivesoftware.com/magento-ecommerce-development" TargetMode="External"/><Relationship Id="rId5096" Type="http://schemas.openxmlformats.org/officeDocument/2006/relationships/hyperlink" Target="https://angel.co/company/energywatch" TargetMode="External"/><Relationship Id="rId5099" Type="http://schemas.openxmlformats.org/officeDocument/2006/relationships/hyperlink" Target="https://angel.co/company/enest-consultancy-services" TargetMode="External"/><Relationship Id="rId2810" Type="http://schemas.openxmlformats.org/officeDocument/2006/relationships/hyperlink" Target="https://www.shopic.co/" TargetMode="External"/><Relationship Id="rId2811" Type="http://schemas.openxmlformats.org/officeDocument/2006/relationships/hyperlink" Target="https://wellfound.com/company/rivet-work" TargetMode="External"/><Relationship Id="rId2812" Type="http://schemas.openxmlformats.org/officeDocument/2006/relationships/hyperlink" Target="https://www.crunchbase.com/organization/rivet-0146" TargetMode="External"/><Relationship Id="rId2813" Type="http://schemas.openxmlformats.org/officeDocument/2006/relationships/hyperlink" Target="https://rivet.work/" TargetMode="External"/><Relationship Id="rId2814" Type="http://schemas.openxmlformats.org/officeDocument/2006/relationships/hyperlink" Target="https://www.crunchbase.com/funding_round/rivet-0146-undisclosed--1bbba563" TargetMode="External"/><Relationship Id="rId2815" Type="http://schemas.openxmlformats.org/officeDocument/2006/relationships/hyperlink" Target="https://www.crunchbase.com/funding_round/rivet-0146-seed--7f145547" TargetMode="External"/><Relationship Id="rId2816" Type="http://schemas.openxmlformats.org/officeDocument/2006/relationships/hyperlink" Target="https://www.crunchbase.com/funding_round/rivet-0146-debt-financing--eab7d75b" TargetMode="External"/><Relationship Id="rId2817" Type="http://schemas.openxmlformats.org/officeDocument/2006/relationships/hyperlink" Target="https://angel.co/company/verdigris" TargetMode="External"/><Relationship Id="rId2818" Type="http://schemas.openxmlformats.org/officeDocument/2006/relationships/hyperlink" Target="https://www.crunchbase.com/organization/verdigris-technologies" TargetMode="External"/><Relationship Id="rId2819" Type="http://schemas.openxmlformats.org/officeDocument/2006/relationships/hyperlink" Target="http://www.verdigris.co/" TargetMode="External"/><Relationship Id="rId5090" Type="http://schemas.openxmlformats.org/officeDocument/2006/relationships/hyperlink" Target="https://www.empaxis.com/solutions/turnkey-asset-management-platform/" TargetMode="External"/><Relationship Id="rId5082" Type="http://schemas.openxmlformats.org/officeDocument/2006/relationships/hyperlink" Target="https://www.egain.io/" TargetMode="External"/><Relationship Id="rId5083" Type="http://schemas.openxmlformats.org/officeDocument/2006/relationships/hyperlink" Target="https://angel.co/u/ejournalz-blogging" TargetMode="External"/><Relationship Id="rId5080" Type="http://schemas.openxmlformats.org/officeDocument/2006/relationships/hyperlink" Target="https://angel.co/company/egainz-website-designing" TargetMode="External"/><Relationship Id="rId5081" Type="http://schemas.openxmlformats.org/officeDocument/2006/relationships/hyperlink" Target="https://www.crunchbase.com/organization/egain-group" TargetMode="External"/><Relationship Id="rId5086" Type="http://schemas.openxmlformats.org/officeDocument/2006/relationships/hyperlink" Target="https://www.crunchbase.com/organization/elko-group" TargetMode="External"/><Relationship Id="rId5087" Type="http://schemas.openxmlformats.org/officeDocument/2006/relationships/hyperlink" Target="https://www.useelko.com/" TargetMode="External"/><Relationship Id="rId5084" Type="http://schemas.openxmlformats.org/officeDocument/2006/relationships/hyperlink" Target="https://www.crunchbase.com/organization/ejournalz" TargetMode="External"/><Relationship Id="rId5085" Type="http://schemas.openxmlformats.org/officeDocument/2006/relationships/hyperlink" Target="https://ejournalz.com/" TargetMode="External"/><Relationship Id="rId5088" Type="http://schemas.openxmlformats.org/officeDocument/2006/relationships/hyperlink" Target="https://angel.co/company/empaxis-data-management" TargetMode="External"/><Relationship Id="rId5089" Type="http://schemas.openxmlformats.org/officeDocument/2006/relationships/hyperlink" Target="https://www.crunchbase.com/organization/empaxis" TargetMode="External"/><Relationship Id="rId1510" Type="http://schemas.openxmlformats.org/officeDocument/2006/relationships/hyperlink" Target="https://www.crunchbase.com/funding_round/tulou-series-a--476b57d8" TargetMode="External"/><Relationship Id="rId2841" Type="http://schemas.openxmlformats.org/officeDocument/2006/relationships/hyperlink" Target="https://angel.co/u/kode-labs" TargetMode="External"/><Relationship Id="rId1511" Type="http://schemas.openxmlformats.org/officeDocument/2006/relationships/hyperlink" Target="https://www.crunchbase.com/organization/cohesionib" TargetMode="External"/><Relationship Id="rId2842" Type="http://schemas.openxmlformats.org/officeDocument/2006/relationships/hyperlink" Target="https://www.crunchbase.com/organization/kode-labs" TargetMode="External"/><Relationship Id="rId1512" Type="http://schemas.openxmlformats.org/officeDocument/2006/relationships/hyperlink" Target="http://cohesionib.com/" TargetMode="External"/><Relationship Id="rId2843" Type="http://schemas.openxmlformats.org/officeDocument/2006/relationships/hyperlink" Target="http://kodelabs.com" TargetMode="External"/><Relationship Id="rId1513" Type="http://schemas.openxmlformats.org/officeDocument/2006/relationships/hyperlink" Target="https://www.crunchbase.com/funding_round/cohesionib-series-unknown--5d433524" TargetMode="External"/><Relationship Id="rId2844" Type="http://schemas.openxmlformats.org/officeDocument/2006/relationships/hyperlink" Target="https://www.finsmes.com/2022/09/kode-labs-raises-8m-in-series-a-funding.html" TargetMode="External"/><Relationship Id="rId1514" Type="http://schemas.openxmlformats.org/officeDocument/2006/relationships/hyperlink" Target="https://angel.co/company/coadjute" TargetMode="External"/><Relationship Id="rId2845" Type="http://schemas.openxmlformats.org/officeDocument/2006/relationships/hyperlink" Target="https://angel.co/company/noiseaware" TargetMode="External"/><Relationship Id="rId1515" Type="http://schemas.openxmlformats.org/officeDocument/2006/relationships/hyperlink" Target="https://www.crunchbase.com/organization/coadjute" TargetMode="External"/><Relationship Id="rId2846" Type="http://schemas.openxmlformats.org/officeDocument/2006/relationships/hyperlink" Target="https://www.crunchbase.com/organization/noiseaware" TargetMode="External"/><Relationship Id="rId1516" Type="http://schemas.openxmlformats.org/officeDocument/2006/relationships/hyperlink" Target="https://www.coadjute.com/" TargetMode="External"/><Relationship Id="rId2847" Type="http://schemas.openxmlformats.org/officeDocument/2006/relationships/hyperlink" Target="https://noiseaware.com/" TargetMode="External"/><Relationship Id="rId1517" Type="http://schemas.openxmlformats.org/officeDocument/2006/relationships/hyperlink" Target="https://www.crunchbase.com/funding_round/cohesionib-pre-seed--1e66db6c" TargetMode="External"/><Relationship Id="rId2848" Type="http://schemas.openxmlformats.org/officeDocument/2006/relationships/hyperlink" Target="https://www.crunchbase.com/organization/qira" TargetMode="External"/><Relationship Id="rId1518" Type="http://schemas.openxmlformats.org/officeDocument/2006/relationships/hyperlink" Target="https://www.crunchbase.com/funding_round/cohesionib-seed--f3c8b14c" TargetMode="External"/><Relationship Id="rId2849" Type="http://schemas.openxmlformats.org/officeDocument/2006/relationships/hyperlink" Target="https://qira.com/" TargetMode="External"/><Relationship Id="rId1519" Type="http://schemas.openxmlformats.org/officeDocument/2006/relationships/hyperlink" Target="https://www.crunchbase.com/funding_round/cohesionib-series-a--f5865c37" TargetMode="External"/><Relationship Id="rId2840" Type="http://schemas.openxmlformats.org/officeDocument/2006/relationships/hyperlink" Target="https://www.knowify.com/" TargetMode="External"/><Relationship Id="rId2830" Type="http://schemas.openxmlformats.org/officeDocument/2006/relationships/hyperlink" Target="https://www.crunchbase.com/funding_round/over-c-2-series-unknown--838fd58a" TargetMode="External"/><Relationship Id="rId1500" Type="http://schemas.openxmlformats.org/officeDocument/2006/relationships/hyperlink" Target="http://agorareal.com/" TargetMode="External"/><Relationship Id="rId2831" Type="http://schemas.openxmlformats.org/officeDocument/2006/relationships/hyperlink" Target="https://angel.co/company/buildout" TargetMode="External"/><Relationship Id="rId1501" Type="http://schemas.openxmlformats.org/officeDocument/2006/relationships/hyperlink" Target="https://www.crunchbase.com/funding_round/agora-real-estate-technologies-seed--15c5d102" TargetMode="External"/><Relationship Id="rId2832" Type="http://schemas.openxmlformats.org/officeDocument/2006/relationships/hyperlink" Target="https://www.crunchbase.com/organization/buildout" TargetMode="External"/><Relationship Id="rId1502" Type="http://schemas.openxmlformats.org/officeDocument/2006/relationships/hyperlink" Target="https://www.crunchbase.com/funding_round/agora-real-estate-technologies-series-a--f520e7b5" TargetMode="External"/><Relationship Id="rId2833" Type="http://schemas.openxmlformats.org/officeDocument/2006/relationships/hyperlink" Target="https://buildout.com" TargetMode="External"/><Relationship Id="rId1503" Type="http://schemas.openxmlformats.org/officeDocument/2006/relationships/hyperlink" Target="https://angel.co/company/goforindustries" TargetMode="External"/><Relationship Id="rId2834" Type="http://schemas.openxmlformats.org/officeDocument/2006/relationships/hyperlink" Target="https://www.crunchbase.com/funding_round/buildout-series-a--d166c838" TargetMode="External"/><Relationship Id="rId1504" Type="http://schemas.openxmlformats.org/officeDocument/2006/relationships/hyperlink" Target="https://www.crunchbase.com/organization/gofor" TargetMode="External"/><Relationship Id="rId2835" Type="http://schemas.openxmlformats.org/officeDocument/2006/relationships/hyperlink" Target="https://www.crunchbase.com/organization/econcrete" TargetMode="External"/><Relationship Id="rId1505" Type="http://schemas.openxmlformats.org/officeDocument/2006/relationships/hyperlink" Target="https://www.gofordelivers.com/" TargetMode="External"/><Relationship Id="rId2836" Type="http://schemas.openxmlformats.org/officeDocument/2006/relationships/hyperlink" Target="https://econcretetech.com/" TargetMode="External"/><Relationship Id="rId1506" Type="http://schemas.openxmlformats.org/officeDocument/2006/relationships/hyperlink" Target="https://www.crunchbase.com/funding_round/gofor-seed--0c108a50" TargetMode="External"/><Relationship Id="rId2837" Type="http://schemas.openxmlformats.org/officeDocument/2006/relationships/hyperlink" Target="https://www.crunchbase.com/funding_round/econcrete-series-a--4eceb43b" TargetMode="External"/><Relationship Id="rId1507" Type="http://schemas.openxmlformats.org/officeDocument/2006/relationships/hyperlink" Target="https://www.crunchbase.com/funding_round/gofor-series-a--48d1d9d2" TargetMode="External"/><Relationship Id="rId2838" Type="http://schemas.openxmlformats.org/officeDocument/2006/relationships/hyperlink" Target="https://angel.co/company/knowify" TargetMode="External"/><Relationship Id="rId1508" Type="http://schemas.openxmlformats.org/officeDocument/2006/relationships/hyperlink" Target="https://www.crunchbase.com/organization/tulou" TargetMode="External"/><Relationship Id="rId2839" Type="http://schemas.openxmlformats.org/officeDocument/2006/relationships/hyperlink" Target="https://www.crunchbase.com/organization/knowify-llc" TargetMode="External"/><Relationship Id="rId1509" Type="http://schemas.openxmlformats.org/officeDocument/2006/relationships/hyperlink" Target="https://www.tulu.io" TargetMode="External"/><Relationship Id="rId6380" Type="http://schemas.openxmlformats.org/officeDocument/2006/relationships/hyperlink" Target="http://www.constructn.ai/" TargetMode="External"/><Relationship Id="rId5050" Type="http://schemas.openxmlformats.org/officeDocument/2006/relationships/hyperlink" Target="https://www.crunchbase.com/organization/driveit-digital" TargetMode="External"/><Relationship Id="rId6381" Type="http://schemas.openxmlformats.org/officeDocument/2006/relationships/hyperlink" Target="https://www.criticalasset.com/" TargetMode="External"/><Relationship Id="rId5053" Type="http://schemas.openxmlformats.org/officeDocument/2006/relationships/hyperlink" Target="https://droneshot.com/" TargetMode="External"/><Relationship Id="rId6384" Type="http://schemas.openxmlformats.org/officeDocument/2006/relationships/hyperlink" Target="http://www.ecolibrium.io/" TargetMode="External"/><Relationship Id="rId5054" Type="http://schemas.openxmlformats.org/officeDocument/2006/relationships/hyperlink" Target="https://angel.co/company/droplit" TargetMode="External"/><Relationship Id="rId6385" Type="http://schemas.openxmlformats.org/officeDocument/2006/relationships/hyperlink" Target="http://www.elevaterooms.com/" TargetMode="External"/><Relationship Id="rId5051" Type="http://schemas.openxmlformats.org/officeDocument/2006/relationships/hyperlink" Target="https://www.driveitdigital.com/" TargetMode="External"/><Relationship Id="rId6382" Type="http://schemas.openxmlformats.org/officeDocument/2006/relationships/hyperlink" Target="http://www.dwelo.com/" TargetMode="External"/><Relationship Id="rId5052" Type="http://schemas.openxmlformats.org/officeDocument/2006/relationships/hyperlink" Target="https://www.crunchbase.com/organization/droneshot" TargetMode="External"/><Relationship Id="rId6383" Type="http://schemas.openxmlformats.org/officeDocument/2006/relationships/hyperlink" Target="http://ecobot.com/" TargetMode="External"/><Relationship Id="rId5057" Type="http://schemas.openxmlformats.org/officeDocument/2006/relationships/hyperlink" Target="https://www.crunchbase.com/organization/dwellsy" TargetMode="External"/><Relationship Id="rId6388" Type="http://schemas.openxmlformats.org/officeDocument/2006/relationships/hyperlink" Target="http://factory.co/" TargetMode="External"/><Relationship Id="rId5058" Type="http://schemas.openxmlformats.org/officeDocument/2006/relationships/hyperlink" Target="https://dwellsy.com/" TargetMode="External"/><Relationship Id="rId6389" Type="http://schemas.openxmlformats.org/officeDocument/2006/relationships/hyperlink" Target="https://getflex.com/" TargetMode="External"/><Relationship Id="rId5055" Type="http://schemas.openxmlformats.org/officeDocument/2006/relationships/hyperlink" Target="https://www.crunchbase.com/organization/droplit-inc-" TargetMode="External"/><Relationship Id="rId6386" Type="http://schemas.openxmlformats.org/officeDocument/2006/relationships/hyperlink" Target="http://www.enkasahomes.com/" TargetMode="External"/><Relationship Id="rId5056" Type="http://schemas.openxmlformats.org/officeDocument/2006/relationships/hyperlink" Target="http://droplit.io" TargetMode="External"/><Relationship Id="rId6387" Type="http://schemas.openxmlformats.org/officeDocument/2006/relationships/hyperlink" Target="http://www.estateintel.com/" TargetMode="External"/><Relationship Id="rId5059" Type="http://schemas.openxmlformats.org/officeDocument/2006/relationships/hyperlink" Target="https://angel.co/company/dynamic-computing-solutions" TargetMode="External"/><Relationship Id="rId6370" Type="http://schemas.openxmlformats.org/officeDocument/2006/relationships/hyperlink" Target="https://www.crunchbase.com/funding_round/beyondhq-seed--97cc29a3" TargetMode="External"/><Relationship Id="rId5042" Type="http://schemas.openxmlformats.org/officeDocument/2006/relationships/hyperlink" Target="https://www.crunchbase.com/organization/cobu" TargetMode="External"/><Relationship Id="rId6373" Type="http://schemas.openxmlformats.org/officeDocument/2006/relationships/hyperlink" Target="http://www.botbuilt.com/" TargetMode="External"/><Relationship Id="rId5043" Type="http://schemas.openxmlformats.org/officeDocument/2006/relationships/hyperlink" Target="https://www.livecobu.com/" TargetMode="External"/><Relationship Id="rId6374" Type="http://schemas.openxmlformats.org/officeDocument/2006/relationships/hyperlink" Target="http://www.carbontitle.com/" TargetMode="External"/><Relationship Id="rId5040" Type="http://schemas.openxmlformats.org/officeDocument/2006/relationships/hyperlink" Target="https://www.domusoro.com/" TargetMode="External"/><Relationship Id="rId6371" Type="http://schemas.openxmlformats.org/officeDocument/2006/relationships/hyperlink" Target="https://www.crunchbase.com/organization/bode-ca23" TargetMode="External"/><Relationship Id="rId5041" Type="http://schemas.openxmlformats.org/officeDocument/2006/relationships/hyperlink" Target="https://angel.co/company/cobu" TargetMode="External"/><Relationship Id="rId6372" Type="http://schemas.openxmlformats.org/officeDocument/2006/relationships/hyperlink" Target="http://www.bode.co/" TargetMode="External"/><Relationship Id="rId5046" Type="http://schemas.openxmlformats.org/officeDocument/2006/relationships/hyperlink" Target="https://doordeck.com/" TargetMode="External"/><Relationship Id="rId6377" Type="http://schemas.openxmlformats.org/officeDocument/2006/relationships/hyperlink" Target="http://www.concretesensors.com/" TargetMode="External"/><Relationship Id="rId5047" Type="http://schemas.openxmlformats.org/officeDocument/2006/relationships/hyperlink" Target="https://angel.co/company/dream-steps-technologies-1" TargetMode="External"/><Relationship Id="rId6378" Type="http://schemas.openxmlformats.org/officeDocument/2006/relationships/hyperlink" Target="http://www.connect-homes.com/" TargetMode="External"/><Relationship Id="rId5044" Type="http://schemas.openxmlformats.org/officeDocument/2006/relationships/hyperlink" Target="https://angel.co/company/doordeck" TargetMode="External"/><Relationship Id="rId6375" Type="http://schemas.openxmlformats.org/officeDocument/2006/relationships/hyperlink" Target="http://cleanair.ai" TargetMode="External"/><Relationship Id="rId5045" Type="http://schemas.openxmlformats.org/officeDocument/2006/relationships/hyperlink" Target="https://www.crunchbase.com/organization/doordeck" TargetMode="External"/><Relationship Id="rId6376" Type="http://schemas.openxmlformats.org/officeDocument/2006/relationships/hyperlink" Target="http://www.cleanairsafetysystem.com/" TargetMode="External"/><Relationship Id="rId5048" Type="http://schemas.openxmlformats.org/officeDocument/2006/relationships/hyperlink" Target="https://www.crunchbase.com/organization/dream-steps-technologies-pvt-ltd" TargetMode="External"/><Relationship Id="rId6379" Type="http://schemas.openxmlformats.org/officeDocument/2006/relationships/hyperlink" Target="http://constructn.ai" TargetMode="External"/><Relationship Id="rId5049" Type="http://schemas.openxmlformats.org/officeDocument/2006/relationships/hyperlink" Target="https://www.thedreamsteps.com/" TargetMode="External"/><Relationship Id="rId2800" Type="http://schemas.openxmlformats.org/officeDocument/2006/relationships/hyperlink" Target="https://www.crunchbase.com/funding_round/braid-75b6-pre-seed--ca8c93df" TargetMode="External"/><Relationship Id="rId2801" Type="http://schemas.openxmlformats.org/officeDocument/2006/relationships/hyperlink" Target="https://www.crunchbase.com/funding_round/braid-75b6-seed--e34fcc96" TargetMode="External"/><Relationship Id="rId2802" Type="http://schemas.openxmlformats.org/officeDocument/2006/relationships/hyperlink" Target="https://wellfound.com/company/hotelrunner" TargetMode="External"/><Relationship Id="rId2803" Type="http://schemas.openxmlformats.org/officeDocument/2006/relationships/hyperlink" Target="https://www.crunchbase.com/organization/hotelrunner" TargetMode="External"/><Relationship Id="rId2804" Type="http://schemas.openxmlformats.org/officeDocument/2006/relationships/hyperlink" Target="https://www.hotelrunner.com/" TargetMode="External"/><Relationship Id="rId2805" Type="http://schemas.openxmlformats.org/officeDocument/2006/relationships/hyperlink" Target="https://www.crunchbase.com/funding_round/hotelrunner-pre-seed--5b5005df" TargetMode="External"/><Relationship Id="rId2806" Type="http://schemas.openxmlformats.org/officeDocument/2006/relationships/hyperlink" Target="https://www.crunchbase.com/funding_round/hotelrunner-seed--fdc92f73" TargetMode="External"/><Relationship Id="rId2807" Type="http://schemas.openxmlformats.org/officeDocument/2006/relationships/hyperlink" Target="https://www.crunchbase.com/funding_round/hotelrunner-series-a--debf58c0" TargetMode="External"/><Relationship Id="rId2808" Type="http://schemas.openxmlformats.org/officeDocument/2006/relationships/hyperlink" Target="https://angel.co/company/shopic" TargetMode="External"/><Relationship Id="rId2809" Type="http://schemas.openxmlformats.org/officeDocument/2006/relationships/hyperlink" Target="https://www.crunchbase.com/organization/shopic" TargetMode="External"/><Relationship Id="rId5071" Type="http://schemas.openxmlformats.org/officeDocument/2006/relationships/hyperlink" Target="https://angel.co/company/environmental-data-resources" TargetMode="External"/><Relationship Id="rId5072" Type="http://schemas.openxmlformats.org/officeDocument/2006/relationships/hyperlink" Target="https://www.crunchbase.com/organization/environmental-data-resources" TargetMode="External"/><Relationship Id="rId5070" Type="http://schemas.openxmlformats.org/officeDocument/2006/relationships/hyperlink" Target="http://www.editsoftdigital.in/" TargetMode="External"/><Relationship Id="rId5075" Type="http://schemas.openxmlformats.org/officeDocument/2006/relationships/hyperlink" Target="https://angel.co/company/efront/jobs" TargetMode="External"/><Relationship Id="rId5076" Type="http://schemas.openxmlformats.org/officeDocument/2006/relationships/hyperlink" Target="https://www.crunchbase.com/organization/efront-sf" TargetMode="External"/><Relationship Id="rId5073" Type="http://schemas.openxmlformats.org/officeDocument/2006/relationships/hyperlink" Target="https://edrnet.com/" TargetMode="External"/><Relationship Id="rId5074" Type="http://schemas.openxmlformats.org/officeDocument/2006/relationships/hyperlink" Target="https://echosearch.org" TargetMode="External"/><Relationship Id="rId5079" Type="http://schemas.openxmlformats.org/officeDocument/2006/relationships/hyperlink" Target="https://www.efusiontech.com/" TargetMode="External"/><Relationship Id="rId5077" Type="http://schemas.openxmlformats.org/officeDocument/2006/relationships/hyperlink" Target="https://www.efrontlearning.com/" TargetMode="External"/><Relationship Id="rId5078" Type="http://schemas.openxmlformats.org/officeDocument/2006/relationships/hyperlink" Target="https://www.crunchbase.com/organization/efusion-technology" TargetMode="External"/><Relationship Id="rId5060" Type="http://schemas.openxmlformats.org/officeDocument/2006/relationships/hyperlink" Target="http://www.perfectscan.com/" TargetMode="External"/><Relationship Id="rId6391" Type="http://schemas.openxmlformats.org/officeDocument/2006/relationships/hyperlink" Target="http://www.flowerturbines.com/" TargetMode="External"/><Relationship Id="rId5061" Type="http://schemas.openxmlformats.org/officeDocument/2006/relationships/hyperlink" Target="https://angel.co/company/eagleview-technologies" TargetMode="External"/><Relationship Id="rId6392" Type="http://schemas.openxmlformats.org/officeDocument/2006/relationships/hyperlink" Target="http://www.furnishr.com/" TargetMode="External"/><Relationship Id="rId6390" Type="http://schemas.openxmlformats.org/officeDocument/2006/relationships/hyperlink" Target="https://www.flotechnologies.com/" TargetMode="External"/><Relationship Id="rId5064" Type="http://schemas.openxmlformats.org/officeDocument/2006/relationships/hyperlink" Target="https://www.crunchbase.com/organization/ecorithm" TargetMode="External"/><Relationship Id="rId6395" Type="http://schemas.openxmlformats.org/officeDocument/2006/relationships/hyperlink" Target="http://www.helloalfred.com/" TargetMode="External"/><Relationship Id="rId5065" Type="http://schemas.openxmlformats.org/officeDocument/2006/relationships/hyperlink" Target="https://ecorithm.com/" TargetMode="External"/><Relationship Id="rId6396" Type="http://schemas.openxmlformats.org/officeDocument/2006/relationships/hyperlink" Target="http://www.hellotech.com/" TargetMode="External"/><Relationship Id="rId5062" Type="http://schemas.openxmlformats.org/officeDocument/2006/relationships/hyperlink" Target="https://www.crunchbase.com/organization/eagleview-technologies" TargetMode="External"/><Relationship Id="rId6393" Type="http://schemas.openxmlformats.org/officeDocument/2006/relationships/hyperlink" Target="http://www.goodleap.com/" TargetMode="External"/><Relationship Id="rId5063" Type="http://schemas.openxmlformats.org/officeDocument/2006/relationships/hyperlink" Target="http://www.eagleview.com/" TargetMode="External"/><Relationship Id="rId6394" Type="http://schemas.openxmlformats.org/officeDocument/2006/relationships/hyperlink" Target="http://www.havenly.com/" TargetMode="External"/><Relationship Id="rId5068" Type="http://schemas.openxmlformats.org/officeDocument/2006/relationships/hyperlink" Target="https://angel.co/company/editsoft" TargetMode="External"/><Relationship Id="rId6399" Type="http://schemas.openxmlformats.org/officeDocument/2006/relationships/hyperlink" Target="http://www.hummingbirdkinetics.com/" TargetMode="External"/><Relationship Id="rId5069" Type="http://schemas.openxmlformats.org/officeDocument/2006/relationships/hyperlink" Target="https://www.crunchbase.com/organization/editsoft-digital" TargetMode="External"/><Relationship Id="rId5066" Type="http://schemas.openxmlformats.org/officeDocument/2006/relationships/hyperlink" Target="https://www.crunchbase.com/organization/eddy-solutions" TargetMode="External"/><Relationship Id="rId6397" Type="http://schemas.openxmlformats.org/officeDocument/2006/relationships/hyperlink" Target="http://www.hoozip.com/" TargetMode="External"/><Relationship Id="rId5067" Type="http://schemas.openxmlformats.org/officeDocument/2006/relationships/hyperlink" Target="https://eddysolutions.com/" TargetMode="External"/><Relationship Id="rId6398" Type="http://schemas.openxmlformats.org/officeDocument/2006/relationships/hyperlink" Target="http://www.housecanary.com/" TargetMode="External"/><Relationship Id="rId1576" Type="http://schemas.openxmlformats.org/officeDocument/2006/relationships/hyperlink" Target="https://www.crunchbase.com/funding_round/giraffe360-pre-seed--59cfe445" TargetMode="External"/><Relationship Id="rId1577" Type="http://schemas.openxmlformats.org/officeDocument/2006/relationships/hyperlink" Target="https://www.crunchbase.com/funding_round/giraffe360-seed--2d8e59cd" TargetMode="External"/><Relationship Id="rId1578" Type="http://schemas.openxmlformats.org/officeDocument/2006/relationships/hyperlink" Target="https://therecursive.com/launchub-backed-giraffe360-raises-16m-to-simplify-property-showcase-with-robotics-and-ai/" TargetMode="External"/><Relationship Id="rId1579" Type="http://schemas.openxmlformats.org/officeDocument/2006/relationships/hyperlink" Target="https://therecursive.com/launchub-backed-giraffe360-raises-16m-to-simplify-property-showcase-with-robotics-and-ai/" TargetMode="External"/><Relationship Id="rId987" Type="http://schemas.openxmlformats.org/officeDocument/2006/relationships/hyperlink" Target="https://angel.co/company/convexhq" TargetMode="External"/><Relationship Id="rId986" Type="http://schemas.openxmlformats.org/officeDocument/2006/relationships/hyperlink" Target="https://everyrealm.com/" TargetMode="External"/><Relationship Id="rId985" Type="http://schemas.openxmlformats.org/officeDocument/2006/relationships/hyperlink" Target="https://www.crunchbase.com/organization/republic-realm" TargetMode="External"/><Relationship Id="rId984" Type="http://schemas.openxmlformats.org/officeDocument/2006/relationships/hyperlink" Target="https://www.crunchbase.com/funding_round/citiesense-seed--f739787c" TargetMode="External"/><Relationship Id="rId989" Type="http://schemas.openxmlformats.org/officeDocument/2006/relationships/hyperlink" Target="https://www.convex.com/" TargetMode="External"/><Relationship Id="rId988" Type="http://schemas.openxmlformats.org/officeDocument/2006/relationships/hyperlink" Target="https://www.crunchbase.com/organization/convex-c445" TargetMode="External"/><Relationship Id="rId1570" Type="http://schemas.openxmlformats.org/officeDocument/2006/relationships/hyperlink" Target="https://www.crunchbase.com/funding_round/casaone-seed--73d2cfb5" TargetMode="External"/><Relationship Id="rId1571" Type="http://schemas.openxmlformats.org/officeDocument/2006/relationships/hyperlink" Target="https://www.crunchbase.com/funding_round/casaone-series-a--8cbc115c" TargetMode="External"/><Relationship Id="rId983" Type="http://schemas.openxmlformats.org/officeDocument/2006/relationships/hyperlink" Target="https://www.ginkgo.city/" TargetMode="External"/><Relationship Id="rId1572" Type="http://schemas.openxmlformats.org/officeDocument/2006/relationships/hyperlink" Target="https://www.crunchbase.com/funding_round/casaone-series-b--89da2fef" TargetMode="External"/><Relationship Id="rId982" Type="http://schemas.openxmlformats.org/officeDocument/2006/relationships/hyperlink" Target="https://www.crunchbase.com/organization/citiesense" TargetMode="External"/><Relationship Id="rId1573" Type="http://schemas.openxmlformats.org/officeDocument/2006/relationships/hyperlink" Target="https://angel.co/company/giraffe360" TargetMode="External"/><Relationship Id="rId981" Type="http://schemas.openxmlformats.org/officeDocument/2006/relationships/hyperlink" Target="https://angel.co/company/citiesense" TargetMode="External"/><Relationship Id="rId1574" Type="http://schemas.openxmlformats.org/officeDocument/2006/relationships/hyperlink" Target="https://www.crunchbase.com/organization/giraffe360" TargetMode="External"/><Relationship Id="rId980" Type="http://schemas.openxmlformats.org/officeDocument/2006/relationships/hyperlink" Target="https://www.workiz.com/" TargetMode="External"/><Relationship Id="rId1575" Type="http://schemas.openxmlformats.org/officeDocument/2006/relationships/hyperlink" Target="https://www.giraffe360.com/" TargetMode="External"/><Relationship Id="rId1565" Type="http://schemas.openxmlformats.org/officeDocument/2006/relationships/hyperlink" Target="https://www.crunchbase.com/organization/falkbuilt" TargetMode="External"/><Relationship Id="rId2896" Type="http://schemas.openxmlformats.org/officeDocument/2006/relationships/hyperlink" Target="https://ajar.ae/" TargetMode="External"/><Relationship Id="rId1566" Type="http://schemas.openxmlformats.org/officeDocument/2006/relationships/hyperlink" Target="https://falkbuilt.com/" TargetMode="External"/><Relationship Id="rId2897" Type="http://schemas.openxmlformats.org/officeDocument/2006/relationships/hyperlink" Target="https://www.crunchbase.com/funding_round/ajar-online-seed--34242107" TargetMode="External"/><Relationship Id="rId1567" Type="http://schemas.openxmlformats.org/officeDocument/2006/relationships/hyperlink" Target="https://angel.co/company/casaone" TargetMode="External"/><Relationship Id="rId2898" Type="http://schemas.openxmlformats.org/officeDocument/2006/relationships/hyperlink" Target="https://angel.co/company/apsiyon-com" TargetMode="External"/><Relationship Id="rId1568" Type="http://schemas.openxmlformats.org/officeDocument/2006/relationships/hyperlink" Target="https://www.crunchbase.com/organization/casaone" TargetMode="External"/><Relationship Id="rId2899" Type="http://schemas.openxmlformats.org/officeDocument/2006/relationships/hyperlink" Target="https://www.crunchbase.com/organization/apsiyon" TargetMode="External"/><Relationship Id="rId1569" Type="http://schemas.openxmlformats.org/officeDocument/2006/relationships/hyperlink" Target="https://www.casaone.com/" TargetMode="External"/><Relationship Id="rId976" Type="http://schemas.openxmlformats.org/officeDocument/2006/relationships/hyperlink" Target="https://angel.co/company/sevenrooms" TargetMode="External"/><Relationship Id="rId975" Type="http://schemas.openxmlformats.org/officeDocument/2006/relationships/hyperlink" Target="http://enlightedinc.com/" TargetMode="External"/><Relationship Id="rId974" Type="http://schemas.openxmlformats.org/officeDocument/2006/relationships/hyperlink" Target="https://www.crunchbase.com/organization/enlighted" TargetMode="External"/><Relationship Id="rId973" Type="http://schemas.openxmlformats.org/officeDocument/2006/relationships/hyperlink" Target="https://angel.co/enlighted" TargetMode="External"/><Relationship Id="rId979" Type="http://schemas.openxmlformats.org/officeDocument/2006/relationships/hyperlink" Target="https://www.crunchbase.com/organization/workiz" TargetMode="External"/><Relationship Id="rId978" Type="http://schemas.openxmlformats.org/officeDocument/2006/relationships/hyperlink" Target="http://www.sevenrooms.com" TargetMode="External"/><Relationship Id="rId977" Type="http://schemas.openxmlformats.org/officeDocument/2006/relationships/hyperlink" Target="https://www.crunchbase.com/organization/seven-rooms" TargetMode="External"/><Relationship Id="rId2890" Type="http://schemas.openxmlformats.org/officeDocument/2006/relationships/hyperlink" Target="https://www.crunchbase.com/funding_round/snaptrude-seed--d69873eb" TargetMode="External"/><Relationship Id="rId1560" Type="http://schemas.openxmlformats.org/officeDocument/2006/relationships/hyperlink" Target="http://www.rentspree.com/" TargetMode="External"/><Relationship Id="rId2891" Type="http://schemas.openxmlformats.org/officeDocument/2006/relationships/hyperlink" Target="https://angel.co/pointivo" TargetMode="External"/><Relationship Id="rId972" Type="http://schemas.openxmlformats.org/officeDocument/2006/relationships/hyperlink" Target="https://www.crunchbase.com/funding_round/xeal-debt-financing--e291d348" TargetMode="External"/><Relationship Id="rId1561" Type="http://schemas.openxmlformats.org/officeDocument/2006/relationships/hyperlink" Target="https://www.crunchbase.com/funding_round/rentspree-com-pre-seed--0ab58741" TargetMode="External"/><Relationship Id="rId2892" Type="http://schemas.openxmlformats.org/officeDocument/2006/relationships/hyperlink" Target="https://www.crunchbase.com/organization/pointivo" TargetMode="External"/><Relationship Id="rId971" Type="http://schemas.openxmlformats.org/officeDocument/2006/relationships/hyperlink" Target="https://www.crunchbase.com/funding_round/xeal-series-b--571b43c0" TargetMode="External"/><Relationship Id="rId1562" Type="http://schemas.openxmlformats.org/officeDocument/2006/relationships/hyperlink" Target="https://www.crunchbase.com/funding_round/rentspree-com-seed--b3eff477" TargetMode="External"/><Relationship Id="rId2893" Type="http://schemas.openxmlformats.org/officeDocument/2006/relationships/hyperlink" Target="http://www.pointivo.com/" TargetMode="External"/><Relationship Id="rId970" Type="http://schemas.openxmlformats.org/officeDocument/2006/relationships/hyperlink" Target="https://xealenergy.com/" TargetMode="External"/><Relationship Id="rId1563" Type="http://schemas.openxmlformats.org/officeDocument/2006/relationships/hyperlink" Target="https://www.crunchbase.com/funding_round/rentspree-com-series-a--1ca95e7f" TargetMode="External"/><Relationship Id="rId2894" Type="http://schemas.openxmlformats.org/officeDocument/2006/relationships/hyperlink" Target="https://angel.co/company/ajar-online" TargetMode="External"/><Relationship Id="rId1564" Type="http://schemas.openxmlformats.org/officeDocument/2006/relationships/hyperlink" Target="https://www.crunchbase.com/funding_round/rentspree-com-series-b--a1a1cf38" TargetMode="External"/><Relationship Id="rId2895" Type="http://schemas.openxmlformats.org/officeDocument/2006/relationships/hyperlink" Target="https://www.crunchbase.com/organization/ajar-online" TargetMode="External"/><Relationship Id="rId1598" Type="http://schemas.openxmlformats.org/officeDocument/2006/relationships/hyperlink" Target="https://www.crunchbase.com/organization/dronomy" TargetMode="External"/><Relationship Id="rId1599" Type="http://schemas.openxmlformats.org/officeDocument/2006/relationships/hyperlink" Target="http://www.siteaware.com" TargetMode="External"/><Relationship Id="rId1590" Type="http://schemas.openxmlformats.org/officeDocument/2006/relationships/hyperlink" Target="https://www.higharc.com/" TargetMode="External"/><Relationship Id="rId1591" Type="http://schemas.openxmlformats.org/officeDocument/2006/relationships/hyperlink" Target="https://www.crunchbase.com/funding_round/higharc-series-unknown--5ad154d4" TargetMode="External"/><Relationship Id="rId1592" Type="http://schemas.openxmlformats.org/officeDocument/2006/relationships/hyperlink" Target="https://www.crunchbase.com/organization/unreserved" TargetMode="External"/><Relationship Id="rId1593" Type="http://schemas.openxmlformats.org/officeDocument/2006/relationships/hyperlink" Target="https://unreserved.com/" TargetMode="External"/><Relationship Id="rId1594" Type="http://schemas.openxmlformats.org/officeDocument/2006/relationships/hyperlink" Target="https://angel.co/company/hellooffice" TargetMode="External"/><Relationship Id="rId1595" Type="http://schemas.openxmlformats.org/officeDocument/2006/relationships/hyperlink" Target="http://crunchbase.com/organization/hellooffice" TargetMode="External"/><Relationship Id="rId1596" Type="http://schemas.openxmlformats.org/officeDocument/2006/relationships/hyperlink" Target="https://www.hellooffice.com/" TargetMode="External"/><Relationship Id="rId1597" Type="http://schemas.openxmlformats.org/officeDocument/2006/relationships/hyperlink" Target="https://angel.co/company/siteaware" TargetMode="External"/><Relationship Id="rId1587" Type="http://schemas.openxmlformats.org/officeDocument/2006/relationships/hyperlink" Target="https://www.crunchbase.com/funding_round/swiftconnect-series-a--ffd743ae" TargetMode="External"/><Relationship Id="rId1588" Type="http://schemas.openxmlformats.org/officeDocument/2006/relationships/hyperlink" Target="https://angel.co/company/higharc" TargetMode="External"/><Relationship Id="rId1589" Type="http://schemas.openxmlformats.org/officeDocument/2006/relationships/hyperlink" Target="https://www.crunchbase.com/organization/higharc" TargetMode="External"/><Relationship Id="rId998" Type="http://schemas.openxmlformats.org/officeDocument/2006/relationships/hyperlink" Target="https://www.crunchbase.com/organization/mosaic-building" TargetMode="External"/><Relationship Id="rId997" Type="http://schemas.openxmlformats.org/officeDocument/2006/relationships/hyperlink" Target="https://earnup.com/" TargetMode="External"/><Relationship Id="rId996" Type="http://schemas.openxmlformats.org/officeDocument/2006/relationships/hyperlink" Target="https://www.crunchbase.com/organization/earnup" TargetMode="External"/><Relationship Id="rId995" Type="http://schemas.openxmlformats.org/officeDocument/2006/relationships/hyperlink" Target="https://angel.co/company/earnup" TargetMode="External"/><Relationship Id="rId999" Type="http://schemas.openxmlformats.org/officeDocument/2006/relationships/hyperlink" Target="https://mosaic.us/" TargetMode="External"/><Relationship Id="rId990" Type="http://schemas.openxmlformats.org/officeDocument/2006/relationships/hyperlink" Target="https://www.crunchbase.com/organization/hover-3d" TargetMode="External"/><Relationship Id="rId1580" Type="http://schemas.openxmlformats.org/officeDocument/2006/relationships/hyperlink" Target="https://www.crunchbase.com/organization/kodit-io" TargetMode="External"/><Relationship Id="rId1581" Type="http://schemas.openxmlformats.org/officeDocument/2006/relationships/hyperlink" Target="https://rivehomes.com/" TargetMode="External"/><Relationship Id="rId1582" Type="http://schemas.openxmlformats.org/officeDocument/2006/relationships/hyperlink" Target="https://www.crunchbase.com/funding_round/kodit-io-series-a--5d599ed0" TargetMode="External"/><Relationship Id="rId994" Type="http://schemas.openxmlformats.org/officeDocument/2006/relationships/hyperlink" Target="https://www.crunchbase.com/funding_round/getrobin-series-c--ba2aa4e5" TargetMode="External"/><Relationship Id="rId1583" Type="http://schemas.openxmlformats.org/officeDocument/2006/relationships/hyperlink" Target="https://www.crunchbase.com/organization/solidia-technologies" TargetMode="External"/><Relationship Id="rId993" Type="http://schemas.openxmlformats.org/officeDocument/2006/relationships/hyperlink" Target="https://robinpowered.com/" TargetMode="External"/><Relationship Id="rId1584" Type="http://schemas.openxmlformats.org/officeDocument/2006/relationships/hyperlink" Target="https://www.solidiatech.com/" TargetMode="External"/><Relationship Id="rId992" Type="http://schemas.openxmlformats.org/officeDocument/2006/relationships/hyperlink" Target="https://www.crunchbase.com/organization/getrobin" TargetMode="External"/><Relationship Id="rId1585" Type="http://schemas.openxmlformats.org/officeDocument/2006/relationships/hyperlink" Target="https://www.crunchbase.com/organization/swiftconnect" TargetMode="External"/><Relationship Id="rId991" Type="http://schemas.openxmlformats.org/officeDocument/2006/relationships/hyperlink" Target="https://angel.co/company/robin" TargetMode="External"/><Relationship Id="rId1586" Type="http://schemas.openxmlformats.org/officeDocument/2006/relationships/hyperlink" Target="https://swiftconnect.io/" TargetMode="External"/><Relationship Id="rId1532" Type="http://schemas.openxmlformats.org/officeDocument/2006/relationships/hyperlink" Target="https://www.hellotherma.com/" TargetMode="External"/><Relationship Id="rId2863" Type="http://schemas.openxmlformats.org/officeDocument/2006/relationships/hyperlink" Target="https://www.crunchbase.com/organization/realto-0bbe" TargetMode="External"/><Relationship Id="rId1533" Type="http://schemas.openxmlformats.org/officeDocument/2006/relationships/hyperlink" Target="https://www.crunchbase.com/funding_round/hellotherma-pre-seed--4cbabaef" TargetMode="External"/><Relationship Id="rId2864" Type="http://schemas.openxmlformats.org/officeDocument/2006/relationships/hyperlink" Target="https://realto.ai/" TargetMode="External"/><Relationship Id="rId1534" Type="http://schemas.openxmlformats.org/officeDocument/2006/relationships/hyperlink" Target="https://www.crunchbase.com/funding_round/hellotherma-seed--884cc629" TargetMode="External"/><Relationship Id="rId2865" Type="http://schemas.openxmlformats.org/officeDocument/2006/relationships/hyperlink" Target="https://wellfound.com/company/structshare" TargetMode="External"/><Relationship Id="rId1535" Type="http://schemas.openxmlformats.org/officeDocument/2006/relationships/hyperlink" Target="https://www.crunchbase.com/funding_round/hellotherma-series-unknown--463e07e4" TargetMode="External"/><Relationship Id="rId2866" Type="http://schemas.openxmlformats.org/officeDocument/2006/relationships/hyperlink" Target="https://www.crunchbase.com/organization/structshare" TargetMode="External"/><Relationship Id="rId1536" Type="http://schemas.openxmlformats.org/officeDocument/2006/relationships/hyperlink" Target="https://www.crunchbase.com/funding_round/hellotherma-series-a--93a48ed6" TargetMode="External"/><Relationship Id="rId2867" Type="http://schemas.openxmlformats.org/officeDocument/2006/relationships/hyperlink" Target="http://structshare.com/" TargetMode="External"/><Relationship Id="rId1537" Type="http://schemas.openxmlformats.org/officeDocument/2006/relationships/hyperlink" Target="https://angel.co/company/osaro" TargetMode="External"/><Relationship Id="rId2868" Type="http://schemas.openxmlformats.org/officeDocument/2006/relationships/hyperlink" Target="https://www.crunchbase.com/funding_round/structshare-seed--dae254fd" TargetMode="External"/><Relationship Id="rId1538" Type="http://schemas.openxmlformats.org/officeDocument/2006/relationships/hyperlink" Target="https://www.crunchbase.com/organization/osaro" TargetMode="External"/><Relationship Id="rId2869" Type="http://schemas.openxmlformats.org/officeDocument/2006/relationships/hyperlink" Target="https://angel.co/company/flexstay-rentals" TargetMode="External"/><Relationship Id="rId1539" Type="http://schemas.openxmlformats.org/officeDocument/2006/relationships/hyperlink" Target="https://www.osaro.com/" TargetMode="External"/><Relationship Id="rId949" Type="http://schemas.openxmlformats.org/officeDocument/2006/relationships/hyperlink" Target="http://www.openpath.com/" TargetMode="External"/><Relationship Id="rId948" Type="http://schemas.openxmlformats.org/officeDocument/2006/relationships/hyperlink" Target="https://www.crunchbase.com/organization/openpath-security-inc" TargetMode="External"/><Relationship Id="rId943" Type="http://schemas.openxmlformats.org/officeDocument/2006/relationships/hyperlink" Target="https://www.crunchbase.com/organization/safeai" TargetMode="External"/><Relationship Id="rId942" Type="http://schemas.openxmlformats.org/officeDocument/2006/relationships/hyperlink" Target="https://angel.co/company/safeai" TargetMode="External"/><Relationship Id="rId941" Type="http://schemas.openxmlformats.org/officeDocument/2006/relationships/hyperlink" Target="https://www.leapinc.com/" TargetMode="External"/><Relationship Id="rId940" Type="http://schemas.openxmlformats.org/officeDocument/2006/relationships/hyperlink" Target="https://www.crunchbase.com/organization/leap-services" TargetMode="External"/><Relationship Id="rId947" Type="http://schemas.openxmlformats.org/officeDocument/2006/relationships/hyperlink" Target="https://angel.co/company/openpath-security" TargetMode="External"/><Relationship Id="rId946" Type="http://schemas.openxmlformats.org/officeDocument/2006/relationships/hyperlink" Target="https://www.crunchbase.com/funding_round/leaselock-series-b--cb4fb19b" TargetMode="External"/><Relationship Id="rId945" Type="http://schemas.openxmlformats.org/officeDocument/2006/relationships/hyperlink" Target="https://www.crunchbase.com/funding_round/safeai-series-b--bd7705da" TargetMode="External"/><Relationship Id="rId944" Type="http://schemas.openxmlformats.org/officeDocument/2006/relationships/hyperlink" Target="https://safeai.ai/" TargetMode="External"/><Relationship Id="rId2860" Type="http://schemas.openxmlformats.org/officeDocument/2006/relationships/hyperlink" Target="https://www.crunchbase.com/organization/proda" TargetMode="External"/><Relationship Id="rId1530" Type="http://schemas.openxmlformats.org/officeDocument/2006/relationships/hyperlink" Target="https://www.crunchbase.com/funding_round/heat-watch-debt-financing--74697b22" TargetMode="External"/><Relationship Id="rId2861" Type="http://schemas.openxmlformats.org/officeDocument/2006/relationships/hyperlink" Target="https://proda.ai/" TargetMode="External"/><Relationship Id="rId1531" Type="http://schemas.openxmlformats.org/officeDocument/2006/relationships/hyperlink" Target="https://www.crunchbase.com/organization/hellotherma" TargetMode="External"/><Relationship Id="rId2862" Type="http://schemas.openxmlformats.org/officeDocument/2006/relationships/hyperlink" Target="https://www.crunchbase.com/funding_round/proda-series-a--c9a9d5d7" TargetMode="External"/><Relationship Id="rId1521" Type="http://schemas.openxmlformats.org/officeDocument/2006/relationships/hyperlink" Target="https://angel.co/company/padsplit-2" TargetMode="External"/><Relationship Id="rId2852" Type="http://schemas.openxmlformats.org/officeDocument/2006/relationships/hyperlink" Target="https://www.crunchbase.com/funding_round/agorus-pre-seed--4a6fbfb8" TargetMode="External"/><Relationship Id="rId1522" Type="http://schemas.openxmlformats.org/officeDocument/2006/relationships/hyperlink" Target="https://www.crunchbase.com/organization/padsplit" TargetMode="External"/><Relationship Id="rId2853" Type="http://schemas.openxmlformats.org/officeDocument/2006/relationships/hyperlink" Target="https://www.crunchbase.com/funding_round/agorus-seed--d6805999" TargetMode="External"/><Relationship Id="rId1523" Type="http://schemas.openxmlformats.org/officeDocument/2006/relationships/hyperlink" Target="https://www.padsplit.com/" TargetMode="External"/><Relationship Id="rId2854" Type="http://schemas.openxmlformats.org/officeDocument/2006/relationships/hyperlink" Target="https://angel.co/company/backflip-2" TargetMode="External"/><Relationship Id="rId1524" Type="http://schemas.openxmlformats.org/officeDocument/2006/relationships/hyperlink" Target="https://www.crunchbase.com/funding_round/padsplit-seed--5181eec3" TargetMode="External"/><Relationship Id="rId2855" Type="http://schemas.openxmlformats.org/officeDocument/2006/relationships/hyperlink" Target="https://www.crunchbase.com/organization/backflip-2fd7" TargetMode="External"/><Relationship Id="rId1525" Type="http://schemas.openxmlformats.org/officeDocument/2006/relationships/hyperlink" Target="https://www.crunchbase.com/funding_round/padsplit-series-a--03cc76bd" TargetMode="External"/><Relationship Id="rId2856" Type="http://schemas.openxmlformats.org/officeDocument/2006/relationships/hyperlink" Target="https://dobackflip.com/" TargetMode="External"/><Relationship Id="rId1526" Type="http://schemas.openxmlformats.org/officeDocument/2006/relationships/hyperlink" Target="https://www.crunchbase.com/organization/heat-watch" TargetMode="External"/><Relationship Id="rId2857" Type="http://schemas.openxmlformats.org/officeDocument/2006/relationships/hyperlink" Target="https://www.crunchbase.com/organization/prometheus-materials" TargetMode="External"/><Relationship Id="rId1527" Type="http://schemas.openxmlformats.org/officeDocument/2006/relationships/hyperlink" Target="https://www.runwise.com/" TargetMode="External"/><Relationship Id="rId2858" Type="http://schemas.openxmlformats.org/officeDocument/2006/relationships/hyperlink" Target="https://prometheusmaterials.com/" TargetMode="External"/><Relationship Id="rId1528" Type="http://schemas.openxmlformats.org/officeDocument/2006/relationships/hyperlink" Target="https://www.crunchbase.com/funding_round/heat-watch-series-a--c80e0114" TargetMode="External"/><Relationship Id="rId2859" Type="http://schemas.openxmlformats.org/officeDocument/2006/relationships/hyperlink" Target="https://angel.co/company/proda" TargetMode="External"/><Relationship Id="rId1529" Type="http://schemas.openxmlformats.org/officeDocument/2006/relationships/hyperlink" Target="https://www.crunchbase.com/funding_round/heat-watch-series-unknown--85f2de7f" TargetMode="External"/><Relationship Id="rId939" Type="http://schemas.openxmlformats.org/officeDocument/2006/relationships/hyperlink" Target="https://angel.co/company/leap-services" TargetMode="External"/><Relationship Id="rId938" Type="http://schemas.openxmlformats.org/officeDocument/2006/relationships/hyperlink" Target="https://www.crunchbase.com/funding_round/dandelion-energy-series-b--90f451f2" TargetMode="External"/><Relationship Id="rId937" Type="http://schemas.openxmlformats.org/officeDocument/2006/relationships/hyperlink" Target="https://www.crunchbase.com/funding_round/dandelion-energy-series-a--c243dfbd" TargetMode="External"/><Relationship Id="rId932" Type="http://schemas.openxmlformats.org/officeDocument/2006/relationships/hyperlink" Target="http://www.buildium.com/" TargetMode="External"/><Relationship Id="rId931" Type="http://schemas.openxmlformats.org/officeDocument/2006/relationships/hyperlink" Target="https://www.crunchbase.com/organization/buildium" TargetMode="External"/><Relationship Id="rId930" Type="http://schemas.openxmlformats.org/officeDocument/2006/relationships/hyperlink" Target="https://angel.co/buildium" TargetMode="External"/><Relationship Id="rId936" Type="http://schemas.openxmlformats.org/officeDocument/2006/relationships/hyperlink" Target="https://www.crunchbase.com/funding_round/dandelion-energy-seed--4dcf0958" TargetMode="External"/><Relationship Id="rId935" Type="http://schemas.openxmlformats.org/officeDocument/2006/relationships/hyperlink" Target="http://dandelionenergy.com" TargetMode="External"/><Relationship Id="rId934" Type="http://schemas.openxmlformats.org/officeDocument/2006/relationships/hyperlink" Target="https://www.crunchbase.com/organization/dandelion-energy" TargetMode="External"/><Relationship Id="rId933" Type="http://schemas.openxmlformats.org/officeDocument/2006/relationships/hyperlink" Target="https://angel.co/company/dandelion-home-geothermal" TargetMode="External"/><Relationship Id="rId2850" Type="http://schemas.openxmlformats.org/officeDocument/2006/relationships/hyperlink" Target="https://www.crunchbase.com/organization/agorus" TargetMode="External"/><Relationship Id="rId1520" Type="http://schemas.openxmlformats.org/officeDocument/2006/relationships/hyperlink" Target="https://www.crunchbase.com/funding_round/cohesionib-series-unknown--5d433524" TargetMode="External"/><Relationship Id="rId2851" Type="http://schemas.openxmlformats.org/officeDocument/2006/relationships/hyperlink" Target="https://agorus.com/" TargetMode="External"/><Relationship Id="rId1554" Type="http://schemas.openxmlformats.org/officeDocument/2006/relationships/hyperlink" Target="https://www.neatcapital.com/" TargetMode="External"/><Relationship Id="rId2885" Type="http://schemas.openxmlformats.org/officeDocument/2006/relationships/hyperlink" Target="https://www.silkhaus.co/" TargetMode="External"/><Relationship Id="rId1555" Type="http://schemas.openxmlformats.org/officeDocument/2006/relationships/hyperlink" Target="https://www.crunchbase.com/funding_round/neat-capital-inc-seed--49000ce4" TargetMode="External"/><Relationship Id="rId2886" Type="http://schemas.openxmlformats.org/officeDocument/2006/relationships/hyperlink" Target="https://www.crunchbase.com/funding_round/silkhaus-seed--6237b5bc" TargetMode="External"/><Relationship Id="rId1556" Type="http://schemas.openxmlformats.org/officeDocument/2006/relationships/hyperlink" Target="https://www.crunchbase.com/funding_round/neat-capital-inc-series-a--5ea2d266" TargetMode="External"/><Relationship Id="rId2887" Type="http://schemas.openxmlformats.org/officeDocument/2006/relationships/hyperlink" Target="https://www.crunchbase.com/organization/snaptrude" TargetMode="External"/><Relationship Id="rId1557" Type="http://schemas.openxmlformats.org/officeDocument/2006/relationships/hyperlink" Target="https://www.crunchbase.com/funding_round/neat-capital-inc-series-b--4ce6a1f8" TargetMode="External"/><Relationship Id="rId2888" Type="http://schemas.openxmlformats.org/officeDocument/2006/relationships/hyperlink" Target="http://www.snaptrude.com/" TargetMode="External"/><Relationship Id="rId1558" Type="http://schemas.openxmlformats.org/officeDocument/2006/relationships/hyperlink" Target="https://angel.co/company/rentspree" TargetMode="External"/><Relationship Id="rId2889" Type="http://schemas.openxmlformats.org/officeDocument/2006/relationships/hyperlink" Target="https://www.crunchbase.com/funding_round/snaptrude-pre-seed--00015b5a" TargetMode="External"/><Relationship Id="rId1559" Type="http://schemas.openxmlformats.org/officeDocument/2006/relationships/hyperlink" Target="https://www.crunchbase.com/organization/rentspree-com" TargetMode="External"/><Relationship Id="rId965" Type="http://schemas.openxmlformats.org/officeDocument/2006/relationships/hyperlink" Target="https://www.crunchbase.com/organization/nabr-1bfe" TargetMode="External"/><Relationship Id="rId964" Type="http://schemas.openxmlformats.org/officeDocument/2006/relationships/hyperlink" Target="https://angel.co/company/nabr-inc" TargetMode="External"/><Relationship Id="rId963" Type="http://schemas.openxmlformats.org/officeDocument/2006/relationships/hyperlink" Target="https://www.crunchbase.com/funding_round/spot-d1d1-series-b--ede19fad" TargetMode="External"/><Relationship Id="rId962" Type="http://schemas.openxmlformats.org/officeDocument/2006/relationships/hyperlink" Target="https://www.crunchbase.com/funding_round/spot-d1d1-series-a--f5754a4d" TargetMode="External"/><Relationship Id="rId969" Type="http://schemas.openxmlformats.org/officeDocument/2006/relationships/hyperlink" Target="https://www.crunchbase.com/organization/xeal" TargetMode="External"/><Relationship Id="rId968" Type="http://schemas.openxmlformats.org/officeDocument/2006/relationships/hyperlink" Target="https://www.crunchbase.com/funding_round/nabr-1bfe-series-a--e6334cd3" TargetMode="External"/><Relationship Id="rId967" Type="http://schemas.openxmlformats.org/officeDocument/2006/relationships/hyperlink" Target="https://www.crunchbase.com/funding_round/nabr-1bfe-seed--59719b7c" TargetMode="External"/><Relationship Id="rId966" Type="http://schemas.openxmlformats.org/officeDocument/2006/relationships/hyperlink" Target="https://nabr.com/" TargetMode="External"/><Relationship Id="rId2880" Type="http://schemas.openxmlformats.org/officeDocument/2006/relationships/hyperlink" Target="https://www.anyplace.com/" TargetMode="External"/><Relationship Id="rId961" Type="http://schemas.openxmlformats.org/officeDocument/2006/relationships/hyperlink" Target="https://www.crunchbase.com/funding_round/spot-d1d1-seed--7b921a89" TargetMode="External"/><Relationship Id="rId1550" Type="http://schemas.openxmlformats.org/officeDocument/2006/relationships/hyperlink" Target="https://www.crunchbase.com/organization/propeller-aerobotics" TargetMode="External"/><Relationship Id="rId2881" Type="http://schemas.openxmlformats.org/officeDocument/2006/relationships/hyperlink" Target="https://www.crunchbase.com/organization/kindred-cf36" TargetMode="External"/><Relationship Id="rId960" Type="http://schemas.openxmlformats.org/officeDocument/2006/relationships/hyperlink" Target="https://www.crunchbase.com/funding_round/spot-d1d1-pre-seed--818ce34f" TargetMode="External"/><Relationship Id="rId1551" Type="http://schemas.openxmlformats.org/officeDocument/2006/relationships/hyperlink" Target="https://www.propelleraero.com/" TargetMode="External"/><Relationship Id="rId2882" Type="http://schemas.openxmlformats.org/officeDocument/2006/relationships/hyperlink" Target="https://livekindred.com/" TargetMode="External"/><Relationship Id="rId1552" Type="http://schemas.openxmlformats.org/officeDocument/2006/relationships/hyperlink" Target="https://angel.co/company/neatcapital" TargetMode="External"/><Relationship Id="rId2883" Type="http://schemas.openxmlformats.org/officeDocument/2006/relationships/hyperlink" Target="https://www.crunchbase.com/funding_round/kindred-cf36-series-a--292d6b5f" TargetMode="External"/><Relationship Id="rId1553" Type="http://schemas.openxmlformats.org/officeDocument/2006/relationships/hyperlink" Target="https://www.crunchbase.com/organization/neat-capital-inc" TargetMode="External"/><Relationship Id="rId2884" Type="http://schemas.openxmlformats.org/officeDocument/2006/relationships/hyperlink" Target="https://www.crunchbase.com/organization/silkhaus" TargetMode="External"/><Relationship Id="rId1543" Type="http://schemas.openxmlformats.org/officeDocument/2006/relationships/hyperlink" Target="https://www.crunchbase.com/funding_round/sextant-management-series-a--419c3cf7" TargetMode="External"/><Relationship Id="rId2874" Type="http://schemas.openxmlformats.org/officeDocument/2006/relationships/hyperlink" Target="https://www.crunchbase.com/funding_round/propertyscout-series-a--0a2a714c" TargetMode="External"/><Relationship Id="rId1544" Type="http://schemas.openxmlformats.org/officeDocument/2006/relationships/hyperlink" Target="https://www.crunchbase.com/funding_round/sextant-management-debt-financing--5649041c" TargetMode="External"/><Relationship Id="rId2875" Type="http://schemas.openxmlformats.org/officeDocument/2006/relationships/hyperlink" Target="https://angel.co/company/quartzcompany" TargetMode="External"/><Relationship Id="rId1545" Type="http://schemas.openxmlformats.org/officeDocument/2006/relationships/hyperlink" Target="https://www.crunchbase.com/organization/upequity" TargetMode="External"/><Relationship Id="rId2876" Type="http://schemas.openxmlformats.org/officeDocument/2006/relationships/hyperlink" Target="https://www.crunchbase.com/organization/quartz-systems-inc" TargetMode="External"/><Relationship Id="rId1546" Type="http://schemas.openxmlformats.org/officeDocument/2006/relationships/hyperlink" Target="https://www.upequity.com/" TargetMode="External"/><Relationship Id="rId2877" Type="http://schemas.openxmlformats.org/officeDocument/2006/relationships/hyperlink" Target="https://www.quartz.co/" TargetMode="External"/><Relationship Id="rId1547" Type="http://schemas.openxmlformats.org/officeDocument/2006/relationships/hyperlink" Target="https://www.crunchbase.com/organization/exodigo" TargetMode="External"/><Relationship Id="rId2878" Type="http://schemas.openxmlformats.org/officeDocument/2006/relationships/hyperlink" Target="https://www.crunchbase.com/funding_round/quartz-systems-inc-seed--7d5c909c" TargetMode="External"/><Relationship Id="rId1548" Type="http://schemas.openxmlformats.org/officeDocument/2006/relationships/hyperlink" Target="https://www.exodigo.com/" TargetMode="External"/><Relationship Id="rId2879" Type="http://schemas.openxmlformats.org/officeDocument/2006/relationships/hyperlink" Target="https://www.crunchbase.com/organization/anyplace" TargetMode="External"/><Relationship Id="rId1549" Type="http://schemas.openxmlformats.org/officeDocument/2006/relationships/hyperlink" Target="https://angel.co/company/propelleraero" TargetMode="External"/><Relationship Id="rId959" Type="http://schemas.openxmlformats.org/officeDocument/2006/relationships/hyperlink" Target="https://www.spot.ai/" TargetMode="External"/><Relationship Id="rId954" Type="http://schemas.openxmlformats.org/officeDocument/2006/relationships/hyperlink" Target="https://www.crunchbase.com/funding_round/shipbob-series-a--e8685fcd" TargetMode="External"/><Relationship Id="rId953" Type="http://schemas.openxmlformats.org/officeDocument/2006/relationships/hyperlink" Target="https://www.crunchbase.com/funding_round/shipbob-seed--e2312d86" TargetMode="External"/><Relationship Id="rId952" Type="http://schemas.openxmlformats.org/officeDocument/2006/relationships/hyperlink" Target="https://www.shipbob.com" TargetMode="External"/><Relationship Id="rId951" Type="http://schemas.openxmlformats.org/officeDocument/2006/relationships/hyperlink" Target="https://www.crunchbase.com/organization/shipbob" TargetMode="External"/><Relationship Id="rId958" Type="http://schemas.openxmlformats.org/officeDocument/2006/relationships/hyperlink" Target="https://www.crunchbase.com/organization/spot-d1d1" TargetMode="External"/><Relationship Id="rId957" Type="http://schemas.openxmlformats.org/officeDocument/2006/relationships/hyperlink" Target="https://angel.co/company/spot_ai" TargetMode="External"/><Relationship Id="rId956" Type="http://schemas.openxmlformats.org/officeDocument/2006/relationships/hyperlink" Target="https://www.crunchbase.com/funding_round/shipbob-series-c--f63db901" TargetMode="External"/><Relationship Id="rId955" Type="http://schemas.openxmlformats.org/officeDocument/2006/relationships/hyperlink" Target="https://www.crunchbase.com/funding_round/shipbob-series-b--b18e5df0" TargetMode="External"/><Relationship Id="rId950" Type="http://schemas.openxmlformats.org/officeDocument/2006/relationships/hyperlink" Target="https://angel.co/company/shipbob" TargetMode="External"/><Relationship Id="rId2870" Type="http://schemas.openxmlformats.org/officeDocument/2006/relationships/hyperlink" Target="https://www.crunchbase.com/organization/propertyscout" TargetMode="External"/><Relationship Id="rId1540" Type="http://schemas.openxmlformats.org/officeDocument/2006/relationships/hyperlink" Target="https://www.crunchbase.com/organization/sextant-management" TargetMode="External"/><Relationship Id="rId2871" Type="http://schemas.openxmlformats.org/officeDocument/2006/relationships/hyperlink" Target="https://propertyscout.co.th/" TargetMode="External"/><Relationship Id="rId1541" Type="http://schemas.openxmlformats.org/officeDocument/2006/relationships/hyperlink" Target="https://www.roami.com/" TargetMode="External"/><Relationship Id="rId2872" Type="http://schemas.openxmlformats.org/officeDocument/2006/relationships/hyperlink" Target="https://www.crunchbase.com/funding_round/propertyscout-pre-seed--f12fe6f7" TargetMode="External"/><Relationship Id="rId1542" Type="http://schemas.openxmlformats.org/officeDocument/2006/relationships/hyperlink" Target="https://www.crunchbase.com/funding_round/sextant-management-seed--d9d5fb28" TargetMode="External"/><Relationship Id="rId2873" Type="http://schemas.openxmlformats.org/officeDocument/2006/relationships/hyperlink" Target="https://www.crunchbase.com/funding_round/propertyscout-seed--6019a059" TargetMode="External"/><Relationship Id="rId6407" Type="http://schemas.openxmlformats.org/officeDocument/2006/relationships/hyperlink" Target="http://www.getleast.com/" TargetMode="External"/><Relationship Id="rId6408" Type="http://schemas.openxmlformats.org/officeDocument/2006/relationships/hyperlink" Target="http://lighthouse.io" TargetMode="External"/><Relationship Id="rId6405" Type="http://schemas.openxmlformats.org/officeDocument/2006/relationships/hyperlink" Target="http://www.kettleos.com/" TargetMode="External"/><Relationship Id="rId6406" Type="http://schemas.openxmlformats.org/officeDocument/2006/relationships/hyperlink" Target="http://www.konstru.com/" TargetMode="External"/><Relationship Id="rId6409" Type="http://schemas.openxmlformats.org/officeDocument/2006/relationships/hyperlink" Target="http://www.lighthouse.io" TargetMode="External"/><Relationship Id="rId6400" Type="http://schemas.openxmlformats.org/officeDocument/2006/relationships/hyperlink" Target="http://www.hypar.io/" TargetMode="External"/><Relationship Id="rId6403" Type="http://schemas.openxmlformats.org/officeDocument/2006/relationships/hyperlink" Target="http://www.jet.build/" TargetMode="External"/><Relationship Id="rId6404" Type="http://schemas.openxmlformats.org/officeDocument/2006/relationships/hyperlink" Target="http://www.kadence.co/" TargetMode="External"/><Relationship Id="rId6401" Type="http://schemas.openxmlformats.org/officeDocument/2006/relationships/hyperlink" Target="http://www.igloocompany.co/" TargetMode="External"/><Relationship Id="rId6402" Type="http://schemas.openxmlformats.org/officeDocument/2006/relationships/hyperlink" Target="http://www.infogrid.io/" TargetMode="External"/><Relationship Id="rId5130" Type="http://schemas.openxmlformats.org/officeDocument/2006/relationships/hyperlink" Target="https://angel.co/company/ethane-web-technologies-pvt-ltd" TargetMode="External"/><Relationship Id="rId6461" Type="http://schemas.openxmlformats.org/officeDocument/2006/relationships/hyperlink" Target="http://www.askdoss.com/" TargetMode="External"/><Relationship Id="rId5131" Type="http://schemas.openxmlformats.org/officeDocument/2006/relationships/hyperlink" Target="https://www.crunchbase.com/organization/ethane-web-technologies" TargetMode="External"/><Relationship Id="rId6462" Type="http://schemas.openxmlformats.org/officeDocument/2006/relationships/hyperlink" Target="https://www.crunchbase.com/funding_round/doss-pre-seed--fa4e2950" TargetMode="External"/><Relationship Id="rId6460" Type="http://schemas.openxmlformats.org/officeDocument/2006/relationships/hyperlink" Target="https://www.crunchbase.com/organization/doss" TargetMode="External"/><Relationship Id="rId5134" Type="http://schemas.openxmlformats.org/officeDocument/2006/relationships/hyperlink" Target="https://www.crunchbase.com/organization/etracker" TargetMode="External"/><Relationship Id="rId6465" Type="http://schemas.openxmlformats.org/officeDocument/2006/relationships/hyperlink" Target="https://angel.co/company/houzy" TargetMode="External"/><Relationship Id="rId5135" Type="http://schemas.openxmlformats.org/officeDocument/2006/relationships/hyperlink" Target="http://www.etracker.com/" TargetMode="External"/><Relationship Id="rId6466" Type="http://schemas.openxmlformats.org/officeDocument/2006/relationships/hyperlink" Target="https://www.crunchbase.com/organization/houzy" TargetMode="External"/><Relationship Id="rId5132" Type="http://schemas.openxmlformats.org/officeDocument/2006/relationships/hyperlink" Target="https://www.ethanetechnologies.com/" TargetMode="External"/><Relationship Id="rId6463" Type="http://schemas.openxmlformats.org/officeDocument/2006/relationships/hyperlink" Target="https://www.crunchbase.com/funding_round/doss-seed--a9759437" TargetMode="External"/><Relationship Id="rId5133" Type="http://schemas.openxmlformats.org/officeDocument/2006/relationships/hyperlink" Target="https://angel.co/company/etracker-2" TargetMode="External"/><Relationship Id="rId6464" Type="http://schemas.openxmlformats.org/officeDocument/2006/relationships/hyperlink" Target="https://www.crunchbase.com/funding_round/doss-non-equity-assistance--5b8f4bd2" TargetMode="External"/><Relationship Id="rId5138" Type="http://schemas.openxmlformats.org/officeDocument/2006/relationships/hyperlink" Target="http://www.evaravr.com/" TargetMode="External"/><Relationship Id="rId6469" Type="http://schemas.openxmlformats.org/officeDocument/2006/relationships/hyperlink" Target="https://www.crunchbase.com/organization/casaperks" TargetMode="External"/><Relationship Id="rId5139" Type="http://schemas.openxmlformats.org/officeDocument/2006/relationships/hyperlink" Target="https://everiser.com/" TargetMode="External"/><Relationship Id="rId5136" Type="http://schemas.openxmlformats.org/officeDocument/2006/relationships/hyperlink" Target="https://angel.co/evaravr" TargetMode="External"/><Relationship Id="rId6467" Type="http://schemas.openxmlformats.org/officeDocument/2006/relationships/hyperlink" Target="http://houzy.ch/" TargetMode="External"/><Relationship Id="rId5137" Type="http://schemas.openxmlformats.org/officeDocument/2006/relationships/hyperlink" Target="https://www.crunchbase.com/organization/tepia-vr" TargetMode="External"/><Relationship Id="rId6468" Type="http://schemas.openxmlformats.org/officeDocument/2006/relationships/hyperlink" Target="https://www.crunchbase.com/funding_round/houzy-series-unknown--0c088d26" TargetMode="External"/><Relationship Id="rId5129" Type="http://schemas.openxmlformats.org/officeDocument/2006/relationships/hyperlink" Target="https://essensys.tech/" TargetMode="External"/><Relationship Id="rId6450" Type="http://schemas.openxmlformats.org/officeDocument/2006/relationships/hyperlink" Target="http://www.wattbuy.com" TargetMode="External"/><Relationship Id="rId5120" Type="http://schemas.openxmlformats.org/officeDocument/2006/relationships/hyperlink" Target="https://www.equitymultiple.com/" TargetMode="External"/><Relationship Id="rId6451" Type="http://schemas.openxmlformats.org/officeDocument/2006/relationships/hyperlink" Target="http://www.workboxcompany.com" TargetMode="External"/><Relationship Id="rId5123" Type="http://schemas.openxmlformats.org/officeDocument/2006/relationships/hyperlink" Target="https://www.escreenlogic.com/" TargetMode="External"/><Relationship Id="rId6454" Type="http://schemas.openxmlformats.org/officeDocument/2006/relationships/hyperlink" Target="http://www.zentility.com" TargetMode="External"/><Relationship Id="rId5124" Type="http://schemas.openxmlformats.org/officeDocument/2006/relationships/hyperlink" Target="https://www.crunchbase.com/organization/esd" TargetMode="External"/><Relationship Id="rId6455" Type="http://schemas.openxmlformats.org/officeDocument/2006/relationships/hyperlink" Target="https://www.crunchbase.com/organization/synavision" TargetMode="External"/><Relationship Id="rId5121" Type="http://schemas.openxmlformats.org/officeDocument/2006/relationships/hyperlink" Target="https://angel.co/company/escreenlogic" TargetMode="External"/><Relationship Id="rId6452" Type="http://schemas.openxmlformats.org/officeDocument/2006/relationships/hyperlink" Target="http://www.workof.com" TargetMode="External"/><Relationship Id="rId5122" Type="http://schemas.openxmlformats.org/officeDocument/2006/relationships/hyperlink" Target="https://www.crunchbase.com/organization/escreenlogic" TargetMode="External"/><Relationship Id="rId6453" Type="http://schemas.openxmlformats.org/officeDocument/2006/relationships/hyperlink" Target="http://www.wunderflats.com" TargetMode="External"/><Relationship Id="rId5127" Type="http://schemas.openxmlformats.org/officeDocument/2006/relationships/hyperlink" Target="https://esssoftware.com/" TargetMode="External"/><Relationship Id="rId6458" Type="http://schemas.openxmlformats.org/officeDocument/2006/relationships/hyperlink" Target="https://www.crunchbase.com/funding_round/synavision-series-a--8013f6ab" TargetMode="External"/><Relationship Id="rId5128" Type="http://schemas.openxmlformats.org/officeDocument/2006/relationships/hyperlink" Target="https://www.crunchbase.com/organization/essensys" TargetMode="External"/><Relationship Id="rId6459" Type="http://schemas.openxmlformats.org/officeDocument/2006/relationships/hyperlink" Target="https://angel.co/company/doss-1" TargetMode="External"/><Relationship Id="rId5125" Type="http://schemas.openxmlformats.org/officeDocument/2006/relationships/hyperlink" Target="http://www.esdontheweb.com/" TargetMode="External"/><Relationship Id="rId6456" Type="http://schemas.openxmlformats.org/officeDocument/2006/relationships/hyperlink" Target="https://www.synavision.de/en/" TargetMode="External"/><Relationship Id="rId5126" Type="http://schemas.openxmlformats.org/officeDocument/2006/relationships/hyperlink" Target="https://www.crunchbase.com/organization/ess-software-for-commercial-real-estate" TargetMode="External"/><Relationship Id="rId6457" Type="http://schemas.openxmlformats.org/officeDocument/2006/relationships/hyperlink" Target="https://www.crunchbase.com/funding_round/synavision-seed--e9e2ef6c" TargetMode="External"/><Relationship Id="rId6480" Type="http://schemas.openxmlformats.org/officeDocument/2006/relationships/hyperlink" Target="https://www.crunchbase.com/organization/carbon-free-energy-cloud" TargetMode="External"/><Relationship Id="rId5152" Type="http://schemas.openxmlformats.org/officeDocument/2006/relationships/hyperlink" Target="https://www.exactink.com/" TargetMode="External"/><Relationship Id="rId6483" Type="http://schemas.openxmlformats.org/officeDocument/2006/relationships/hyperlink" Target="https://www.crunchbase.com/organization/asumma-homes" TargetMode="External"/><Relationship Id="rId5153" Type="http://schemas.openxmlformats.org/officeDocument/2006/relationships/hyperlink" Target="https://angel.co/u/excelfit-pty-ltd" TargetMode="External"/><Relationship Id="rId6484" Type="http://schemas.openxmlformats.org/officeDocument/2006/relationships/hyperlink" Target="https://asummahomes.com/en" TargetMode="External"/><Relationship Id="rId5150" Type="http://schemas.openxmlformats.org/officeDocument/2006/relationships/hyperlink" Target="http://www.exactbid.com/" TargetMode="External"/><Relationship Id="rId6481" Type="http://schemas.openxmlformats.org/officeDocument/2006/relationships/hyperlink" Target="https://cfexcloud.com/" TargetMode="External"/><Relationship Id="rId5151" Type="http://schemas.openxmlformats.org/officeDocument/2006/relationships/hyperlink" Target="https://angel.co/company/exactink-1" TargetMode="External"/><Relationship Id="rId6482" Type="http://schemas.openxmlformats.org/officeDocument/2006/relationships/hyperlink" Target="https://www.crunchbase.com/funding_round/carbon-free-energy-cloud-seed--7f36a1a8" TargetMode="External"/><Relationship Id="rId5156" Type="http://schemas.openxmlformats.org/officeDocument/2006/relationships/hyperlink" Target="http://www.exogen.com/" TargetMode="External"/><Relationship Id="rId6487" Type="http://schemas.openxmlformats.org/officeDocument/2006/relationships/hyperlink" Target="https://www.xnrgy.com/" TargetMode="External"/><Relationship Id="rId5157" Type="http://schemas.openxmlformats.org/officeDocument/2006/relationships/hyperlink" Target="https://angel.co/company/exposit" TargetMode="External"/><Relationship Id="rId6488" Type="http://schemas.openxmlformats.org/officeDocument/2006/relationships/hyperlink" Target="https://www.crunchbase.com/funding_round/xnrgy-climate-systems-series-unknown--10904bb6" TargetMode="External"/><Relationship Id="rId5154" Type="http://schemas.openxmlformats.org/officeDocument/2006/relationships/hyperlink" Target="https://www.excelfit.com.au/" TargetMode="External"/><Relationship Id="rId6485" Type="http://schemas.openxmlformats.org/officeDocument/2006/relationships/hyperlink" Target="https://www.crunchbase.com/funding_round/asumma-homes-series-unknown--fbca563a" TargetMode="External"/><Relationship Id="rId5155" Type="http://schemas.openxmlformats.org/officeDocument/2006/relationships/hyperlink" Target="https://www.crunchbase.com/organization/exogen" TargetMode="External"/><Relationship Id="rId6486" Type="http://schemas.openxmlformats.org/officeDocument/2006/relationships/hyperlink" Target="https://www.crunchbase.com/organization/xnrgy-climate-systems" TargetMode="External"/><Relationship Id="rId5158" Type="http://schemas.openxmlformats.org/officeDocument/2006/relationships/hyperlink" Target="https://www.crunchbase.com/organization/exposit" TargetMode="External"/><Relationship Id="rId6489" Type="http://schemas.openxmlformats.org/officeDocument/2006/relationships/hyperlink" Target="https://www.crunchbase.com/organization/the-closing-docs" TargetMode="External"/><Relationship Id="rId5159" Type="http://schemas.openxmlformats.org/officeDocument/2006/relationships/hyperlink" Target="https://www.exposit.com/" TargetMode="External"/><Relationship Id="rId5141" Type="http://schemas.openxmlformats.org/officeDocument/2006/relationships/hyperlink" Target="https://www.crunchbase.com/organization/eversmart-energy" TargetMode="External"/><Relationship Id="rId6472" Type="http://schemas.openxmlformats.org/officeDocument/2006/relationships/hyperlink" Target="https://www.crunchbase.com/organization/closesimple" TargetMode="External"/><Relationship Id="rId5142" Type="http://schemas.openxmlformats.org/officeDocument/2006/relationships/hyperlink" Target="http://www.eversmartenergy.co.uk/" TargetMode="External"/><Relationship Id="rId6473" Type="http://schemas.openxmlformats.org/officeDocument/2006/relationships/hyperlink" Target="https://www.closesimple.com/" TargetMode="External"/><Relationship Id="rId6470" Type="http://schemas.openxmlformats.org/officeDocument/2006/relationships/hyperlink" Target="http://casaperks.com/" TargetMode="External"/><Relationship Id="rId5140" Type="http://schemas.openxmlformats.org/officeDocument/2006/relationships/hyperlink" Target="https://angel.co/company/eversmart-energy" TargetMode="External"/><Relationship Id="rId6471" Type="http://schemas.openxmlformats.org/officeDocument/2006/relationships/hyperlink" Target="https://www.crunchbase.com/funding_round/casaperks-seed--2133001d" TargetMode="External"/><Relationship Id="rId5145" Type="http://schemas.openxmlformats.org/officeDocument/2006/relationships/hyperlink" Target="https://www.crunchbase.com/organization/evincera" TargetMode="External"/><Relationship Id="rId6476" Type="http://schemas.openxmlformats.org/officeDocument/2006/relationships/hyperlink" Target="https://www.korelock.com/" TargetMode="External"/><Relationship Id="rId5146" Type="http://schemas.openxmlformats.org/officeDocument/2006/relationships/hyperlink" Target="https://www.evincera.com/" TargetMode="External"/><Relationship Id="rId6477" Type="http://schemas.openxmlformats.org/officeDocument/2006/relationships/hyperlink" Target="https://www.crunchbase.com/funding_round/korelock-series-a--3a4ed1b0" TargetMode="External"/><Relationship Id="rId5143" Type="http://schemas.openxmlformats.org/officeDocument/2006/relationships/hyperlink" Target="https://www.crunchbase.com/organization/everydesigns-graphic-designing-company" TargetMode="External"/><Relationship Id="rId6474" Type="http://schemas.openxmlformats.org/officeDocument/2006/relationships/hyperlink" Target="https://www.crunchbase.com/funding_round/closesimple-private-equity--958d0bb9" TargetMode="External"/><Relationship Id="rId5144" Type="http://schemas.openxmlformats.org/officeDocument/2006/relationships/hyperlink" Target="https://www.everydesigns.com/" TargetMode="External"/><Relationship Id="rId6475" Type="http://schemas.openxmlformats.org/officeDocument/2006/relationships/hyperlink" Target="https://www.crunchbase.com/organization/korelock" TargetMode="External"/><Relationship Id="rId5149" Type="http://schemas.openxmlformats.org/officeDocument/2006/relationships/hyperlink" Target="https://www.crunchbase.com/organization/exactbid" TargetMode="External"/><Relationship Id="rId5147" Type="http://schemas.openxmlformats.org/officeDocument/2006/relationships/hyperlink" Target="https://www.crunchbase.com/organization/evolution-virtual" TargetMode="External"/><Relationship Id="rId6478" Type="http://schemas.openxmlformats.org/officeDocument/2006/relationships/hyperlink" Target="https://www.crunchbase.com/organization/complete-solaria" TargetMode="External"/><Relationship Id="rId5148" Type="http://schemas.openxmlformats.org/officeDocument/2006/relationships/hyperlink" Target="https://evolutionv.com/" TargetMode="External"/><Relationship Id="rId6479" Type="http://schemas.openxmlformats.org/officeDocument/2006/relationships/hyperlink" Target="https://www.completesolaria.com/" TargetMode="External"/><Relationship Id="rId6429" Type="http://schemas.openxmlformats.org/officeDocument/2006/relationships/hyperlink" Target="http://www.revolutionre.com" TargetMode="External"/><Relationship Id="rId6427" Type="http://schemas.openxmlformats.org/officeDocument/2006/relationships/hyperlink" Target="http://www.realyse.com" TargetMode="External"/><Relationship Id="rId6428" Type="http://schemas.openxmlformats.org/officeDocument/2006/relationships/hyperlink" Target="http://www.renoviso.com" TargetMode="External"/><Relationship Id="rId6421" Type="http://schemas.openxmlformats.org/officeDocument/2006/relationships/hyperlink" Target="http://www.plentify.io" TargetMode="External"/><Relationship Id="rId6422" Type="http://schemas.openxmlformats.org/officeDocument/2006/relationships/hyperlink" Target="http://www.porch.com" TargetMode="External"/><Relationship Id="rId6420" Type="http://schemas.openxmlformats.org/officeDocument/2006/relationships/hyperlink" Target="http://www.perq.com" TargetMode="External"/><Relationship Id="rId6425" Type="http://schemas.openxmlformats.org/officeDocument/2006/relationships/hyperlink" Target="http://www.raxar.com" TargetMode="External"/><Relationship Id="rId6426" Type="http://schemas.openxmlformats.org/officeDocument/2006/relationships/hyperlink" Target="http://www.realtymogul.com" TargetMode="External"/><Relationship Id="rId6423" Type="http://schemas.openxmlformats.org/officeDocument/2006/relationships/hyperlink" Target="http://www.preclose.com" TargetMode="External"/><Relationship Id="rId6424" Type="http://schemas.openxmlformats.org/officeDocument/2006/relationships/hyperlink" Target="http://www.qdesq.com" TargetMode="External"/><Relationship Id="rId6418" Type="http://schemas.openxmlformats.org/officeDocument/2006/relationships/hyperlink" Target="http://www.paintzen.com" TargetMode="External"/><Relationship Id="rId6419" Type="http://schemas.openxmlformats.org/officeDocument/2006/relationships/hyperlink" Target="http://www.peek.us" TargetMode="External"/><Relationship Id="rId6416" Type="http://schemas.openxmlformats.org/officeDocument/2006/relationships/hyperlink" Target="http://www.optiisolutions.com" TargetMode="External"/><Relationship Id="rId6417" Type="http://schemas.openxmlformats.org/officeDocument/2006/relationships/hyperlink" Target="http://www.getorro.com" TargetMode="External"/><Relationship Id="rId6410" Type="http://schemas.openxmlformats.org/officeDocument/2006/relationships/hyperlink" Target="http://www.table22.com" TargetMode="External"/><Relationship Id="rId6411" Type="http://schemas.openxmlformats.org/officeDocument/2006/relationships/hyperlink" Target="http://www.mycomply.net" TargetMode="External"/><Relationship Id="rId6414" Type="http://schemas.openxmlformats.org/officeDocument/2006/relationships/hyperlink" Target="http://www.occuspace.io" TargetMode="External"/><Relationship Id="rId6415" Type="http://schemas.openxmlformats.org/officeDocument/2006/relationships/hyperlink" Target="http://www.opensensors.com" TargetMode="External"/><Relationship Id="rId6412" Type="http://schemas.openxmlformats.org/officeDocument/2006/relationships/hyperlink" Target="http://www.newmetrix.com" TargetMode="External"/><Relationship Id="rId6413" Type="http://schemas.openxmlformats.org/officeDocument/2006/relationships/hyperlink" Target="http://www.nophin.com" TargetMode="External"/><Relationship Id="rId5118" Type="http://schemas.openxmlformats.org/officeDocument/2006/relationships/hyperlink" Target="https://angel.co/company/equitymultiple" TargetMode="External"/><Relationship Id="rId6449" Type="http://schemas.openxmlformats.org/officeDocument/2006/relationships/hyperlink" Target="http://www.valon.com" TargetMode="External"/><Relationship Id="rId5119" Type="http://schemas.openxmlformats.org/officeDocument/2006/relationships/hyperlink" Target="https://www.crunchbase.com/organization/equitymultiple" TargetMode="External"/><Relationship Id="rId6440" Type="http://schemas.openxmlformats.org/officeDocument/2006/relationships/hyperlink" Target="http://www.sweeten.com" TargetMode="External"/><Relationship Id="rId5112" Type="http://schemas.openxmlformats.org/officeDocument/2006/relationships/hyperlink" Target="https://angel.co/company/epixel-solutions" TargetMode="External"/><Relationship Id="rId6443" Type="http://schemas.openxmlformats.org/officeDocument/2006/relationships/hyperlink" Target="http://www.traxyl.com" TargetMode="External"/><Relationship Id="rId5113" Type="http://schemas.openxmlformats.org/officeDocument/2006/relationships/hyperlink" Target="https://www.crunchbase.com/organization/epixel-solutions" TargetMode="External"/><Relationship Id="rId6444" Type="http://schemas.openxmlformats.org/officeDocument/2006/relationships/hyperlink" Target="http://www.truehold.com" TargetMode="External"/><Relationship Id="rId5110" Type="http://schemas.openxmlformats.org/officeDocument/2006/relationships/hyperlink" Target="https://www.crunchbase.com/organization/entrata" TargetMode="External"/><Relationship Id="rId6441" Type="http://schemas.openxmlformats.org/officeDocument/2006/relationships/hyperlink" Target="http://www.tailorbird.us" TargetMode="External"/><Relationship Id="rId5111" Type="http://schemas.openxmlformats.org/officeDocument/2006/relationships/hyperlink" Target="https://www.entrata.com/" TargetMode="External"/><Relationship Id="rId6442" Type="http://schemas.openxmlformats.org/officeDocument/2006/relationships/hyperlink" Target="http://www.taskeasy.com" TargetMode="External"/><Relationship Id="rId5116" Type="http://schemas.openxmlformats.org/officeDocument/2006/relationships/hyperlink" Target="https://www.crunchbase.com/organization/equiem" TargetMode="External"/><Relationship Id="rId6447" Type="http://schemas.openxmlformats.org/officeDocument/2006/relationships/hyperlink" Target="http://www.unety.io" TargetMode="External"/><Relationship Id="rId5117" Type="http://schemas.openxmlformats.org/officeDocument/2006/relationships/hyperlink" Target="http://www.getequiem.com/" TargetMode="External"/><Relationship Id="rId6448" Type="http://schemas.openxmlformats.org/officeDocument/2006/relationships/hyperlink" Target="http://www.unilodgers.com" TargetMode="External"/><Relationship Id="rId5114" Type="http://schemas.openxmlformats.org/officeDocument/2006/relationships/hyperlink" Target="https://www.epixelmlmsoftware.com/" TargetMode="External"/><Relationship Id="rId6445" Type="http://schemas.openxmlformats.org/officeDocument/2006/relationships/hyperlink" Target="http://www.trulivco.com" TargetMode="External"/><Relationship Id="rId5115" Type="http://schemas.openxmlformats.org/officeDocument/2006/relationships/hyperlink" Target="https://angel.co/equiem" TargetMode="External"/><Relationship Id="rId6446" Type="http://schemas.openxmlformats.org/officeDocument/2006/relationships/hyperlink" Target="http://www.turntide.com" TargetMode="External"/><Relationship Id="rId5109" Type="http://schemas.openxmlformats.org/officeDocument/2006/relationships/hyperlink" Target="https://www.crunchbase.com/organization/entrata" TargetMode="External"/><Relationship Id="rId5107" Type="http://schemas.openxmlformats.org/officeDocument/2006/relationships/hyperlink" Target="https://www.crunchbase.com/organization/entouch-controls" TargetMode="External"/><Relationship Id="rId6438" Type="http://schemas.openxmlformats.org/officeDocument/2006/relationships/hyperlink" Target="http://www.suburbanjunglegroup.com" TargetMode="External"/><Relationship Id="rId5108" Type="http://schemas.openxmlformats.org/officeDocument/2006/relationships/hyperlink" Target="https://entouchcontrols.com/" TargetMode="External"/><Relationship Id="rId6439" Type="http://schemas.openxmlformats.org/officeDocument/2006/relationships/hyperlink" Target="http://www.suiteness.com" TargetMode="External"/><Relationship Id="rId5101" Type="http://schemas.openxmlformats.org/officeDocument/2006/relationships/hyperlink" Target="https://enestservices.com/" TargetMode="External"/><Relationship Id="rId6432" Type="http://schemas.openxmlformats.org/officeDocument/2006/relationships/hyperlink" Target="http://www.serraview.com" TargetMode="External"/><Relationship Id="rId5102" Type="http://schemas.openxmlformats.org/officeDocument/2006/relationships/hyperlink" Target="https://www.crunchbase.com/organization/enstoa" TargetMode="External"/><Relationship Id="rId6433" Type="http://schemas.openxmlformats.org/officeDocument/2006/relationships/hyperlink" Target="http://www.showdigs.com" TargetMode="External"/><Relationship Id="rId6430" Type="http://schemas.openxmlformats.org/officeDocument/2006/relationships/hyperlink" Target="http://www.goruckit.com" TargetMode="External"/><Relationship Id="rId5100" Type="http://schemas.openxmlformats.org/officeDocument/2006/relationships/hyperlink" Target="https://www.crunchbase.com/organization/enest-consultancy-services" TargetMode="External"/><Relationship Id="rId6431" Type="http://schemas.openxmlformats.org/officeDocument/2006/relationships/hyperlink" Target="http://www.secondnature.com" TargetMode="External"/><Relationship Id="rId5105" Type="http://schemas.openxmlformats.org/officeDocument/2006/relationships/hyperlink" Target="https://www.entitykeeper.com/" TargetMode="External"/><Relationship Id="rId6436" Type="http://schemas.openxmlformats.org/officeDocument/2006/relationships/hyperlink" Target="http://www.streetdots.co.uk" TargetMode="External"/><Relationship Id="rId5106" Type="http://schemas.openxmlformats.org/officeDocument/2006/relationships/hyperlink" Target="https://angel.co/company/entouch-controls" TargetMode="External"/><Relationship Id="rId6437" Type="http://schemas.openxmlformats.org/officeDocument/2006/relationships/hyperlink" Target="http://www.streetwire.net" TargetMode="External"/><Relationship Id="rId5103" Type="http://schemas.openxmlformats.org/officeDocument/2006/relationships/hyperlink" Target="https://enstoa.com/" TargetMode="External"/><Relationship Id="rId6434" Type="http://schemas.openxmlformats.org/officeDocument/2006/relationships/hyperlink" Target="http://www.sisu.co" TargetMode="External"/><Relationship Id="rId5104" Type="http://schemas.openxmlformats.org/officeDocument/2006/relationships/hyperlink" Target="https://www.crunchbase.com/organization/entitykeeper" TargetMode="External"/><Relationship Id="rId6435" Type="http://schemas.openxmlformats.org/officeDocument/2006/relationships/hyperlink" Target="http://www.smartbarrel.io" TargetMode="External"/><Relationship Id="rId2940" Type="http://schemas.openxmlformats.org/officeDocument/2006/relationships/hyperlink" Target="https://www.openn.com.au/" TargetMode="External"/><Relationship Id="rId1610" Type="http://schemas.openxmlformats.org/officeDocument/2006/relationships/hyperlink" Target="https://angel.co/company/flock-homes" TargetMode="External"/><Relationship Id="rId2941" Type="http://schemas.openxmlformats.org/officeDocument/2006/relationships/hyperlink" Target="https://www.realestatebusiness.com.au/partner-features/18862-openn-negotiation-closes-series-a-funding-round" TargetMode="External"/><Relationship Id="rId1611" Type="http://schemas.openxmlformats.org/officeDocument/2006/relationships/hyperlink" Target="https://www.crunchbase.com/organization/flock-homes" TargetMode="External"/><Relationship Id="rId2942" Type="http://schemas.openxmlformats.org/officeDocument/2006/relationships/hyperlink" Target="https://www.thesaasnews.com/news/openn-raises-3-65-million-in-funding" TargetMode="External"/><Relationship Id="rId1612" Type="http://schemas.openxmlformats.org/officeDocument/2006/relationships/hyperlink" Target="https://www.flockhomes.com/" TargetMode="External"/><Relationship Id="rId2943" Type="http://schemas.openxmlformats.org/officeDocument/2006/relationships/hyperlink" Target="http://getcovered.io/" TargetMode="External"/><Relationship Id="rId1613" Type="http://schemas.openxmlformats.org/officeDocument/2006/relationships/hyperlink" Target="https://angel.co/company/vendorpm" TargetMode="External"/><Relationship Id="rId2944" Type="http://schemas.openxmlformats.org/officeDocument/2006/relationships/hyperlink" Target="https://www.crunchbase.com/organization/get-covered" TargetMode="External"/><Relationship Id="rId1614" Type="http://schemas.openxmlformats.org/officeDocument/2006/relationships/hyperlink" Target="https://www.crunchbase.com/organization/vendorpm" TargetMode="External"/><Relationship Id="rId2945" Type="http://schemas.openxmlformats.org/officeDocument/2006/relationships/hyperlink" Target="https://getcovered.io/" TargetMode="External"/><Relationship Id="rId1615" Type="http://schemas.openxmlformats.org/officeDocument/2006/relationships/hyperlink" Target="https://vendorpm.com/" TargetMode="External"/><Relationship Id="rId2946" Type="http://schemas.openxmlformats.org/officeDocument/2006/relationships/hyperlink" Target="https://www.crunchbase.com/organization/buildos" TargetMode="External"/><Relationship Id="rId1616" Type="http://schemas.openxmlformats.org/officeDocument/2006/relationships/hyperlink" Target="https://www.crunchbase.com/funding_round/vendorpm-series-a--6dc41d17" TargetMode="External"/><Relationship Id="rId2947" Type="http://schemas.openxmlformats.org/officeDocument/2006/relationships/hyperlink" Target="https://www.swapp.net/" TargetMode="External"/><Relationship Id="rId907" Type="http://schemas.openxmlformats.org/officeDocument/2006/relationships/hyperlink" Target="https://www.crunchbase.com/funding_round/masteos-equity-crowdfunding--39572f53" TargetMode="External"/><Relationship Id="rId1617" Type="http://schemas.openxmlformats.org/officeDocument/2006/relationships/hyperlink" Target="https://angel.co/company/tellusapp" TargetMode="External"/><Relationship Id="rId2948" Type="http://schemas.openxmlformats.org/officeDocument/2006/relationships/hyperlink" Target="https://angel.co/company/switch-automation" TargetMode="External"/><Relationship Id="rId906" Type="http://schemas.openxmlformats.org/officeDocument/2006/relationships/hyperlink" Target="https://www.crunchbase.com/funding_round/masteos-series-a--9fcd56b8" TargetMode="External"/><Relationship Id="rId1618" Type="http://schemas.openxmlformats.org/officeDocument/2006/relationships/hyperlink" Target="https://www.crunchbase.com/organization/tellus-d699" TargetMode="External"/><Relationship Id="rId2949" Type="http://schemas.openxmlformats.org/officeDocument/2006/relationships/hyperlink" Target="https://www.crunchbase.com/organization/switch-automation" TargetMode="External"/><Relationship Id="rId905" Type="http://schemas.openxmlformats.org/officeDocument/2006/relationships/hyperlink" Target="https://www.crunchbase.com/funding_round/masteos-seed--06d90a07" TargetMode="External"/><Relationship Id="rId1619" Type="http://schemas.openxmlformats.org/officeDocument/2006/relationships/hyperlink" Target="https://www.tellusapp.com/" TargetMode="External"/><Relationship Id="rId904" Type="http://schemas.openxmlformats.org/officeDocument/2006/relationships/hyperlink" Target="https://www.masteos.com/" TargetMode="External"/><Relationship Id="rId909" Type="http://schemas.openxmlformats.org/officeDocument/2006/relationships/hyperlink" Target="https://www.crunchbase.com/organization/dusty-robotics" TargetMode="External"/><Relationship Id="rId908" Type="http://schemas.openxmlformats.org/officeDocument/2006/relationships/hyperlink" Target="https://angel.co/company/dusty-robotics" TargetMode="External"/><Relationship Id="rId903" Type="http://schemas.openxmlformats.org/officeDocument/2006/relationships/hyperlink" Target="https://www.crunchbase.com/organization/masteos" TargetMode="External"/><Relationship Id="rId902" Type="http://schemas.openxmlformats.org/officeDocument/2006/relationships/hyperlink" Target="https://wellfound.com/company/masteos-1" TargetMode="External"/><Relationship Id="rId901" Type="http://schemas.openxmlformats.org/officeDocument/2006/relationships/hyperlink" Target="https://www.crunchbase.com/funding_round/pearlx-infrastructure-series-b--c0bd74e6" TargetMode="External"/><Relationship Id="rId900" Type="http://schemas.openxmlformats.org/officeDocument/2006/relationships/hyperlink" Target="https://pearlx.com/" TargetMode="External"/><Relationship Id="rId2930" Type="http://schemas.openxmlformats.org/officeDocument/2006/relationships/hyperlink" Target="https://www.timberhub.com/" TargetMode="External"/><Relationship Id="rId1600" Type="http://schemas.openxmlformats.org/officeDocument/2006/relationships/hyperlink" Target="https://www.crunchbase.com/funding_round/dronomy-seed--18ccad23" TargetMode="External"/><Relationship Id="rId2931" Type="http://schemas.openxmlformats.org/officeDocument/2006/relationships/hyperlink" Target="https://www.crunchbase.com/funding_round/timberhub-pre-seed--28c31a7b" TargetMode="External"/><Relationship Id="rId1601" Type="http://schemas.openxmlformats.org/officeDocument/2006/relationships/hyperlink" Target="https://www.crunchbase.com/funding_round/dronomy-series-a--8cb55c56" TargetMode="External"/><Relationship Id="rId2932" Type="http://schemas.openxmlformats.org/officeDocument/2006/relationships/hyperlink" Target="https://www.crunchbase.com/funding_round/timberhub-seed--a3d86b62" TargetMode="External"/><Relationship Id="rId1602" Type="http://schemas.openxmlformats.org/officeDocument/2006/relationships/hyperlink" Target="https://angel.co/company/atheerair" TargetMode="External"/><Relationship Id="rId2933" Type="http://schemas.openxmlformats.org/officeDocument/2006/relationships/hyperlink" Target="https://www.crunchbase.com/organization/munjz" TargetMode="External"/><Relationship Id="rId1603" Type="http://schemas.openxmlformats.org/officeDocument/2006/relationships/hyperlink" Target="https://www.crunchbase.com/organization/atheer" TargetMode="External"/><Relationship Id="rId2934" Type="http://schemas.openxmlformats.org/officeDocument/2006/relationships/hyperlink" Target="https://www.munjz.com/" TargetMode="External"/><Relationship Id="rId1604" Type="http://schemas.openxmlformats.org/officeDocument/2006/relationships/hyperlink" Target="https://atheerair.com/" TargetMode="External"/><Relationship Id="rId2935" Type="http://schemas.openxmlformats.org/officeDocument/2006/relationships/hyperlink" Target="https://www.crunchbase.com/funding_round/munjz-pre-seed--a4a75b1f" TargetMode="External"/><Relationship Id="rId1605" Type="http://schemas.openxmlformats.org/officeDocument/2006/relationships/hyperlink" Target="https://www.crunchbase.com/funding_round/atheer-seed--c812860f" TargetMode="External"/><Relationship Id="rId2936" Type="http://schemas.openxmlformats.org/officeDocument/2006/relationships/hyperlink" Target="https://www.crunchbase.com/funding_round/munjz-seed--fd771c1e" TargetMode="External"/><Relationship Id="rId1606" Type="http://schemas.openxmlformats.org/officeDocument/2006/relationships/hyperlink" Target="https://www.crunchbase.com/funding_round/atheer-series-b--e41f1ec7" TargetMode="External"/><Relationship Id="rId2937" Type="http://schemas.openxmlformats.org/officeDocument/2006/relationships/hyperlink" Target="https://www.crunchbase.com/funding_round/munjz-series-a--6c462652" TargetMode="External"/><Relationship Id="rId1607" Type="http://schemas.openxmlformats.org/officeDocument/2006/relationships/hyperlink" Target="https://www.crunchbase.com/funding_round/atheer-series-c--ec5bb07c" TargetMode="External"/><Relationship Id="rId2938" Type="http://schemas.openxmlformats.org/officeDocument/2006/relationships/hyperlink" Target="https://wellfound.com/company/openn-negotiation" TargetMode="External"/><Relationship Id="rId1608" Type="http://schemas.openxmlformats.org/officeDocument/2006/relationships/hyperlink" Target="https://www.crunchbase.com/organization/pupil" TargetMode="External"/><Relationship Id="rId2939" Type="http://schemas.openxmlformats.org/officeDocument/2006/relationships/hyperlink" Target="https://www.crunchbase.com/organization/openn-negotiation" TargetMode="External"/><Relationship Id="rId1609" Type="http://schemas.openxmlformats.org/officeDocument/2006/relationships/hyperlink" Target="http://pupil.co" TargetMode="External"/><Relationship Id="rId1631" Type="http://schemas.openxmlformats.org/officeDocument/2006/relationships/hyperlink" Target="http://headlight.com/" TargetMode="External"/><Relationship Id="rId2962" Type="http://schemas.openxmlformats.org/officeDocument/2006/relationships/hyperlink" Target="https://www.crunchbase.com/funding_round/here-vacations-pre-seed--2cbea9aa" TargetMode="External"/><Relationship Id="rId1632" Type="http://schemas.openxmlformats.org/officeDocument/2006/relationships/hyperlink" Target="https://www.crunchbase.com/organization/energy-x" TargetMode="External"/><Relationship Id="rId2963" Type="http://schemas.openxmlformats.org/officeDocument/2006/relationships/hyperlink" Target="https://www.crunchbase.com/funding_round/here-vacations-seed--931ab4f2" TargetMode="External"/><Relationship Id="rId1633" Type="http://schemas.openxmlformats.org/officeDocument/2006/relationships/hyperlink" Target="http://energyx.ai/" TargetMode="External"/><Relationship Id="rId2964" Type="http://schemas.openxmlformats.org/officeDocument/2006/relationships/hyperlink" Target="https://angel.co/company/homepace" TargetMode="External"/><Relationship Id="rId1634" Type="http://schemas.openxmlformats.org/officeDocument/2006/relationships/hyperlink" Target="https://www.crunchbase.com/funding_round/energy-x-series-a--0603ea59" TargetMode="External"/><Relationship Id="rId2965" Type="http://schemas.openxmlformats.org/officeDocument/2006/relationships/hyperlink" Target="https://www.crunchbase.com/organization/homepace" TargetMode="External"/><Relationship Id="rId1635" Type="http://schemas.openxmlformats.org/officeDocument/2006/relationships/hyperlink" Target="https://www.crunchbase.com/funding_round/energy-x-series-b--53af4083" TargetMode="External"/><Relationship Id="rId2966" Type="http://schemas.openxmlformats.org/officeDocument/2006/relationships/hyperlink" Target="https://homepace.com/" TargetMode="External"/><Relationship Id="rId1636" Type="http://schemas.openxmlformats.org/officeDocument/2006/relationships/hyperlink" Target="https://www.crunchbase.com/organization/trusscore" TargetMode="External"/><Relationship Id="rId2967" Type="http://schemas.openxmlformats.org/officeDocument/2006/relationships/hyperlink" Target="https://www.crunchbase.com/organization/landed-11de" TargetMode="External"/><Relationship Id="rId1637" Type="http://schemas.openxmlformats.org/officeDocument/2006/relationships/hyperlink" Target="https://trusscore.com/" TargetMode="External"/><Relationship Id="rId2968" Type="http://schemas.openxmlformats.org/officeDocument/2006/relationships/hyperlink" Target="https://www.gotlanded.com/" TargetMode="External"/><Relationship Id="rId1638" Type="http://schemas.openxmlformats.org/officeDocument/2006/relationships/hyperlink" Target="https://angel.co/company/spacemaker-ai" TargetMode="External"/><Relationship Id="rId2969" Type="http://schemas.openxmlformats.org/officeDocument/2006/relationships/hyperlink" Target="https://www.crunchbase.com/organization/digs-8801" TargetMode="External"/><Relationship Id="rId929" Type="http://schemas.openxmlformats.org/officeDocument/2006/relationships/hyperlink" Target="https://www.ohmconnect.com/" TargetMode="External"/><Relationship Id="rId1639" Type="http://schemas.openxmlformats.org/officeDocument/2006/relationships/hyperlink" Target="https://www.crunchbase.com/organization/spacemaker-ai" TargetMode="External"/><Relationship Id="rId928" Type="http://schemas.openxmlformats.org/officeDocument/2006/relationships/hyperlink" Target="https://www.crunchbase.com/organization/ohmconnect" TargetMode="External"/><Relationship Id="rId927" Type="http://schemas.openxmlformats.org/officeDocument/2006/relationships/hyperlink" Target="https://biomason.com/" TargetMode="External"/><Relationship Id="rId926" Type="http://schemas.openxmlformats.org/officeDocument/2006/relationships/hyperlink" Target="https://www.crunchbase.com/organization/biomason" TargetMode="External"/><Relationship Id="rId921" Type="http://schemas.openxmlformats.org/officeDocument/2006/relationships/hyperlink" Target="https://www.crunchbase.com/organization/mynd" TargetMode="External"/><Relationship Id="rId920" Type="http://schemas.openxmlformats.org/officeDocument/2006/relationships/hyperlink" Target="https://angel.co/mynd-1" TargetMode="External"/><Relationship Id="rId925" Type="http://schemas.openxmlformats.org/officeDocument/2006/relationships/hyperlink" Target="https://www.neighbor.com/" TargetMode="External"/><Relationship Id="rId924" Type="http://schemas.openxmlformats.org/officeDocument/2006/relationships/hyperlink" Target="https://www.crunchbase.com/organization/neiybor" TargetMode="External"/><Relationship Id="rId923" Type="http://schemas.openxmlformats.org/officeDocument/2006/relationships/hyperlink" Target="https://angel.co/company/neighborstorage" TargetMode="External"/><Relationship Id="rId922" Type="http://schemas.openxmlformats.org/officeDocument/2006/relationships/hyperlink" Target="http://www.mynd.co/" TargetMode="External"/><Relationship Id="rId2960" Type="http://schemas.openxmlformats.org/officeDocument/2006/relationships/hyperlink" Target="https://www.crunchbase.com/organization/here-vacations" TargetMode="External"/><Relationship Id="rId1630" Type="http://schemas.openxmlformats.org/officeDocument/2006/relationships/hyperlink" Target="https://www.crunchbase.com/organization/pavia-systems" TargetMode="External"/><Relationship Id="rId2961" Type="http://schemas.openxmlformats.org/officeDocument/2006/relationships/hyperlink" Target="https://here.co/" TargetMode="External"/><Relationship Id="rId1620" Type="http://schemas.openxmlformats.org/officeDocument/2006/relationships/hyperlink" Target="https://www.crunchbase.com/funding_round/tellus-d699-seed--e5ae38b9" TargetMode="External"/><Relationship Id="rId2951" Type="http://schemas.openxmlformats.org/officeDocument/2006/relationships/hyperlink" Target="https://angel.co/tridium" TargetMode="External"/><Relationship Id="rId1621" Type="http://schemas.openxmlformats.org/officeDocument/2006/relationships/hyperlink" Target="https://angel.co/company/logiwa-1" TargetMode="External"/><Relationship Id="rId2952" Type="http://schemas.openxmlformats.org/officeDocument/2006/relationships/hyperlink" Target="https://www.crunchbase.com/organization/tridium" TargetMode="External"/><Relationship Id="rId1622" Type="http://schemas.openxmlformats.org/officeDocument/2006/relationships/hyperlink" Target="https://www.crunchbase.com/organization/logiwa" TargetMode="External"/><Relationship Id="rId2953" Type="http://schemas.openxmlformats.org/officeDocument/2006/relationships/hyperlink" Target="https://www.tridium.com/" TargetMode="External"/><Relationship Id="rId1623" Type="http://schemas.openxmlformats.org/officeDocument/2006/relationships/hyperlink" Target="http://www.logiwa.com/" TargetMode="External"/><Relationship Id="rId2954" Type="http://schemas.openxmlformats.org/officeDocument/2006/relationships/hyperlink" Target="https://www.crunchbase.com/organization/cofi-836c" TargetMode="External"/><Relationship Id="rId1624" Type="http://schemas.openxmlformats.org/officeDocument/2006/relationships/hyperlink" Target="https://www.crunchbase.com/funding_round/logiwa-seed--6701d02a" TargetMode="External"/><Relationship Id="rId2955" Type="http://schemas.openxmlformats.org/officeDocument/2006/relationships/hyperlink" Target="https://www.cofisoftware.com/" TargetMode="External"/><Relationship Id="rId1625" Type="http://schemas.openxmlformats.org/officeDocument/2006/relationships/hyperlink" Target="https://www.crunchbase.com/funding_round/logiwa-series-a--96f0ad1a" TargetMode="External"/><Relationship Id="rId2956" Type="http://schemas.openxmlformats.org/officeDocument/2006/relationships/hyperlink" Target="https://angel.co/company/endpoint-closing" TargetMode="External"/><Relationship Id="rId1626" Type="http://schemas.openxmlformats.org/officeDocument/2006/relationships/hyperlink" Target="https://www.crunchbase.com/funding_round/logiwa-series-b--b8022ace" TargetMode="External"/><Relationship Id="rId2957" Type="http://schemas.openxmlformats.org/officeDocument/2006/relationships/hyperlink" Target="https://www.crunchbase.com/organization/endpoint" TargetMode="External"/><Relationship Id="rId1627" Type="http://schemas.openxmlformats.org/officeDocument/2006/relationships/hyperlink" Target="https://angel.co/company/bridgit" TargetMode="External"/><Relationship Id="rId2958" Type="http://schemas.openxmlformats.org/officeDocument/2006/relationships/hyperlink" Target="https://www.endpointclosing.com/" TargetMode="External"/><Relationship Id="rId918" Type="http://schemas.openxmlformats.org/officeDocument/2006/relationships/hyperlink" Target="https://www.crunchbase.com/organization/onerent" TargetMode="External"/><Relationship Id="rId1628" Type="http://schemas.openxmlformats.org/officeDocument/2006/relationships/hyperlink" Target="https://www.crunchbase.com/organization/bridgit" TargetMode="External"/><Relationship Id="rId2959" Type="http://schemas.openxmlformats.org/officeDocument/2006/relationships/hyperlink" Target="https://angel.co/company/here-13" TargetMode="External"/><Relationship Id="rId917" Type="http://schemas.openxmlformats.org/officeDocument/2006/relationships/hyperlink" Target="https://angel.co/company/poplarhomes" TargetMode="External"/><Relationship Id="rId1629" Type="http://schemas.openxmlformats.org/officeDocument/2006/relationships/hyperlink" Target="https://gobridgit.com/" TargetMode="External"/><Relationship Id="rId916" Type="http://schemas.openxmlformats.org/officeDocument/2006/relationships/hyperlink" Target="https://www.crunchbase.com/funding_round/crowdstreet-series-d--3b1f9e0c" TargetMode="External"/><Relationship Id="rId915" Type="http://schemas.openxmlformats.org/officeDocument/2006/relationships/hyperlink" Target="https://www.crunchbase.com/organization/crowdstreet" TargetMode="External"/><Relationship Id="rId919" Type="http://schemas.openxmlformats.org/officeDocument/2006/relationships/hyperlink" Target="https://www.poplarhomes.com/" TargetMode="External"/><Relationship Id="rId910" Type="http://schemas.openxmlformats.org/officeDocument/2006/relationships/hyperlink" Target="https://www.dustyrobotics.com/" TargetMode="External"/><Relationship Id="rId914" Type="http://schemas.openxmlformats.org/officeDocument/2006/relationships/hyperlink" Target="https://angel.co/crowdstreet" TargetMode="External"/><Relationship Id="rId913" Type="http://schemas.openxmlformats.org/officeDocument/2006/relationships/hyperlink" Target="https://clikalia.com/es" TargetMode="External"/><Relationship Id="rId912" Type="http://schemas.openxmlformats.org/officeDocument/2006/relationships/hyperlink" Target="https://www.crunchbase.com/organization/clikalia" TargetMode="External"/><Relationship Id="rId911" Type="http://schemas.openxmlformats.org/officeDocument/2006/relationships/hyperlink" Target="https://angel.co/company/clikalia-1" TargetMode="External"/><Relationship Id="rId2950" Type="http://schemas.openxmlformats.org/officeDocument/2006/relationships/hyperlink" Target="http://www.switchautomation.com/" TargetMode="External"/><Relationship Id="rId2900" Type="http://schemas.openxmlformats.org/officeDocument/2006/relationships/hyperlink" Target="http://www.apsiyon.com" TargetMode="External"/><Relationship Id="rId2901" Type="http://schemas.openxmlformats.org/officeDocument/2006/relationships/hyperlink" Target="http://bricklane.com" TargetMode="External"/><Relationship Id="rId2902" Type="http://schemas.openxmlformats.org/officeDocument/2006/relationships/hyperlink" Target="https://angel.co/company/bricklane-com" TargetMode="External"/><Relationship Id="rId2903" Type="http://schemas.openxmlformats.org/officeDocument/2006/relationships/hyperlink" Target="https://www.crunchbase.com/organization/bricklane-com" TargetMode="External"/><Relationship Id="rId2904" Type="http://schemas.openxmlformats.org/officeDocument/2006/relationships/hyperlink" Target="http://www.bricklane.com/" TargetMode="External"/><Relationship Id="rId2905" Type="http://schemas.openxmlformats.org/officeDocument/2006/relationships/hyperlink" Target="https://www.crunchbase.com/funding_round/bricklane-com-seed--1e7d41db" TargetMode="External"/><Relationship Id="rId2906" Type="http://schemas.openxmlformats.org/officeDocument/2006/relationships/hyperlink" Target="https://www.crunchbase.com/funding_round/bricklane-com-series-unknown--baecbc91" TargetMode="External"/><Relationship Id="rId2907" Type="http://schemas.openxmlformats.org/officeDocument/2006/relationships/hyperlink" Target="https://www.crunchbase.com/funding_round/bricklane-com-series-a--c5a479d8" TargetMode="External"/><Relationship Id="rId2908" Type="http://schemas.openxmlformats.org/officeDocument/2006/relationships/hyperlink" Target="https://www.crunchbase.com/organization/smart-lending-mexico" TargetMode="External"/><Relationship Id="rId2909" Type="http://schemas.openxmlformats.org/officeDocument/2006/relationships/hyperlink" Target="https://yave.mx/" TargetMode="External"/><Relationship Id="rId5170" Type="http://schemas.openxmlformats.org/officeDocument/2006/relationships/hyperlink" Target="https://www.ezrankings.org/" TargetMode="External"/><Relationship Id="rId5171" Type="http://schemas.openxmlformats.org/officeDocument/2006/relationships/hyperlink" Target="http://ezstorit.com" TargetMode="External"/><Relationship Id="rId5174" Type="http://schemas.openxmlformats.org/officeDocument/2006/relationships/hyperlink" Target="https://www.f9analytics.com/Technology" TargetMode="External"/><Relationship Id="rId5175" Type="http://schemas.openxmlformats.org/officeDocument/2006/relationships/hyperlink" Target="https://angel.co/company/falkon" TargetMode="External"/><Relationship Id="rId5172" Type="http://schemas.openxmlformats.org/officeDocument/2006/relationships/hyperlink" Target="https://angel.co/company/f9analytics-1" TargetMode="External"/><Relationship Id="rId5173" Type="http://schemas.openxmlformats.org/officeDocument/2006/relationships/hyperlink" Target="https://www.crunchbase.com/organization/f9analytics" TargetMode="External"/><Relationship Id="rId5178" Type="http://schemas.openxmlformats.org/officeDocument/2006/relationships/hyperlink" Target="https://angel.co/u/fanstory" TargetMode="External"/><Relationship Id="rId5179" Type="http://schemas.openxmlformats.org/officeDocument/2006/relationships/hyperlink" Target="https://www.fanstory.com/" TargetMode="External"/><Relationship Id="rId5176" Type="http://schemas.openxmlformats.org/officeDocument/2006/relationships/hyperlink" Target="https://www.crunchbase.com/organization/falkon" TargetMode="External"/><Relationship Id="rId5177" Type="http://schemas.openxmlformats.org/officeDocument/2006/relationships/hyperlink" Target="https://falkonapp.com/" TargetMode="External"/><Relationship Id="rId6490" Type="http://schemas.openxmlformats.org/officeDocument/2006/relationships/hyperlink" Target="https://www.payscore.com/" TargetMode="External"/><Relationship Id="rId5160" Type="http://schemas.openxmlformats.org/officeDocument/2006/relationships/hyperlink" Target="https://angel.co/company/express-image-digital-1" TargetMode="External"/><Relationship Id="rId6491" Type="http://schemas.openxmlformats.org/officeDocument/2006/relationships/hyperlink" Target="https://www.crunchbase.com/funding_round/the-closing-docs-series-unknown--2a6ccd5d" TargetMode="External"/><Relationship Id="rId5163" Type="http://schemas.openxmlformats.org/officeDocument/2006/relationships/hyperlink" Target="https://www.crunchbase.com/organization/exquance-software" TargetMode="External"/><Relationship Id="rId6494" Type="http://schemas.openxmlformats.org/officeDocument/2006/relationships/hyperlink" Target="https://www.crunchbase.com/funding_round/heattransformers-series-unknown--ea891d5a" TargetMode="External"/><Relationship Id="rId5164" Type="http://schemas.openxmlformats.org/officeDocument/2006/relationships/hyperlink" Target="https://exquance.com/" TargetMode="External"/><Relationship Id="rId6495" Type="http://schemas.openxmlformats.org/officeDocument/2006/relationships/hyperlink" Target="https://www.crunchbase.com/funding_round/heattransformers-series-a--b042c826" TargetMode="External"/><Relationship Id="rId5161" Type="http://schemas.openxmlformats.org/officeDocument/2006/relationships/hyperlink" Target="http://www.expressimage.digital/" TargetMode="External"/><Relationship Id="rId6492" Type="http://schemas.openxmlformats.org/officeDocument/2006/relationships/hyperlink" Target="https://www.crunchbase.com/organization/heattransformers" TargetMode="External"/><Relationship Id="rId5162" Type="http://schemas.openxmlformats.org/officeDocument/2006/relationships/hyperlink" Target="https://angel.co/company/exquance-software" TargetMode="External"/><Relationship Id="rId6493" Type="http://schemas.openxmlformats.org/officeDocument/2006/relationships/hyperlink" Target="https://heattransformers.com/" TargetMode="External"/><Relationship Id="rId5167" Type="http://schemas.openxmlformats.org/officeDocument/2006/relationships/hyperlink" Target="https://eyetrax.net/" TargetMode="External"/><Relationship Id="rId6498" Type="http://schemas.openxmlformats.org/officeDocument/2006/relationships/hyperlink" Target="https://www.acresoftware.com/" TargetMode="External"/><Relationship Id="rId5168" Type="http://schemas.openxmlformats.org/officeDocument/2006/relationships/hyperlink" Target="https://angel.co/u/ezrankings" TargetMode="External"/><Relationship Id="rId6499" Type="http://schemas.openxmlformats.org/officeDocument/2006/relationships/hyperlink" Target="https://www.crunchbase.com/funding_round/acre-seed--ab7113f7" TargetMode="External"/><Relationship Id="rId5165" Type="http://schemas.openxmlformats.org/officeDocument/2006/relationships/hyperlink" Target="https://angel.co/company/eye-trax" TargetMode="External"/><Relationship Id="rId6496" Type="http://schemas.openxmlformats.org/officeDocument/2006/relationships/hyperlink" Target="https://wellfound.com/company/acre-software" TargetMode="External"/><Relationship Id="rId5166" Type="http://schemas.openxmlformats.org/officeDocument/2006/relationships/hyperlink" Target="https://www.crunchbase.com/organization/eye-trax" TargetMode="External"/><Relationship Id="rId6497" Type="http://schemas.openxmlformats.org/officeDocument/2006/relationships/hyperlink" Target="https://www.crunchbase.com/organization/acre" TargetMode="External"/><Relationship Id="rId5169" Type="http://schemas.openxmlformats.org/officeDocument/2006/relationships/hyperlink" Target="https://www.crunchbase.com/organization/ez-rankings-it-services" TargetMode="External"/><Relationship Id="rId2920" Type="http://schemas.openxmlformats.org/officeDocument/2006/relationships/hyperlink" Target="https://angel.co/company/aryeo" TargetMode="External"/><Relationship Id="rId2921" Type="http://schemas.openxmlformats.org/officeDocument/2006/relationships/hyperlink" Target="https://www.crunchbase.com/organization/aryeo" TargetMode="External"/><Relationship Id="rId2922" Type="http://schemas.openxmlformats.org/officeDocument/2006/relationships/hyperlink" Target="https://www.aryeo.com/" TargetMode="External"/><Relationship Id="rId2923" Type="http://schemas.openxmlformats.org/officeDocument/2006/relationships/hyperlink" Target="https://www.crunchbase.com/funding_round/aryeo-seed--4dd59603" TargetMode="External"/><Relationship Id="rId2924" Type="http://schemas.openxmlformats.org/officeDocument/2006/relationships/hyperlink" Target="https://www.crunchbase.com/organization/nillify" TargetMode="External"/><Relationship Id="rId2925" Type="http://schemas.openxmlformats.org/officeDocument/2006/relationships/hyperlink" Target="https://quo.com/" TargetMode="External"/><Relationship Id="rId2926" Type="http://schemas.openxmlformats.org/officeDocument/2006/relationships/hyperlink" Target="https://angel.co/company/zuma" TargetMode="External"/><Relationship Id="rId2927" Type="http://schemas.openxmlformats.org/officeDocument/2006/relationships/hyperlink" Target="https://www.crunchbase.com/organization/astro" TargetMode="External"/><Relationship Id="rId2928" Type="http://schemas.openxmlformats.org/officeDocument/2006/relationships/hyperlink" Target="https://www.getzuma.com/" TargetMode="External"/><Relationship Id="rId2929" Type="http://schemas.openxmlformats.org/officeDocument/2006/relationships/hyperlink" Target="https://www.crunchbase.com/organization/timberhub" TargetMode="External"/><Relationship Id="rId5192" Type="http://schemas.openxmlformats.org/officeDocument/2006/relationships/hyperlink" Target="https://www.crunchbase.com/organization/flatio" TargetMode="External"/><Relationship Id="rId5193" Type="http://schemas.openxmlformats.org/officeDocument/2006/relationships/hyperlink" Target="https://www.flatio.com/" TargetMode="External"/><Relationship Id="rId5190" Type="http://schemas.openxmlformats.org/officeDocument/2006/relationships/hyperlink" Target="http://fitnessondemand247.com" TargetMode="External"/><Relationship Id="rId5191" Type="http://schemas.openxmlformats.org/officeDocument/2006/relationships/hyperlink" Target="https://angel.co/company/flatio" TargetMode="External"/><Relationship Id="rId5196" Type="http://schemas.openxmlformats.org/officeDocument/2006/relationships/hyperlink" Target="https://flatmagic.com/" TargetMode="External"/><Relationship Id="rId5197" Type="http://schemas.openxmlformats.org/officeDocument/2006/relationships/hyperlink" Target="https://angel.co/company/flexdesk" TargetMode="External"/><Relationship Id="rId5194" Type="http://schemas.openxmlformats.org/officeDocument/2006/relationships/hyperlink" Target="https://angel.co/company/flatmagic" TargetMode="External"/><Relationship Id="rId5195" Type="http://schemas.openxmlformats.org/officeDocument/2006/relationships/hyperlink" Target="https://www.crunchbase.com/organization/flatmagic" TargetMode="External"/><Relationship Id="rId5198" Type="http://schemas.openxmlformats.org/officeDocument/2006/relationships/hyperlink" Target="https://www.crunchbase.com/organization/flexdesk" TargetMode="External"/><Relationship Id="rId5199" Type="http://schemas.openxmlformats.org/officeDocument/2006/relationships/hyperlink" Target="https://flexdesk.io/" TargetMode="External"/><Relationship Id="rId2910" Type="http://schemas.openxmlformats.org/officeDocument/2006/relationships/hyperlink" Target="https://www.crunchbase.com/funding_round/smart-lending-mexico-seed--39675503" TargetMode="External"/><Relationship Id="rId2911" Type="http://schemas.openxmlformats.org/officeDocument/2006/relationships/hyperlink" Target="https://www.crunchbase.com/organization/flip-5" TargetMode="External"/><Relationship Id="rId2912" Type="http://schemas.openxmlformats.org/officeDocument/2006/relationships/hyperlink" Target="http://caretaker.com/" TargetMode="External"/><Relationship Id="rId2913" Type="http://schemas.openxmlformats.org/officeDocument/2006/relationships/hyperlink" Target="https://www.crunchbase.com/funding_round/flip-5-angel--aa9a7167" TargetMode="External"/><Relationship Id="rId2914" Type="http://schemas.openxmlformats.org/officeDocument/2006/relationships/hyperlink" Target="https://www.crunchbase.com/funding_round/flip-5-seed--d8427086" TargetMode="External"/><Relationship Id="rId2915" Type="http://schemas.openxmlformats.org/officeDocument/2006/relationships/hyperlink" Target="https://www.crunchbase.com/funding_round/flip-5-series-unknown--a1783e0b" TargetMode="External"/><Relationship Id="rId2916" Type="http://schemas.openxmlformats.org/officeDocument/2006/relationships/hyperlink" Target="https://www.crunchbase.com/organization/adaptive-real-estate" TargetMode="External"/><Relationship Id="rId2917" Type="http://schemas.openxmlformats.org/officeDocument/2006/relationships/hyperlink" Target="https://www.adaptive.build/" TargetMode="External"/><Relationship Id="rId2918" Type="http://schemas.openxmlformats.org/officeDocument/2006/relationships/hyperlink" Target="https://www.crunchbase.com/funding_round/adaptive-real-estate-pre-seed--656e79c5" TargetMode="External"/><Relationship Id="rId2919" Type="http://schemas.openxmlformats.org/officeDocument/2006/relationships/hyperlink" Target="https://www.crunchbase.com/funding_round/adaptive-real-estate-seed--f6d24285" TargetMode="External"/><Relationship Id="rId5181" Type="http://schemas.openxmlformats.org/officeDocument/2006/relationships/hyperlink" Target="https://www.crunchbase.com/organization/tax-filing-guru" TargetMode="External"/><Relationship Id="rId5182" Type="http://schemas.openxmlformats.org/officeDocument/2006/relationships/hyperlink" Target="https://www.filingsguru.com/" TargetMode="External"/><Relationship Id="rId5180" Type="http://schemas.openxmlformats.org/officeDocument/2006/relationships/hyperlink" Target="https://angel.co/company/filingsguruvellore" TargetMode="External"/><Relationship Id="rId5185" Type="http://schemas.openxmlformats.org/officeDocument/2006/relationships/hyperlink" Target="http://www.finneotech.com" TargetMode="External"/><Relationship Id="rId5186" Type="http://schemas.openxmlformats.org/officeDocument/2006/relationships/hyperlink" Target="https://angel.co/company/fintricity" TargetMode="External"/><Relationship Id="rId5183" Type="http://schemas.openxmlformats.org/officeDocument/2006/relationships/hyperlink" Target="https://angel.co/company/finneo-3" TargetMode="External"/><Relationship Id="rId5184" Type="http://schemas.openxmlformats.org/officeDocument/2006/relationships/hyperlink" Target="https://www.crunchbase.com/organization/finneo" TargetMode="External"/><Relationship Id="rId5189" Type="http://schemas.openxmlformats.org/officeDocument/2006/relationships/hyperlink" Target="https://www.crunchbase.com/organization/fitness-on-demand" TargetMode="External"/><Relationship Id="rId5187" Type="http://schemas.openxmlformats.org/officeDocument/2006/relationships/hyperlink" Target="https://www.crunchbase.com/organization/fintricity" TargetMode="External"/><Relationship Id="rId5188" Type="http://schemas.openxmlformats.org/officeDocument/2006/relationships/hyperlink" Target="https://www.fintricity.com/" TargetMode="External"/><Relationship Id="rId1697" Type="http://schemas.openxmlformats.org/officeDocument/2006/relationships/hyperlink" Target="https://www.milocredit.com/" TargetMode="External"/><Relationship Id="rId1698" Type="http://schemas.openxmlformats.org/officeDocument/2006/relationships/hyperlink" Target="https://www.crunchbase.com/organization/project-solar" TargetMode="External"/><Relationship Id="rId1699" Type="http://schemas.openxmlformats.org/officeDocument/2006/relationships/hyperlink" Target="https://projectsolar.io/" TargetMode="External"/><Relationship Id="rId866" Type="http://schemas.openxmlformats.org/officeDocument/2006/relationships/hyperlink" Target="https://happy.co/" TargetMode="External"/><Relationship Id="rId865" Type="http://schemas.openxmlformats.org/officeDocument/2006/relationships/hyperlink" Target="https://www.crunchbase.com/organization/happy-inspector" TargetMode="External"/><Relationship Id="rId864" Type="http://schemas.openxmlformats.org/officeDocument/2006/relationships/hyperlink" Target="https://angel.co/company/happyco" TargetMode="External"/><Relationship Id="rId863" Type="http://schemas.openxmlformats.org/officeDocument/2006/relationships/hyperlink" Target="https://www.pinhome.id/" TargetMode="External"/><Relationship Id="rId869" Type="http://schemas.openxmlformats.org/officeDocument/2006/relationships/hyperlink" Target="https://www.crunchbase.com/funding_round/happy-inspector-series-unknown--0559da0f" TargetMode="External"/><Relationship Id="rId868" Type="http://schemas.openxmlformats.org/officeDocument/2006/relationships/hyperlink" Target="https://www.crunchbase.com/funding_round/happy-inspector-series-a--ea501885" TargetMode="External"/><Relationship Id="rId867" Type="http://schemas.openxmlformats.org/officeDocument/2006/relationships/hyperlink" Target="https://www.crunchbase.com/funding_round/happy-inspector-seed--d037b5c7" TargetMode="External"/><Relationship Id="rId1690" Type="http://schemas.openxmlformats.org/officeDocument/2006/relationships/hyperlink" Target="https://www.crunchbase.com/funding_round/freemodel-seed--c37c74a0" TargetMode="External"/><Relationship Id="rId1691" Type="http://schemas.openxmlformats.org/officeDocument/2006/relationships/hyperlink" Target="https://www.crunchbase.com/funding_round/freemodel-series-a--4f20e467" TargetMode="External"/><Relationship Id="rId1692" Type="http://schemas.openxmlformats.org/officeDocument/2006/relationships/hyperlink" Target="https://www.crunchbase.com/organization/casai" TargetMode="External"/><Relationship Id="rId862" Type="http://schemas.openxmlformats.org/officeDocument/2006/relationships/hyperlink" Target="https://www.crunchbase.com/organization/pinhome" TargetMode="External"/><Relationship Id="rId1693" Type="http://schemas.openxmlformats.org/officeDocument/2006/relationships/hyperlink" Target="https://casai.com/" TargetMode="External"/><Relationship Id="rId861" Type="http://schemas.openxmlformats.org/officeDocument/2006/relationships/hyperlink" Target="http://www.luxe.com/" TargetMode="External"/><Relationship Id="rId1694" Type="http://schemas.openxmlformats.org/officeDocument/2006/relationships/hyperlink" Target="https://www.crunchbase.com/funding_round/casai-series-a--5c438fb6" TargetMode="External"/><Relationship Id="rId860" Type="http://schemas.openxmlformats.org/officeDocument/2006/relationships/hyperlink" Target="https://www.crunchbase.com/organization/luxe-valet" TargetMode="External"/><Relationship Id="rId1695" Type="http://schemas.openxmlformats.org/officeDocument/2006/relationships/hyperlink" Target="https://angel.co/company/taliance" TargetMode="External"/><Relationship Id="rId1696" Type="http://schemas.openxmlformats.org/officeDocument/2006/relationships/hyperlink" Target="https://www.crunchbase.com/organization/milo-credit" TargetMode="External"/><Relationship Id="rId1686" Type="http://schemas.openxmlformats.org/officeDocument/2006/relationships/hyperlink" Target="https://www.myne-homes.de/" TargetMode="External"/><Relationship Id="rId1687" Type="http://schemas.openxmlformats.org/officeDocument/2006/relationships/hyperlink" Target="https://www.crunchbase.com/funding_round/myne-homes-seed--3bf4b676" TargetMode="External"/><Relationship Id="rId1688" Type="http://schemas.openxmlformats.org/officeDocument/2006/relationships/hyperlink" Target="https://www.crunchbase.com/organization/freemodel" TargetMode="External"/><Relationship Id="rId1689" Type="http://schemas.openxmlformats.org/officeDocument/2006/relationships/hyperlink" Target="https://www.freemodel.com/" TargetMode="External"/><Relationship Id="rId855" Type="http://schemas.openxmlformats.org/officeDocument/2006/relationships/hyperlink" Target="https://www.crunchbase.com/funding_round/the-guarantors-debt-financing--7cf95e37" TargetMode="External"/><Relationship Id="rId854" Type="http://schemas.openxmlformats.org/officeDocument/2006/relationships/hyperlink" Target="https://www.crunchbase.com/funding_round/the-guarantors-series-b--d32cba05" TargetMode="External"/><Relationship Id="rId853" Type="http://schemas.openxmlformats.org/officeDocument/2006/relationships/hyperlink" Target="https://www.crunchbase.com/funding_round/the-guarantors-series-a--24473f8b" TargetMode="External"/><Relationship Id="rId852" Type="http://schemas.openxmlformats.org/officeDocument/2006/relationships/hyperlink" Target="https://www.theguarantors.com/" TargetMode="External"/><Relationship Id="rId859" Type="http://schemas.openxmlformats.org/officeDocument/2006/relationships/hyperlink" Target="https://angel.co/luxe-1" TargetMode="External"/><Relationship Id="rId858" Type="http://schemas.openxmlformats.org/officeDocument/2006/relationships/hyperlink" Target="https://www.curbio.com/" TargetMode="External"/><Relationship Id="rId857" Type="http://schemas.openxmlformats.org/officeDocument/2006/relationships/hyperlink" Target="https://www.crunchbase.com/organization/curbio" TargetMode="External"/><Relationship Id="rId856" Type="http://schemas.openxmlformats.org/officeDocument/2006/relationships/hyperlink" Target="https://angel.co/company/curbio-1" TargetMode="External"/><Relationship Id="rId1680" Type="http://schemas.openxmlformats.org/officeDocument/2006/relationships/hyperlink" Target="https://www.crunchbase.com/organization/knock-rentals" TargetMode="External"/><Relationship Id="rId1681" Type="http://schemas.openxmlformats.org/officeDocument/2006/relationships/hyperlink" Target="https://www.knockcrm.com" TargetMode="External"/><Relationship Id="rId851" Type="http://schemas.openxmlformats.org/officeDocument/2006/relationships/hyperlink" Target="https://www.crunchbase.com/organization/the-guarantors" TargetMode="External"/><Relationship Id="rId1682" Type="http://schemas.openxmlformats.org/officeDocument/2006/relationships/hyperlink" Target="https://www.crunchbase.com/funding_round/knock-rentals-seed--5ba9c3b4" TargetMode="External"/><Relationship Id="rId850" Type="http://schemas.openxmlformats.org/officeDocument/2006/relationships/hyperlink" Target="https://angel.co/company/theguarantors" TargetMode="External"/><Relationship Id="rId1683" Type="http://schemas.openxmlformats.org/officeDocument/2006/relationships/hyperlink" Target="https://www.crunchbase.com/funding_round/knock-rentals-series-a--574adad5" TargetMode="External"/><Relationship Id="rId1684" Type="http://schemas.openxmlformats.org/officeDocument/2006/relationships/hyperlink" Target="https://www.crunchbase.com/funding_round/knock-rentals-series-b--5d10001a" TargetMode="External"/><Relationship Id="rId1685" Type="http://schemas.openxmlformats.org/officeDocument/2006/relationships/hyperlink" Target="https://www.crunchbase.com/organization/myne-homes" TargetMode="External"/><Relationship Id="rId888" Type="http://schemas.openxmlformats.org/officeDocument/2006/relationships/hyperlink" Target="https://www.crunchbase.com/funding_round/properly-a4b1-series-b--66cf03fc" TargetMode="External"/><Relationship Id="rId887" Type="http://schemas.openxmlformats.org/officeDocument/2006/relationships/hyperlink" Target="https://www.crunchbase.com/funding_round/properly-a4b1-series-a--3cecfdc5" TargetMode="External"/><Relationship Id="rId886" Type="http://schemas.openxmlformats.org/officeDocument/2006/relationships/hyperlink" Target="https://www.crunchbase.com/funding_round/properly-a4b1-seed--e80c1dd1" TargetMode="External"/><Relationship Id="rId885" Type="http://schemas.openxmlformats.org/officeDocument/2006/relationships/hyperlink" Target="https://www.properly.ca/" TargetMode="External"/><Relationship Id="rId889" Type="http://schemas.openxmlformats.org/officeDocument/2006/relationships/hyperlink" Target="https://www.crunchbase.com/organization/land-insight" TargetMode="External"/><Relationship Id="rId880" Type="http://schemas.openxmlformats.org/officeDocument/2006/relationships/hyperlink" Target="https://angel.co/managed-by-q" TargetMode="External"/><Relationship Id="rId884" Type="http://schemas.openxmlformats.org/officeDocument/2006/relationships/hyperlink" Target="https://www.crunchbase.com/organization/properly-a4b1" TargetMode="External"/><Relationship Id="rId883" Type="http://schemas.openxmlformats.org/officeDocument/2006/relationships/hyperlink" Target="https://angel.co/company/properlyhomes" TargetMode="External"/><Relationship Id="rId882" Type="http://schemas.openxmlformats.org/officeDocument/2006/relationships/hyperlink" Target="http://www.managedbyq.com/" TargetMode="External"/><Relationship Id="rId881" Type="http://schemas.openxmlformats.org/officeDocument/2006/relationships/hyperlink" Target="https://www.crunchbase.com/organization/managed-by-q" TargetMode="External"/><Relationship Id="rId877" Type="http://schemas.openxmlformats.org/officeDocument/2006/relationships/hyperlink" Target="https://angel.co/company/coverbuild" TargetMode="External"/><Relationship Id="rId876" Type="http://schemas.openxmlformats.org/officeDocument/2006/relationships/hyperlink" Target="https://www.crunchbase.com/funding_round/august-series-c--41337f4b" TargetMode="External"/><Relationship Id="rId875" Type="http://schemas.openxmlformats.org/officeDocument/2006/relationships/hyperlink" Target="https://www.crunchbase.com/funding_round/august-series-b--1b21b3aa" TargetMode="External"/><Relationship Id="rId874" Type="http://schemas.openxmlformats.org/officeDocument/2006/relationships/hyperlink" Target="https://www.crunchbase.com/funding_round/august-series-a--ae934b06" TargetMode="External"/><Relationship Id="rId879" Type="http://schemas.openxmlformats.org/officeDocument/2006/relationships/hyperlink" Target="https://buildcover.com/" TargetMode="External"/><Relationship Id="rId878" Type="http://schemas.openxmlformats.org/officeDocument/2006/relationships/hyperlink" Target="https://www.crunchbase.com/organization/cover-technologies-inc" TargetMode="External"/><Relationship Id="rId873" Type="http://schemas.openxmlformats.org/officeDocument/2006/relationships/hyperlink" Target="https://www.crunchbase.com/funding_round/august-seed--79e42104" TargetMode="External"/><Relationship Id="rId872" Type="http://schemas.openxmlformats.org/officeDocument/2006/relationships/hyperlink" Target="https://august.com/" TargetMode="External"/><Relationship Id="rId871" Type="http://schemas.openxmlformats.org/officeDocument/2006/relationships/hyperlink" Target="https://www.crunchbase.com/organization/august" TargetMode="External"/><Relationship Id="rId870" Type="http://schemas.openxmlformats.org/officeDocument/2006/relationships/hyperlink" Target="https://angel.co/company/august-2" TargetMode="External"/><Relationship Id="rId1653" Type="http://schemas.openxmlformats.org/officeDocument/2006/relationships/hyperlink" Target="https://www.kumospace.com/" TargetMode="External"/><Relationship Id="rId2984" Type="http://schemas.openxmlformats.org/officeDocument/2006/relationships/hyperlink" Target="https://prophero.com.au/" TargetMode="External"/><Relationship Id="rId1654" Type="http://schemas.openxmlformats.org/officeDocument/2006/relationships/hyperlink" Target="https://www.crunchbase.com/funding_round/kumospace-seed--78067df0" TargetMode="External"/><Relationship Id="rId2985" Type="http://schemas.openxmlformats.org/officeDocument/2006/relationships/hyperlink" Target="https://www.crunchbase.com/funding_round/prophero-pre-seed--a9ac930c" TargetMode="External"/><Relationship Id="rId1655" Type="http://schemas.openxmlformats.org/officeDocument/2006/relationships/hyperlink" Target="https://www.crunchbase.com/funding_round/kumospace-series-a--cc24bec8" TargetMode="External"/><Relationship Id="rId2986" Type="http://schemas.openxmlformats.org/officeDocument/2006/relationships/hyperlink" Target="https://www.crunchbase.com/funding_round/prophero-seed--ccd05913" TargetMode="External"/><Relationship Id="rId1656" Type="http://schemas.openxmlformats.org/officeDocument/2006/relationships/hyperlink" Target="https://angel.co/company/patch-of-land" TargetMode="External"/><Relationship Id="rId2987" Type="http://schemas.openxmlformats.org/officeDocument/2006/relationships/hyperlink" Target="https://www.crunchbase.com/organization/redteam-software-llc" TargetMode="External"/><Relationship Id="rId1657" Type="http://schemas.openxmlformats.org/officeDocument/2006/relationships/hyperlink" Target="https://www.crunchbase.com/organization/patch-of-land" TargetMode="External"/><Relationship Id="rId2988" Type="http://schemas.openxmlformats.org/officeDocument/2006/relationships/hyperlink" Target="https://www.redteam.com/" TargetMode="External"/><Relationship Id="rId1658" Type="http://schemas.openxmlformats.org/officeDocument/2006/relationships/hyperlink" Target="http://patchofland.com/" TargetMode="External"/><Relationship Id="rId2989" Type="http://schemas.openxmlformats.org/officeDocument/2006/relationships/hyperlink" Target="https://www.crunchbase.com/funding_round/redteam-software-llc-seed--2e5d73ec" TargetMode="External"/><Relationship Id="rId1659" Type="http://schemas.openxmlformats.org/officeDocument/2006/relationships/hyperlink" Target="https://angel.co/company/gridium" TargetMode="External"/><Relationship Id="rId829" Type="http://schemas.openxmlformats.org/officeDocument/2006/relationships/hyperlink" Target="https://www.crunchbase.com/funding_round/99-co-series-a--12526517" TargetMode="External"/><Relationship Id="rId828" Type="http://schemas.openxmlformats.org/officeDocument/2006/relationships/hyperlink" Target="https://www.crunchbase.com/funding_round/99-co-seed--64002054" TargetMode="External"/><Relationship Id="rId827" Type="http://schemas.openxmlformats.org/officeDocument/2006/relationships/hyperlink" Target="https://www.99.co/" TargetMode="External"/><Relationship Id="rId822" Type="http://schemas.openxmlformats.org/officeDocument/2006/relationships/hyperlink" Target="https://www.crunchbase.com/funding_round/agora-systems-series-a--8a18bba9" TargetMode="External"/><Relationship Id="rId821" Type="http://schemas.openxmlformats.org/officeDocument/2006/relationships/hyperlink" Target="https://www.crunchbase.com/funding_round/agora-systems-seed--b95facf0" TargetMode="External"/><Relationship Id="rId820" Type="http://schemas.openxmlformats.org/officeDocument/2006/relationships/hyperlink" Target="http://www.usekojo.com/" TargetMode="External"/><Relationship Id="rId826" Type="http://schemas.openxmlformats.org/officeDocument/2006/relationships/hyperlink" Target="https://www.crunchbase.com/organization/99-co" TargetMode="External"/><Relationship Id="rId825" Type="http://schemas.openxmlformats.org/officeDocument/2006/relationships/hyperlink" Target="https://angel.co/company/99-co" TargetMode="External"/><Relationship Id="rId824" Type="http://schemas.openxmlformats.org/officeDocument/2006/relationships/hyperlink" Target="http://99.co/" TargetMode="External"/><Relationship Id="rId823" Type="http://schemas.openxmlformats.org/officeDocument/2006/relationships/hyperlink" Target="https://www.crunchbase.com/funding_round/kojo-series-c--b7d08193" TargetMode="External"/><Relationship Id="rId2980" Type="http://schemas.openxmlformats.org/officeDocument/2006/relationships/hyperlink" Target="https://www.crunchbase.com/funding_round/pivotdesk-series-a--706aaa39" TargetMode="External"/><Relationship Id="rId1650" Type="http://schemas.openxmlformats.org/officeDocument/2006/relationships/hyperlink" Target="http://www.75f.io/" TargetMode="External"/><Relationship Id="rId2981" Type="http://schemas.openxmlformats.org/officeDocument/2006/relationships/hyperlink" Target="https://www.crunchbase.com/organization/remotelock" TargetMode="External"/><Relationship Id="rId1651" Type="http://schemas.openxmlformats.org/officeDocument/2006/relationships/hyperlink" Target="https://angel.co/company/kumospace-2" TargetMode="External"/><Relationship Id="rId2982" Type="http://schemas.openxmlformats.org/officeDocument/2006/relationships/hyperlink" Target="https://www.remotelock.com/" TargetMode="External"/><Relationship Id="rId1652" Type="http://schemas.openxmlformats.org/officeDocument/2006/relationships/hyperlink" Target="https://www.crunchbase.com/organization/kumospace" TargetMode="External"/><Relationship Id="rId2983" Type="http://schemas.openxmlformats.org/officeDocument/2006/relationships/hyperlink" Target="https://www.crunchbase.com/organization/prophero" TargetMode="External"/><Relationship Id="rId1642" Type="http://schemas.openxmlformats.org/officeDocument/2006/relationships/hyperlink" Target="https://www.crunchbase.com/organization/011h" TargetMode="External"/><Relationship Id="rId2973" Type="http://schemas.openxmlformats.org/officeDocument/2006/relationships/hyperlink" Target="https://www.samara.energy/" TargetMode="External"/><Relationship Id="rId1643" Type="http://schemas.openxmlformats.org/officeDocument/2006/relationships/hyperlink" Target="https://www.011h.com/" TargetMode="External"/><Relationship Id="rId2974" Type="http://schemas.openxmlformats.org/officeDocument/2006/relationships/hyperlink" Target="https://www.crunchbase.com/funding_round/samara-319e-pre-seed--2a6a5c55" TargetMode="External"/><Relationship Id="rId1644" Type="http://schemas.openxmlformats.org/officeDocument/2006/relationships/hyperlink" Target="https://www.crunchbase.com/funding_round/011h-series-a--c8198a4d" TargetMode="External"/><Relationship Id="rId2975" Type="http://schemas.openxmlformats.org/officeDocument/2006/relationships/hyperlink" Target="https://www.crunchbase.com/funding_round/samara-319e-seed--5cd01a22" TargetMode="External"/><Relationship Id="rId1645" Type="http://schemas.openxmlformats.org/officeDocument/2006/relationships/hyperlink" Target="https://www.crunchbase.com/organization/rentyl-resorts" TargetMode="External"/><Relationship Id="rId2976" Type="http://schemas.openxmlformats.org/officeDocument/2006/relationships/hyperlink" Target="https://angel.co/company/pivotdesk" TargetMode="External"/><Relationship Id="rId1646" Type="http://schemas.openxmlformats.org/officeDocument/2006/relationships/hyperlink" Target="https://rentylresorts.com/" TargetMode="External"/><Relationship Id="rId2977" Type="http://schemas.openxmlformats.org/officeDocument/2006/relationships/hyperlink" Target="https://www.crunchbase.com/organization/pivotdesk" TargetMode="External"/><Relationship Id="rId1647" Type="http://schemas.openxmlformats.org/officeDocument/2006/relationships/hyperlink" Target="https://www.crunchbase.com/funding_round/rentyl-resorts-private-equity--a1bb6053" TargetMode="External"/><Relationship Id="rId2978" Type="http://schemas.openxmlformats.org/officeDocument/2006/relationships/hyperlink" Target="https://www.pivotdesk.com/" TargetMode="External"/><Relationship Id="rId1648" Type="http://schemas.openxmlformats.org/officeDocument/2006/relationships/hyperlink" Target="https://angel.co/75f" TargetMode="External"/><Relationship Id="rId2979" Type="http://schemas.openxmlformats.org/officeDocument/2006/relationships/hyperlink" Target="https://www.crunchbase.com/funding_round/pivotdesk-seed--28a1d8dc" TargetMode="External"/><Relationship Id="rId1649" Type="http://schemas.openxmlformats.org/officeDocument/2006/relationships/hyperlink" Target="https://www.crunchbase.com/organization/75-fahrenheit" TargetMode="External"/><Relationship Id="rId819" Type="http://schemas.openxmlformats.org/officeDocument/2006/relationships/hyperlink" Target="https://www.crunchbase.com/organization/kojo" TargetMode="External"/><Relationship Id="rId818" Type="http://schemas.openxmlformats.org/officeDocument/2006/relationships/hyperlink" Target="https://angel.co/company/kojo-3" TargetMode="External"/><Relationship Id="rId817" Type="http://schemas.openxmlformats.org/officeDocument/2006/relationships/hyperlink" Target="https://www.crunchbase.com/funding_round/hey-habito-series-c--07f48fdf" TargetMode="External"/><Relationship Id="rId816" Type="http://schemas.openxmlformats.org/officeDocument/2006/relationships/hyperlink" Target="https://www.crunchbase.com/funding_round/hey-habito-series-b--39eccb26" TargetMode="External"/><Relationship Id="rId811" Type="http://schemas.openxmlformats.org/officeDocument/2006/relationships/hyperlink" Target="https://radar.com/" TargetMode="External"/><Relationship Id="rId810" Type="http://schemas.openxmlformats.org/officeDocument/2006/relationships/hyperlink" Target="https://www.crunchbase.com/organization/radar-3" TargetMode="External"/><Relationship Id="rId815" Type="http://schemas.openxmlformats.org/officeDocument/2006/relationships/hyperlink" Target="https://www.crunchbase.com/funding_round/hey-habito-series-a--34b40edc" TargetMode="External"/><Relationship Id="rId814" Type="http://schemas.openxmlformats.org/officeDocument/2006/relationships/hyperlink" Target="https://www.habito.com/" TargetMode="External"/><Relationship Id="rId813" Type="http://schemas.openxmlformats.org/officeDocument/2006/relationships/hyperlink" Target="https://www.crunchbase.com/organization/hey-habito" TargetMode="External"/><Relationship Id="rId812" Type="http://schemas.openxmlformats.org/officeDocument/2006/relationships/hyperlink" Target="https://angel.co/company/habito/people" TargetMode="External"/><Relationship Id="rId2970" Type="http://schemas.openxmlformats.org/officeDocument/2006/relationships/hyperlink" Target="https://digs.com/" TargetMode="External"/><Relationship Id="rId1640" Type="http://schemas.openxmlformats.org/officeDocument/2006/relationships/hyperlink" Target="https://spacemaker.ai/" TargetMode="External"/><Relationship Id="rId2971" Type="http://schemas.openxmlformats.org/officeDocument/2006/relationships/hyperlink" Target="https://www.crunchbase.com/funding_round/digs-8801-seed--98201f11" TargetMode="External"/><Relationship Id="rId1641" Type="http://schemas.openxmlformats.org/officeDocument/2006/relationships/hyperlink" Target="https://angel.co/company/011h" TargetMode="External"/><Relationship Id="rId2972" Type="http://schemas.openxmlformats.org/officeDocument/2006/relationships/hyperlink" Target="https://www.crunchbase.com/organization/samara-319e" TargetMode="External"/><Relationship Id="rId1675" Type="http://schemas.openxmlformats.org/officeDocument/2006/relationships/hyperlink" Target="https://angel.co/wiredscore" TargetMode="External"/><Relationship Id="rId1676" Type="http://schemas.openxmlformats.org/officeDocument/2006/relationships/hyperlink" Target="https://www.crunchbase.com/organization/wiredscore" TargetMode="External"/><Relationship Id="rId1677" Type="http://schemas.openxmlformats.org/officeDocument/2006/relationships/hyperlink" Target="https://wiredscore.com/en/" TargetMode="External"/><Relationship Id="rId1678" Type="http://schemas.openxmlformats.org/officeDocument/2006/relationships/hyperlink" Target="https://www.crunchbase.com/funding_round/wiredscore-series-b--f3f8c6a5" TargetMode="External"/><Relationship Id="rId1679" Type="http://schemas.openxmlformats.org/officeDocument/2006/relationships/hyperlink" Target="https://angel.co/company/knock-3" TargetMode="External"/><Relationship Id="rId849" Type="http://schemas.openxmlformats.org/officeDocument/2006/relationships/hyperlink" Target="https://www.locusview.com/" TargetMode="External"/><Relationship Id="rId844" Type="http://schemas.openxmlformats.org/officeDocument/2006/relationships/hyperlink" Target="https://angel.co/company/immo-3" TargetMode="External"/><Relationship Id="rId843" Type="http://schemas.openxmlformats.org/officeDocument/2006/relationships/hyperlink" Target="https://www.hellosuper.com/" TargetMode="External"/><Relationship Id="rId842" Type="http://schemas.openxmlformats.org/officeDocument/2006/relationships/hyperlink" Target="https://www.crunchbase.com/organization/super-a0d5" TargetMode="External"/><Relationship Id="rId841" Type="http://schemas.openxmlformats.org/officeDocument/2006/relationships/hyperlink" Target="https://angel.co/company/super" TargetMode="External"/><Relationship Id="rId848" Type="http://schemas.openxmlformats.org/officeDocument/2006/relationships/hyperlink" Target="https://www.crunchbase.com/organization/nortecview" TargetMode="External"/><Relationship Id="rId847" Type="http://schemas.openxmlformats.org/officeDocument/2006/relationships/hyperlink" Target="https://angel.co/company/locusview" TargetMode="External"/><Relationship Id="rId846" Type="http://schemas.openxmlformats.org/officeDocument/2006/relationships/hyperlink" Target="https://immo.capital/" TargetMode="External"/><Relationship Id="rId845" Type="http://schemas.openxmlformats.org/officeDocument/2006/relationships/hyperlink" Target="https://www.crunchbase.com/organization/immo-capital" TargetMode="External"/><Relationship Id="rId1670" Type="http://schemas.openxmlformats.org/officeDocument/2006/relationships/hyperlink" Target="https://angel.co/company/canvas-construction" TargetMode="External"/><Relationship Id="rId840" Type="http://schemas.openxmlformats.org/officeDocument/2006/relationships/hyperlink" Target="https://www.crunchbase.com/organization/standard-cognition" TargetMode="External"/><Relationship Id="rId1671" Type="http://schemas.openxmlformats.org/officeDocument/2006/relationships/hyperlink" Target="https://www.crunchbase.com/organization/canvas-ed06" TargetMode="External"/><Relationship Id="rId1672" Type="http://schemas.openxmlformats.org/officeDocument/2006/relationships/hyperlink" Target="https://canvas.build/" TargetMode="External"/><Relationship Id="rId1673" Type="http://schemas.openxmlformats.org/officeDocument/2006/relationships/hyperlink" Target="https://www.crunchbase.com/organization/nomad-homes" TargetMode="External"/><Relationship Id="rId1674" Type="http://schemas.openxmlformats.org/officeDocument/2006/relationships/hyperlink" Target="https://nomadhomes.co/" TargetMode="External"/><Relationship Id="rId1664" Type="http://schemas.openxmlformats.org/officeDocument/2006/relationships/hyperlink" Target="https://angel.co/company/siteminder" TargetMode="External"/><Relationship Id="rId2995" Type="http://schemas.openxmlformats.org/officeDocument/2006/relationships/hyperlink" Target="https://www.documentcrunch.com/" TargetMode="External"/><Relationship Id="rId1665" Type="http://schemas.openxmlformats.org/officeDocument/2006/relationships/hyperlink" Target="https://www.crunchbase.com/organization/siteminder" TargetMode="External"/><Relationship Id="rId2996" Type="http://schemas.openxmlformats.org/officeDocument/2006/relationships/hyperlink" Target="https://www.crunchbase.com/funding_round/document-crunch-seed--5d31f4b8" TargetMode="External"/><Relationship Id="rId1666" Type="http://schemas.openxmlformats.org/officeDocument/2006/relationships/hyperlink" Target="http://www.siteminder.com/" TargetMode="External"/><Relationship Id="rId2997" Type="http://schemas.openxmlformats.org/officeDocument/2006/relationships/hyperlink" Target="http://mogul.sg/" TargetMode="External"/><Relationship Id="rId1667" Type="http://schemas.openxmlformats.org/officeDocument/2006/relationships/hyperlink" Target="https://angel.co/company/unacast" TargetMode="External"/><Relationship Id="rId2998" Type="http://schemas.openxmlformats.org/officeDocument/2006/relationships/hyperlink" Target="https://www.crunchbase.com/organization/mogul" TargetMode="External"/><Relationship Id="rId1668" Type="http://schemas.openxmlformats.org/officeDocument/2006/relationships/hyperlink" Target="https://www.crunchbase.com/organization/unacast" TargetMode="External"/><Relationship Id="rId2999" Type="http://schemas.openxmlformats.org/officeDocument/2006/relationships/hyperlink" Target="http://mogul.sg/" TargetMode="External"/><Relationship Id="rId1669" Type="http://schemas.openxmlformats.org/officeDocument/2006/relationships/hyperlink" Target="https://www.unacast.com/now" TargetMode="External"/><Relationship Id="rId839" Type="http://schemas.openxmlformats.org/officeDocument/2006/relationships/hyperlink" Target="https://www.crunchbase.com/funding_round/plant-prefab-debt-financing--2f97547c" TargetMode="External"/><Relationship Id="rId838" Type="http://schemas.openxmlformats.org/officeDocument/2006/relationships/hyperlink" Target="https://www.crunchbase.com/funding_round/plant-prefab-series-c--5db91d67" TargetMode="External"/><Relationship Id="rId833" Type="http://schemas.openxmlformats.org/officeDocument/2006/relationships/hyperlink" Target="https://www.crunchbase.com/organization/hotel-engine" TargetMode="External"/><Relationship Id="rId832" Type="http://schemas.openxmlformats.org/officeDocument/2006/relationships/hyperlink" Target="https://angel.co/company/hotel-engine-1" TargetMode="External"/><Relationship Id="rId831" Type="http://schemas.openxmlformats.org/officeDocument/2006/relationships/hyperlink" Target="https://www.crunchbase.com/funding_round/99-co-series-c--e8293036" TargetMode="External"/><Relationship Id="rId830" Type="http://schemas.openxmlformats.org/officeDocument/2006/relationships/hyperlink" Target="https://www.crunchbase.com/funding_round/99-co-series-b--87e878dc" TargetMode="External"/><Relationship Id="rId837" Type="http://schemas.openxmlformats.org/officeDocument/2006/relationships/hyperlink" Target="https://www.plantprefab.com/" TargetMode="External"/><Relationship Id="rId836" Type="http://schemas.openxmlformats.org/officeDocument/2006/relationships/hyperlink" Target="https://www.crunchbase.com/organization/plant-prefab" TargetMode="External"/><Relationship Id="rId835" Type="http://schemas.openxmlformats.org/officeDocument/2006/relationships/hyperlink" Target="https://angel.co/company/plant-prefab-1" TargetMode="External"/><Relationship Id="rId834" Type="http://schemas.openxmlformats.org/officeDocument/2006/relationships/hyperlink" Target="https://www.hotelengine.com/" TargetMode="External"/><Relationship Id="rId2990" Type="http://schemas.openxmlformats.org/officeDocument/2006/relationships/hyperlink" Target="https://www.crunchbase.com/funding_round/redteam-software-llc-series-a--be63966e" TargetMode="External"/><Relationship Id="rId1660" Type="http://schemas.openxmlformats.org/officeDocument/2006/relationships/hyperlink" Target="https://www.crunchbase.com/organization/gridium" TargetMode="External"/><Relationship Id="rId2991" Type="http://schemas.openxmlformats.org/officeDocument/2006/relationships/hyperlink" Target="https://angel.co/company/humming-homes" TargetMode="External"/><Relationship Id="rId1661" Type="http://schemas.openxmlformats.org/officeDocument/2006/relationships/hyperlink" Target="https://gridium.com/" TargetMode="External"/><Relationship Id="rId2992" Type="http://schemas.openxmlformats.org/officeDocument/2006/relationships/hyperlink" Target="https://www.crunchbase.com/organization/humming-homes" TargetMode="External"/><Relationship Id="rId1662" Type="http://schemas.openxmlformats.org/officeDocument/2006/relationships/hyperlink" Target="https://www.crunchbase.com/funding_round/gridium-series-unknown--0dc09256" TargetMode="External"/><Relationship Id="rId2993" Type="http://schemas.openxmlformats.org/officeDocument/2006/relationships/hyperlink" Target="https://www.humminghomes.com/" TargetMode="External"/><Relationship Id="rId1663" Type="http://schemas.openxmlformats.org/officeDocument/2006/relationships/hyperlink" Target="https://www.crunchbase.com/funding_round/gridium-debt-financing--f15177c7" TargetMode="External"/><Relationship Id="rId2994" Type="http://schemas.openxmlformats.org/officeDocument/2006/relationships/hyperlink" Target="https://www.crunchbase.com/organization/document-crunch" TargetMode="External"/><Relationship Id="rId6506" Type="http://schemas.openxmlformats.org/officeDocument/2006/relationships/hyperlink" Target="https://fieldmaterials.com/" TargetMode="External"/><Relationship Id="rId6507" Type="http://schemas.openxmlformats.org/officeDocument/2006/relationships/hyperlink" Target="https://www.crunchbase.com/funding_round/field-materials-inc-seed--716b206a" TargetMode="External"/><Relationship Id="rId6504" Type="http://schemas.openxmlformats.org/officeDocument/2006/relationships/hyperlink" Target="https://wellfound.com/company/field-materials" TargetMode="External"/><Relationship Id="rId6505" Type="http://schemas.openxmlformats.org/officeDocument/2006/relationships/hyperlink" Target="https://www.crunchbase.com/organization/field-materials-inc" TargetMode="External"/><Relationship Id="rId6508" Type="http://schemas.openxmlformats.org/officeDocument/2006/relationships/hyperlink" Target="https://wellfound.com/company/soulroomstoronto" TargetMode="External"/><Relationship Id="rId6509" Type="http://schemas.openxmlformats.org/officeDocument/2006/relationships/hyperlink" Target="https://www.crunchbase.com/organization/realsage" TargetMode="External"/><Relationship Id="rId6502" Type="http://schemas.openxmlformats.org/officeDocument/2006/relationships/hyperlink" Target="https://www.crunchbase.com/funding_round/metr-seed--7a0e899b" TargetMode="External"/><Relationship Id="rId6503" Type="http://schemas.openxmlformats.org/officeDocument/2006/relationships/hyperlink" Target="https://www.crunchbase.com/funding_round/metr-series-a--d4714561" TargetMode="External"/><Relationship Id="rId6500" Type="http://schemas.openxmlformats.org/officeDocument/2006/relationships/hyperlink" Target="https://www.crunchbase.com/organization/metr" TargetMode="External"/><Relationship Id="rId6501" Type="http://schemas.openxmlformats.org/officeDocument/2006/relationships/hyperlink" Target="https://metr.systems/" TargetMode="External"/><Relationship Id="rId6528" Type="http://schemas.openxmlformats.org/officeDocument/2006/relationships/hyperlink" Target="https://graneet.fr/" TargetMode="External"/><Relationship Id="rId6529" Type="http://schemas.openxmlformats.org/officeDocument/2006/relationships/hyperlink" Target="https://www.crunchbase.com/funding_round/graneet-seed--b9accac2" TargetMode="External"/><Relationship Id="rId6526" Type="http://schemas.openxmlformats.org/officeDocument/2006/relationships/hyperlink" Target="https://www.crunchbase.com/funding_round/thynk-cloud-series-a--2eec259f" TargetMode="External"/><Relationship Id="rId6527" Type="http://schemas.openxmlformats.org/officeDocument/2006/relationships/hyperlink" Target="https://www.crunchbase.com/organization/graneet" TargetMode="External"/><Relationship Id="rId6520" Type="http://schemas.openxmlformats.org/officeDocument/2006/relationships/hyperlink" Target="https://www.crunchbase.com/organization/myenergi" TargetMode="External"/><Relationship Id="rId6521" Type="http://schemas.openxmlformats.org/officeDocument/2006/relationships/hyperlink" Target="https://myenergi.com/" TargetMode="External"/><Relationship Id="rId6524" Type="http://schemas.openxmlformats.org/officeDocument/2006/relationships/hyperlink" Target="https://www.thynk.cloud/" TargetMode="External"/><Relationship Id="rId6525" Type="http://schemas.openxmlformats.org/officeDocument/2006/relationships/hyperlink" Target="https://www.crunchbase.com/funding_round/thynk-cloud-seed--47311cda" TargetMode="External"/><Relationship Id="rId6522" Type="http://schemas.openxmlformats.org/officeDocument/2006/relationships/hyperlink" Target="https://www.crunchbase.com/funding_round/myenergi-debt-financing--5a37eee1" TargetMode="External"/><Relationship Id="rId6523" Type="http://schemas.openxmlformats.org/officeDocument/2006/relationships/hyperlink" Target="https://www.crunchbase.com/organization/thynk-cloud" TargetMode="External"/><Relationship Id="rId6517" Type="http://schemas.openxmlformats.org/officeDocument/2006/relationships/hyperlink" Target="https://www.crunchbase.com/funding_round/hometree-2-undisclosed--db4694e1" TargetMode="External"/><Relationship Id="rId6518" Type="http://schemas.openxmlformats.org/officeDocument/2006/relationships/hyperlink" Target="https://www.crunchbase.com/funding_round/hometree-2-undisclosed--6d9a6dd8" TargetMode="External"/><Relationship Id="rId6515" Type="http://schemas.openxmlformats.org/officeDocument/2006/relationships/hyperlink" Target="https://www.crunchbase.com/funding_round/hometree-2-convertible-note--45205879" TargetMode="External"/><Relationship Id="rId6516" Type="http://schemas.openxmlformats.org/officeDocument/2006/relationships/hyperlink" Target="https://www.crunchbase.com/funding_round/hometree-2-seed--7a197425" TargetMode="External"/><Relationship Id="rId6519" Type="http://schemas.openxmlformats.org/officeDocument/2006/relationships/hyperlink" Target="https://www.crunchbase.com/funding_round/hometree-2-series-b--c42382a3" TargetMode="External"/><Relationship Id="rId6510" Type="http://schemas.openxmlformats.org/officeDocument/2006/relationships/hyperlink" Target="https://realsage.com/" TargetMode="External"/><Relationship Id="rId6513" Type="http://schemas.openxmlformats.org/officeDocument/2006/relationships/hyperlink" Target="https://www.crunchbase.com/organization/hometree-2" TargetMode="External"/><Relationship Id="rId6514" Type="http://schemas.openxmlformats.org/officeDocument/2006/relationships/hyperlink" Target="https://www.hometree.co.uk/group/" TargetMode="External"/><Relationship Id="rId6511" Type="http://schemas.openxmlformats.org/officeDocument/2006/relationships/hyperlink" Target="https://www.crunchbase.com/funding_round/realsage-pre-seed--1cb9b2e7" TargetMode="External"/><Relationship Id="rId6512" Type="http://schemas.openxmlformats.org/officeDocument/2006/relationships/hyperlink" Target="https://wellfound.com/company/hometree-4" TargetMode="External"/><Relationship Id="rId899" Type="http://schemas.openxmlformats.org/officeDocument/2006/relationships/hyperlink" Target="https://www.crunchbase.com/organization/pearlx-infrastructure" TargetMode="External"/><Relationship Id="rId898" Type="http://schemas.openxmlformats.org/officeDocument/2006/relationships/hyperlink" Target="https://www.flowcarbon.com/" TargetMode="External"/><Relationship Id="rId897" Type="http://schemas.openxmlformats.org/officeDocument/2006/relationships/hyperlink" Target="https://www.crunchbase.com/organization/flow-carbon" TargetMode="External"/><Relationship Id="rId896" Type="http://schemas.openxmlformats.org/officeDocument/2006/relationships/hyperlink" Target="https://hellotomo.com/" TargetMode="External"/><Relationship Id="rId891" Type="http://schemas.openxmlformats.org/officeDocument/2006/relationships/hyperlink" Target="https://www.crunchbase.com/funding_round/land-insight-series-unknown--45c19232" TargetMode="External"/><Relationship Id="rId890" Type="http://schemas.openxmlformats.org/officeDocument/2006/relationships/hyperlink" Target="https://land.tech/" TargetMode="External"/><Relationship Id="rId895" Type="http://schemas.openxmlformats.org/officeDocument/2006/relationships/hyperlink" Target="https://www.crunchbase.com/organization/tomo-a2ad" TargetMode="External"/><Relationship Id="rId894" Type="http://schemas.openxmlformats.org/officeDocument/2006/relationships/hyperlink" Target="https://deliverr.com/" TargetMode="External"/><Relationship Id="rId893" Type="http://schemas.openxmlformats.org/officeDocument/2006/relationships/hyperlink" Target="https://www.crunchbase.com/organization/deliverr" TargetMode="External"/><Relationship Id="rId892" Type="http://schemas.openxmlformats.org/officeDocument/2006/relationships/hyperlink" Target="https://angel.co/company/delive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5"/>
    <col customWidth="1" min="2" max="2" width="19.25"/>
    <col customWidth="1" min="3" max="3" width="14.75"/>
    <col customWidth="1" min="4" max="4" width="12.25"/>
    <col customWidth="1" min="5" max="5" width="17.0"/>
    <col customWidth="1" min="6" max="6" width="16.88"/>
    <col customWidth="1" min="7" max="7" width="27.63"/>
    <col customWidth="1" min="8" max="8" width="21.5"/>
    <col customWidth="1" min="9" max="9" width="18.75"/>
    <col customWidth="1" min="10" max="10" width="13.38"/>
    <col customWidth="1" min="11" max="14" width="9.88"/>
    <col customWidth="1" min="15" max="23" width="21.5"/>
    <col customWidth="1" min="24" max="24" width="10.13"/>
    <col customWidth="1" min="25" max="25" width="9.88"/>
    <col customWidth="1" min="26" max="26" width="21.5"/>
    <col customWidth="1" min="27" max="27" width="21.0"/>
    <col customWidth="1" min="28" max="29" width="0.38"/>
    <col customWidth="1" min="30" max="30" width="19.75"/>
    <col customWidth="1" min="31" max="31" width="18.88"/>
    <col customWidth="1" min="32" max="94" width="21.5"/>
  </cols>
  <sheetData>
    <row r="1" ht="4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9" t="s">
        <v>25</v>
      </c>
      <c r="AA1" s="10" t="s">
        <v>26</v>
      </c>
      <c r="AB1" s="4" t="s">
        <v>27</v>
      </c>
      <c r="AC1" s="4" t="s">
        <v>28</v>
      </c>
      <c r="AD1" s="11" t="s">
        <v>29</v>
      </c>
      <c r="AE1" s="4" t="s">
        <v>30</v>
      </c>
      <c r="AF1" s="11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12" t="s">
        <v>46</v>
      </c>
      <c r="AV1" s="3" t="s">
        <v>47</v>
      </c>
      <c r="AW1" s="12" t="s">
        <v>48</v>
      </c>
      <c r="AX1" s="3" t="s">
        <v>49</v>
      </c>
      <c r="AY1" s="12" t="s">
        <v>50</v>
      </c>
      <c r="AZ1" s="3" t="s">
        <v>51</v>
      </c>
      <c r="BA1" s="12" t="s">
        <v>52</v>
      </c>
      <c r="BB1" s="13" t="s">
        <v>53</v>
      </c>
      <c r="BC1" s="14" t="s">
        <v>54</v>
      </c>
      <c r="BD1" s="4" t="s">
        <v>55</v>
      </c>
      <c r="BE1" s="4" t="s">
        <v>56</v>
      </c>
      <c r="BF1" s="4" t="s">
        <v>57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ht="22.5" customHeight="1">
      <c r="A2" s="15" t="s">
        <v>58</v>
      </c>
      <c r="B2" s="16"/>
      <c r="C2" s="17" t="s">
        <v>59</v>
      </c>
      <c r="D2" s="18" t="s">
        <v>60</v>
      </c>
      <c r="E2" s="19" t="s">
        <v>61</v>
      </c>
      <c r="F2" s="20" t="s">
        <v>62</v>
      </c>
      <c r="G2" s="21" t="s">
        <v>63</v>
      </c>
      <c r="H2" s="22" t="s">
        <v>64</v>
      </c>
      <c r="I2" s="23" t="s">
        <v>65</v>
      </c>
      <c r="J2" s="24" t="s">
        <v>66</v>
      </c>
      <c r="K2" s="23">
        <v>2.0</v>
      </c>
      <c r="L2" s="23">
        <v>2013.0</v>
      </c>
      <c r="M2" s="25">
        <f t="shared" ref="M2:M3" si="1">year(now()) -L2</f>
        <v>12</v>
      </c>
      <c r="N2" s="26">
        <f t="shared" ref="N2:N3" si="2">counta(AE2,AG2,AI2,AK2,AM2,AO2,AQ2,AS2,AU2,AW2,AY2,BA2,BC2)</f>
        <v>4</v>
      </c>
      <c r="O2" s="27">
        <f t="shared" ref="O2:O2145" si="3">RANK(Z2,$Z$2:$Z$333)</f>
        <v>1</v>
      </c>
      <c r="P2" s="28">
        <f t="shared" ref="P2:P51" si="4">RANK(T2,$T$2:$T$51)</f>
        <v>25</v>
      </c>
      <c r="Q2" s="28">
        <f t="shared" ref="Q2:Q53" si="5">rank(V2,$V$2:$V$52)</f>
        <v>19</v>
      </c>
      <c r="R2" s="28"/>
      <c r="S2" s="28" t="str">
        <f>rank(Y2,$Y$8:$Y$80)</f>
        <v>#N/A</v>
      </c>
      <c r="T2" s="29">
        <f t="shared" ref="T2:T64" si="6">V2/M2</f>
        <v>43625000</v>
      </c>
      <c r="U2" s="28"/>
      <c r="V2" s="30">
        <f t="shared" ref="V2:V28" si="7">SUM(BE2+BC2+BA2+AY2+AW2+AU2+AS2+AQ2+AO2+AM2+AK2+AI2+AG2+AE2)</f>
        <v>523500000</v>
      </c>
      <c r="W2" s="31">
        <v>1.0E7</v>
      </c>
      <c r="X2" s="32">
        <f>(max(AE2,AG2,AI2,AK2,AM2,AO2,AQ2,AS2,AU2,AW2,AY2,BA2,BC2)/min(AE2,AG2,AI2,AK2,AM2,AO2,AQ2,AS2,AU2,AW2,AY2,BA2,BC2))^(1/N2)-1</f>
        <v>0.8060012085</v>
      </c>
      <c r="Y2" s="33">
        <f>(max(AE2,AG2,AI2,AK2,AM2,AO2,AQ2,AS2,AU2,AW2,AY2,BA2,BC2)/min(AE2,AG2,AI2,AK2,AM2,AO2,AQ2,AS2,AU2,AW2,AY2,BA2,BC2))^(1/M2)-1</f>
        <v>0.2177907722</v>
      </c>
      <c r="Z2" s="34">
        <v>4.0E9</v>
      </c>
      <c r="AA2" s="35">
        <v>2022.0</v>
      </c>
      <c r="AB2" s="36"/>
      <c r="AC2" s="36"/>
      <c r="AD2" s="37"/>
      <c r="AE2" s="38"/>
      <c r="AF2" s="39"/>
      <c r="AG2" s="38"/>
      <c r="AH2" s="40"/>
      <c r="AI2" s="41"/>
      <c r="AJ2" s="42" t="str">
        <f>HYPERLINK("https://www.crunchbase.com/funding_round/aurora-solar-series-a--48c1cedc","Feb 4, 2019")</f>
        <v>Feb 4, 2019</v>
      </c>
      <c r="AK2" s="38">
        <v>2.35E7</v>
      </c>
      <c r="AL2" s="43" t="str">
        <f>HYPERLINK("https://www.crunchbase.com/funding_round/aurora-solar-series-b--fa08e350","Nov 30, 2020")</f>
        <v>Nov 30, 2020</v>
      </c>
      <c r="AM2" s="38">
        <v>5.0E7</v>
      </c>
      <c r="AN2" s="43" t="str">
        <f>HYPERLINK("https://www.crunchbase.com/funding_round/aurora-solar-series-c--b3f7c701","May 24, 2021")</f>
        <v>May 24, 2021</v>
      </c>
      <c r="AO2" s="38">
        <v>2.5E8</v>
      </c>
      <c r="AP2" s="43" t="str">
        <f>HYPERLINK("https://www.crunchbase.com/funding_round/aurora-solar-series-d--29c7f246","Feb 28, 2022")</f>
        <v>Feb 28, 2022</v>
      </c>
      <c r="AQ2" s="38">
        <v>2.0E8</v>
      </c>
      <c r="AR2" s="44"/>
      <c r="AS2" s="44"/>
      <c r="AT2" s="44"/>
      <c r="AU2" s="45"/>
      <c r="AV2" s="44"/>
      <c r="AW2" s="38"/>
      <c r="AX2" s="44"/>
      <c r="AY2" s="38"/>
      <c r="AZ2" s="44"/>
      <c r="BA2" s="45"/>
      <c r="BB2" s="44"/>
      <c r="BC2" s="45"/>
      <c r="BD2" s="44"/>
      <c r="BE2" s="46"/>
      <c r="BF2" s="3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</row>
    <row r="3" ht="23.25" customHeight="1">
      <c r="A3" s="47" t="s">
        <v>67</v>
      </c>
      <c r="C3" s="48" t="s">
        <v>68</v>
      </c>
      <c r="D3" s="49" t="s">
        <v>69</v>
      </c>
      <c r="E3" s="50" t="s">
        <v>70</v>
      </c>
      <c r="F3" s="51" t="s">
        <v>71</v>
      </c>
      <c r="G3" s="52"/>
      <c r="H3" s="53" t="s">
        <v>72</v>
      </c>
      <c r="I3" s="54" t="s">
        <v>73</v>
      </c>
      <c r="J3" s="55"/>
      <c r="K3" s="54">
        <v>5.0</v>
      </c>
      <c r="L3" s="56">
        <v>2014.0</v>
      </c>
      <c r="M3" s="57">
        <f t="shared" si="1"/>
        <v>11</v>
      </c>
      <c r="N3" s="26">
        <f t="shared" si="2"/>
        <v>7</v>
      </c>
      <c r="O3" s="27">
        <f t="shared" si="3"/>
        <v>2</v>
      </c>
      <c r="P3" s="28">
        <f t="shared" si="4"/>
        <v>5</v>
      </c>
      <c r="Q3" s="28">
        <f t="shared" si="5"/>
        <v>2</v>
      </c>
      <c r="R3" s="55"/>
      <c r="S3" s="55"/>
      <c r="T3" s="29">
        <f t="shared" si="6"/>
        <v>182890909.1</v>
      </c>
      <c r="U3" s="55"/>
      <c r="V3" s="30">
        <f t="shared" si="7"/>
        <v>2011800000</v>
      </c>
      <c r="W3" s="31">
        <v>3.0E8</v>
      </c>
      <c r="X3" s="58"/>
      <c r="Y3" s="58"/>
      <c r="Z3" s="59">
        <v>3.89E9</v>
      </c>
      <c r="AA3" s="60" t="s">
        <v>74</v>
      </c>
      <c r="AB3" s="55"/>
      <c r="AC3" s="55"/>
      <c r="AD3" s="61"/>
      <c r="AE3" s="38"/>
      <c r="AF3" s="62">
        <v>42130.0</v>
      </c>
      <c r="AG3" s="38"/>
      <c r="AH3" s="55"/>
      <c r="AI3" s="38"/>
      <c r="AJ3" s="63">
        <v>42515.0</v>
      </c>
      <c r="AK3" s="38">
        <v>5500000.0</v>
      </c>
      <c r="AL3" s="62">
        <v>42759.0</v>
      </c>
      <c r="AM3" s="38">
        <v>2.6E7</v>
      </c>
      <c r="AN3" s="62">
        <v>44196.0</v>
      </c>
      <c r="AO3" s="38">
        <f>65300000+10000000+25000000</f>
        <v>100300000</v>
      </c>
      <c r="AP3" s="64">
        <v>44392.0</v>
      </c>
      <c r="AQ3" s="38">
        <v>2.3E8</v>
      </c>
      <c r="AR3" s="65">
        <v>45182.0</v>
      </c>
      <c r="AS3" s="38">
        <f>290000000+150000000</f>
        <v>440000000</v>
      </c>
      <c r="AT3" s="55"/>
      <c r="AU3" s="38"/>
      <c r="AV3" s="55"/>
      <c r="AW3" s="38"/>
      <c r="AX3" s="55"/>
      <c r="AY3" s="38"/>
      <c r="AZ3" s="62">
        <v>43743.0</v>
      </c>
      <c r="BA3" s="38">
        <v>1.0E7</v>
      </c>
      <c r="BB3" s="62">
        <v>44440.0</v>
      </c>
      <c r="BC3" s="38">
        <v>1.2E9</v>
      </c>
      <c r="BD3" s="55"/>
      <c r="BE3" s="38"/>
      <c r="BF3" s="55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</row>
    <row r="4" ht="18.0" customHeight="1">
      <c r="A4" s="67" t="s">
        <v>75</v>
      </c>
      <c r="B4" s="68"/>
      <c r="C4" s="69" t="s">
        <v>76</v>
      </c>
      <c r="D4" s="50" t="s">
        <v>77</v>
      </c>
      <c r="E4" s="50" t="s">
        <v>78</v>
      </c>
      <c r="F4" s="70" t="s">
        <v>79</v>
      </c>
      <c r="G4" s="71"/>
      <c r="H4" s="71" t="s">
        <v>80</v>
      </c>
      <c r="I4" s="26" t="s">
        <v>65</v>
      </c>
      <c r="J4" s="55"/>
      <c r="K4" s="26">
        <v>4.0</v>
      </c>
      <c r="L4" s="72" t="s">
        <v>81</v>
      </c>
      <c r="M4" s="25">
        <v>8.0</v>
      </c>
      <c r="N4" s="26">
        <v>5.0</v>
      </c>
      <c r="O4" s="27">
        <f t="shared" si="3"/>
        <v>3</v>
      </c>
      <c r="P4" s="28">
        <f t="shared" si="4"/>
        <v>20</v>
      </c>
      <c r="Q4" s="28">
        <f t="shared" si="5"/>
        <v>29</v>
      </c>
      <c r="R4" s="28"/>
      <c r="S4" s="28"/>
      <c r="T4" s="29">
        <f t="shared" si="6"/>
        <v>55537500</v>
      </c>
      <c r="U4" s="28"/>
      <c r="V4" s="30">
        <f t="shared" si="7"/>
        <v>444300000</v>
      </c>
      <c r="W4" s="30"/>
      <c r="X4" s="73"/>
      <c r="Y4" s="73"/>
      <c r="Z4" s="59">
        <v>3.2E9</v>
      </c>
      <c r="AA4" s="60" t="s">
        <v>82</v>
      </c>
      <c r="AB4" s="74"/>
      <c r="AC4" s="74"/>
      <c r="AD4" s="55"/>
      <c r="AE4" s="55"/>
      <c r="AF4" s="75">
        <v>42999.0</v>
      </c>
      <c r="AG4" s="76">
        <v>3900000.0</v>
      </c>
      <c r="AH4" s="77"/>
      <c r="AI4" s="78"/>
      <c r="AJ4" s="75">
        <v>43201.0</v>
      </c>
      <c r="AK4" s="76">
        <v>1.5E7</v>
      </c>
      <c r="AL4" s="75">
        <v>43580.0</v>
      </c>
      <c r="AM4" s="76">
        <v>4.0E7</v>
      </c>
      <c r="AN4" s="75">
        <v>43859.0</v>
      </c>
      <c r="AO4" s="76">
        <v>8.0E7</v>
      </c>
      <c r="AP4" s="75">
        <v>45209.0</v>
      </c>
      <c r="AQ4" s="76">
        <f>205000000+100000000</f>
        <v>305000000</v>
      </c>
      <c r="AR4" s="79"/>
      <c r="AS4" s="79"/>
      <c r="AT4" s="79"/>
      <c r="AU4" s="80"/>
      <c r="AV4" s="79"/>
      <c r="AW4" s="38"/>
      <c r="AX4" s="79"/>
      <c r="AY4" s="38"/>
      <c r="AZ4" s="81"/>
      <c r="BA4" s="80"/>
      <c r="BB4" s="82">
        <v>42671.0</v>
      </c>
      <c r="BC4" s="83">
        <v>400000.0</v>
      </c>
      <c r="BD4" s="79"/>
      <c r="BE4" s="84"/>
      <c r="BF4" s="74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</row>
    <row r="5" ht="19.5" customHeight="1">
      <c r="A5" s="85" t="s">
        <v>83</v>
      </c>
      <c r="B5" s="86"/>
      <c r="C5" s="87" t="s">
        <v>84</v>
      </c>
      <c r="D5" s="87"/>
      <c r="E5" s="88" t="s">
        <v>85</v>
      </c>
      <c r="F5" s="89" t="s">
        <v>86</v>
      </c>
      <c r="G5" s="90" t="s">
        <v>87</v>
      </c>
      <c r="H5" s="91" t="s">
        <v>88</v>
      </c>
      <c r="I5" s="91" t="s">
        <v>89</v>
      </c>
      <c r="J5" s="92"/>
      <c r="K5" s="93">
        <v>9.0</v>
      </c>
      <c r="L5" s="93">
        <v>2018.0</v>
      </c>
      <c r="M5" s="94">
        <f t="shared" ref="M5:M10" si="8">year(now()) -L5</f>
        <v>7</v>
      </c>
      <c r="N5" s="93">
        <f t="shared" ref="N5:N10" si="9">counta(AE5,AG5,AI5,AK5,AM5,AO5,AQ5,AS5,AU5,AW5,AY5,BA5,BC5)</f>
        <v>5</v>
      </c>
      <c r="O5" s="27">
        <f t="shared" si="3"/>
        <v>4</v>
      </c>
      <c r="P5" s="28">
        <f t="shared" si="4"/>
        <v>8</v>
      </c>
      <c r="Q5" s="28">
        <f t="shared" si="5"/>
        <v>6</v>
      </c>
      <c r="R5" s="95">
        <f>rank(W5,$W$2:$W$75)</f>
        <v>5</v>
      </c>
      <c r="S5" s="95">
        <f>rank(Y5,$Y$2:$Y$65)</f>
        <v>15</v>
      </c>
      <c r="T5" s="96">
        <f t="shared" si="6"/>
        <v>126857142.9</v>
      </c>
      <c r="U5" s="97">
        <f>W5/V5</f>
        <v>0.1689189189</v>
      </c>
      <c r="V5" s="98">
        <f t="shared" si="7"/>
        <v>888000000</v>
      </c>
      <c r="W5" s="99">
        <v>1.5E8</v>
      </c>
      <c r="X5" s="100">
        <f t="shared" ref="X5:X10" si="10">(max(AE5,AG5,AI5,AK5,AM5,AO5,AQ5,AS5,AU5,AW5,AY5,BA5,BC5)/min(AE5,AG5,AI5,AK5,AM5,AO5,AQ5,AS5,AU5,AW5,AY5,BA5,BC5))^(1/N5)-1</f>
        <v>0.963257927</v>
      </c>
      <c r="Y5" s="100">
        <f t="shared" ref="Y5:Y10" si="11">(max(AE5,AG5,AI5,AK5,AM5,AO5,AQ5,AS5,AU5,AW5,AY5,BA5,BC5)/min(AE5,AG5,AI5,AK5,AM5,AO5,AQ5,AS5,AU5,AW5,AY5,BA5,BC5))^(1/M5)-1</f>
        <v>0.6190846023</v>
      </c>
      <c r="Z5" s="34">
        <v>2.9E9</v>
      </c>
      <c r="AA5" s="35">
        <v>2021.0</v>
      </c>
      <c r="AB5" s="101"/>
      <c r="AC5" s="101"/>
      <c r="AD5" s="102"/>
      <c r="AE5" s="103"/>
      <c r="AF5" s="104"/>
      <c r="AG5" s="105"/>
      <c r="AH5" s="101"/>
      <c r="AI5" s="106"/>
      <c r="AJ5" s="107" t="str">
        <f>HYPERLINK("https://www.crunchbase.com/funding_round/loft-br-series-a--9322200f","Jan 1, 2018")</f>
        <v>Jan 1, 2018</v>
      </c>
      <c r="AK5" s="108">
        <v>1.8E7</v>
      </c>
      <c r="AL5" s="107" t="str">
        <f>HYPERLINK("https://www.crunchbase.com/funding_round/loft-br-series-b--494d9b9c","Mar 20, 2019")</f>
        <v>Mar 20, 2019</v>
      </c>
      <c r="AM5" s="108">
        <v>7.0E7</v>
      </c>
      <c r="AN5" s="107" t="str">
        <f>HYPERLINK("https://www.crunchbase.com/funding_round/loft-br-series-c--9eb1607e","Jan 3, 2020")</f>
        <v>Jan 3, 2020</v>
      </c>
      <c r="AO5" s="108">
        <v>1.75E8</v>
      </c>
      <c r="AP5" s="107" t="str">
        <f>HYPERLINK("https://www.crunchbase.com/funding_round/loft-br-series-d--1684b317","Apr 22, 2021")</f>
        <v>Apr 22, 2021</v>
      </c>
      <c r="AQ5" s="108">
        <v>5.25E8</v>
      </c>
      <c r="AR5" s="109"/>
      <c r="AS5" s="109"/>
      <c r="AT5" s="109"/>
      <c r="AU5" s="110"/>
      <c r="AV5" s="109"/>
      <c r="AW5" s="38"/>
      <c r="AX5" s="109"/>
      <c r="AY5" s="38"/>
      <c r="AZ5" s="111">
        <v>45146.0</v>
      </c>
      <c r="BA5" s="112">
        <v>1.0E8</v>
      </c>
      <c r="BB5" s="109"/>
      <c r="BC5" s="110"/>
      <c r="BD5" s="109"/>
      <c r="BE5" s="105"/>
      <c r="BF5" s="101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3"/>
    </row>
    <row r="6" ht="19.5" customHeight="1">
      <c r="A6" s="114" t="s">
        <v>90</v>
      </c>
      <c r="B6" s="115"/>
      <c r="C6" s="116" t="s">
        <v>84</v>
      </c>
      <c r="D6" s="48"/>
      <c r="E6" s="117" t="s">
        <v>91</v>
      </c>
      <c r="F6" s="118" t="s">
        <v>92</v>
      </c>
      <c r="G6" s="54" t="s">
        <v>93</v>
      </c>
      <c r="H6" s="119" t="s">
        <v>64</v>
      </c>
      <c r="I6" s="25" t="s">
        <v>65</v>
      </c>
      <c r="J6" s="120" t="s">
        <v>66</v>
      </c>
      <c r="K6" s="25">
        <v>3.0</v>
      </c>
      <c r="L6" s="25">
        <v>2017.0</v>
      </c>
      <c r="M6" s="25">
        <f t="shared" si="8"/>
        <v>8</v>
      </c>
      <c r="N6" s="26">
        <f t="shared" si="9"/>
        <v>6</v>
      </c>
      <c r="O6" s="27">
        <f t="shared" si="3"/>
        <v>5</v>
      </c>
      <c r="P6" s="28">
        <f t="shared" si="4"/>
        <v>35</v>
      </c>
      <c r="Q6" s="28">
        <f t="shared" si="5"/>
        <v>38</v>
      </c>
      <c r="R6" s="28"/>
      <c r="S6" s="28" t="str">
        <f t="shared" ref="S6:S10" si="12">rank(Y6,$Y$8:$Y$80)</f>
        <v>#N/A</v>
      </c>
      <c r="T6" s="29">
        <f t="shared" si="6"/>
        <v>32937500</v>
      </c>
      <c r="U6" s="28"/>
      <c r="V6" s="30">
        <f t="shared" si="7"/>
        <v>263500000</v>
      </c>
      <c r="W6" s="31">
        <v>5.0E7</v>
      </c>
      <c r="X6" s="32">
        <f t="shared" si="10"/>
        <v>0.9786024465</v>
      </c>
      <c r="Y6" s="33">
        <f t="shared" si="11"/>
        <v>0.6682798577</v>
      </c>
      <c r="Z6" s="121">
        <v>2.5E9</v>
      </c>
      <c r="AA6" s="122" t="s">
        <v>94</v>
      </c>
      <c r="AB6" s="123"/>
      <c r="AC6" s="123"/>
      <c r="AD6" s="124"/>
      <c r="AE6" s="125"/>
      <c r="AF6" s="126" t="str">
        <f>HYPERLINK("https://www.crunchbase.com/funding_round/side-5e5b-seed--0b6ef7bb","Jan 20, 2017")</f>
        <v>Jan 20, 2017</v>
      </c>
      <c r="AG6" s="127">
        <v>2500000.0</v>
      </c>
      <c r="AH6" s="123"/>
      <c r="AI6" s="128"/>
      <c r="AJ6" s="129" t="str">
        <f>HYPERLINK("https://www.crunchbase.com/funding_round/side-5e5b-series-a--0ba837ca","Mar 1, 2017")</f>
        <v>Mar 1, 2017</v>
      </c>
      <c r="AK6" s="130">
        <v>8000000.0</v>
      </c>
      <c r="AL6" s="131">
        <v>43530.0</v>
      </c>
      <c r="AM6" s="130">
        <v>1.8E7</v>
      </c>
      <c r="AN6" s="132" t="str">
        <f>HYPERLINK("https://www.crunchbase.com/funding_round/side-5e5b-series-c--953dd6cf","Jul 7, 2019")</f>
        <v>Jul 7, 2019</v>
      </c>
      <c r="AO6" s="130">
        <v>3.5E7</v>
      </c>
      <c r="AP6" s="132" t="str">
        <f>HYPERLINK("https://www.crunchbase.com/funding_round/side-5e5b-series-d--d69dd2d7","Mar 19, 2021")</f>
        <v>Mar 19, 2021</v>
      </c>
      <c r="AQ6" s="130">
        <v>1.5E8</v>
      </c>
      <c r="AR6" s="133"/>
      <c r="AS6" s="133"/>
      <c r="AT6" s="133"/>
      <c r="AU6" s="134"/>
      <c r="AV6" s="133"/>
      <c r="AW6" s="38"/>
      <c r="AX6" s="133"/>
      <c r="AY6" s="38"/>
      <c r="AZ6" s="135">
        <v>44375.0</v>
      </c>
      <c r="BA6" s="136">
        <v>5.0E7</v>
      </c>
      <c r="BB6" s="124"/>
      <c r="BC6" s="137"/>
      <c r="BD6" s="124"/>
      <c r="BE6" s="125"/>
      <c r="BF6" s="123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</row>
    <row r="7" ht="17.25" customHeight="1">
      <c r="A7" s="67" t="s">
        <v>95</v>
      </c>
      <c r="B7" s="68"/>
      <c r="C7" s="69" t="s">
        <v>84</v>
      </c>
      <c r="D7" s="138" t="s">
        <v>96</v>
      </c>
      <c r="E7" s="139" t="s">
        <v>97</v>
      </c>
      <c r="F7" s="118" t="s">
        <v>98</v>
      </c>
      <c r="G7" s="140"/>
      <c r="H7" s="71" t="s">
        <v>99</v>
      </c>
      <c r="I7" s="26" t="s">
        <v>100</v>
      </c>
      <c r="J7" s="141"/>
      <c r="K7" s="26">
        <v>3.0</v>
      </c>
      <c r="L7" s="142">
        <v>2017.0</v>
      </c>
      <c r="M7" s="25">
        <f t="shared" si="8"/>
        <v>8</v>
      </c>
      <c r="N7" s="26">
        <f t="shared" si="9"/>
        <v>3</v>
      </c>
      <c r="O7" s="27">
        <f t="shared" si="3"/>
        <v>6</v>
      </c>
      <c r="P7" s="28">
        <f t="shared" si="4"/>
        <v>4</v>
      </c>
      <c r="Q7" s="28">
        <f t="shared" si="5"/>
        <v>3</v>
      </c>
      <c r="R7" s="28"/>
      <c r="S7" s="28" t="str">
        <f t="shared" si="12"/>
        <v>#N/A</v>
      </c>
      <c r="T7" s="29">
        <f t="shared" si="6"/>
        <v>222500000</v>
      </c>
      <c r="U7" s="28"/>
      <c r="V7" s="30">
        <f t="shared" si="7"/>
        <v>1780000000</v>
      </c>
      <c r="W7" s="31">
        <v>1.132E8</v>
      </c>
      <c r="X7" s="32">
        <f t="shared" si="10"/>
        <v>1.105453199</v>
      </c>
      <c r="Y7" s="33">
        <f t="shared" si="11"/>
        <v>0.3220704463</v>
      </c>
      <c r="Z7" s="143">
        <v>2.4E9</v>
      </c>
      <c r="AA7" s="144" t="s">
        <v>74</v>
      </c>
      <c r="AB7" s="74"/>
      <c r="AC7" s="74"/>
      <c r="AD7" s="145">
        <v>42941.0</v>
      </c>
      <c r="AE7" s="105"/>
      <c r="AF7" s="146">
        <v>43301.0</v>
      </c>
      <c r="AG7" s="105"/>
      <c r="AH7" s="101"/>
      <c r="AI7" s="106"/>
      <c r="AJ7" s="147">
        <v>43697.0</v>
      </c>
      <c r="AK7" s="105"/>
      <c r="AL7" s="147">
        <v>44320.0</v>
      </c>
      <c r="AM7" s="105"/>
      <c r="AN7" s="107" t="str">
        <f>HYPERLINK("https://www.crunchbase.com/funding_round/enpal-series-c--d60b396b","Oct 17, 2021")</f>
        <v>Oct 17, 2021</v>
      </c>
      <c r="AO7" s="148">
        <v>1.5E8</v>
      </c>
      <c r="AP7" s="149">
        <v>44935.0</v>
      </c>
      <c r="AQ7" s="150">
        <v>2.3E8</v>
      </c>
      <c r="AR7" s="109"/>
      <c r="AS7" s="109"/>
      <c r="AT7" s="109"/>
      <c r="AU7" s="110"/>
      <c r="AV7" s="109"/>
      <c r="AW7" s="38"/>
      <c r="AX7" s="133"/>
      <c r="AY7" s="38"/>
      <c r="AZ7" s="133"/>
      <c r="BA7" s="105"/>
      <c r="BB7" s="151">
        <v>44910.0</v>
      </c>
      <c r="BC7" s="152">
        <v>1.4E9</v>
      </c>
      <c r="BD7" s="44"/>
      <c r="BE7" s="46"/>
      <c r="BF7" s="36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</row>
    <row r="8" ht="18.75" customHeight="1">
      <c r="A8" s="153" t="s">
        <v>101</v>
      </c>
      <c r="B8" s="69"/>
      <c r="C8" s="69" t="s">
        <v>84</v>
      </c>
      <c r="D8" s="138"/>
      <c r="E8" s="138" t="s">
        <v>102</v>
      </c>
      <c r="F8" s="154" t="s">
        <v>103</v>
      </c>
      <c r="G8" s="140"/>
      <c r="H8" s="71" t="s">
        <v>64</v>
      </c>
      <c r="I8" s="26" t="s">
        <v>65</v>
      </c>
      <c r="J8" s="155"/>
      <c r="K8" s="25">
        <v>4.0</v>
      </c>
      <c r="L8" s="26">
        <v>2017.0</v>
      </c>
      <c r="M8" s="25">
        <f t="shared" si="8"/>
        <v>8</v>
      </c>
      <c r="N8" s="26">
        <f t="shared" si="9"/>
        <v>6</v>
      </c>
      <c r="O8" s="27">
        <f t="shared" si="3"/>
        <v>7</v>
      </c>
      <c r="P8" s="28">
        <f t="shared" si="4"/>
        <v>6</v>
      </c>
      <c r="Q8" s="28">
        <f t="shared" si="5"/>
        <v>5</v>
      </c>
      <c r="R8" s="28"/>
      <c r="S8" s="28">
        <f t="shared" si="12"/>
        <v>9</v>
      </c>
      <c r="T8" s="29">
        <f t="shared" si="6"/>
        <v>153125000</v>
      </c>
      <c r="U8" s="28"/>
      <c r="V8" s="30">
        <f t="shared" si="7"/>
        <v>1225000000</v>
      </c>
      <c r="W8" s="30"/>
      <c r="X8" s="32">
        <f t="shared" si="10"/>
        <v>1.227467344</v>
      </c>
      <c r="Y8" s="33">
        <f t="shared" si="11"/>
        <v>0.8233015843</v>
      </c>
      <c r="Z8" s="156">
        <v>2.0E9</v>
      </c>
      <c r="AA8" s="157" t="s">
        <v>94</v>
      </c>
      <c r="AB8" s="74"/>
      <c r="AC8" s="74"/>
      <c r="AD8" s="44"/>
      <c r="AE8" s="46"/>
      <c r="AF8" s="158" t="str">
        <f>HYPERLINK("https://www.crunchbase.com/funding_round/divvy-homes-seed--874b32e6","Jan 25, 2018")</f>
        <v>Jan 25, 2018</v>
      </c>
      <c r="AG8" s="38">
        <v>7000000.0</v>
      </c>
      <c r="AH8" s="36"/>
      <c r="AI8" s="159"/>
      <c r="AJ8" s="43" t="str">
        <f>HYPERLINK("https://www.crunchbase.com/funding_round/divvy-homes-series-a--92199d27","Oct 9, 2018")</f>
        <v>Oct 9, 2018</v>
      </c>
      <c r="AK8" s="38">
        <v>1.0E7</v>
      </c>
      <c r="AL8" s="43" t="str">
        <f>HYPERLINK("https://www.crunchbase.com/funding_round/divvy-homes-series-b--1684d35e","Sep 25, 2019")</f>
        <v>Sep 25, 2019</v>
      </c>
      <c r="AM8" s="38">
        <v>4.3E7</v>
      </c>
      <c r="AN8" s="43" t="str">
        <f>HYPERLINK("https://www.crunchbase.com/funding_round/divvy-homes-series-c--08ff4b44","Feb 2, 2021")</f>
        <v>Feb 2, 2021</v>
      </c>
      <c r="AO8" s="38">
        <v>1.1E8</v>
      </c>
      <c r="AP8" s="43" t="str">
        <f>HYPERLINK("https://www.crunchbase.com/funding_round/divvy-homes-series-d--b2d4bac4","Aug 13, 2021")</f>
        <v>Aug 13, 2021</v>
      </c>
      <c r="AQ8" s="38">
        <v>2.0E8</v>
      </c>
      <c r="AR8" s="44"/>
      <c r="AS8" s="44"/>
      <c r="AT8" s="44"/>
      <c r="AU8" s="45"/>
      <c r="AV8" s="44"/>
      <c r="AW8" s="38"/>
      <c r="AX8" s="44"/>
      <c r="AY8" s="38"/>
      <c r="AZ8" s="44"/>
      <c r="BA8" s="45"/>
      <c r="BB8" s="147">
        <v>44481.0</v>
      </c>
      <c r="BC8" s="96">
        <v>8.55E8</v>
      </c>
      <c r="BD8" s="44"/>
      <c r="BE8" s="46"/>
      <c r="BF8" s="36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</row>
    <row r="9" ht="18.75" customHeight="1">
      <c r="A9" s="160" t="s">
        <v>104</v>
      </c>
      <c r="B9" s="116"/>
      <c r="C9" s="116" t="s">
        <v>59</v>
      </c>
      <c r="D9" s="161" t="s">
        <v>105</v>
      </c>
      <c r="E9" s="162" t="s">
        <v>106</v>
      </c>
      <c r="F9" s="163" t="s">
        <v>107</v>
      </c>
      <c r="G9" s="119"/>
      <c r="H9" s="119" t="s">
        <v>108</v>
      </c>
      <c r="I9" s="25" t="s">
        <v>109</v>
      </c>
      <c r="J9" s="120"/>
      <c r="K9" s="25">
        <v>1.0</v>
      </c>
      <c r="L9" s="25">
        <v>2019.0</v>
      </c>
      <c r="M9" s="25">
        <f t="shared" si="8"/>
        <v>6</v>
      </c>
      <c r="N9" s="26">
        <f t="shared" si="9"/>
        <v>3</v>
      </c>
      <c r="O9" s="27">
        <f t="shared" si="3"/>
        <v>7</v>
      </c>
      <c r="P9" s="28">
        <f t="shared" si="4"/>
        <v>9</v>
      </c>
      <c r="Q9" s="28">
        <f t="shared" si="5"/>
        <v>10</v>
      </c>
      <c r="R9" s="28"/>
      <c r="S9" s="28">
        <f t="shared" si="12"/>
        <v>20</v>
      </c>
      <c r="T9" s="29">
        <f t="shared" si="6"/>
        <v>122500000</v>
      </c>
      <c r="U9" s="28"/>
      <c r="V9" s="30">
        <f t="shared" si="7"/>
        <v>735000000</v>
      </c>
      <c r="W9" s="31">
        <v>5.6E7</v>
      </c>
      <c r="X9" s="32">
        <f t="shared" si="10"/>
        <v>1.426427503</v>
      </c>
      <c r="Y9" s="33">
        <f t="shared" si="11"/>
        <v>0.5576994265</v>
      </c>
      <c r="Z9" s="121">
        <v>2.0E9</v>
      </c>
      <c r="AA9" s="122" t="s">
        <v>74</v>
      </c>
      <c r="AB9" s="123"/>
      <c r="AC9" s="123"/>
      <c r="AD9" s="164"/>
      <c r="AE9" s="165"/>
      <c r="AF9" s="166"/>
      <c r="AG9" s="127"/>
      <c r="AH9" s="123"/>
      <c r="AI9" s="128"/>
      <c r="AJ9" s="167" t="str">
        <f>HYPERLINK("https://www.crunchbase.com/funding_round/lessen-series-a--1c9afb9c","Jun 24, 2021")</f>
        <v>Jun 24, 2021</v>
      </c>
      <c r="AK9" s="168">
        <v>3.5E7</v>
      </c>
      <c r="AL9" s="131">
        <v>44682.0</v>
      </c>
      <c r="AM9" s="130">
        <v>2.0E8</v>
      </c>
      <c r="AN9" s="124"/>
      <c r="AO9" s="125"/>
      <c r="AP9" s="124"/>
      <c r="AQ9" s="125"/>
      <c r="AR9" s="169"/>
      <c r="AS9" s="169"/>
      <c r="AT9" s="169"/>
      <c r="AU9" s="170"/>
      <c r="AV9" s="169"/>
      <c r="AW9" s="38"/>
      <c r="AX9" s="169"/>
      <c r="AY9" s="38"/>
      <c r="AZ9" s="171">
        <v>44937.0</v>
      </c>
      <c r="BA9" s="170">
        <v>5.0E8</v>
      </c>
      <c r="BB9" s="169"/>
      <c r="BC9" s="170"/>
      <c r="BD9" s="169"/>
      <c r="BE9" s="125"/>
      <c r="BF9" s="172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5"/>
      <c r="BV9" s="115"/>
      <c r="BW9" s="115"/>
      <c r="BX9" s="115"/>
      <c r="BY9" s="115"/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5"/>
      <c r="CN9" s="115"/>
      <c r="CO9" s="115"/>
      <c r="CP9" s="115"/>
    </row>
    <row r="10" ht="18.75" customHeight="1">
      <c r="A10" s="153" t="s">
        <v>110</v>
      </c>
      <c r="B10" s="68"/>
      <c r="C10" s="69"/>
      <c r="D10" s="138" t="s">
        <v>111</v>
      </c>
      <c r="E10" s="138" t="s">
        <v>112</v>
      </c>
      <c r="F10" s="173" t="s">
        <v>113</v>
      </c>
      <c r="G10" s="174"/>
      <c r="H10" s="71" t="s">
        <v>114</v>
      </c>
      <c r="I10" s="26" t="s">
        <v>115</v>
      </c>
      <c r="J10" s="155"/>
      <c r="K10" s="26">
        <v>3.0</v>
      </c>
      <c r="L10" s="26">
        <v>2017.0</v>
      </c>
      <c r="M10" s="25">
        <f t="shared" si="8"/>
        <v>8</v>
      </c>
      <c r="N10" s="26">
        <f t="shared" si="9"/>
        <v>4</v>
      </c>
      <c r="O10" s="27">
        <f t="shared" si="3"/>
        <v>9</v>
      </c>
      <c r="P10" s="28">
        <f t="shared" si="4"/>
        <v>19</v>
      </c>
      <c r="Q10" s="28">
        <f t="shared" si="5"/>
        <v>28</v>
      </c>
      <c r="R10" s="28"/>
      <c r="S10" s="28">
        <f t="shared" si="12"/>
        <v>19</v>
      </c>
      <c r="T10" s="29">
        <f t="shared" si="6"/>
        <v>56437500</v>
      </c>
      <c r="U10" s="28"/>
      <c r="V10" s="30">
        <f t="shared" si="7"/>
        <v>451500000</v>
      </c>
      <c r="W10" s="31">
        <v>1.8E7</v>
      </c>
      <c r="X10" s="32">
        <f t="shared" si="10"/>
        <v>1.568980983</v>
      </c>
      <c r="Y10" s="33">
        <f t="shared" si="11"/>
        <v>0.6028041</v>
      </c>
      <c r="Z10" s="34">
        <f>1800000000+185000000</f>
        <v>1985000000</v>
      </c>
      <c r="AA10" s="35">
        <v>2022.0</v>
      </c>
      <c r="AB10" s="74"/>
      <c r="AC10" s="74"/>
      <c r="AD10" s="79"/>
      <c r="AE10" s="84"/>
      <c r="AF10" s="175" t="str">
        <f>HYPERLINK("https://www.crunchbase.com/funding_round/icon3d-seed--7b69d64a","Oct 17, 2018")</f>
        <v>Oct 17, 2018</v>
      </c>
      <c r="AG10" s="76">
        <v>9000000.0</v>
      </c>
      <c r="AH10" s="74"/>
      <c r="AI10" s="78"/>
      <c r="AJ10" s="107" t="str">
        <f>HYPERLINK("https://www.crunchbase.com/funding_round/icon3d-series-a--604a36d0","Aug 19, 2020")</f>
        <v>Aug 19, 2020</v>
      </c>
      <c r="AK10" s="108">
        <v>3.5E7</v>
      </c>
      <c r="AL10" s="107" t="str">
        <f>HYPERLINK("https://www.crunchbase.com/funding_round/icon3d-series-b--68f2018f","Feb 18, 2022")</f>
        <v>Feb 18, 2022</v>
      </c>
      <c r="AM10" s="176">
        <v>3.92E8</v>
      </c>
      <c r="AN10" s="109"/>
      <c r="AO10" s="105"/>
      <c r="AP10" s="109"/>
      <c r="AQ10" s="105"/>
      <c r="AR10" s="109"/>
      <c r="AS10" s="109"/>
      <c r="AT10" s="109"/>
      <c r="AU10" s="110"/>
      <c r="AV10" s="109"/>
      <c r="AW10" s="38"/>
      <c r="AX10" s="109"/>
      <c r="AY10" s="38"/>
      <c r="AZ10" s="147">
        <v>44216.0</v>
      </c>
      <c r="BA10" s="96">
        <v>1.55E7</v>
      </c>
      <c r="BB10" s="79"/>
      <c r="BC10" s="80"/>
      <c r="BD10" s="79"/>
      <c r="BE10" s="84"/>
      <c r="BF10" s="74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</row>
    <row r="11" ht="15.75" customHeight="1">
      <c r="A11" s="153" t="s">
        <v>116</v>
      </c>
      <c r="B11" s="68"/>
      <c r="C11" s="69" t="s">
        <v>84</v>
      </c>
      <c r="D11" s="138" t="s">
        <v>117</v>
      </c>
      <c r="E11" s="138" t="s">
        <v>118</v>
      </c>
      <c r="F11" s="177" t="s">
        <v>119</v>
      </c>
      <c r="G11" s="48"/>
      <c r="H11" s="71" t="s">
        <v>120</v>
      </c>
      <c r="I11" s="26" t="s">
        <v>65</v>
      </c>
      <c r="J11" s="178"/>
      <c r="K11" s="26">
        <v>4.0</v>
      </c>
      <c r="L11" s="26">
        <v>2015.0</v>
      </c>
      <c r="M11" s="25">
        <v>7.0</v>
      </c>
      <c r="N11" s="26">
        <v>8.0</v>
      </c>
      <c r="O11" s="27">
        <f t="shared" si="3"/>
        <v>10</v>
      </c>
      <c r="P11" s="28">
        <f t="shared" si="4"/>
        <v>22</v>
      </c>
      <c r="Q11" s="28">
        <f t="shared" si="5"/>
        <v>33</v>
      </c>
      <c r="R11" s="28"/>
      <c r="S11" s="28"/>
      <c r="T11" s="29">
        <f t="shared" si="6"/>
        <v>52185714.29</v>
      </c>
      <c r="U11" s="28"/>
      <c r="V11" s="30">
        <f t="shared" si="7"/>
        <v>365300000</v>
      </c>
      <c r="W11" s="31">
        <v>1.34E7</v>
      </c>
      <c r="X11" s="73"/>
      <c r="Y11" s="73"/>
      <c r="Z11" s="34">
        <v>1.94E9</v>
      </c>
      <c r="AA11" s="179">
        <v>2022.0</v>
      </c>
      <c r="AB11" s="74"/>
      <c r="AC11" s="74"/>
      <c r="AD11" s="44"/>
      <c r="AE11" s="46"/>
      <c r="AF11" s="39"/>
      <c r="AG11" s="46"/>
      <c r="AH11" s="36"/>
      <c r="AI11" s="159"/>
      <c r="AJ11" s="180" t="str">
        <f>HYPERLINK("https://www.crunchbase.com/funding_round/roofstock-series-a--ca469fb5","Mar 3, 2016")</f>
        <v>Mar 3, 2016</v>
      </c>
      <c r="AK11" s="38">
        <v>7000000.0</v>
      </c>
      <c r="AL11" s="43" t="str">
        <f>HYPERLINK("https://www.crunchbase.com/funding_round/roofstock-series-b--7059e231","Nov 14, 2016")</f>
        <v>Nov 14, 2016</v>
      </c>
      <c r="AM11" s="76">
        <v>2.0E7</v>
      </c>
      <c r="AN11" s="75">
        <v>43118.0</v>
      </c>
      <c r="AO11" s="76">
        <f>35000000+7000000</f>
        <v>42000000</v>
      </c>
      <c r="AP11" s="181" t="str">
        <f>HYPERLINK("https://www.crunchbase.com/funding_round/roofstock-series-d--0d0a5e4b","Jan 8, 2020")</f>
        <v>Jan 8, 2020</v>
      </c>
      <c r="AQ11" s="76">
        <v>5.0E7</v>
      </c>
      <c r="AR11" s="181" t="str">
        <f>HYPERLINK("https://www.crunchbase.com/funding_round/roofstock-series-e--fe9abb78","Mar 10, 2022")</f>
        <v>Mar 10, 2022</v>
      </c>
      <c r="AS11" s="182">
        <v>2.4E8</v>
      </c>
      <c r="AT11" s="79"/>
      <c r="AU11" s="80"/>
      <c r="AV11" s="79"/>
      <c r="AW11" s="38"/>
      <c r="AX11" s="79"/>
      <c r="AY11" s="38"/>
      <c r="AZ11" s="75">
        <v>42213.0</v>
      </c>
      <c r="BA11" s="83">
        <v>6300000.0</v>
      </c>
      <c r="BB11" s="79"/>
      <c r="BC11" s="80"/>
      <c r="BD11" s="79"/>
      <c r="BE11" s="84"/>
      <c r="BF11" s="74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</row>
    <row r="12" ht="15.75" customHeight="1">
      <c r="A12" s="183" t="s">
        <v>121</v>
      </c>
      <c r="B12" s="68" t="s">
        <v>122</v>
      </c>
      <c r="C12" s="69" t="s">
        <v>123</v>
      </c>
      <c r="D12" s="184" t="s">
        <v>124</v>
      </c>
      <c r="E12" s="184" t="s">
        <v>125</v>
      </c>
      <c r="F12" s="185" t="s">
        <v>126</v>
      </c>
      <c r="G12" s="186" t="s">
        <v>127</v>
      </c>
      <c r="H12" s="186" t="s">
        <v>128</v>
      </c>
      <c r="I12" s="74" t="s">
        <v>129</v>
      </c>
      <c r="J12" s="155" t="s">
        <v>130</v>
      </c>
      <c r="K12" s="74">
        <v>6.0</v>
      </c>
      <c r="L12" s="26">
        <v>2011.0</v>
      </c>
      <c r="M12" s="25">
        <f t="shared" ref="M12:M16" si="13">year(now()) -L12</f>
        <v>14</v>
      </c>
      <c r="N12" s="26">
        <f t="shared" ref="N12:N16" si="14">counta(AE12,AG12,AI12,AK12,AM12,AO12,AQ12,AS12,AU12,AW12,AY12,BA12,BC12)</f>
        <v>7</v>
      </c>
      <c r="O12" s="27">
        <f t="shared" si="3"/>
        <v>11</v>
      </c>
      <c r="P12" s="28">
        <f t="shared" si="4"/>
        <v>34</v>
      </c>
      <c r="Q12" s="28">
        <f t="shared" si="5"/>
        <v>27</v>
      </c>
      <c r="R12" s="28"/>
      <c r="S12" s="28">
        <f t="shared" ref="S12:S16" si="15">rank(Y12,$Y$8:$Y$80)</f>
        <v>39</v>
      </c>
      <c r="T12" s="29">
        <f t="shared" si="6"/>
        <v>33021428.57</v>
      </c>
      <c r="U12" s="28"/>
      <c r="V12" s="30">
        <f t="shared" si="7"/>
        <v>462300000</v>
      </c>
      <c r="W12" s="31">
        <v>7.5E7</v>
      </c>
      <c r="X12" s="32">
        <f t="shared" ref="X12:X16" si="16">(max(AE12,AG12,AI12,AK12,AM12,AO12,AQ12,AS12,AU12,AW12,AY12,BA12,BC12)/min(AE12,AG12,AI12,AK12,AM12,AO12,AQ12,AS12,AU12,AW12,AY12,BA12,BC12))^(1/N12)-1</f>
        <v>0.6906120175</v>
      </c>
      <c r="Y12" s="33">
        <f t="shared" ref="Y12:Y16" si="17">(max(AE12,AG12,AI12,AK12,AM12,AO12,AQ12,AS12,AU12,AW12,AY12,BA12,BC12)/min(AE12,AG12,AI12,AK12,AM12,AO12,AQ12,AS12,AU12,AW12,AY12,BA12,BC12))^(1/M12)-1</f>
        <v>0.30023537</v>
      </c>
      <c r="Z12" s="34">
        <f>1600000000+125000000</f>
        <v>1725000000</v>
      </c>
      <c r="AA12" s="187" t="s">
        <v>82</v>
      </c>
      <c r="AB12" s="74"/>
      <c r="AC12" s="74"/>
      <c r="AD12" s="109"/>
      <c r="AE12" s="105"/>
      <c r="AF12" s="188" t="str">
        <f>HYPERLINK("https://www.crunchbase.com/funding_round/vts-seed--a0aef5a2"," Dec 20, 2013        
")</f>
        <v> Dec 20, 2013        
</v>
      </c>
      <c r="AG12" s="108">
        <v>3800000.0</v>
      </c>
      <c r="AH12" s="101"/>
      <c r="AI12" s="106"/>
      <c r="AJ12" s="107" t="str">
        <f>HYPERLINK("https://www.crunchbase.com/funding_round/vts-series-a--5bd671ba"," 1/31/2015")</f>
        <v> 1/31/2015</v>
      </c>
      <c r="AK12" s="108">
        <v>1.75E7</v>
      </c>
      <c r="AL12" s="189" t="str">
        <f>HYPERLINK("https://www.crunchbase.com/funding_round/vts-series-b--c0fb1661"," 7/15/2015")</f>
        <v> 7/15/2015</v>
      </c>
      <c r="AM12" s="190">
        <v>2.1E7</v>
      </c>
      <c r="AN12" s="107" t="str">
        <f>HYPERLINK("https://www.crunchbase.com/funding_round/vts-series-c--43906d62"," 5/4/2016")</f>
        <v> 5/4/2016</v>
      </c>
      <c r="AO12" s="108">
        <v>5.5E7</v>
      </c>
      <c r="AP12" s="107" t="str">
        <f>HYPERLINK("https://www.crunchbase.com/funding_round/vts-series-d--16111c94"," 5/6/2019")</f>
        <v> 5/6/2019</v>
      </c>
      <c r="AQ12" s="148">
        <v>9.0E7</v>
      </c>
      <c r="AR12" s="191">
        <v>44810.0</v>
      </c>
      <c r="AS12" s="148">
        <v>1.25E8</v>
      </c>
      <c r="AT12" s="109"/>
      <c r="AU12" s="110"/>
      <c r="AV12" s="109"/>
      <c r="AW12" s="38"/>
      <c r="AX12" s="109"/>
      <c r="AY12" s="38"/>
      <c r="AZ12" s="109"/>
      <c r="BA12" s="110"/>
      <c r="BB12" s="147">
        <v>44623.0</v>
      </c>
      <c r="BC12" s="96">
        <v>1.5E8</v>
      </c>
      <c r="BD12" s="79"/>
      <c r="BE12" s="84"/>
      <c r="BF12" s="74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</row>
    <row r="13" ht="15.75" customHeight="1">
      <c r="A13" s="160" t="s">
        <v>131</v>
      </c>
      <c r="B13" s="68"/>
      <c r="C13" s="69" t="s">
        <v>132</v>
      </c>
      <c r="D13" s="138" t="s">
        <v>133</v>
      </c>
      <c r="E13" s="138" t="s">
        <v>134</v>
      </c>
      <c r="F13" s="173" t="s">
        <v>135</v>
      </c>
      <c r="G13" s="186"/>
      <c r="H13" s="71" t="s">
        <v>64</v>
      </c>
      <c r="I13" s="26" t="s">
        <v>65</v>
      </c>
      <c r="J13" s="155"/>
      <c r="K13" s="26">
        <v>3.0</v>
      </c>
      <c r="L13" s="26">
        <v>2012.0</v>
      </c>
      <c r="M13" s="25">
        <f t="shared" si="13"/>
        <v>13</v>
      </c>
      <c r="N13" s="26">
        <f t="shared" si="14"/>
        <v>6</v>
      </c>
      <c r="O13" s="27">
        <f t="shared" si="3"/>
        <v>12</v>
      </c>
      <c r="P13" s="28">
        <f t="shared" si="4"/>
        <v>18</v>
      </c>
      <c r="Q13" s="28">
        <f t="shared" si="5"/>
        <v>9</v>
      </c>
      <c r="R13" s="28"/>
      <c r="S13" s="28">
        <f t="shared" si="15"/>
        <v>21</v>
      </c>
      <c r="T13" s="29">
        <f t="shared" si="6"/>
        <v>57115384.62</v>
      </c>
      <c r="U13" s="28"/>
      <c r="V13" s="30">
        <f t="shared" si="7"/>
        <v>742500000</v>
      </c>
      <c r="W13" s="31">
        <v>3.0E8</v>
      </c>
      <c r="X13" s="32">
        <f t="shared" si="16"/>
        <v>1.600585401</v>
      </c>
      <c r="Y13" s="33">
        <f t="shared" si="17"/>
        <v>0.5544304182</v>
      </c>
      <c r="Z13" s="121">
        <v>1.7E9</v>
      </c>
      <c r="AA13" s="122" t="s">
        <v>82</v>
      </c>
      <c r="AB13" s="74"/>
      <c r="AC13" s="74"/>
      <c r="AD13" s="79"/>
      <c r="AE13" s="84"/>
      <c r="AF13" s="146">
        <v>41228.0</v>
      </c>
      <c r="AG13" s="148">
        <v>1500000.0</v>
      </c>
      <c r="AH13" s="101"/>
      <c r="AI13" s="106"/>
      <c r="AJ13" s="107" t="str">
        <f>HYPERLINK("https://www.crunchbase.com/funding_round/homelight-series-a--efd8e658","Apr 18, 2016")</f>
        <v>Apr 18, 2016</v>
      </c>
      <c r="AK13" s="108">
        <v>1.4E7</v>
      </c>
      <c r="AL13" s="107" t="str">
        <f>HYPERLINK("https://www.crunchbase.com/funding_round/homelight-series-b--6914d28a","Aug 15, 2017")</f>
        <v>Aug 15, 2017</v>
      </c>
      <c r="AM13" s="108">
        <v>4.0E7</v>
      </c>
      <c r="AN13" s="107" t="str">
        <f>HYPERLINK("https://www.crunchbase.com/funding_round/homelight-series-c--a7b3ea7a","Nov 5, 2019")</f>
        <v>Nov 5, 2019</v>
      </c>
      <c r="AO13" s="108">
        <v>6.3E7</v>
      </c>
      <c r="AP13" s="107" t="str">
        <f>HYPERLINK("https://www.crunchbase.com/funding_round/homelight-series-d--f2a1d4a4", "Jun 16, 2022")</f>
        <v>Jun 16, 2022</v>
      </c>
      <c r="AQ13" s="130">
        <v>1.6E8</v>
      </c>
      <c r="AR13" s="109"/>
      <c r="AS13" s="109"/>
      <c r="AT13" s="109"/>
      <c r="AU13" s="110"/>
      <c r="AV13" s="109"/>
      <c r="AW13" s="38"/>
      <c r="AX13" s="109"/>
      <c r="AY13" s="38"/>
      <c r="AZ13" s="109"/>
      <c r="BA13" s="110"/>
      <c r="BB13" s="147">
        <v>44728.0</v>
      </c>
      <c r="BC13" s="96">
        <v>4.64E8</v>
      </c>
      <c r="BD13" s="79"/>
      <c r="BE13" s="84"/>
      <c r="BF13" s="74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</row>
    <row r="14">
      <c r="A14" s="160" t="s">
        <v>136</v>
      </c>
      <c r="B14" s="115"/>
      <c r="C14" s="116" t="s">
        <v>132</v>
      </c>
      <c r="D14" s="162" t="s">
        <v>137</v>
      </c>
      <c r="E14" s="192" t="s">
        <v>138</v>
      </c>
      <c r="F14" s="163" t="s">
        <v>139</v>
      </c>
      <c r="G14" s="119" t="s">
        <v>140</v>
      </c>
      <c r="H14" s="119" t="s">
        <v>141</v>
      </c>
      <c r="I14" s="25" t="s">
        <v>65</v>
      </c>
      <c r="J14" s="120" t="s">
        <v>142</v>
      </c>
      <c r="K14" s="25">
        <v>1.0</v>
      </c>
      <c r="L14" s="25">
        <v>2012.0</v>
      </c>
      <c r="M14" s="25">
        <f t="shared" si="13"/>
        <v>13</v>
      </c>
      <c r="N14" s="26">
        <f t="shared" si="14"/>
        <v>5</v>
      </c>
      <c r="O14" s="27">
        <f t="shared" si="3"/>
        <v>13</v>
      </c>
      <c r="P14" s="28">
        <f t="shared" si="4"/>
        <v>47</v>
      </c>
      <c r="Q14" s="28">
        <f t="shared" si="5"/>
        <v>40</v>
      </c>
      <c r="R14" s="28"/>
      <c r="S14" s="28">
        <f t="shared" si="15"/>
        <v>38</v>
      </c>
      <c r="T14" s="29">
        <f t="shared" si="6"/>
        <v>19461538.46</v>
      </c>
      <c r="U14" s="193"/>
      <c r="V14" s="30">
        <f t="shared" si="7"/>
        <v>253000000</v>
      </c>
      <c r="W14" s="31">
        <v>4700000.0</v>
      </c>
      <c r="X14" s="32">
        <f t="shared" si="16"/>
        <v>1.186724148</v>
      </c>
      <c r="Y14" s="33">
        <f t="shared" si="17"/>
        <v>0.3511077973</v>
      </c>
      <c r="Z14" s="34">
        <v>1.55E9</v>
      </c>
      <c r="AA14" s="187" t="s">
        <v>94</v>
      </c>
      <c r="AB14" s="123"/>
      <c r="AC14" s="123"/>
      <c r="AD14" s="124"/>
      <c r="AE14" s="125"/>
      <c r="AF14" s="194" t="str">
        <f>HYPERLINK("https://www.crunchbase.com/funding_round/snapdocs-seed--4752f631","Mar 25, 2014")</f>
        <v>Mar 25, 2014</v>
      </c>
      <c r="AG14" s="127">
        <v>3000000.0</v>
      </c>
      <c r="AH14" s="123"/>
      <c r="AI14" s="128"/>
      <c r="AJ14" s="195" t="str">
        <f>HYPERLINK("https://www.crunchbase.com/funding_round/snapdocs-series-a--b8cb76b3","Nov 21, 2017")</f>
        <v>Nov 21, 2017</v>
      </c>
      <c r="AK14" s="196">
        <v>1.5E7</v>
      </c>
      <c r="AL14" s="195" t="str">
        <f>HYPERLINK("https://www.crunchbase.com/funding_round/snapdocs-series-b--27143876","Nov 7, 2019")</f>
        <v>Nov 7, 2019</v>
      </c>
      <c r="AM14" s="196">
        <v>2.5E7</v>
      </c>
      <c r="AN14" s="195" t="str">
        <f>HYPERLINK("https://www.crunchbase.com/funding_round/snapdocs-series-c--6c2dd27d","Oct 12, 2020")</f>
        <v>Oct 12, 2020</v>
      </c>
      <c r="AO14" s="196">
        <v>6.0E7</v>
      </c>
      <c r="AP14" s="195" t="str">
        <f>HYPERLINK("https://www.crunchbase.com/funding_round/snapdocs-series-d--10823a8e","May 25, 2021")</f>
        <v>May 25, 2021</v>
      </c>
      <c r="AQ14" s="196">
        <v>1.5E8</v>
      </c>
      <c r="AR14" s="195"/>
      <c r="AS14" s="197"/>
      <c r="AT14" s="124"/>
      <c r="AU14" s="137"/>
      <c r="AV14" s="124"/>
      <c r="AW14" s="38"/>
      <c r="AX14" s="124"/>
      <c r="AY14" s="38"/>
      <c r="AZ14" s="198"/>
      <c r="BA14" s="137"/>
      <c r="BB14" s="124"/>
      <c r="BC14" s="199"/>
      <c r="BD14" s="124"/>
      <c r="BE14" s="125"/>
      <c r="BF14" s="123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</row>
    <row r="15" ht="15.75" customHeight="1">
      <c r="A15" s="153" t="s">
        <v>143</v>
      </c>
      <c r="B15" s="68"/>
      <c r="C15" s="69" t="s">
        <v>84</v>
      </c>
      <c r="D15" s="138" t="s">
        <v>144</v>
      </c>
      <c r="E15" s="200" t="s">
        <v>145</v>
      </c>
      <c r="F15" s="173" t="s">
        <v>146</v>
      </c>
      <c r="G15" s="54" t="s">
        <v>147</v>
      </c>
      <c r="H15" s="71" t="s">
        <v>148</v>
      </c>
      <c r="I15" s="26" t="s">
        <v>149</v>
      </c>
      <c r="J15" s="72" t="s">
        <v>150</v>
      </c>
      <c r="K15" s="26">
        <v>2.0</v>
      </c>
      <c r="L15" s="26">
        <v>2020.0</v>
      </c>
      <c r="M15" s="25">
        <f t="shared" si="13"/>
        <v>5</v>
      </c>
      <c r="N15" s="26">
        <f t="shared" si="14"/>
        <v>4</v>
      </c>
      <c r="O15" s="27">
        <f t="shared" si="3"/>
        <v>14</v>
      </c>
      <c r="P15" s="28">
        <f t="shared" si="4"/>
        <v>2</v>
      </c>
      <c r="Q15" s="28">
        <f t="shared" si="5"/>
        <v>4</v>
      </c>
      <c r="R15" s="28"/>
      <c r="S15" s="28">
        <f t="shared" si="15"/>
        <v>2</v>
      </c>
      <c r="T15" s="29">
        <f t="shared" si="6"/>
        <v>293400000</v>
      </c>
      <c r="U15" s="28"/>
      <c r="V15" s="30">
        <f t="shared" si="7"/>
        <v>1467000000</v>
      </c>
      <c r="W15" s="31">
        <v>3.3E8</v>
      </c>
      <c r="X15" s="32">
        <f t="shared" si="16"/>
        <v>1.928298014</v>
      </c>
      <c r="Y15" s="33">
        <f t="shared" si="17"/>
        <v>1.362067033</v>
      </c>
      <c r="Z15" s="34">
        <v>1.5E9</v>
      </c>
      <c r="AA15" s="122" t="s">
        <v>74</v>
      </c>
      <c r="AB15" s="74"/>
      <c r="AC15" s="74"/>
      <c r="AD15" s="79"/>
      <c r="AE15" s="201"/>
      <c r="AF15" s="202"/>
      <c r="AG15" s="201"/>
      <c r="AH15" s="203"/>
      <c r="AI15" s="204"/>
      <c r="AJ15" s="205" t="str">
        <f>HYPERLINK("https://www.crunchbase.com/funding_round/pacaso-series-a--86db3fea","Oct 1, 2020")</f>
        <v>Oct 1, 2020</v>
      </c>
      <c r="AK15" s="206">
        <v>1.7E7</v>
      </c>
      <c r="AL15" s="205" t="str">
        <f>HYPERLINK("https://www.crunchbase.com/funding_round/pacaso-series-b--387cc318","Mar 24, 2021")</f>
        <v>Mar 24, 2021</v>
      </c>
      <c r="AM15" s="206">
        <v>7.5E7</v>
      </c>
      <c r="AN15" s="205" t="str">
        <f>HYPERLINK("https://www.crunchbase.com/funding_round/pacaso-series-c--a261d69f","Sep 14, 2021")</f>
        <v>Sep 14, 2021</v>
      </c>
      <c r="AO15" s="206">
        <v>1.25E8</v>
      </c>
      <c r="AP15" s="207"/>
      <c r="AQ15" s="201"/>
      <c r="AR15" s="207"/>
      <c r="AS15" s="207"/>
      <c r="AT15" s="207"/>
      <c r="AU15" s="208"/>
      <c r="AV15" s="207"/>
      <c r="AW15" s="38"/>
      <c r="AX15" s="207"/>
      <c r="AY15" s="38"/>
      <c r="AZ15" s="207"/>
      <c r="BA15" s="208"/>
      <c r="BB15" s="209">
        <v>44279.0</v>
      </c>
      <c r="BC15" s="210">
        <v>1.25E9</v>
      </c>
      <c r="BD15" s="79"/>
      <c r="BE15" s="84"/>
      <c r="BF15" s="74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</row>
    <row r="16" ht="15.75" customHeight="1">
      <c r="A16" s="211" t="s">
        <v>151</v>
      </c>
      <c r="B16" s="69"/>
      <c r="C16" s="69" t="s">
        <v>84</v>
      </c>
      <c r="D16" s="192" t="s">
        <v>152</v>
      </c>
      <c r="E16" s="192" t="s">
        <v>153</v>
      </c>
      <c r="F16" s="118" t="s">
        <v>154</v>
      </c>
      <c r="G16" s="54" t="s">
        <v>155</v>
      </c>
      <c r="H16" s="71" t="s">
        <v>128</v>
      </c>
      <c r="I16" s="26" t="s">
        <v>156</v>
      </c>
      <c r="J16" s="72" t="s">
        <v>157</v>
      </c>
      <c r="K16" s="26">
        <v>3.0</v>
      </c>
      <c r="L16" s="26">
        <v>2014.0</v>
      </c>
      <c r="M16" s="25">
        <f t="shared" si="13"/>
        <v>11</v>
      </c>
      <c r="N16" s="26">
        <f t="shared" si="14"/>
        <v>5</v>
      </c>
      <c r="O16" s="27">
        <f t="shared" si="3"/>
        <v>14</v>
      </c>
      <c r="P16" s="28">
        <f t="shared" si="4"/>
        <v>16</v>
      </c>
      <c r="Q16" s="28">
        <f t="shared" si="5"/>
        <v>13</v>
      </c>
      <c r="R16" s="28"/>
      <c r="S16" s="28">
        <f t="shared" si="15"/>
        <v>17</v>
      </c>
      <c r="T16" s="29">
        <f t="shared" si="6"/>
        <v>59500000</v>
      </c>
      <c r="U16" s="28"/>
      <c r="V16" s="30">
        <f t="shared" si="7"/>
        <v>654500000</v>
      </c>
      <c r="W16" s="30"/>
      <c r="X16" s="32">
        <f t="shared" si="16"/>
        <v>1.885399812</v>
      </c>
      <c r="Y16" s="33">
        <f t="shared" si="17"/>
        <v>0.6187677556</v>
      </c>
      <c r="Z16" s="212">
        <v>1.5E9</v>
      </c>
      <c r="AA16" s="213" t="s">
        <v>158</v>
      </c>
      <c r="AB16" s="74"/>
      <c r="AC16" s="74"/>
      <c r="AD16" s="79"/>
      <c r="AE16" s="201"/>
      <c r="AF16" s="214" t="str">
        <f>HYPERLINK("https://www.crunchbase.com/funding_round/knockaway-seed--e02a8afd","May 12, 2016")</f>
        <v>May 12, 2016</v>
      </c>
      <c r="AG16" s="206">
        <v>2000000.0</v>
      </c>
      <c r="AH16" s="203"/>
      <c r="AI16" s="204"/>
      <c r="AJ16" s="205" t="str">
        <f>HYPERLINK("https://www.crunchbase.com/funding_round/knockaway-series-a--b64ef6e7","Jan 31, 2017")</f>
        <v>Jan 31, 2017</v>
      </c>
      <c r="AK16" s="206">
        <v>3.25E7</v>
      </c>
      <c r="AL16" s="205" t="str">
        <f>HYPERLINK("https://www.crunchbase.com/funding_round/knockaway-series-b--4670b3ce","Jan 15, 2019")</f>
        <v>Jan 15, 2019</v>
      </c>
      <c r="AM16" s="206">
        <v>4.0E8</v>
      </c>
      <c r="AN16" s="215"/>
      <c r="AO16" s="216"/>
      <c r="AP16" s="215"/>
      <c r="AQ16" s="216"/>
      <c r="AR16" s="217"/>
      <c r="AS16" s="207"/>
      <c r="AT16" s="207"/>
      <c r="AU16" s="208"/>
      <c r="AV16" s="207"/>
      <c r="AW16" s="38"/>
      <c r="AX16" s="207"/>
      <c r="AY16" s="38"/>
      <c r="AZ16" s="218">
        <v>44635.0</v>
      </c>
      <c r="BA16" s="219">
        <v>7.0E7</v>
      </c>
      <c r="BB16" s="220">
        <v>44635.0</v>
      </c>
      <c r="BC16" s="210">
        <v>1.5E8</v>
      </c>
      <c r="BD16" s="79"/>
      <c r="BE16" s="84"/>
      <c r="BF16" s="74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</row>
    <row r="17" ht="15.75" customHeight="1">
      <c r="A17" s="221" t="s">
        <v>159</v>
      </c>
      <c r="B17" s="16"/>
      <c r="C17" s="17" t="s">
        <v>59</v>
      </c>
      <c r="D17" s="18" t="s">
        <v>160</v>
      </c>
      <c r="E17" s="18" t="s">
        <v>161</v>
      </c>
      <c r="F17" s="20" t="s">
        <v>162</v>
      </c>
      <c r="G17" s="22"/>
      <c r="H17" s="22" t="s">
        <v>163</v>
      </c>
      <c r="I17" s="23" t="s">
        <v>164</v>
      </c>
      <c r="J17" s="24"/>
      <c r="K17" s="23">
        <v>2.0</v>
      </c>
      <c r="L17" s="23">
        <v>2014.0</v>
      </c>
      <c r="M17" s="222">
        <v>8.0</v>
      </c>
      <c r="N17" s="23">
        <v>9.0</v>
      </c>
      <c r="O17" s="27">
        <f t="shared" si="3"/>
        <v>14</v>
      </c>
      <c r="P17" s="28">
        <f t="shared" si="4"/>
        <v>15</v>
      </c>
      <c r="Q17" s="28">
        <f t="shared" si="5"/>
        <v>22</v>
      </c>
      <c r="R17" s="28"/>
      <c r="S17" s="28"/>
      <c r="T17" s="29">
        <f t="shared" si="6"/>
        <v>61187500</v>
      </c>
      <c r="U17" s="28"/>
      <c r="V17" s="30">
        <f t="shared" si="7"/>
        <v>489500000</v>
      </c>
      <c r="W17" s="30"/>
      <c r="X17" s="33"/>
      <c r="Y17" s="33"/>
      <c r="Z17" s="223">
        <v>1.5E9</v>
      </c>
      <c r="AA17" s="224" t="s">
        <v>82</v>
      </c>
      <c r="AB17" s="36"/>
      <c r="AC17" s="36"/>
      <c r="AD17" s="37"/>
      <c r="AE17" s="38"/>
      <c r="AF17" s="225" t="str">
        <f>HYPERLINK("https://www.crunchbase.com/funding_round/arcadia-power-2-seed--7ce69b38","Aug 18, 2016")</f>
        <v>Aug 18, 2016</v>
      </c>
      <c r="AG17" s="38">
        <v>3500000.0</v>
      </c>
      <c r="AH17" s="226"/>
      <c r="AI17" s="38"/>
      <c r="AJ17" s="227" t="str">
        <f>HYPERLINK("https://www.crunchbase.com/funding_round/arcadia-power-2-series-a--017a1dfc","Jun 1, 2017")</f>
        <v>Jun 1, 2017</v>
      </c>
      <c r="AK17" s="38">
        <v>6000000.0</v>
      </c>
      <c r="AL17" s="228" t="str">
        <f>HYPERLINK("https://www.crunchbase.com/funding_round/arcadia-power-2-series-b--10c9f2b1","Aug 15, 2018")</f>
        <v>Aug 15, 2018</v>
      </c>
      <c r="AM17" s="38">
        <v>2.5E7</v>
      </c>
      <c r="AN17" s="43" t="str">
        <f>HYPERLINK("https://www.crunchbase.com/funding_round/arcadia-power-2-series-c--5bf98017","Dec 10, 2019")</f>
        <v>Dec 10, 2019</v>
      </c>
      <c r="AO17" s="38">
        <v>3.0E7</v>
      </c>
      <c r="AP17" s="43" t="str">
        <f>HYPERLINK("https://www.crunchbase.com/funding_round/arcadia-power-2-series-d--bac34efc","Sep 15, 2021")</f>
        <v>Sep 15, 2021</v>
      </c>
      <c r="AQ17" s="38">
        <v>1.0E8</v>
      </c>
      <c r="AR17" s="43" t="str">
        <f>HYPERLINK("https://www.crunchbase.com/funding_round/arcadia-power-2-series-e--5b195120","May 10, 2022")</f>
        <v>May 10, 2022</v>
      </c>
      <c r="AS17" s="229">
        <v>2.0E8</v>
      </c>
      <c r="AT17" s="37"/>
      <c r="AU17" s="229"/>
      <c r="AV17" s="44"/>
      <c r="AW17" s="38"/>
      <c r="AX17" s="44"/>
      <c r="AY17" s="38"/>
      <c r="AZ17" s="75">
        <v>44911.0</v>
      </c>
      <c r="BA17" s="230">
        <v>1.25E8</v>
      </c>
      <c r="BB17" s="44"/>
      <c r="BC17" s="45"/>
      <c r="BD17" s="44"/>
      <c r="BE17" s="46"/>
      <c r="BF17" s="3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</row>
    <row r="18" ht="15.75" customHeight="1">
      <c r="A18" s="153" t="s">
        <v>165</v>
      </c>
      <c r="B18" s="68"/>
      <c r="C18" s="69" t="s">
        <v>132</v>
      </c>
      <c r="D18" s="231" t="s">
        <v>166</v>
      </c>
      <c r="E18" s="200" t="s">
        <v>167</v>
      </c>
      <c r="F18" s="118" t="s">
        <v>168</v>
      </c>
      <c r="G18" s="54"/>
      <c r="H18" s="71" t="s">
        <v>128</v>
      </c>
      <c r="I18" s="26" t="s">
        <v>129</v>
      </c>
      <c r="J18" s="178"/>
      <c r="K18" s="26">
        <v>1.0</v>
      </c>
      <c r="L18" s="142">
        <v>2010.0</v>
      </c>
      <c r="M18" s="25">
        <f t="shared" ref="M18:M21" si="18">year(now()) -L18</f>
        <v>15</v>
      </c>
      <c r="N18" s="26">
        <f t="shared" ref="N18:N21" si="19">counta(AE18,AG18,AI18,AK18,AM18,AO18,AQ18,AS18,AU18,AW18,AY18,BA18,BC18)</f>
        <v>4</v>
      </c>
      <c r="O18" s="27">
        <f t="shared" si="3"/>
        <v>14</v>
      </c>
      <c r="P18" s="28">
        <f t="shared" si="4"/>
        <v>36</v>
      </c>
      <c r="Q18" s="28">
        <f t="shared" si="5"/>
        <v>26</v>
      </c>
      <c r="R18" s="28"/>
      <c r="S18" s="28"/>
      <c r="T18" s="29">
        <f t="shared" si="6"/>
        <v>31166666.67</v>
      </c>
      <c r="U18" s="28"/>
      <c r="V18" s="30">
        <f t="shared" si="7"/>
        <v>467500000</v>
      </c>
      <c r="W18" s="30"/>
      <c r="X18" s="73"/>
      <c r="Y18" s="33">
        <f>(max(AE18,AG18,AI18,AK18,AM18,AO18,AQ18,AS18,AU18,AW18,AY18,BA18,BC18)/min(AE18,AG18,AI18,AK18))^(1/M18)-1</f>
        <v>0.4364158568</v>
      </c>
      <c r="Z18" s="59">
        <v>1.5E9</v>
      </c>
      <c r="AA18" s="60" t="s">
        <v>82</v>
      </c>
      <c r="AB18" s="74"/>
      <c r="AC18" s="74"/>
      <c r="AD18" s="79"/>
      <c r="AE18" s="76"/>
      <c r="AF18" s="232" t="str">
        <f>HYPERLINK("https://www.crunchbase.com/funding_round/updater-seed--c6d11d3f","Jun 1, 2012")</f>
        <v>Jun 1, 2012</v>
      </c>
      <c r="AG18" s="76">
        <v>1500000.0</v>
      </c>
      <c r="AH18" s="77"/>
      <c r="AI18" s="78"/>
      <c r="AJ18" s="181" t="str">
        <f>HYPERLINK("https://www.crunchbase.com/funding_round/updater-series-a--25d92477","Apr 1, 2014")</f>
        <v>Apr 1, 2014</v>
      </c>
      <c r="AK18" s="76">
        <v>8000000.0</v>
      </c>
      <c r="AL18" s="79"/>
      <c r="AM18" s="76"/>
      <c r="AN18" s="79"/>
      <c r="AO18" s="84"/>
      <c r="AP18" s="79"/>
      <c r="AQ18" s="84"/>
      <c r="AR18" s="79"/>
      <c r="AS18" s="79"/>
      <c r="AT18" s="79"/>
      <c r="AU18" s="80"/>
      <c r="AV18" s="79"/>
      <c r="AW18" s="38"/>
      <c r="AX18" s="79"/>
      <c r="AY18" s="38"/>
      <c r="AZ18" s="75">
        <v>43818.0</v>
      </c>
      <c r="BA18" s="233">
        <v>1.15E8</v>
      </c>
      <c r="BB18" s="75">
        <v>44698.0</v>
      </c>
      <c r="BC18" s="234">
        <f>68000000+60000000+215000000</f>
        <v>343000000</v>
      </c>
      <c r="BD18" s="79"/>
      <c r="BE18" s="84"/>
      <c r="BF18" s="74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</row>
    <row r="19" ht="15.75" customHeight="1">
      <c r="A19" s="235" t="s">
        <v>169</v>
      </c>
      <c r="B19" s="16"/>
      <c r="C19" s="17" t="s">
        <v>59</v>
      </c>
      <c r="D19" s="236" t="s">
        <v>170</v>
      </c>
      <c r="E19" s="236" t="s">
        <v>171</v>
      </c>
      <c r="F19" s="20" t="s">
        <v>172</v>
      </c>
      <c r="G19" s="22"/>
      <c r="H19" s="22" t="s">
        <v>173</v>
      </c>
      <c r="I19" s="23" t="s">
        <v>174</v>
      </c>
      <c r="J19" s="237"/>
      <c r="K19" s="23">
        <v>2.0</v>
      </c>
      <c r="L19" s="23">
        <v>2014.0</v>
      </c>
      <c r="M19" s="25">
        <f t="shared" si="18"/>
        <v>11</v>
      </c>
      <c r="N19" s="26">
        <f t="shared" si="19"/>
        <v>5</v>
      </c>
      <c r="O19" s="27">
        <f t="shared" si="3"/>
        <v>14</v>
      </c>
      <c r="P19" s="28">
        <f t="shared" si="4"/>
        <v>38</v>
      </c>
      <c r="Q19" s="28">
        <f t="shared" si="5"/>
        <v>35</v>
      </c>
      <c r="R19" s="28"/>
      <c r="S19" s="28">
        <f>rank(Y19,$Y$8:$Y$80)</f>
        <v>48</v>
      </c>
      <c r="T19" s="29">
        <f t="shared" si="6"/>
        <v>28427272.73</v>
      </c>
      <c r="U19" s="28"/>
      <c r="V19" s="30">
        <f t="shared" si="7"/>
        <v>312700000</v>
      </c>
      <c r="W19" s="31">
        <v>3.0E7</v>
      </c>
      <c r="X19" s="32">
        <f t="shared" ref="X19:X21" si="20">(max(AE19,AG19,AI19,AK19,AM19,AO19,AQ19,AS19,AU19,AW19,AY19,BA19,BC19)/min(AE19,AG19,AI19,AK19,AM19,AO19,AQ19,AS19,AU19,AW19,AY19,BA19,BC19))^(1/N19)-1</f>
        <v>0.4286904564</v>
      </c>
      <c r="Y19" s="33">
        <f t="shared" ref="Y19:Y21" si="21">(max(AE19,AG19,AI19,AK19,AM19,AO19,AQ19,AS19,AU19,AW19,AY19,BA19,BC19)/min(AE19,AG19,AI19,AK19,AM19,AO19,AQ19,AS19,AU19,AW19,AY19,BA19,BC19))^(1/M19)-1</f>
        <v>0.1760517404</v>
      </c>
      <c r="Z19" s="121">
        <v>1.5E9</v>
      </c>
      <c r="AA19" s="187" t="s">
        <v>82</v>
      </c>
      <c r="AB19" s="36"/>
      <c r="AC19" s="36"/>
      <c r="AD19" s="44"/>
      <c r="AE19" s="238"/>
      <c r="AF19" s="239"/>
      <c r="AG19" s="234"/>
      <c r="AH19" s="238"/>
      <c r="AI19" s="240"/>
      <c r="AJ19" s="241" t="str">
        <f>HYPERLINK("https://www.crunchbase.com/funding_round/built-technologies-inc-series-a--d92a85da","Nov 14, 2017")</f>
        <v>Nov 14, 2017</v>
      </c>
      <c r="AK19" s="234">
        <v>2.1E7</v>
      </c>
      <c r="AL19" s="241" t="str">
        <f>HYPERLINK("https://www.crunchbase.com/funding_round/built-technologies-inc-series-b--9058986d","Apr 29, 2019")</f>
        <v>Apr 29, 2019</v>
      </c>
      <c r="AM19" s="234">
        <v>5.51E7</v>
      </c>
      <c r="AN19" s="241" t="str">
        <f>HYPERLINK("https://www.crunchbase.com/funding_round/built-technologies-inc-series-c--586d2564","Feb 4, 2021")</f>
        <v>Feb 4, 2021</v>
      </c>
      <c r="AO19" s="234">
        <v>8.8E7</v>
      </c>
      <c r="AP19" s="241" t="str">
        <f>HYPERLINK("https://www.crunchbase.com/funding_round/built-technologies-inc-series-d--e229dbe7","Sep 30, 2021")</f>
        <v>Sep 30, 2021</v>
      </c>
      <c r="AQ19" s="234">
        <v>1.25E8</v>
      </c>
      <c r="AR19" s="242"/>
      <c r="AS19" s="242"/>
      <c r="AT19" s="242"/>
      <c r="AU19" s="243"/>
      <c r="AV19" s="242"/>
      <c r="AW19" s="38"/>
      <c r="AX19" s="242"/>
      <c r="AY19" s="38"/>
      <c r="AZ19" s="244">
        <v>45029.0</v>
      </c>
      <c r="BA19" s="210">
        <v>2.36E7</v>
      </c>
      <c r="BB19" s="242"/>
      <c r="BC19" s="243"/>
      <c r="BD19" s="44"/>
      <c r="BE19" s="46"/>
      <c r="BF19" s="46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</row>
    <row r="20" ht="15.75" customHeight="1">
      <c r="A20" s="15" t="s">
        <v>175</v>
      </c>
      <c r="B20" s="16"/>
      <c r="C20" s="17" t="s">
        <v>84</v>
      </c>
      <c r="D20" s="245"/>
      <c r="E20" s="246" t="s">
        <v>176</v>
      </c>
      <c r="F20" s="247" t="s">
        <v>177</v>
      </c>
      <c r="G20" s="248" t="s">
        <v>178</v>
      </c>
      <c r="H20" s="249" t="s">
        <v>128</v>
      </c>
      <c r="I20" s="250" t="s">
        <v>129</v>
      </c>
      <c r="J20" s="251"/>
      <c r="K20" s="250">
        <v>1.0</v>
      </c>
      <c r="L20" s="250">
        <v>2019.0</v>
      </c>
      <c r="M20" s="252">
        <f t="shared" si="18"/>
        <v>6</v>
      </c>
      <c r="N20" s="253">
        <f t="shared" si="19"/>
        <v>4</v>
      </c>
      <c r="O20" s="27">
        <f t="shared" si="3"/>
        <v>14</v>
      </c>
      <c r="P20" s="28">
        <f t="shared" si="4"/>
        <v>30</v>
      </c>
      <c r="Q20" s="28">
        <f t="shared" si="5"/>
        <v>44</v>
      </c>
      <c r="R20" s="254"/>
      <c r="S20" s="254"/>
      <c r="T20" s="29">
        <f t="shared" si="6"/>
        <v>35550000</v>
      </c>
      <c r="U20" s="254"/>
      <c r="V20" s="255">
        <f t="shared" si="7"/>
        <v>213300000</v>
      </c>
      <c r="W20" s="256">
        <v>2000000.0</v>
      </c>
      <c r="X20" s="257">
        <f t="shared" si="20"/>
        <v>3.728708045</v>
      </c>
      <c r="Y20" s="258">
        <f t="shared" si="21"/>
        <v>1.817269114</v>
      </c>
      <c r="Z20" s="259">
        <v>1.5E9</v>
      </c>
      <c r="AA20" s="260">
        <v>2022.0</v>
      </c>
      <c r="AB20" s="261"/>
      <c r="AC20" s="261"/>
      <c r="AD20" s="262">
        <v>43497.0</v>
      </c>
      <c r="AE20" s="263">
        <v>300000.0</v>
      </c>
      <c r="AF20" s="262">
        <v>44075.0</v>
      </c>
      <c r="AG20" s="233">
        <v>3000000.0</v>
      </c>
      <c r="AH20" s="261"/>
      <c r="AI20" s="261"/>
      <c r="AJ20" s="262">
        <v>44460.0</v>
      </c>
      <c r="AK20" s="233">
        <v>6.0E7</v>
      </c>
      <c r="AL20" s="261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38"/>
      <c r="AX20" s="261"/>
      <c r="AY20" s="38"/>
      <c r="AZ20" s="262">
        <v>44859.0</v>
      </c>
      <c r="BA20" s="233">
        <v>1.5E8</v>
      </c>
      <c r="BB20" s="242"/>
      <c r="BC20" s="243"/>
      <c r="BD20" s="242"/>
      <c r="BE20" s="238"/>
      <c r="BF20" s="264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</row>
    <row r="21" ht="15.75" customHeight="1">
      <c r="A21" s="153" t="s">
        <v>179</v>
      </c>
      <c r="B21" s="68"/>
      <c r="C21" s="69" t="s">
        <v>180</v>
      </c>
      <c r="D21" s="192" t="s">
        <v>181</v>
      </c>
      <c r="E21" s="200" t="s">
        <v>182</v>
      </c>
      <c r="F21" s="173" t="s">
        <v>183</v>
      </c>
      <c r="G21" s="186"/>
      <c r="H21" s="71" t="s">
        <v>64</v>
      </c>
      <c r="I21" s="26" t="s">
        <v>65</v>
      </c>
      <c r="J21" s="155"/>
      <c r="K21" s="26">
        <v>1.0</v>
      </c>
      <c r="L21" s="26">
        <v>2013.0</v>
      </c>
      <c r="M21" s="25">
        <f t="shared" si="18"/>
        <v>12</v>
      </c>
      <c r="N21" s="26">
        <f t="shared" si="19"/>
        <v>4</v>
      </c>
      <c r="O21" s="27">
        <f t="shared" si="3"/>
        <v>20</v>
      </c>
      <c r="P21" s="28">
        <f t="shared" si="4"/>
        <v>50</v>
      </c>
      <c r="Q21" s="28">
        <f t="shared" si="5"/>
        <v>48</v>
      </c>
      <c r="R21" s="28"/>
      <c r="S21" s="28">
        <f>rank(Y21,$Y$8:$Y$80)</f>
        <v>27</v>
      </c>
      <c r="T21" s="29">
        <f t="shared" si="6"/>
        <v>14183333.33</v>
      </c>
      <c r="U21" s="28"/>
      <c r="V21" s="30">
        <f t="shared" si="7"/>
        <v>170200000</v>
      </c>
      <c r="W21" s="31">
        <v>4.52E7</v>
      </c>
      <c r="X21" s="32">
        <f t="shared" si="20"/>
        <v>2.101240402</v>
      </c>
      <c r="Y21" s="33">
        <f t="shared" si="21"/>
        <v>0.4582941862</v>
      </c>
      <c r="Z21" s="34">
        <v>1.411E9</v>
      </c>
      <c r="AA21" s="187" t="s">
        <v>82</v>
      </c>
      <c r="AB21" s="74"/>
      <c r="AC21" s="74"/>
      <c r="AD21" s="44"/>
      <c r="AE21" s="238"/>
      <c r="AF21" s="265" t="str">
        <f>HYPERLINK("https://www.crunchbase.com/organization/envoy#section-funding-rounds","Dec 2, 2013")</f>
        <v>Dec 2, 2013</v>
      </c>
      <c r="AG21" s="266">
        <v>1200000.0</v>
      </c>
      <c r="AH21" s="264"/>
      <c r="AI21" s="240"/>
      <c r="AJ21" s="267" t="str">
        <f>HYPERLINK("https://www.crunchbase.com/funding_round/envoy-series-a--35f83636"," Jun 23, 2015")        
</f>
        <v> Jun 23, 2015</v>
      </c>
      <c r="AK21" s="234">
        <v>1.5E7</v>
      </c>
      <c r="AL21" s="267" t="str">
        <f>HYPERLINK("https://www.crunchbase.com/funding_round/envoy-series-b--2db0321a"," Oct 23, 2018   ")</f>
        <v> Oct 23, 2018   </v>
      </c>
      <c r="AM21" s="268">
        <v>4.3E7</v>
      </c>
      <c r="AN21" s="241" t="str">
        <f>HYPERLINK("https://www.businesswire.com/news/home/20220111005565/en/Envoy-Raises-111-Million-in-Series-C-Financing-to-Help-Companies-Navigate-COVID-and-Rebuild-Community-in-the-Workplace","Jan 11, 2022")</f>
        <v>Jan 11, 2022</v>
      </c>
      <c r="AO21" s="234">
        <v>1.11E8</v>
      </c>
      <c r="AP21" s="242"/>
      <c r="AQ21" s="238"/>
      <c r="AR21" s="242"/>
      <c r="AS21" s="242"/>
      <c r="AT21" s="242"/>
      <c r="AU21" s="243"/>
      <c r="AV21" s="242"/>
      <c r="AW21" s="38"/>
      <c r="AX21" s="242"/>
      <c r="AY21" s="38"/>
      <c r="AZ21" s="242"/>
      <c r="BA21" s="243"/>
      <c r="BB21" s="242"/>
      <c r="BC21" s="243"/>
      <c r="BD21" s="44"/>
      <c r="BE21" s="46"/>
      <c r="BF21" s="36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</row>
    <row r="22" ht="15.75" customHeight="1">
      <c r="A22" s="153" t="s">
        <v>184</v>
      </c>
      <c r="B22" s="68"/>
      <c r="C22" s="69" t="s">
        <v>84</v>
      </c>
      <c r="D22" s="269"/>
      <c r="E22" s="270" t="s">
        <v>185</v>
      </c>
      <c r="F22" s="271" t="s">
        <v>186</v>
      </c>
      <c r="G22" s="272"/>
      <c r="H22" s="71" t="s">
        <v>187</v>
      </c>
      <c r="I22" s="26" t="s">
        <v>188</v>
      </c>
      <c r="J22" s="155"/>
      <c r="K22" s="26">
        <v>3.0</v>
      </c>
      <c r="L22" s="142">
        <v>2007.0</v>
      </c>
      <c r="M22" s="25">
        <v>15.0</v>
      </c>
      <c r="N22" s="26">
        <v>5.0</v>
      </c>
      <c r="O22" s="27">
        <f t="shared" si="3"/>
        <v>21</v>
      </c>
      <c r="P22" s="28">
        <f t="shared" si="4"/>
        <v>24</v>
      </c>
      <c r="Q22" s="28">
        <f t="shared" si="5"/>
        <v>12</v>
      </c>
      <c r="R22" s="273"/>
      <c r="S22" s="273"/>
      <c r="T22" s="29">
        <f t="shared" si="6"/>
        <v>47133333.33</v>
      </c>
      <c r="U22" s="273"/>
      <c r="V22" s="30">
        <f t="shared" si="7"/>
        <v>707000000</v>
      </c>
      <c r="W22" s="30"/>
      <c r="X22" s="73"/>
      <c r="Y22" s="73"/>
      <c r="Z22" s="156">
        <v>1.3E9</v>
      </c>
      <c r="AA22" s="157" t="s">
        <v>82</v>
      </c>
      <c r="AB22" s="74"/>
      <c r="AC22" s="74"/>
      <c r="AD22" s="79"/>
      <c r="AE22" s="201"/>
      <c r="AF22" s="274"/>
      <c r="AG22" s="206"/>
      <c r="AH22" s="203"/>
      <c r="AI22" s="204"/>
      <c r="AJ22" s="275" t="str">
        <f>HYPERLINK("https://www.crunchbase.com/funding_round/greenlight-planet-series-a--15fafc04","Apr 18, 2012")</f>
        <v>Apr 18, 2012</v>
      </c>
      <c r="AK22" s="206">
        <v>4000000.0</v>
      </c>
      <c r="AL22" s="276" t="str">
        <f>HYPERLINK("https://www.crunchbase.com/funding_round/greenlight-planet-series-b--d82682e8","Feb 4, 2015")</f>
        <v>Feb 4, 2015</v>
      </c>
      <c r="AM22" s="206">
        <v>8000000.0</v>
      </c>
      <c r="AN22" s="205" t="str">
        <f>HYPERLINK("https://www.crunchbase.com/funding_round/greenlight-planet-series-c--68c0ca27","Dec 6, 2017")</f>
        <v>Dec 6, 2017</v>
      </c>
      <c r="AO22" s="206">
        <v>6.0E7</v>
      </c>
      <c r="AP22" s="277">
        <v>44910.0</v>
      </c>
      <c r="AQ22" s="206">
        <v>3.3E8</v>
      </c>
      <c r="AR22" s="207"/>
      <c r="AS22" s="207"/>
      <c r="AT22" s="207"/>
      <c r="AU22" s="208"/>
      <c r="AV22" s="207"/>
      <c r="AW22" s="38"/>
      <c r="AX22" s="207"/>
      <c r="AY22" s="38"/>
      <c r="AZ22" s="207"/>
      <c r="BA22" s="208"/>
      <c r="BB22" s="277">
        <v>45076.0</v>
      </c>
      <c r="BC22" s="278">
        <f>175000000+130000000</f>
        <v>305000000</v>
      </c>
      <c r="BD22" s="79"/>
      <c r="BE22" s="84"/>
      <c r="BF22" s="74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</row>
    <row r="23" ht="15.75" customHeight="1">
      <c r="A23" s="153" t="s">
        <v>189</v>
      </c>
      <c r="B23" s="68"/>
      <c r="C23" s="69" t="s">
        <v>190</v>
      </c>
      <c r="D23" s="200" t="s">
        <v>191</v>
      </c>
      <c r="E23" s="200" t="s">
        <v>192</v>
      </c>
      <c r="F23" s="173" t="s">
        <v>193</v>
      </c>
      <c r="G23" s="71"/>
      <c r="H23" s="71" t="s">
        <v>194</v>
      </c>
      <c r="I23" s="26" t="s">
        <v>195</v>
      </c>
      <c r="J23" s="72"/>
      <c r="K23" s="26">
        <v>3.0</v>
      </c>
      <c r="L23" s="26">
        <v>2015.0</v>
      </c>
      <c r="M23" s="25">
        <f t="shared" ref="M23:M41" si="22">year(now()) -L23</f>
        <v>10</v>
      </c>
      <c r="N23" s="26">
        <f t="shared" ref="N23:N27" si="23">counta(AE23,AG23,AI23,AK23,AM23,AO23,AQ23,AS23,AU23,AW23,AY23,BA23,BC23)</f>
        <v>6</v>
      </c>
      <c r="O23" s="27">
        <f t="shared" si="3"/>
        <v>21</v>
      </c>
      <c r="P23" s="28">
        <f t="shared" si="4"/>
        <v>26</v>
      </c>
      <c r="Q23" s="28">
        <f t="shared" si="5"/>
        <v>31</v>
      </c>
      <c r="R23" s="28"/>
      <c r="S23" s="28">
        <f t="shared" ref="S23:S24" si="24">rank(Y23,$Y$8:$Y$80)</f>
        <v>14</v>
      </c>
      <c r="T23" s="29">
        <f t="shared" si="6"/>
        <v>42620000</v>
      </c>
      <c r="U23" s="28"/>
      <c r="V23" s="30">
        <f t="shared" si="7"/>
        <v>426200000</v>
      </c>
      <c r="W23" s="31">
        <v>5.44E7</v>
      </c>
      <c r="X23" s="32">
        <f t="shared" ref="X23:X24" si="25">(max(AE23,AG23,AI23,AK23,AM23,AO23,AQ23,AS23,AU23,AW23,AY23,BA23,BC23)/min(AE23,AG23,AI23,AK23,AM23,AO23,AQ23,AS23,AU23,AW23,AY23,BA23,BC23))^(1/N23)-1</f>
        <v>1.38345472</v>
      </c>
      <c r="Y23" s="33">
        <f t="shared" ref="Y23:Y24" si="26">(max(AE23,AG23,AI23,AK23,AM23,AO23,AQ23,AS23,AU23,AW23,AY23,BA23,BC23)/min(AE23,AG23,AI23,AK23,AM23,AO23,AQ23,AS23,AU23,AW23,AY23,BA23,BC23))^(1/M23)-1</f>
        <v>0.6839304238</v>
      </c>
      <c r="Z23" s="121">
        <v>1.3E9</v>
      </c>
      <c r="AA23" s="187" t="s">
        <v>82</v>
      </c>
      <c r="AB23" s="74"/>
      <c r="AC23" s="74"/>
      <c r="AD23" s="279"/>
      <c r="AE23" s="206"/>
      <c r="AF23" s="214" t="str">
        <f>HYPERLINK("https://www.crunchbase.com/funding_round/travelperk-seed--b5fc22a6","Mar 1, 2016")</f>
        <v>Mar 1, 2016</v>
      </c>
      <c r="AG23" s="206">
        <v>1500000.0</v>
      </c>
      <c r="AH23" s="203"/>
      <c r="AI23" s="204"/>
      <c r="AJ23" s="280" t="str">
        <f>HYPERLINK("https://www.crunchbase.com/funding_round/travelperk-series-a--9a60be6c","Jun 9, 2016")</f>
        <v>Jun 9, 2016</v>
      </c>
      <c r="AK23" s="281">
        <v>7000000.0</v>
      </c>
      <c r="AL23" s="280" t="str">
        <f>HYPERLINK("https://www.crunchbase.com/funding_round/travelperk-series-b--46db3bd8","Apr 10, 2018")</f>
        <v>Apr 10, 2018</v>
      </c>
      <c r="AM23" s="281">
        <v>2.1E7</v>
      </c>
      <c r="AN23" s="280" t="str">
        <f>HYPERLINK("https://www.crunchbase.com/funding_round/travelperk-series-c--14e5732f","Jul 18, 2019")</f>
        <v>Jul 18, 2019</v>
      </c>
      <c r="AO23" s="281">
        <v>1.037E8</v>
      </c>
      <c r="AP23" s="280" t="str">
        <f>HYPERLINK("https://www.crunchbase.com/funding_round/travelperk-series-d--bdf1a00c","Jan 12, 2022")</f>
        <v>Jan 12, 2022</v>
      </c>
      <c r="AQ23" s="281">
        <v>2.75E8</v>
      </c>
      <c r="AR23" s="282"/>
      <c r="AS23" s="282"/>
      <c r="AT23" s="282"/>
      <c r="AU23" s="283"/>
      <c r="AV23" s="282"/>
      <c r="AW23" s="38"/>
      <c r="AX23" s="282"/>
      <c r="AY23" s="38"/>
      <c r="AZ23" s="284">
        <v>45114.0</v>
      </c>
      <c r="BA23" s="285">
        <v>1.8E7</v>
      </c>
      <c r="BB23" s="209">
        <v>44315.0</v>
      </c>
      <c r="BC23" s="208"/>
      <c r="BD23" s="79"/>
      <c r="BE23" s="84"/>
      <c r="BF23" s="74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</row>
    <row r="24" ht="15.75" customHeight="1">
      <c r="A24" s="114" t="s">
        <v>196</v>
      </c>
      <c r="B24" s="115"/>
      <c r="C24" s="116" t="s">
        <v>59</v>
      </c>
      <c r="D24" s="48"/>
      <c r="E24" s="117" t="s">
        <v>197</v>
      </c>
      <c r="F24" s="118" t="s">
        <v>198</v>
      </c>
      <c r="G24" s="286"/>
      <c r="H24" s="119" t="s">
        <v>129</v>
      </c>
      <c r="I24" s="25" t="s">
        <v>129</v>
      </c>
      <c r="J24" s="287"/>
      <c r="K24" s="25">
        <v>2.0</v>
      </c>
      <c r="L24" s="25">
        <v>2019.0</v>
      </c>
      <c r="M24" s="25">
        <f t="shared" si="22"/>
        <v>6</v>
      </c>
      <c r="N24" s="26">
        <f t="shared" si="23"/>
        <v>2</v>
      </c>
      <c r="O24" s="27">
        <f t="shared" si="3"/>
        <v>23</v>
      </c>
      <c r="P24" s="28">
        <f t="shared" si="4"/>
        <v>7</v>
      </c>
      <c r="Q24" s="28">
        <f t="shared" si="5"/>
        <v>7</v>
      </c>
      <c r="R24" s="28"/>
      <c r="S24" s="28">
        <f t="shared" si="24"/>
        <v>51</v>
      </c>
      <c r="T24" s="29">
        <f t="shared" si="6"/>
        <v>133333333.3</v>
      </c>
      <c r="U24" s="28"/>
      <c r="V24" s="30">
        <f t="shared" si="7"/>
        <v>800000000</v>
      </c>
      <c r="W24" s="30"/>
      <c r="X24" s="32">
        <f t="shared" si="25"/>
        <v>0</v>
      </c>
      <c r="Y24" s="33">
        <f t="shared" si="26"/>
        <v>0</v>
      </c>
      <c r="Z24" s="288">
        <v>1.25E9</v>
      </c>
      <c r="AA24" s="289" t="s">
        <v>82</v>
      </c>
      <c r="AB24" s="123"/>
      <c r="AC24" s="123"/>
      <c r="AD24" s="124"/>
      <c r="AE24" s="125"/>
      <c r="AF24" s="166"/>
      <c r="AG24" s="125"/>
      <c r="AH24" s="123"/>
      <c r="AI24" s="128"/>
      <c r="AJ24" s="180">
        <v>43958.0</v>
      </c>
      <c r="AK24" s="127">
        <v>4.0E8</v>
      </c>
      <c r="AL24" s="169"/>
      <c r="AM24" s="127"/>
      <c r="AN24" s="124"/>
      <c r="AO24" s="125"/>
      <c r="AP24" s="124"/>
      <c r="AQ24" s="125"/>
      <c r="AR24" s="124"/>
      <c r="AS24" s="124"/>
      <c r="AT24" s="124"/>
      <c r="AU24" s="137"/>
      <c r="AV24" s="124"/>
      <c r="AW24" s="38"/>
      <c r="AX24" s="124"/>
      <c r="AY24" s="38"/>
      <c r="AZ24" s="135">
        <v>44594.0</v>
      </c>
      <c r="BA24" s="136">
        <v>4.0E8</v>
      </c>
      <c r="BB24" s="124"/>
      <c r="BC24" s="137"/>
      <c r="BD24" s="124"/>
      <c r="BE24" s="125"/>
      <c r="BF24" s="123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</row>
    <row r="25" ht="15.75" customHeight="1">
      <c r="A25" s="290" t="s">
        <v>199</v>
      </c>
      <c r="B25" s="291"/>
      <c r="C25" s="292"/>
      <c r="D25" s="293"/>
      <c r="E25" s="294" t="s">
        <v>200</v>
      </c>
      <c r="F25" s="295" t="s">
        <v>201</v>
      </c>
      <c r="G25" s="296"/>
      <c r="H25" s="297"/>
      <c r="I25" s="298"/>
      <c r="J25" s="299"/>
      <c r="K25" s="298">
        <v>4.0</v>
      </c>
      <c r="L25" s="298">
        <v>2021.0</v>
      </c>
      <c r="M25" s="25">
        <f t="shared" si="22"/>
        <v>4</v>
      </c>
      <c r="N25" s="26">
        <f t="shared" si="23"/>
        <v>2</v>
      </c>
      <c r="O25" s="27">
        <f t="shared" si="3"/>
        <v>25</v>
      </c>
      <c r="P25" s="28">
        <f t="shared" si="4"/>
        <v>10</v>
      </c>
      <c r="Q25" s="28">
        <f t="shared" si="5"/>
        <v>23</v>
      </c>
      <c r="R25" s="300"/>
      <c r="S25" s="300"/>
      <c r="T25" s="29">
        <f t="shared" si="6"/>
        <v>122315625</v>
      </c>
      <c r="U25" s="300"/>
      <c r="V25" s="301">
        <f t="shared" si="7"/>
        <v>489262500</v>
      </c>
      <c r="W25" s="302"/>
      <c r="X25" s="303"/>
      <c r="Y25" s="303"/>
      <c r="Z25" s="304">
        <v>1.087285E9</v>
      </c>
      <c r="AA25" s="305" t="s">
        <v>74</v>
      </c>
      <c r="AB25" s="306"/>
      <c r="AC25" s="306"/>
      <c r="AD25" s="307"/>
      <c r="AE25" s="308"/>
      <c r="AF25" s="307"/>
      <c r="AG25" s="308"/>
      <c r="AH25" s="309"/>
      <c r="AI25" s="306"/>
      <c r="AJ25" s="310">
        <v>44662.0</v>
      </c>
      <c r="AK25" s="311">
        <v>2.1745E8</v>
      </c>
      <c r="AL25" s="310">
        <v>45100.0</v>
      </c>
      <c r="AM25" s="311">
        <v>2.718125E8</v>
      </c>
      <c r="AN25" s="309"/>
      <c r="AO25" s="311"/>
      <c r="AP25" s="309"/>
      <c r="AQ25" s="311"/>
      <c r="AR25" s="312"/>
      <c r="AS25" s="311"/>
      <c r="AT25" s="306"/>
      <c r="AU25" s="313"/>
      <c r="AV25" s="306"/>
      <c r="AW25" s="308"/>
      <c r="AX25" s="306"/>
      <c r="AY25" s="308"/>
      <c r="AZ25" s="314"/>
      <c r="BA25" s="313"/>
      <c r="BB25" s="309"/>
      <c r="BC25" s="315"/>
      <c r="BD25" s="306"/>
      <c r="BE25" s="308"/>
      <c r="BF25" s="306"/>
      <c r="BG25" s="291"/>
      <c r="BH25" s="291"/>
      <c r="BI25" s="291"/>
      <c r="BJ25" s="291"/>
      <c r="BK25" s="291"/>
      <c r="BL25" s="291"/>
      <c r="BM25" s="291"/>
      <c r="BN25" s="291"/>
      <c r="BO25" s="291"/>
      <c r="BP25" s="291"/>
      <c r="BQ25" s="291"/>
      <c r="BR25" s="291"/>
      <c r="BS25" s="291"/>
      <c r="BT25" s="291"/>
      <c r="BU25" s="291"/>
      <c r="BV25" s="291"/>
      <c r="BW25" s="291"/>
      <c r="BX25" s="291"/>
      <c r="BY25" s="291"/>
      <c r="BZ25" s="291"/>
      <c r="CA25" s="291"/>
      <c r="CB25" s="291"/>
      <c r="CC25" s="291"/>
      <c r="CD25" s="291"/>
      <c r="CE25" s="291"/>
      <c r="CF25" s="291"/>
      <c r="CG25" s="291"/>
      <c r="CH25" s="291"/>
      <c r="CI25" s="291"/>
      <c r="CJ25" s="291"/>
      <c r="CK25" s="291"/>
      <c r="CL25" s="291"/>
      <c r="CM25" s="291"/>
      <c r="CN25" s="291"/>
      <c r="CO25" s="291"/>
      <c r="CP25" s="291"/>
    </row>
    <row r="26" ht="15.75" customHeight="1">
      <c r="A26" s="245" t="s">
        <v>202</v>
      </c>
      <c r="B26" s="16"/>
      <c r="C26" s="17" t="s">
        <v>76</v>
      </c>
      <c r="D26" s="245"/>
      <c r="E26" s="236" t="s">
        <v>203</v>
      </c>
      <c r="F26" s="316" t="s">
        <v>204</v>
      </c>
      <c r="G26" s="317"/>
      <c r="H26" s="22" t="s">
        <v>205</v>
      </c>
      <c r="I26" s="23" t="s">
        <v>149</v>
      </c>
      <c r="J26" s="237"/>
      <c r="K26" s="23">
        <v>2.0</v>
      </c>
      <c r="L26" s="23">
        <v>2017.0</v>
      </c>
      <c r="M26" s="25">
        <f t="shared" si="22"/>
        <v>8</v>
      </c>
      <c r="N26" s="26">
        <f t="shared" si="23"/>
        <v>4</v>
      </c>
      <c r="O26" s="27">
        <f t="shared" si="3"/>
        <v>26</v>
      </c>
      <c r="P26" s="28">
        <f t="shared" si="4"/>
        <v>37</v>
      </c>
      <c r="Q26" s="28">
        <f t="shared" si="5"/>
        <v>42</v>
      </c>
      <c r="R26" s="28"/>
      <c r="S26" s="28"/>
      <c r="T26" s="29">
        <f t="shared" si="6"/>
        <v>28687500</v>
      </c>
      <c r="U26" s="28"/>
      <c r="V26" s="30">
        <f t="shared" si="7"/>
        <v>229500000</v>
      </c>
      <c r="W26" s="30"/>
      <c r="X26" s="33"/>
      <c r="Y26" s="33"/>
      <c r="Z26" s="318">
        <v>1.05E9</v>
      </c>
      <c r="AA26" s="319" t="s">
        <v>82</v>
      </c>
      <c r="AB26" s="36"/>
      <c r="AC26" s="36"/>
      <c r="AD26" s="44"/>
      <c r="AE26" s="46"/>
      <c r="AF26" s="320" t="str">
        <f>HYPERLINK("https://www.crunchbase.com/funding_round/branch-financial-seed--e37289e6","Jan 1, 2018")</f>
        <v>Jan 1, 2018</v>
      </c>
      <c r="AG26" s="38">
        <v>8500000.0</v>
      </c>
      <c r="AH26" s="36"/>
      <c r="AI26" s="159"/>
      <c r="AJ26" s="228" t="str">
        <f>HYPERLINK("https://www.crunchbase.com/funding_round/branch-financial-series-a--ba026372","Jul 22, 2020")</f>
        <v>Jul 22, 2020</v>
      </c>
      <c r="AK26" s="234">
        <v>2.4E7</v>
      </c>
      <c r="AL26" s="241" t="str">
        <f>HYPERLINK("https://www.crunchbase.com/funding_round/branch-financial-series-b--ef8df6b4","Jun 9, 2021")</f>
        <v>Jun 9, 2021</v>
      </c>
      <c r="AM26" s="234">
        <v>5.0E7</v>
      </c>
      <c r="AN26" s="267" t="str">
        <f>HYPERLINK("https://www.crunchbase.com/funding_round/branch-financial-series-c--2335dae4","Jun 8, 2022")</f>
        <v>Jun 8, 2022</v>
      </c>
      <c r="AO26" s="234">
        <v>1.47E8</v>
      </c>
      <c r="AP26" s="242"/>
      <c r="AQ26" s="238"/>
      <c r="AR26" s="242"/>
      <c r="AS26" s="242"/>
      <c r="AT26" s="242"/>
      <c r="AU26" s="243"/>
      <c r="AV26" s="242"/>
      <c r="AW26" s="38"/>
      <c r="AX26" s="242"/>
      <c r="AY26" s="38"/>
      <c r="AZ26" s="242"/>
      <c r="BA26" s="243"/>
      <c r="BB26" s="44"/>
      <c r="BC26" s="45"/>
      <c r="BD26" s="44"/>
      <c r="BE26" s="46"/>
      <c r="BF26" s="36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</row>
    <row r="27" ht="15.75" customHeight="1">
      <c r="A27" s="67" t="s">
        <v>206</v>
      </c>
      <c r="B27" s="115"/>
      <c r="C27" s="116" t="s">
        <v>207</v>
      </c>
      <c r="D27" s="192" t="s">
        <v>208</v>
      </c>
      <c r="E27" s="192" t="s">
        <v>209</v>
      </c>
      <c r="F27" s="118" t="s">
        <v>210</v>
      </c>
      <c r="G27" s="119" t="s">
        <v>211</v>
      </c>
      <c r="H27" s="119" t="s">
        <v>64</v>
      </c>
      <c r="I27" s="25" t="s">
        <v>65</v>
      </c>
      <c r="J27" s="120" t="s">
        <v>212</v>
      </c>
      <c r="K27" s="25">
        <v>6.0</v>
      </c>
      <c r="L27" s="25">
        <v>2014.0</v>
      </c>
      <c r="M27" s="25">
        <f t="shared" si="22"/>
        <v>11</v>
      </c>
      <c r="N27" s="26">
        <f t="shared" si="23"/>
        <v>6</v>
      </c>
      <c r="O27" s="27">
        <f t="shared" si="3"/>
        <v>26</v>
      </c>
      <c r="P27" s="28">
        <f t="shared" si="4"/>
        <v>46</v>
      </c>
      <c r="Q27" s="28">
        <f t="shared" si="5"/>
        <v>43</v>
      </c>
      <c r="R27" s="28"/>
      <c r="S27" s="28">
        <f>rank(Y27,$Y$8:$Y$80)</f>
        <v>11</v>
      </c>
      <c r="T27" s="29">
        <f t="shared" si="6"/>
        <v>19745454.55</v>
      </c>
      <c r="U27" s="28"/>
      <c r="V27" s="30">
        <f t="shared" si="7"/>
        <v>217200000</v>
      </c>
      <c r="W27" s="31">
        <v>7500000.0</v>
      </c>
      <c r="X27" s="32">
        <f>(max(AE27,AG27,AI27,AK27,AM27,AO27,AQ27,AS27,AU27,AW27,AY27,BA27,BC27)/min(AE27,AG27,AI27,AK27,AM27,AO27,AQ27,AS27,AU27,AW27,AY27,BA27,BC27))^(1/N27)-1</f>
        <v>1.924017738</v>
      </c>
      <c r="Y27" s="33">
        <f>(max(AE27,AG27,AI27,AK27,AM27,AO27,AQ27,AS27,AU27,AW27,AY27,BA27,BC27)/min(AE27,AG27,AI27,AK27,AM27,AO27,AQ27,AS27,AU27,AW27,AY27,BA27,BC27))^(1/M27)-1</f>
        <v>0.7954400588</v>
      </c>
      <c r="Z27" s="121">
        <v>1.05E9</v>
      </c>
      <c r="AA27" s="321" t="s">
        <v>94</v>
      </c>
      <c r="AB27" s="123"/>
      <c r="AC27" s="123"/>
      <c r="AD27" s="322"/>
      <c r="AE27" s="323"/>
      <c r="AF27" s="324" t="str">
        <f>HYPERLINK("https://www.crunchbase.com/funding_round/density-seed--f5d2b2bc","Oct 16, 2014")</f>
        <v>Oct 16, 2014</v>
      </c>
      <c r="AG27" s="325">
        <v>200000.0</v>
      </c>
      <c r="AH27" s="326"/>
      <c r="AI27" s="327"/>
      <c r="AJ27" s="328" t="str">
        <f>HYPERLINK("https://www.crunchbase.com/funding_round/density-series-a--35ad44f2","Jul 27, 2016")</f>
        <v>Jul 27, 2016</v>
      </c>
      <c r="AK27" s="329">
        <v>4000000.0</v>
      </c>
      <c r="AL27" s="330" t="str">
        <f>HYPERLINK("https://www.crunchbase.com/funding_round/density-series-b--06509541","Jun 29, 2018")</f>
        <v>Jun 29, 2018</v>
      </c>
      <c r="AM27" s="329">
        <v>1.2E7</v>
      </c>
      <c r="AN27" s="330" t="str">
        <f>HYPERLINK("https://www.crunchbase.com/funding_round/density-series-c--02b7574d","Jul 28, 2020")</f>
        <v>Jul 28, 2020</v>
      </c>
      <c r="AO27" s="329">
        <v>5.1E7</v>
      </c>
      <c r="AP27" s="330" t="str">
        <f>HYPERLINK("https://www.density.io/blog/series-d","Nov 10, 2021")</f>
        <v>Nov 10, 2021</v>
      </c>
      <c r="AQ27" s="329">
        <v>1.25E8</v>
      </c>
      <c r="AR27" s="331"/>
      <c r="AS27" s="331"/>
      <c r="AT27" s="331"/>
      <c r="AU27" s="332"/>
      <c r="AV27" s="331"/>
      <c r="AW27" s="38"/>
      <c r="AX27" s="331"/>
      <c r="AY27" s="38"/>
      <c r="AZ27" s="333">
        <v>44299.0</v>
      </c>
      <c r="BA27" s="334">
        <v>2.5E7</v>
      </c>
      <c r="BB27" s="322"/>
      <c r="BC27" s="335"/>
      <c r="BD27" s="322"/>
      <c r="BE27" s="323"/>
      <c r="BF27" s="326"/>
      <c r="BG27" s="336"/>
      <c r="BH27" s="336"/>
      <c r="BI27" s="336"/>
      <c r="BJ27" s="336"/>
      <c r="BK27" s="336"/>
      <c r="BL27" s="336"/>
      <c r="BM27" s="336"/>
      <c r="BN27" s="336"/>
      <c r="BO27" s="336"/>
      <c r="BP27" s="336"/>
      <c r="BQ27" s="336"/>
      <c r="BR27" s="336"/>
      <c r="BS27" s="336"/>
      <c r="BT27" s="336"/>
      <c r="BU27" s="336"/>
      <c r="BV27" s="336"/>
      <c r="BW27" s="336"/>
      <c r="BX27" s="336"/>
      <c r="BY27" s="336"/>
      <c r="BZ27" s="336"/>
      <c r="CA27" s="336"/>
      <c r="CB27" s="336"/>
      <c r="CC27" s="336"/>
      <c r="CD27" s="336"/>
      <c r="CE27" s="336"/>
      <c r="CF27" s="336"/>
      <c r="CG27" s="336"/>
      <c r="CH27" s="336"/>
      <c r="CI27" s="336"/>
      <c r="CJ27" s="336"/>
      <c r="CK27" s="336"/>
      <c r="CL27" s="336"/>
      <c r="CM27" s="336"/>
      <c r="CN27" s="336"/>
      <c r="CO27" s="336"/>
      <c r="CP27" s="336"/>
    </row>
    <row r="28" ht="15.75" customHeight="1">
      <c r="A28" s="153" t="s">
        <v>213</v>
      </c>
      <c r="B28" s="68"/>
      <c r="C28" s="69" t="s">
        <v>68</v>
      </c>
      <c r="D28" s="337"/>
      <c r="E28" s="138" t="s">
        <v>214</v>
      </c>
      <c r="F28" s="173" t="s">
        <v>215</v>
      </c>
      <c r="G28" s="71" t="s">
        <v>216</v>
      </c>
      <c r="H28" s="71" t="s">
        <v>217</v>
      </c>
      <c r="I28" s="26" t="s">
        <v>218</v>
      </c>
      <c r="J28" s="72"/>
      <c r="K28" s="26" t="s">
        <v>219</v>
      </c>
      <c r="L28" s="26">
        <v>2020.0</v>
      </c>
      <c r="M28" s="25">
        <f t="shared" si="22"/>
        <v>5</v>
      </c>
      <c r="N28" s="26">
        <v>4.0</v>
      </c>
      <c r="O28" s="27">
        <f t="shared" si="3"/>
        <v>28</v>
      </c>
      <c r="P28" s="28">
        <f t="shared" si="4"/>
        <v>1</v>
      </c>
      <c r="Q28" s="28">
        <f t="shared" si="5"/>
        <v>1</v>
      </c>
      <c r="R28" s="28"/>
      <c r="S28" s="28"/>
      <c r="T28" s="29">
        <f t="shared" si="6"/>
        <v>772680000</v>
      </c>
      <c r="U28" s="28"/>
      <c r="V28" s="30">
        <f t="shared" si="7"/>
        <v>3863400000</v>
      </c>
      <c r="W28" s="30"/>
      <c r="X28" s="73"/>
      <c r="Y28" s="73"/>
      <c r="Z28" s="212">
        <v>1.0E9</v>
      </c>
      <c r="AA28" s="213" t="s">
        <v>158</v>
      </c>
      <c r="AB28" s="74"/>
      <c r="AC28" s="74"/>
      <c r="AD28" s="79"/>
      <c r="AE28" s="84"/>
      <c r="AF28" s="338"/>
      <c r="AG28" s="76"/>
      <c r="AH28" s="74"/>
      <c r="AI28" s="78"/>
      <c r="AJ28" s="75">
        <v>44341.0</v>
      </c>
      <c r="AK28" s="76">
        <v>1.05E8</v>
      </c>
      <c r="AL28" s="75">
        <v>44802.0</v>
      </c>
      <c r="AM28" s="76">
        <f>190000000+68400000</f>
        <v>258400000</v>
      </c>
      <c r="AN28" s="279"/>
      <c r="AO28" s="76"/>
      <c r="AP28" s="79"/>
      <c r="AQ28" s="84"/>
      <c r="AR28" s="79"/>
      <c r="AS28" s="79"/>
      <c r="AT28" s="79"/>
      <c r="AU28" s="80"/>
      <c r="AV28" s="79"/>
      <c r="AW28" s="38"/>
      <c r="AX28" s="79"/>
      <c r="AY28" s="38"/>
      <c r="AZ28" s="79"/>
      <c r="BA28" s="80"/>
      <c r="BB28" s="75">
        <v>44858.0</v>
      </c>
      <c r="BC28" s="83">
        <v>3.5E9</v>
      </c>
      <c r="BD28" s="79"/>
      <c r="BE28" s="84"/>
      <c r="BF28" s="74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</row>
    <row r="29" ht="15.75" customHeight="1">
      <c r="A29" s="339" t="s">
        <v>220</v>
      </c>
      <c r="B29" s="340"/>
      <c r="C29" s="341"/>
      <c r="D29" s="342"/>
      <c r="E29" s="343" t="s">
        <v>221</v>
      </c>
      <c r="F29" s="344" t="s">
        <v>222</v>
      </c>
      <c r="G29" s="345"/>
      <c r="H29" s="346"/>
      <c r="I29" s="347"/>
      <c r="J29" s="300"/>
      <c r="K29" s="347">
        <v>1.0</v>
      </c>
      <c r="L29" s="348">
        <v>2005.0</v>
      </c>
      <c r="M29" s="25">
        <f t="shared" si="22"/>
        <v>20</v>
      </c>
      <c r="N29" s="26">
        <v>4.0</v>
      </c>
      <c r="O29" s="27">
        <f t="shared" si="3"/>
        <v>28</v>
      </c>
      <c r="P29" s="28">
        <f t="shared" si="4"/>
        <v>28</v>
      </c>
      <c r="Q29" s="28">
        <f t="shared" si="5"/>
        <v>7</v>
      </c>
      <c r="R29" s="300"/>
      <c r="S29" s="300"/>
      <c r="T29" s="29">
        <f t="shared" si="6"/>
        <v>40000000</v>
      </c>
      <c r="U29" s="300"/>
      <c r="V29" s="302">
        <v>8.0E8</v>
      </c>
      <c r="W29" s="302"/>
      <c r="X29" s="349"/>
      <c r="Y29" s="349"/>
      <c r="Z29" s="304">
        <v>1.0E9</v>
      </c>
      <c r="AA29" s="305" t="s">
        <v>74</v>
      </c>
      <c r="AB29" s="300"/>
      <c r="AC29" s="300"/>
      <c r="AD29" s="307"/>
      <c r="AE29" s="308"/>
      <c r="AF29" s="307"/>
      <c r="AG29" s="308"/>
      <c r="AH29" s="300"/>
      <c r="AI29" s="308"/>
      <c r="AJ29" s="307"/>
      <c r="AK29" s="308"/>
      <c r="AL29" s="307"/>
      <c r="AM29" s="308"/>
      <c r="AN29" s="307"/>
      <c r="AO29" s="308"/>
      <c r="AP29" s="350"/>
      <c r="AQ29" s="308"/>
      <c r="AR29" s="300"/>
      <c r="AS29" s="308"/>
      <c r="AT29" s="300"/>
      <c r="AU29" s="308"/>
      <c r="AV29" s="300"/>
      <c r="AW29" s="308"/>
      <c r="AX29" s="300"/>
      <c r="AY29" s="308"/>
      <c r="AZ29" s="307"/>
      <c r="BA29" s="308"/>
      <c r="BB29" s="307"/>
      <c r="BC29" s="308"/>
      <c r="BD29" s="300"/>
      <c r="BE29" s="308"/>
      <c r="BF29" s="300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</row>
    <row r="30" ht="15.75" customHeight="1">
      <c r="A30" s="47" t="s">
        <v>223</v>
      </c>
      <c r="C30" s="48" t="s">
        <v>84</v>
      </c>
      <c r="D30" s="351"/>
      <c r="E30" s="49" t="s">
        <v>224</v>
      </c>
      <c r="F30" s="352" t="s">
        <v>225</v>
      </c>
      <c r="G30" s="353"/>
      <c r="H30" s="53" t="s">
        <v>226</v>
      </c>
      <c r="I30" s="54" t="s">
        <v>227</v>
      </c>
      <c r="J30" s="55"/>
      <c r="K30" s="54">
        <v>1.0</v>
      </c>
      <c r="L30" s="56">
        <v>2009.0</v>
      </c>
      <c r="M30" s="25">
        <f t="shared" si="22"/>
        <v>16</v>
      </c>
      <c r="N30" s="26">
        <f t="shared" ref="N30:N41" si="27">counta(AE30,AG30,AI30,AK30,AM30,AO30,AQ30,AS30,AU30,AW30,AY30,BA30,BC30)</f>
        <v>5</v>
      </c>
      <c r="O30" s="27">
        <f t="shared" si="3"/>
        <v>28</v>
      </c>
      <c r="P30" s="28">
        <f t="shared" si="4"/>
        <v>29</v>
      </c>
      <c r="Q30" s="28">
        <f t="shared" si="5"/>
        <v>14</v>
      </c>
      <c r="R30" s="55"/>
      <c r="S30" s="55"/>
      <c r="T30" s="29">
        <f t="shared" si="6"/>
        <v>38974812.5</v>
      </c>
      <c r="U30" s="55"/>
      <c r="V30" s="30">
        <f t="shared" ref="V30:V504" si="28">SUM(BE30+BC30+BA30+AY30+AW30+AU30+AS30+AQ30+AO30+AM30+AK30+AI30+AG30+AE30)</f>
        <v>623597000</v>
      </c>
      <c r="W30" s="31">
        <v>5.8E7</v>
      </c>
      <c r="X30" s="58"/>
      <c r="Y30" s="58"/>
      <c r="Z30" s="59">
        <v>1.0E9</v>
      </c>
      <c r="AA30" s="354" t="s">
        <v>82</v>
      </c>
      <c r="AB30" s="55"/>
      <c r="AC30" s="55"/>
      <c r="AD30" s="355"/>
      <c r="AE30" s="38"/>
      <c r="AF30" s="355"/>
      <c r="AG30" s="38"/>
      <c r="AH30" s="55"/>
      <c r="AI30" s="38"/>
      <c r="AJ30" s="62">
        <v>43352.0</v>
      </c>
      <c r="AK30" s="38">
        <v>6000000.0</v>
      </c>
      <c r="AL30" s="62">
        <v>44046.0</v>
      </c>
      <c r="AM30" s="38">
        <v>2.9E7</v>
      </c>
      <c r="AN30" s="62">
        <v>44616.0</v>
      </c>
      <c r="AO30" s="38">
        <v>3.75E8</v>
      </c>
      <c r="AP30" s="356"/>
      <c r="AQ30" s="38"/>
      <c r="AR30" s="55"/>
      <c r="AS30" s="38"/>
      <c r="AT30" s="55"/>
      <c r="AU30" s="38"/>
      <c r="AV30" s="55"/>
      <c r="AW30" s="38"/>
      <c r="AX30" s="55"/>
      <c r="AY30" s="38"/>
      <c r="AZ30" s="62">
        <v>44991.0</v>
      </c>
      <c r="BA30" s="38">
        <v>1.5E8</v>
      </c>
      <c r="BB30" s="62">
        <v>44562.0</v>
      </c>
      <c r="BC30" s="38">
        <f>63300000+297000</f>
        <v>63597000</v>
      </c>
      <c r="BD30" s="55"/>
      <c r="BE30" s="38"/>
      <c r="BF30" s="5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5"/>
      <c r="CC30" s="115"/>
      <c r="CD30" s="115"/>
      <c r="CE30" s="115"/>
      <c r="CF30" s="115"/>
      <c r="CG30" s="115"/>
      <c r="CH30" s="115"/>
      <c r="CI30" s="115"/>
      <c r="CJ30" s="115"/>
      <c r="CK30" s="115"/>
      <c r="CL30" s="115"/>
      <c r="CM30" s="115"/>
      <c r="CN30" s="115"/>
      <c r="CO30" s="115"/>
      <c r="CP30" s="115"/>
    </row>
    <row r="31" ht="15.75" customHeight="1">
      <c r="A31" s="357" t="s">
        <v>228</v>
      </c>
      <c r="B31" s="292"/>
      <c r="C31" s="292"/>
      <c r="D31" s="358"/>
      <c r="E31" s="359" t="s">
        <v>229</v>
      </c>
      <c r="F31" s="360" t="s">
        <v>230</v>
      </c>
      <c r="G31" s="347"/>
      <c r="H31" s="297"/>
      <c r="I31" s="298"/>
      <c r="J31" s="361"/>
      <c r="K31" s="298">
        <v>3.0</v>
      </c>
      <c r="L31" s="298">
        <v>2020.0</v>
      </c>
      <c r="M31" s="25">
        <f t="shared" si="22"/>
        <v>5</v>
      </c>
      <c r="N31" s="26">
        <f t="shared" si="27"/>
        <v>3</v>
      </c>
      <c r="O31" s="27">
        <f t="shared" si="3"/>
        <v>28</v>
      </c>
      <c r="P31" s="28">
        <f t="shared" si="4"/>
        <v>11</v>
      </c>
      <c r="Q31" s="28">
        <f t="shared" si="5"/>
        <v>15</v>
      </c>
      <c r="R31" s="350"/>
      <c r="S31" s="350"/>
      <c r="T31" s="29">
        <f t="shared" si="6"/>
        <v>120400000</v>
      </c>
      <c r="U31" s="350"/>
      <c r="V31" s="301">
        <f t="shared" si="28"/>
        <v>602000000</v>
      </c>
      <c r="W31" s="302"/>
      <c r="X31" s="303"/>
      <c r="Y31" s="362"/>
      <c r="Z31" s="363">
        <v>1.0E9</v>
      </c>
      <c r="AA31" s="364" t="s">
        <v>74</v>
      </c>
      <c r="AB31" s="306"/>
      <c r="AC31" s="306"/>
      <c r="AD31" s="365"/>
      <c r="AE31" s="366"/>
      <c r="AF31" s="367"/>
      <c r="AG31" s="368"/>
      <c r="AH31" s="369"/>
      <c r="AI31" s="370"/>
      <c r="AJ31" s="371">
        <v>44370.0</v>
      </c>
      <c r="AK31" s="372">
        <v>2.4E7</v>
      </c>
      <c r="AL31" s="371">
        <v>44734.0</v>
      </c>
      <c r="AM31" s="372">
        <v>1.98E8</v>
      </c>
      <c r="AN31" s="371">
        <v>45201.0</v>
      </c>
      <c r="AO31" s="372">
        <v>3.8E8</v>
      </c>
      <c r="AP31" s="373"/>
      <c r="AQ31" s="374"/>
      <c r="AR31" s="373"/>
      <c r="AS31" s="373"/>
      <c r="AT31" s="373"/>
      <c r="AU31" s="375"/>
      <c r="AV31" s="373"/>
      <c r="AW31" s="308"/>
      <c r="AX31" s="373"/>
      <c r="AY31" s="308"/>
      <c r="AZ31" s="373"/>
      <c r="BA31" s="375"/>
      <c r="BB31" s="376"/>
      <c r="BC31" s="377"/>
      <c r="BD31" s="378"/>
      <c r="BE31" s="379"/>
      <c r="BF31" s="306"/>
      <c r="BG31" s="336"/>
      <c r="BH31" s="336"/>
      <c r="BI31" s="336"/>
      <c r="BJ31" s="336"/>
      <c r="BK31" s="336"/>
      <c r="BL31" s="336"/>
      <c r="BM31" s="336"/>
      <c r="BN31" s="336"/>
      <c r="BO31" s="336"/>
      <c r="BP31" s="336"/>
      <c r="BQ31" s="336"/>
      <c r="BR31" s="336"/>
      <c r="BS31" s="336"/>
      <c r="BT31" s="336"/>
      <c r="BU31" s="336"/>
      <c r="BV31" s="336"/>
      <c r="BW31" s="336"/>
      <c r="BX31" s="336"/>
      <c r="BY31" s="336"/>
      <c r="BZ31" s="336"/>
      <c r="CA31" s="336"/>
      <c r="CB31" s="336"/>
      <c r="CC31" s="336"/>
      <c r="CD31" s="336"/>
      <c r="CE31" s="336"/>
      <c r="CF31" s="336"/>
      <c r="CG31" s="336"/>
      <c r="CH31" s="336"/>
      <c r="CI31" s="336"/>
      <c r="CJ31" s="336"/>
      <c r="CK31" s="336"/>
      <c r="CL31" s="336"/>
      <c r="CM31" s="336"/>
      <c r="CN31" s="336"/>
      <c r="CO31" s="336"/>
      <c r="CP31" s="336"/>
    </row>
    <row r="32" ht="15.75" customHeight="1">
      <c r="A32" s="153" t="s">
        <v>231</v>
      </c>
      <c r="B32" s="69"/>
      <c r="C32" s="69" t="s">
        <v>84</v>
      </c>
      <c r="D32" s="380"/>
      <c r="E32" s="200" t="s">
        <v>232</v>
      </c>
      <c r="F32" s="154" t="s">
        <v>233</v>
      </c>
      <c r="G32" s="54" t="s">
        <v>234</v>
      </c>
      <c r="H32" s="71" t="s">
        <v>235</v>
      </c>
      <c r="I32" s="26" t="s">
        <v>236</v>
      </c>
      <c r="J32" s="72"/>
      <c r="K32" s="26">
        <v>2.0</v>
      </c>
      <c r="L32" s="26">
        <v>2019.0</v>
      </c>
      <c r="M32" s="25">
        <f t="shared" si="22"/>
        <v>6</v>
      </c>
      <c r="N32" s="26">
        <f t="shared" si="27"/>
        <v>5</v>
      </c>
      <c r="O32" s="27">
        <f t="shared" si="3"/>
        <v>28</v>
      </c>
      <c r="P32" s="28">
        <f t="shared" si="4"/>
        <v>12</v>
      </c>
      <c r="Q32" s="28">
        <f t="shared" si="5"/>
        <v>18</v>
      </c>
      <c r="R32" s="28"/>
      <c r="S32" s="28">
        <f>rank(Y32,$Y$8:$Y$80)</f>
        <v>8</v>
      </c>
      <c r="T32" s="29">
        <f t="shared" si="6"/>
        <v>91133333.33</v>
      </c>
      <c r="U32" s="28"/>
      <c r="V32" s="30">
        <f t="shared" si="28"/>
        <v>546800000</v>
      </c>
      <c r="W32" s="31">
        <v>1.1E7</v>
      </c>
      <c r="X32" s="32">
        <f t="shared" ref="X32:X33" si="29">(max(AE32,AG32,AI32,AK32,AM32,AO32,AQ32,AS32,AU32,AW32,AY32,BA32,BC32)/min(AE32,AG32,AI32,AK32,AM32,AO32,AQ32,AS32,AU32,AW32,AY32,BA32,BC32))^(1/N32)-1</f>
        <v>1.112333996</v>
      </c>
      <c r="Y32" s="33">
        <f t="shared" ref="Y32:Y33" si="30">(max(AE32,AG32,AI32,AK32,AM32,AO32,AQ32,AS32,AU32,AW32,AY32,BA32,BC32)/min(AE32,AG32,AI32,AK32,AM32,AO32,AQ32,AS32,AU32,AW32,AY32,BA32,BC32))^(1/M32)-1</f>
        <v>0.8648138694</v>
      </c>
      <c r="Z32" s="34">
        <v>1.0E9</v>
      </c>
      <c r="AA32" s="381" t="s">
        <v>82</v>
      </c>
      <c r="AB32" s="74"/>
      <c r="AC32" s="74"/>
      <c r="AD32" s="107" t="str">
        <f>HYPERLINK("https://www.crunchbase.com/funding_round/habi-fefd-pre-seed--a996b0a2","Nov 15, 2019")</f>
        <v>Nov 15, 2019</v>
      </c>
      <c r="AE32" s="108">
        <v>5500000.0</v>
      </c>
      <c r="AF32" s="104"/>
      <c r="AG32" s="382"/>
      <c r="AH32" s="101"/>
      <c r="AI32" s="106"/>
      <c r="AJ32" s="107" t="str">
        <f>HYPERLINK("https://www.crunchbase.com/funding_round/habi-fefd-series-a--0c2ddbb5","Aug 26, 2020")</f>
        <v>Aug 26, 2020</v>
      </c>
      <c r="AK32" s="108">
        <v>1.0E7</v>
      </c>
      <c r="AL32" s="107" t="str">
        <f>HYPERLINK("https://www.crunchbase.com/funding_round/habi-fefd-series-b--aa81d085","Jun 23, 2021")</f>
        <v>Jun 23, 2021</v>
      </c>
      <c r="AM32" s="108">
        <v>1.0E8</v>
      </c>
      <c r="AN32" s="107" t="str">
        <f>HYPERLINK("https://www.wsj.com/articles/colombian-real-estate-startup-habi-gets-200-million-in-series-c-round-11652261401","May 12th, 2022")</f>
        <v>May 12th, 2022</v>
      </c>
      <c r="AO32" s="108">
        <v>2.0E8</v>
      </c>
      <c r="AP32" s="109"/>
      <c r="AQ32" s="105"/>
      <c r="AR32" s="109"/>
      <c r="AS32" s="109"/>
      <c r="AT32" s="109"/>
      <c r="AU32" s="110"/>
      <c r="AV32" s="109"/>
      <c r="AW32" s="38"/>
      <c r="AX32" s="109"/>
      <c r="AY32" s="38"/>
      <c r="AZ32" s="109"/>
      <c r="BA32" s="110"/>
      <c r="BB32" s="383">
        <v>45078.0</v>
      </c>
      <c r="BC32" s="219">
        <v>2.313E8</v>
      </c>
      <c r="BD32" s="79"/>
      <c r="BE32" s="84"/>
      <c r="BF32" s="74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</row>
    <row r="33" ht="15.75" customHeight="1">
      <c r="A33" s="384" t="s">
        <v>237</v>
      </c>
      <c r="B33" s="68"/>
      <c r="C33" s="69" t="s">
        <v>59</v>
      </c>
      <c r="D33" s="385"/>
      <c r="E33" s="192" t="s">
        <v>238</v>
      </c>
      <c r="F33" s="386" t="s">
        <v>239</v>
      </c>
      <c r="G33" s="71" t="s">
        <v>240</v>
      </c>
      <c r="H33" s="71" t="s">
        <v>241</v>
      </c>
      <c r="I33" s="26" t="s">
        <v>65</v>
      </c>
      <c r="J33" s="72" t="s">
        <v>242</v>
      </c>
      <c r="K33" s="26">
        <v>3.0</v>
      </c>
      <c r="L33" s="26">
        <v>2013.0</v>
      </c>
      <c r="M33" s="25">
        <f t="shared" si="22"/>
        <v>12</v>
      </c>
      <c r="N33" s="26">
        <f t="shared" si="27"/>
        <v>5</v>
      </c>
      <c r="O33" s="27">
        <f t="shared" si="3"/>
        <v>28</v>
      </c>
      <c r="P33" s="28">
        <f t="shared" si="4"/>
        <v>27</v>
      </c>
      <c r="Q33" s="28">
        <f t="shared" si="5"/>
        <v>21</v>
      </c>
      <c r="R33" s="28"/>
      <c r="S33" s="28"/>
      <c r="T33" s="29">
        <f t="shared" si="6"/>
        <v>40956008.33</v>
      </c>
      <c r="U33" s="28"/>
      <c r="V33" s="30">
        <f t="shared" si="28"/>
        <v>491472100</v>
      </c>
      <c r="W33" s="31">
        <v>5.61E7</v>
      </c>
      <c r="X33" s="32">
        <f t="shared" si="29"/>
        <v>1.373486213</v>
      </c>
      <c r="Y33" s="33">
        <f t="shared" si="30"/>
        <v>0.4335443407</v>
      </c>
      <c r="Z33" s="59">
        <v>1.0E9</v>
      </c>
      <c r="AA33" s="60" t="s">
        <v>82</v>
      </c>
      <c r="AB33" s="74"/>
      <c r="AC33" s="74"/>
      <c r="AD33" s="79"/>
      <c r="AE33" s="84"/>
      <c r="AF33" s="175" t="str">
        <f>HYPERLINK("https://www.crunchbase.com/funding_round/software-motor-company-seed--5794accf","Mar 28, 2014")</f>
        <v>Mar 28, 2014</v>
      </c>
      <c r="AG33" s="76">
        <v>3000000.0</v>
      </c>
      <c r="AH33" s="77"/>
      <c r="AI33" s="78"/>
      <c r="AJ33" s="181" t="str">
        <f>HYPERLINK("https://www.crunchbase.com/funding_round/software-motor-company-series-a--ca221f48","Jun 25, 2019")</f>
        <v>Jun 25, 2019</v>
      </c>
      <c r="AK33" s="76">
        <v>4.45E7</v>
      </c>
      <c r="AL33" s="387">
        <v>44098.0</v>
      </c>
      <c r="AM33" s="76">
        <f>25000000+33000000</f>
        <v>58000000</v>
      </c>
      <c r="AN33" s="79"/>
      <c r="AO33" s="84"/>
      <c r="AP33" s="79"/>
      <c r="AQ33" s="84"/>
      <c r="AR33" s="79"/>
      <c r="AS33" s="79"/>
      <c r="AT33" s="79"/>
      <c r="AU33" s="80"/>
      <c r="AV33" s="79"/>
      <c r="AW33" s="38"/>
      <c r="AX33" s="79"/>
      <c r="AY33" s="38"/>
      <c r="AZ33" s="75">
        <v>44727.0</v>
      </c>
      <c r="BA33" s="108">
        <v>1.6E8</v>
      </c>
      <c r="BB33" s="75">
        <v>44377.0</v>
      </c>
      <c r="BC33" s="108">
        <f>225000000+747300+224800</f>
        <v>225972100</v>
      </c>
      <c r="BD33" s="79"/>
      <c r="BE33" s="84"/>
      <c r="BF33" s="74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</row>
    <row r="34" ht="15.75" customHeight="1">
      <c r="A34" s="153" t="s">
        <v>243</v>
      </c>
      <c r="B34" s="68"/>
      <c r="C34" s="69" t="s">
        <v>84</v>
      </c>
      <c r="D34" s="231" t="s">
        <v>244</v>
      </c>
      <c r="E34" s="388" t="s">
        <v>245</v>
      </c>
      <c r="F34" s="389" t="s">
        <v>246</v>
      </c>
      <c r="G34" s="140"/>
      <c r="H34" s="71" t="s">
        <v>120</v>
      </c>
      <c r="I34" s="26" t="s">
        <v>65</v>
      </c>
      <c r="J34" s="155"/>
      <c r="K34" s="26">
        <v>4.0</v>
      </c>
      <c r="L34" s="26">
        <v>2011.0</v>
      </c>
      <c r="M34" s="25">
        <f t="shared" si="22"/>
        <v>14</v>
      </c>
      <c r="N34" s="26">
        <f t="shared" si="27"/>
        <v>4</v>
      </c>
      <c r="O34" s="27">
        <f t="shared" si="3"/>
        <v>28</v>
      </c>
      <c r="P34" s="28">
        <f t="shared" si="4"/>
        <v>31</v>
      </c>
      <c r="Q34" s="28">
        <f t="shared" si="5"/>
        <v>24</v>
      </c>
      <c r="R34" s="273"/>
      <c r="S34" s="273"/>
      <c r="T34" s="29">
        <f t="shared" si="6"/>
        <v>34907142.86</v>
      </c>
      <c r="U34" s="273"/>
      <c r="V34" s="30">
        <f t="shared" si="28"/>
        <v>488700000</v>
      </c>
      <c r="W34" s="30"/>
      <c r="X34" s="73"/>
      <c r="Y34" s="73"/>
      <c r="Z34" s="59">
        <v>1.0E9</v>
      </c>
      <c r="AA34" s="60" t="s">
        <v>82</v>
      </c>
      <c r="AB34" s="74"/>
      <c r="AC34" s="74"/>
      <c r="AD34" s="79"/>
      <c r="AE34" s="84"/>
      <c r="AF34" s="338"/>
      <c r="AG34" s="76"/>
      <c r="AH34" s="74"/>
      <c r="AI34" s="78"/>
      <c r="AJ34" s="387">
        <v>41060.0</v>
      </c>
      <c r="AK34" s="76">
        <v>3700000.0</v>
      </c>
      <c r="AL34" s="75">
        <v>41484.0</v>
      </c>
      <c r="AM34" s="76">
        <v>1.5E7</v>
      </c>
      <c r="AN34" s="390"/>
      <c r="AO34" s="76"/>
      <c r="AP34" s="391"/>
      <c r="AQ34" s="84"/>
      <c r="AR34" s="79"/>
      <c r="AS34" s="79"/>
      <c r="AT34" s="79"/>
      <c r="AU34" s="80"/>
      <c r="AV34" s="79"/>
      <c r="AW34" s="38"/>
      <c r="AX34" s="79"/>
      <c r="AY34" s="38"/>
      <c r="AZ34" s="75">
        <v>41711.0</v>
      </c>
      <c r="BA34" s="108">
        <v>6500000.0</v>
      </c>
      <c r="BB34" s="75">
        <v>42606.0</v>
      </c>
      <c r="BC34" s="281">
        <v>4.635E8</v>
      </c>
      <c r="BD34" s="79"/>
      <c r="BE34" s="84"/>
      <c r="BF34" s="74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</row>
    <row r="35" ht="15.75" customHeight="1">
      <c r="A35" s="114" t="s">
        <v>247</v>
      </c>
      <c r="B35" s="116"/>
      <c r="C35" s="116" t="s">
        <v>84</v>
      </c>
      <c r="D35" s="192" t="s">
        <v>248</v>
      </c>
      <c r="E35" s="192" t="s">
        <v>249</v>
      </c>
      <c r="F35" s="118" t="s">
        <v>250</v>
      </c>
      <c r="G35" s="119"/>
      <c r="H35" s="119" t="s">
        <v>128</v>
      </c>
      <c r="I35" s="26" t="s">
        <v>129</v>
      </c>
      <c r="J35" s="120"/>
      <c r="K35" s="25">
        <v>2.0</v>
      </c>
      <c r="L35" s="25">
        <v>2017.0</v>
      </c>
      <c r="M35" s="25">
        <f t="shared" si="22"/>
        <v>8</v>
      </c>
      <c r="N35" s="26">
        <f t="shared" si="27"/>
        <v>5</v>
      </c>
      <c r="O35" s="27">
        <f t="shared" si="3"/>
        <v>28</v>
      </c>
      <c r="P35" s="28">
        <f t="shared" si="4"/>
        <v>17</v>
      </c>
      <c r="Q35" s="28">
        <f t="shared" si="5"/>
        <v>25</v>
      </c>
      <c r="R35" s="28"/>
      <c r="S35" s="28">
        <f>rank(Y35,$Y$8:$Y$80)</f>
        <v>26</v>
      </c>
      <c r="T35" s="29">
        <f t="shared" si="6"/>
        <v>59000000</v>
      </c>
      <c r="U35" s="28"/>
      <c r="V35" s="30">
        <f t="shared" si="28"/>
        <v>472000000</v>
      </c>
      <c r="W35" s="31">
        <v>2300000.0</v>
      </c>
      <c r="X35" s="32">
        <f>(max(AE35,AG35,AI35,AK35,AM35,AO35,AQ35,AS35,AU35,AW35,AY35,BA35,BC35)/min(AE35,AG35,AI35,AK35,AM35,AO35,AQ35,AS35,AU35,AW35,AY35,BA35,BC35))^(1/N35)-1</f>
        <v>0.8556007363</v>
      </c>
      <c r="Y35" s="33">
        <f>(max(AE35,AG35,AI35,AK35,AM35,AO35,AQ35,AS35,AU35,AW35,AY35,BA35,BC35)/min(AE35,AG35,AI35,AK35,AM35,AO35,AQ35,AS35,AU35,AW35,AY35,BA35,BC35))^(1/M35)-1</f>
        <v>0.4716442405</v>
      </c>
      <c r="Z35" s="34">
        <v>1.0E9</v>
      </c>
      <c r="AA35" s="122" t="s">
        <v>94</v>
      </c>
      <c r="AB35" s="123"/>
      <c r="AC35" s="123"/>
      <c r="AD35" s="133"/>
      <c r="AE35" s="392"/>
      <c r="AF35" s="393"/>
      <c r="AG35" s="392"/>
      <c r="AH35" s="394"/>
      <c r="AI35" s="395"/>
      <c r="AJ35" s="132" t="str">
        <f>HYPERLINK("https://www.crunchbase.com/funding_round/orchardhomes-series-a--95785e9a","May 10, 2018")</f>
        <v>May 10, 2018</v>
      </c>
      <c r="AK35" s="396">
        <v>1.0E7</v>
      </c>
      <c r="AL35" s="397" t="str">
        <f>HYPERLINK("https://www.crunchbase.com/funding_round/orchardhomes-series-b--30d59d90","Jan 7, 2020")</f>
        <v>Jan 7, 2020</v>
      </c>
      <c r="AM35" s="396">
        <v>5.6E7</v>
      </c>
      <c r="AN35" s="397" t="str">
        <f>HYPERLINK("https://www.crunchbase.com/funding_round/orchardhomes-series-c--abde2601","Sep 10, 2020")</f>
        <v>Sep 10, 2020</v>
      </c>
      <c r="AO35" s="396">
        <v>8.6E7</v>
      </c>
      <c r="AP35" s="397" t="str">
        <f>HYPERLINK("https://www.crunchbase.com/funding_round/orchardhomes-series-d--a66f3b58","Sep 9, 2021")</f>
        <v>Sep 9, 2021</v>
      </c>
      <c r="AQ35" s="396">
        <v>1.0E8</v>
      </c>
      <c r="AR35" s="398"/>
      <c r="AS35" s="398"/>
      <c r="AT35" s="398"/>
      <c r="AU35" s="399"/>
      <c r="AV35" s="398"/>
      <c r="AW35" s="38"/>
      <c r="AX35" s="398"/>
      <c r="AY35" s="38"/>
      <c r="AZ35" s="398"/>
      <c r="BA35" s="399"/>
      <c r="BB35" s="333">
        <v>43557.0</v>
      </c>
      <c r="BC35" s="334">
        <v>2.2E8</v>
      </c>
      <c r="BD35" s="124"/>
      <c r="BE35" s="125"/>
      <c r="BF35" s="123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</row>
    <row r="36" ht="15.75" customHeight="1">
      <c r="A36" s="400" t="s">
        <v>251</v>
      </c>
      <c r="B36" s="115"/>
      <c r="C36" s="116" t="s">
        <v>252</v>
      </c>
      <c r="D36" s="161" t="s">
        <v>253</v>
      </c>
      <c r="E36" s="401" t="s">
        <v>254</v>
      </c>
      <c r="F36" s="402" t="s">
        <v>255</v>
      </c>
      <c r="G36" s="286"/>
      <c r="H36" s="119" t="s">
        <v>256</v>
      </c>
      <c r="I36" s="25" t="s">
        <v>257</v>
      </c>
      <c r="J36" s="287"/>
      <c r="K36" s="25">
        <v>3.0</v>
      </c>
      <c r="L36" s="25">
        <v>2014.0</v>
      </c>
      <c r="M36" s="25">
        <f t="shared" si="22"/>
        <v>11</v>
      </c>
      <c r="N36" s="26">
        <f t="shared" si="27"/>
        <v>6</v>
      </c>
      <c r="O36" s="27">
        <f t="shared" si="3"/>
        <v>28</v>
      </c>
      <c r="P36" s="28">
        <f t="shared" si="4"/>
        <v>32</v>
      </c>
      <c r="Q36" s="28">
        <f t="shared" si="5"/>
        <v>32</v>
      </c>
      <c r="R36" s="55"/>
      <c r="S36" s="55"/>
      <c r="T36" s="29">
        <f t="shared" si="6"/>
        <v>34536363.64</v>
      </c>
      <c r="U36" s="55"/>
      <c r="V36" s="30">
        <f t="shared" si="28"/>
        <v>379900000</v>
      </c>
      <c r="W36" s="31">
        <v>8500000.0</v>
      </c>
      <c r="X36" s="403"/>
      <c r="Y36" s="403"/>
      <c r="Z36" s="59">
        <v>1.0E9</v>
      </c>
      <c r="AA36" s="60" t="s">
        <v>94</v>
      </c>
      <c r="AB36" s="123"/>
      <c r="AC36" s="123"/>
      <c r="AD36" s="355"/>
      <c r="AE36" s="38"/>
      <c r="AF36" s="62">
        <v>41275.0</v>
      </c>
      <c r="AG36" s="38"/>
      <c r="AH36" s="404">
        <v>41699.0</v>
      </c>
      <c r="AI36" s="123"/>
      <c r="AJ36" s="404">
        <v>42058.0</v>
      </c>
      <c r="AK36" s="206">
        <v>3000000.0</v>
      </c>
      <c r="AL36" s="405">
        <v>42723.0</v>
      </c>
      <c r="AM36" s="206">
        <v>1.7E7</v>
      </c>
      <c r="AN36" s="405">
        <v>43774.0</v>
      </c>
      <c r="AO36" s="206">
        <v>6.1E7</v>
      </c>
      <c r="AP36" s="405">
        <v>43937.0</v>
      </c>
      <c r="AQ36" s="206">
        <v>8.0E7</v>
      </c>
      <c r="AR36" s="405">
        <v>44986.0</v>
      </c>
      <c r="AS36" s="206">
        <v>2.164E8</v>
      </c>
      <c r="AT36" s="406"/>
      <c r="AU36" s="199"/>
      <c r="AV36" s="406"/>
      <c r="AW36" s="38"/>
      <c r="AX36" s="406"/>
      <c r="AY36" s="38"/>
      <c r="AZ36" s="406"/>
      <c r="BA36" s="199"/>
      <c r="BB36" s="405">
        <v>43620.0</v>
      </c>
      <c r="BC36" s="170">
        <v>2500000.0</v>
      </c>
      <c r="BD36" s="123"/>
      <c r="BE36" s="38"/>
      <c r="BF36" s="123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</row>
    <row r="37" ht="15.75" customHeight="1">
      <c r="A37" s="153" t="s">
        <v>258</v>
      </c>
      <c r="B37" s="68"/>
      <c r="C37" s="69" t="s">
        <v>132</v>
      </c>
      <c r="D37" s="337"/>
      <c r="E37" s="138" t="s">
        <v>259</v>
      </c>
      <c r="F37" s="173" t="s">
        <v>260</v>
      </c>
      <c r="G37" s="407" t="s">
        <v>261</v>
      </c>
      <c r="H37" s="71" t="s">
        <v>262</v>
      </c>
      <c r="I37" s="26" t="s">
        <v>263</v>
      </c>
      <c r="J37" s="72" t="s">
        <v>264</v>
      </c>
      <c r="K37" s="26">
        <v>3.0</v>
      </c>
      <c r="L37" s="26">
        <v>2012.0</v>
      </c>
      <c r="M37" s="25">
        <f t="shared" si="22"/>
        <v>13</v>
      </c>
      <c r="N37" s="26">
        <f t="shared" si="27"/>
        <v>6</v>
      </c>
      <c r="O37" s="27">
        <f t="shared" si="3"/>
        <v>28</v>
      </c>
      <c r="P37" s="28">
        <f t="shared" si="4"/>
        <v>42</v>
      </c>
      <c r="Q37" s="28">
        <f t="shared" si="5"/>
        <v>37</v>
      </c>
      <c r="R37" s="28"/>
      <c r="S37" s="28">
        <f t="shared" ref="S37:S41" si="31">rank(Y37,$Y$8:$Y$80)</f>
        <v>34</v>
      </c>
      <c r="T37" s="29">
        <f t="shared" si="6"/>
        <v>22723076.92</v>
      </c>
      <c r="U37" s="28"/>
      <c r="V37" s="30">
        <f t="shared" si="28"/>
        <v>295400000</v>
      </c>
      <c r="W37" s="31">
        <v>6.5E7</v>
      </c>
      <c r="X37" s="32">
        <f t="shared" ref="X37:X41" si="32">(max(AE37,AG37,AI37,AK37,AM37,AO37,AQ37,AS37,AU37,AW37,AY37,BA37,BC37)/min(AE37,AG37,AI37,AK37,AM37,AO37,AQ37,AS37,AU37,AW37,AY37,BA37,BC37))^(1/N37)-1</f>
        <v>1.072162102</v>
      </c>
      <c r="Y37" s="33">
        <f t="shared" ref="Y37:Y41" si="33">(max(AE37,AG37,AI37,AK37,AM37,AO37,AQ37,AS37,AU37,AW37,AY37,BA37,BC37)/min(AE37,AG37,AI37,AK37,AM37,AO37,AQ37,AS37,AU37,AW37,AY37,BA37,BC37))^(1/M37)-1</f>
        <v>0.3997217786</v>
      </c>
      <c r="Z37" s="408">
        <v>1.0E9</v>
      </c>
      <c r="AA37" s="409" t="s">
        <v>158</v>
      </c>
      <c r="AB37" s="74"/>
      <c r="AC37" s="74"/>
      <c r="AD37" s="109"/>
      <c r="AE37" s="105"/>
      <c r="AF37" s="188" t="str">
        <f>HYPERLINK("https://www.crunchbase.com/funding_round/prescient-seed--4d452f7b","Sep 12, 2012")</f>
        <v>Sep 12, 2012</v>
      </c>
      <c r="AG37" s="281">
        <v>2400000.0</v>
      </c>
      <c r="AH37" s="410"/>
      <c r="AI37" s="411"/>
      <c r="AJ37" s="280" t="str">
        <f>HYPERLINK("https://www.crunchbase.com/funding_round/prescient-series-a--29c2455c","Nov 20, 2013")</f>
        <v>Nov 20, 2013</v>
      </c>
      <c r="AK37" s="281">
        <v>3000000.0</v>
      </c>
      <c r="AL37" s="412" t="str">
        <f>HYPERLINK("https://www.crunchbase.com/funding_round/prescient-series-b--22640a29","Sep 1, 2014")</f>
        <v>Sep 1, 2014</v>
      </c>
      <c r="AM37" s="281">
        <v>1.0E7</v>
      </c>
      <c r="AN37" s="282"/>
      <c r="AO37" s="263"/>
      <c r="AP37" s="280" t="str">
        <f>HYPERLINK("https://www.crunchbase.com/funding_round/prescient-series-d--514355bf","Apr 25, 2017")</f>
        <v>Apr 25, 2017</v>
      </c>
      <c r="AQ37" s="281">
        <v>4.0E7</v>
      </c>
      <c r="AR37" s="280" t="str">
        <f>HYPERLINK("https://www.crunchbase.com/funding_round/prescient-series-e--cfe68008","Jul 23, 2018")</f>
        <v>Jul 23, 2018</v>
      </c>
      <c r="AS37" s="413">
        <v>5.0E7</v>
      </c>
      <c r="AT37" s="282"/>
      <c r="AU37" s="283"/>
      <c r="AV37" s="282"/>
      <c r="AW37" s="38"/>
      <c r="AX37" s="398"/>
      <c r="AY37" s="38"/>
      <c r="AZ37" s="414">
        <v>44319.0</v>
      </c>
      <c r="BA37" s="415">
        <v>1.9E8</v>
      </c>
      <c r="BB37" s="398"/>
      <c r="BC37" s="105"/>
      <c r="BD37" s="79"/>
      <c r="BE37" s="84"/>
      <c r="BF37" s="74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</row>
    <row r="38" ht="15.75" customHeight="1">
      <c r="A38" s="183" t="s">
        <v>265</v>
      </c>
      <c r="B38" s="68" t="s">
        <v>266</v>
      </c>
      <c r="C38" s="68" t="s">
        <v>267</v>
      </c>
      <c r="D38" s="192" t="s">
        <v>268</v>
      </c>
      <c r="E38" s="416" t="s">
        <v>269</v>
      </c>
      <c r="F38" s="417" t="s">
        <v>270</v>
      </c>
      <c r="G38" s="186"/>
      <c r="H38" s="186" t="s">
        <v>271</v>
      </c>
      <c r="I38" s="74" t="s">
        <v>272</v>
      </c>
      <c r="J38" s="155"/>
      <c r="K38" s="26">
        <v>3.0</v>
      </c>
      <c r="L38" s="142">
        <v>2013.0</v>
      </c>
      <c r="M38" s="25">
        <f t="shared" si="22"/>
        <v>12</v>
      </c>
      <c r="N38" s="26">
        <f t="shared" si="27"/>
        <v>5</v>
      </c>
      <c r="O38" s="27">
        <f t="shared" si="3"/>
        <v>28</v>
      </c>
      <c r="P38" s="28">
        <f t="shared" si="4"/>
        <v>43</v>
      </c>
      <c r="Q38" s="28">
        <f t="shared" si="5"/>
        <v>39</v>
      </c>
      <c r="R38" s="28"/>
      <c r="S38" s="28">
        <f t="shared" si="31"/>
        <v>41</v>
      </c>
      <c r="T38" s="29">
        <f t="shared" si="6"/>
        <v>21916666.67</v>
      </c>
      <c r="U38" s="28"/>
      <c r="V38" s="30">
        <f t="shared" si="28"/>
        <v>263000000</v>
      </c>
      <c r="W38" s="31">
        <v>5.34E7</v>
      </c>
      <c r="X38" s="32">
        <f t="shared" si="32"/>
        <v>0.7886555768</v>
      </c>
      <c r="Y38" s="33">
        <f t="shared" si="33"/>
        <v>0.2741467977</v>
      </c>
      <c r="Z38" s="418">
        <f>119000000+881000000</f>
        <v>1000000000</v>
      </c>
      <c r="AA38" s="419" t="s">
        <v>82</v>
      </c>
      <c r="AB38" s="74"/>
      <c r="AC38" s="74"/>
      <c r="AD38" s="44"/>
      <c r="AE38" s="46"/>
      <c r="AF38" s="158" t="str">
        <f>HYPERLINK("https://www.crunchbase.com/organization/flexe#section-funding-rounds"," Sep 16, 2013")</f>
        <v> Sep 16, 2013</v>
      </c>
      <c r="AG38" s="38">
        <v>6500000.0</v>
      </c>
      <c r="AH38" s="36"/>
      <c r="AI38" s="159"/>
      <c r="AJ38" s="107" t="str">
        <f>HYPERLINK("https://www.crunchbase.com/funding_round/flexe-series-a--70a8637a"," 7/21/2016")</f>
        <v> 7/21/2016</v>
      </c>
      <c r="AK38" s="281">
        <v>1.45E7</v>
      </c>
      <c r="AL38" s="280" t="str">
        <f>HYPERLINK("https://www.crunchbase.com/funding_round/flexe-series-b--032787ed"," 5/7/2019")</f>
        <v> 5/7/2019</v>
      </c>
      <c r="AM38" s="420">
        <v>4.3E7</v>
      </c>
      <c r="AN38" s="421">
        <v>44216.0</v>
      </c>
      <c r="AO38" s="420">
        <v>8.0E7</v>
      </c>
      <c r="AP38" s="422" t="s">
        <v>273</v>
      </c>
      <c r="AQ38" s="420">
        <f>119000000</f>
        <v>119000000</v>
      </c>
      <c r="AR38" s="44"/>
      <c r="AS38" s="44"/>
      <c r="AT38" s="44"/>
      <c r="AU38" s="45"/>
      <c r="AV38" s="44"/>
      <c r="AW38" s="38"/>
      <c r="AX38" s="44"/>
      <c r="AY38" s="38"/>
      <c r="AZ38" s="44"/>
      <c r="BA38" s="45"/>
      <c r="BB38" s="44"/>
      <c r="BC38" s="45"/>
      <c r="BD38" s="44"/>
      <c r="BE38" s="46"/>
      <c r="BF38" s="36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</row>
    <row r="39" ht="15.75" customHeight="1">
      <c r="A39" s="423" t="s">
        <v>274</v>
      </c>
      <c r="B39" s="68" t="s">
        <v>275</v>
      </c>
      <c r="C39" s="68" t="s">
        <v>276</v>
      </c>
      <c r="D39" s="138" t="s">
        <v>277</v>
      </c>
      <c r="E39" s="424" t="s">
        <v>278</v>
      </c>
      <c r="F39" s="425" t="s">
        <v>279</v>
      </c>
      <c r="G39" s="71" t="s">
        <v>280</v>
      </c>
      <c r="H39" s="186" t="s">
        <v>64</v>
      </c>
      <c r="I39" s="74" t="s">
        <v>65</v>
      </c>
      <c r="J39" s="72" t="s">
        <v>281</v>
      </c>
      <c r="K39" s="74">
        <v>4.0</v>
      </c>
      <c r="L39" s="26">
        <v>2016.0</v>
      </c>
      <c r="M39" s="25">
        <f t="shared" si="22"/>
        <v>9</v>
      </c>
      <c r="N39" s="26">
        <f t="shared" si="27"/>
        <v>5</v>
      </c>
      <c r="O39" s="27">
        <f t="shared" si="3"/>
        <v>28</v>
      </c>
      <c r="P39" s="28">
        <f t="shared" si="4"/>
        <v>44</v>
      </c>
      <c r="Q39" s="28">
        <f t="shared" si="5"/>
        <v>47</v>
      </c>
      <c r="R39" s="28"/>
      <c r="S39" s="28">
        <f t="shared" si="31"/>
        <v>32</v>
      </c>
      <c r="T39" s="29">
        <f t="shared" si="6"/>
        <v>21388888.89</v>
      </c>
      <c r="U39" s="28"/>
      <c r="V39" s="30">
        <f t="shared" si="28"/>
        <v>192500000</v>
      </c>
      <c r="W39" s="31">
        <v>4.08E7</v>
      </c>
      <c r="X39" s="32">
        <f t="shared" si="32"/>
        <v>0.9036539387</v>
      </c>
      <c r="Y39" s="33">
        <f t="shared" si="33"/>
        <v>0.4299691483</v>
      </c>
      <c r="Z39" s="34">
        <v>1.0E9</v>
      </c>
      <c r="AA39" s="122" t="s">
        <v>82</v>
      </c>
      <c r="AB39" s="74"/>
      <c r="AC39" s="74"/>
      <c r="AD39" s="149">
        <v>42699.0</v>
      </c>
      <c r="AE39" s="84"/>
      <c r="AF39" s="175" t="str">
        <f>HYPERLINK("https://www.crunchbase.com/organization/placer#section-funding-rounds"," Jun 22, 2018")</f>
        <v> Jun 22, 2018</v>
      </c>
      <c r="AG39" s="76">
        <v>4000000.0</v>
      </c>
      <c r="AH39" s="77"/>
      <c r="AI39" s="78"/>
      <c r="AJ39" s="426" t="str">
        <f>HYPERLINK("https://www.crunchbase.com/funding_round/placer-series-a--3de4a94c","Jan 22, 2020")</f>
        <v>Jan 22, 2020</v>
      </c>
      <c r="AK39" s="427">
        <v>1.2E7</v>
      </c>
      <c r="AL39" s="181" t="str">
        <f>HYPERLINK("https://www.crunchbase.com/funding_round/placer-series-b--1a0b7cb6","Apr 27, 2021")</f>
        <v>Apr 27, 2021</v>
      </c>
      <c r="AM39" s="76">
        <v>5.0E7</v>
      </c>
      <c r="AN39" s="181" t="str">
        <f>HYPERLINK("https://www.calcalistech.com/ctech/articles/0,7340,L-3927078,00.html","Jan 12, 2022")</f>
        <v>Jan 12, 2022</v>
      </c>
      <c r="AO39" s="76">
        <v>1.0E8</v>
      </c>
      <c r="AP39" s="79"/>
      <c r="AQ39" s="84"/>
      <c r="AR39" s="79"/>
      <c r="AS39" s="79"/>
      <c r="AT39" s="79"/>
      <c r="AU39" s="80"/>
      <c r="AV39" s="79"/>
      <c r="AW39" s="38"/>
      <c r="AX39" s="79"/>
      <c r="AY39" s="38"/>
      <c r="AZ39" s="147">
        <v>44743.0</v>
      </c>
      <c r="BA39" s="210">
        <v>2.65E7</v>
      </c>
      <c r="BB39" s="79"/>
      <c r="BC39" s="80"/>
      <c r="BD39" s="79"/>
      <c r="BE39" s="84"/>
      <c r="BF39" s="74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</row>
    <row r="40" ht="15.75" customHeight="1">
      <c r="A40" s="384" t="s">
        <v>282</v>
      </c>
      <c r="B40" s="68"/>
      <c r="C40" s="69" t="s">
        <v>283</v>
      </c>
      <c r="D40" s="192" t="s">
        <v>284</v>
      </c>
      <c r="E40" s="192" t="s">
        <v>285</v>
      </c>
      <c r="F40" s="428" t="s">
        <v>286</v>
      </c>
      <c r="G40" s="186"/>
      <c r="H40" s="71" t="s">
        <v>64</v>
      </c>
      <c r="I40" s="74" t="s">
        <v>287</v>
      </c>
      <c r="J40" s="155"/>
      <c r="K40" s="26">
        <v>3.0</v>
      </c>
      <c r="L40" s="26">
        <v>2015.0</v>
      </c>
      <c r="M40" s="25">
        <f t="shared" si="22"/>
        <v>10</v>
      </c>
      <c r="N40" s="26">
        <f t="shared" si="27"/>
        <v>4</v>
      </c>
      <c r="O40" s="27">
        <f t="shared" si="3"/>
        <v>28</v>
      </c>
      <c r="P40" s="28">
        <f t="shared" si="4"/>
        <v>49</v>
      </c>
      <c r="Q40" s="28">
        <f t="shared" si="5"/>
        <v>49</v>
      </c>
      <c r="R40" s="28"/>
      <c r="S40" s="28">
        <f t="shared" si="31"/>
        <v>43</v>
      </c>
      <c r="T40" s="29">
        <f t="shared" si="6"/>
        <v>16000000</v>
      </c>
      <c r="U40" s="28"/>
      <c r="V40" s="30">
        <f t="shared" si="28"/>
        <v>160000000</v>
      </c>
      <c r="W40" s="31">
        <v>2.25E8</v>
      </c>
      <c r="X40" s="32">
        <f t="shared" si="32"/>
        <v>0.7456365604</v>
      </c>
      <c r="Y40" s="33">
        <f t="shared" si="33"/>
        <v>0.2496302557</v>
      </c>
      <c r="Z40" s="429">
        <f>935000000+65000000</f>
        <v>1000000000</v>
      </c>
      <c r="AA40" s="430" t="s">
        <v>288</v>
      </c>
      <c r="AB40" s="74"/>
      <c r="AC40" s="74"/>
      <c r="AD40" s="109"/>
      <c r="AE40" s="105"/>
      <c r="AF40" s="104"/>
      <c r="AG40" s="105"/>
      <c r="AH40" s="101"/>
      <c r="AI40" s="106"/>
      <c r="AJ40" s="431">
        <v>42277.0</v>
      </c>
      <c r="AK40" s="108">
        <v>7000000.0</v>
      </c>
      <c r="AL40" s="431">
        <v>43166.0</v>
      </c>
      <c r="AM40" s="108">
        <v>3.3E7</v>
      </c>
      <c r="AN40" s="431">
        <v>43782.0</v>
      </c>
      <c r="AO40" s="108">
        <v>5.5E7</v>
      </c>
      <c r="AP40" s="431">
        <v>44186.0</v>
      </c>
      <c r="AQ40" s="108">
        <v>6.5E7</v>
      </c>
      <c r="AR40" s="109"/>
      <c r="AS40" s="109"/>
      <c r="AT40" s="109"/>
      <c r="AU40" s="110"/>
      <c r="AV40" s="109"/>
      <c r="AW40" s="38"/>
      <c r="AX40" s="133"/>
      <c r="AY40" s="38"/>
      <c r="AZ40" s="133"/>
      <c r="BA40" s="105"/>
      <c r="BB40" s="133"/>
      <c r="BC40" s="105"/>
      <c r="BD40" s="79"/>
      <c r="BE40" s="84"/>
      <c r="BF40" s="74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</row>
    <row r="41" ht="15.75" customHeight="1">
      <c r="A41" s="384" t="s">
        <v>289</v>
      </c>
      <c r="B41" s="68"/>
      <c r="C41" s="69" t="s">
        <v>132</v>
      </c>
      <c r="D41" s="48"/>
      <c r="E41" s="192" t="s">
        <v>290</v>
      </c>
      <c r="F41" s="118" t="s">
        <v>291</v>
      </c>
      <c r="G41" s="71"/>
      <c r="H41" s="71" t="s">
        <v>292</v>
      </c>
      <c r="I41" s="26" t="s">
        <v>272</v>
      </c>
      <c r="J41" s="178"/>
      <c r="K41" s="26">
        <v>2.0</v>
      </c>
      <c r="L41" s="26">
        <v>2019.0</v>
      </c>
      <c r="M41" s="25">
        <f t="shared" si="22"/>
        <v>6</v>
      </c>
      <c r="N41" s="26">
        <f t="shared" si="27"/>
        <v>1</v>
      </c>
      <c r="O41" s="27">
        <f t="shared" si="3"/>
        <v>28</v>
      </c>
      <c r="P41" s="28">
        <f t="shared" si="4"/>
        <v>48</v>
      </c>
      <c r="Q41" s="28">
        <f t="shared" si="5"/>
        <v>50</v>
      </c>
      <c r="R41" s="28"/>
      <c r="S41" s="28">
        <f t="shared" si="31"/>
        <v>51</v>
      </c>
      <c r="T41" s="29">
        <f t="shared" si="6"/>
        <v>16666666.67</v>
      </c>
      <c r="U41" s="28"/>
      <c r="V41" s="30">
        <f t="shared" si="28"/>
        <v>100000000</v>
      </c>
      <c r="W41" s="31">
        <v>8.5E7</v>
      </c>
      <c r="X41" s="32">
        <f t="shared" si="32"/>
        <v>0</v>
      </c>
      <c r="Y41" s="33">
        <f t="shared" si="33"/>
        <v>0</v>
      </c>
      <c r="Z41" s="432">
        <v>1.0E9</v>
      </c>
      <c r="AA41" s="321" t="s">
        <v>94</v>
      </c>
      <c r="AB41" s="74"/>
      <c r="AC41" s="74"/>
      <c r="AD41" s="109"/>
      <c r="AE41" s="105"/>
      <c r="AF41" s="104"/>
      <c r="AG41" s="105"/>
      <c r="AH41" s="101"/>
      <c r="AI41" s="106"/>
      <c r="AJ41" s="107" t="str">
        <f>HYPERLINK("https://www.crunchbase.com/funding_round/place-de12-series-a--32b4c7b2","Nov 17, 2021")</f>
        <v>Nov 17, 2021</v>
      </c>
      <c r="AK41" s="108">
        <v>1.0E8</v>
      </c>
      <c r="AL41" s="109"/>
      <c r="AM41" s="105"/>
      <c r="AN41" s="109"/>
      <c r="AO41" s="105"/>
      <c r="AP41" s="109"/>
      <c r="AQ41" s="105"/>
      <c r="AR41" s="109"/>
      <c r="AS41" s="109"/>
      <c r="AT41" s="109"/>
      <c r="AU41" s="110"/>
      <c r="AV41" s="109"/>
      <c r="AW41" s="38"/>
      <c r="AX41" s="109"/>
      <c r="AY41" s="38"/>
      <c r="AZ41" s="109"/>
      <c r="BA41" s="110"/>
      <c r="BB41" s="433"/>
      <c r="BC41" s="105"/>
      <c r="BD41" s="398"/>
      <c r="BE41" s="84"/>
      <c r="BF41" s="74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</row>
    <row r="42" ht="15.75" customHeight="1">
      <c r="A42" s="153" t="s">
        <v>293</v>
      </c>
      <c r="B42" s="68"/>
      <c r="C42" s="69" t="s">
        <v>132</v>
      </c>
      <c r="D42" s="138" t="s">
        <v>294</v>
      </c>
      <c r="E42" s="138" t="s">
        <v>295</v>
      </c>
      <c r="F42" s="50" t="s">
        <v>296</v>
      </c>
      <c r="G42" s="71"/>
      <c r="H42" s="71" t="s">
        <v>187</v>
      </c>
      <c r="I42" s="26" t="s">
        <v>188</v>
      </c>
      <c r="J42" s="72"/>
      <c r="K42" s="26">
        <v>4.0</v>
      </c>
      <c r="L42" s="26">
        <v>2016.0</v>
      </c>
      <c r="M42" s="25">
        <v>8.0</v>
      </c>
      <c r="N42" s="26">
        <v>8.0</v>
      </c>
      <c r="O42" s="27">
        <f t="shared" si="3"/>
        <v>28</v>
      </c>
      <c r="P42" s="28">
        <f t="shared" si="4"/>
        <v>21</v>
      </c>
      <c r="Q42" s="28">
        <f t="shared" si="5"/>
        <v>30</v>
      </c>
      <c r="R42" s="28"/>
      <c r="S42" s="28"/>
      <c r="T42" s="29">
        <f t="shared" si="6"/>
        <v>55325000</v>
      </c>
      <c r="U42" s="28"/>
      <c r="V42" s="30">
        <f t="shared" si="28"/>
        <v>442600000</v>
      </c>
      <c r="W42" s="30"/>
      <c r="X42" s="73"/>
      <c r="Y42" s="73"/>
      <c r="Z42" s="59">
        <v>1.0E9</v>
      </c>
      <c r="AA42" s="354" t="s">
        <v>74</v>
      </c>
      <c r="AB42" s="74"/>
      <c r="AC42" s="74"/>
      <c r="AD42" s="79"/>
      <c r="AE42" s="84"/>
      <c r="AF42" s="175" t="str">
        <f>HYPERLINK("https://www.crunchbase.com/funding_round/kin-insurance-seed--c2b8d6f8","Aug 1, 2017")</f>
        <v>Aug 1, 2017</v>
      </c>
      <c r="AG42" s="76">
        <v>3300000.0</v>
      </c>
      <c r="AH42" s="434"/>
      <c r="AI42" s="435"/>
      <c r="AJ42" s="426" t="str">
        <f>HYPERLINK("https://www.crunchbase.com/funding_round/kin-insurance-series-a--cfe1e4c8","Feb 14, 2018")</f>
        <v>Feb 14, 2018</v>
      </c>
      <c r="AK42" s="76">
        <v>1.31E7</v>
      </c>
      <c r="AL42" s="426" t="str">
        <f>HYPERLINK("https://www.crunchbase.com/funding_round/kin-insurance-series-b--c209cd75","Aug 13, 2020")</f>
        <v>Aug 13, 2020</v>
      </c>
      <c r="AM42" s="76">
        <v>3.5E7</v>
      </c>
      <c r="AN42" s="426" t="str">
        <f>HYPERLINK("https://www.crunchbase.com/funding_round/kin-insurance-series-c--249f4c68","May 10, 2021")</f>
        <v>May 10, 2021</v>
      </c>
      <c r="AO42" s="76">
        <v>6.92E7</v>
      </c>
      <c r="AP42" s="436">
        <v>45182.0</v>
      </c>
      <c r="AQ42" s="76">
        <f>97000000+33000000</f>
        <v>130000000</v>
      </c>
      <c r="AR42" s="79"/>
      <c r="AS42" s="79"/>
      <c r="AT42" s="79"/>
      <c r="AU42" s="80"/>
      <c r="AV42" s="79"/>
      <c r="AW42" s="38"/>
      <c r="AX42" s="79"/>
      <c r="AY42" s="38"/>
      <c r="AZ42" s="81"/>
      <c r="BA42" s="208"/>
      <c r="BB42" s="75">
        <v>44863.0</v>
      </c>
      <c r="BC42" s="83">
        <f>145000000+47000000</f>
        <v>192000000</v>
      </c>
      <c r="BD42" s="79"/>
      <c r="BE42" s="84"/>
      <c r="BF42" s="74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</row>
    <row r="43" ht="15.75" customHeight="1">
      <c r="A43" s="339" t="s">
        <v>297</v>
      </c>
      <c r="B43" s="340"/>
      <c r="C43" s="341" t="s">
        <v>84</v>
      </c>
      <c r="D43" s="342"/>
      <c r="E43" s="343" t="s">
        <v>298</v>
      </c>
      <c r="F43" s="344" t="s">
        <v>299</v>
      </c>
      <c r="G43" s="345"/>
      <c r="H43" s="346" t="s">
        <v>128</v>
      </c>
      <c r="I43" s="347" t="s">
        <v>129</v>
      </c>
      <c r="J43" s="300"/>
      <c r="K43" s="437">
        <v>2.0</v>
      </c>
      <c r="L43" s="348">
        <v>2020.0</v>
      </c>
      <c r="M43" s="25">
        <f t="shared" ref="M43:M44" si="34">year(now()) -L43</f>
        <v>5</v>
      </c>
      <c r="N43" s="26">
        <v>8.0</v>
      </c>
      <c r="O43" s="438">
        <f t="shared" si="3"/>
        <v>28</v>
      </c>
      <c r="P43" s="28">
        <f t="shared" si="4"/>
        <v>45</v>
      </c>
      <c r="Q43" s="28">
        <f t="shared" si="5"/>
        <v>50</v>
      </c>
      <c r="R43" s="300"/>
      <c r="S43" s="300"/>
      <c r="T43" s="29">
        <f t="shared" si="6"/>
        <v>20000000</v>
      </c>
      <c r="U43" s="300"/>
      <c r="V43" s="301">
        <f t="shared" si="28"/>
        <v>100000000</v>
      </c>
      <c r="W43" s="301"/>
      <c r="X43" s="349"/>
      <c r="Y43" s="349"/>
      <c r="Z43" s="304">
        <v>1.0E9</v>
      </c>
      <c r="AA43" s="439" t="s">
        <v>74</v>
      </c>
      <c r="AB43" s="300"/>
      <c r="AC43" s="300"/>
      <c r="AD43" s="307"/>
      <c r="AE43" s="308"/>
      <c r="AF43" s="307"/>
      <c r="AG43" s="308"/>
      <c r="AH43" s="300"/>
      <c r="AI43" s="308"/>
      <c r="AJ43" s="300"/>
      <c r="AK43" s="308"/>
      <c r="AL43" s="300"/>
      <c r="AM43" s="308"/>
      <c r="AN43" s="300"/>
      <c r="AO43" s="308"/>
      <c r="AP43" s="350"/>
      <c r="AQ43" s="308"/>
      <c r="AR43" s="300"/>
      <c r="AS43" s="308"/>
      <c r="AT43" s="300"/>
      <c r="AU43" s="308"/>
      <c r="AV43" s="300"/>
      <c r="AW43" s="308"/>
      <c r="AX43" s="300"/>
      <c r="AY43" s="308"/>
      <c r="AZ43" s="440">
        <v>45061.0</v>
      </c>
      <c r="BA43" s="441">
        <v>1.0E8</v>
      </c>
      <c r="BB43" s="340"/>
      <c r="BC43" s="308"/>
      <c r="BD43" s="300"/>
      <c r="BE43" s="308"/>
      <c r="BF43" s="300"/>
      <c r="BG43" s="336"/>
      <c r="BH43" s="336"/>
      <c r="BI43" s="336"/>
      <c r="BJ43" s="336"/>
      <c r="BK43" s="336"/>
      <c r="BL43" s="336"/>
      <c r="BM43" s="336"/>
      <c r="BN43" s="336"/>
      <c r="BO43" s="336"/>
      <c r="BP43" s="336"/>
      <c r="BQ43" s="336"/>
      <c r="BR43" s="336"/>
      <c r="BS43" s="336"/>
      <c r="BT43" s="336"/>
      <c r="BU43" s="336"/>
      <c r="BV43" s="336"/>
      <c r="BW43" s="336"/>
      <c r="BX43" s="336"/>
      <c r="BY43" s="336"/>
      <c r="BZ43" s="336"/>
      <c r="CA43" s="336"/>
      <c r="CB43" s="336"/>
      <c r="CC43" s="336"/>
      <c r="CD43" s="336"/>
      <c r="CE43" s="336"/>
      <c r="CF43" s="336"/>
      <c r="CG43" s="336"/>
      <c r="CH43" s="336"/>
      <c r="CI43" s="336"/>
      <c r="CJ43" s="336"/>
      <c r="CK43" s="336"/>
      <c r="CL43" s="336"/>
      <c r="CM43" s="336"/>
      <c r="CN43" s="336"/>
      <c r="CO43" s="336"/>
      <c r="CP43" s="336"/>
    </row>
    <row r="44" ht="15.75" customHeight="1">
      <c r="A44" s="442" t="s">
        <v>300</v>
      </c>
      <c r="B44" s="68" t="s">
        <v>301</v>
      </c>
      <c r="C44" s="68" t="s">
        <v>59</v>
      </c>
      <c r="D44" s="184" t="s">
        <v>302</v>
      </c>
      <c r="E44" s="443" t="s">
        <v>303</v>
      </c>
      <c r="F44" s="185" t="s">
        <v>304</v>
      </c>
      <c r="G44" s="71" t="s">
        <v>305</v>
      </c>
      <c r="H44" s="186" t="s">
        <v>64</v>
      </c>
      <c r="I44" s="444" t="s">
        <v>65</v>
      </c>
      <c r="J44" s="72" t="s">
        <v>66</v>
      </c>
      <c r="K44" s="26">
        <v>2.0</v>
      </c>
      <c r="L44" s="26">
        <v>2013.0</v>
      </c>
      <c r="M44" s="25">
        <f t="shared" si="34"/>
        <v>12</v>
      </c>
      <c r="N44" s="26">
        <f>counta(AE44,AG44,AI44,AK44,AM44,AO44,AQ44,AS44,AU44,AW44,AY44,BA44,BC44)</f>
        <v>4</v>
      </c>
      <c r="O44" s="27">
        <f t="shared" si="3"/>
        <v>44</v>
      </c>
      <c r="P44" s="28">
        <f t="shared" si="4"/>
        <v>23</v>
      </c>
      <c r="Q44" s="28">
        <f t="shared" si="5"/>
        <v>16</v>
      </c>
      <c r="R44" s="28"/>
      <c r="S44" s="28"/>
      <c r="T44" s="29">
        <f t="shared" si="6"/>
        <v>47208333.33</v>
      </c>
      <c r="U44" s="28"/>
      <c r="V44" s="30">
        <f t="shared" si="28"/>
        <v>566500000</v>
      </c>
      <c r="W44" s="31">
        <v>2.0E7</v>
      </c>
      <c r="X44" s="32">
        <f>(max(AE44,AG44,AI44,AK44,AM44,AO44,AQ44,AS44,AU44,AW44,AY44,BA44,BC44)/min(AE44,AG44,AI44,AK44,AM44,AO44,AQ44,AS44,AU44,AW44,AY44,BA44,BC44))^(1/N44)-1</f>
        <v>0.8803015465</v>
      </c>
      <c r="Y44" s="33">
        <f>(max(AE44,AG44,AI44,AK44,AM44,AO44,AQ44,AS44,AU44,AW44,AY44,BA44,BC44)/min(AE44,AG44,AI44,AK44,AM44,AO44,AQ44,AS44,AU44,AW44,AY44,BA44,BC44))^(1/M44)-1</f>
        <v>0.2342671425</v>
      </c>
      <c r="Z44" s="156">
        <v>9.75E8</v>
      </c>
      <c r="AA44" s="445" t="s">
        <v>82</v>
      </c>
      <c r="AB44" s="74"/>
      <c r="AC44" s="74"/>
      <c r="AD44" s="79"/>
      <c r="AE44" s="201"/>
      <c r="AF44" s="214" t="str">
        <f>HYPERLINK("https://www.crunchbase.com/organization/redaptive-inc#section-overview"," Apr 12, 2018")</f>
        <v> Apr 12, 2018</v>
      </c>
      <c r="AG44" s="201">
        <v>2.0E7</v>
      </c>
      <c r="AH44" s="203"/>
      <c r="AI44" s="204"/>
      <c r="AJ44" s="207"/>
      <c r="AK44" s="201"/>
      <c r="AL44" s="207"/>
      <c r="AM44" s="201"/>
      <c r="AN44" s="277">
        <v>44111.0</v>
      </c>
      <c r="AO44" s="206">
        <v>1.565E8</v>
      </c>
      <c r="AP44" s="207"/>
      <c r="AQ44" s="201"/>
      <c r="AR44" s="446">
        <v>45049.0</v>
      </c>
      <c r="AS44" s="206">
        <v>2.5E8</v>
      </c>
      <c r="AT44" s="207"/>
      <c r="AU44" s="208"/>
      <c r="AV44" s="207"/>
      <c r="AW44" s="38"/>
      <c r="AX44" s="207"/>
      <c r="AY44" s="38"/>
      <c r="AZ44" s="447"/>
      <c r="BA44" s="278"/>
      <c r="BB44" s="448">
        <v>45162.0</v>
      </c>
      <c r="BC44" s="278">
        <f>15000000+125000000</f>
        <v>140000000</v>
      </c>
      <c r="BD44" s="79"/>
      <c r="BE44" s="84"/>
      <c r="BF44" s="74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</row>
    <row r="45" ht="15.75" customHeight="1">
      <c r="A45" s="160" t="s">
        <v>306</v>
      </c>
      <c r="B45" s="115"/>
      <c r="C45" s="116" t="s">
        <v>76</v>
      </c>
      <c r="D45" s="449"/>
      <c r="E45" s="161" t="s">
        <v>307</v>
      </c>
      <c r="F45" s="161" t="s">
        <v>308</v>
      </c>
      <c r="G45" s="286"/>
      <c r="H45" s="119" t="s">
        <v>309</v>
      </c>
      <c r="I45" s="25" t="s">
        <v>115</v>
      </c>
      <c r="J45" s="287"/>
      <c r="K45" s="25">
        <v>4.0</v>
      </c>
      <c r="L45" s="25">
        <v>2020.0</v>
      </c>
      <c r="M45" s="25">
        <v>2.0</v>
      </c>
      <c r="N45" s="25">
        <v>2.0</v>
      </c>
      <c r="O45" s="27">
        <f t="shared" si="3"/>
        <v>45</v>
      </c>
      <c r="P45" s="28">
        <f t="shared" si="4"/>
        <v>3</v>
      </c>
      <c r="Q45" s="28">
        <f t="shared" si="5"/>
        <v>17</v>
      </c>
      <c r="R45" s="55"/>
      <c r="S45" s="55"/>
      <c r="T45" s="29">
        <f t="shared" si="6"/>
        <v>280000000</v>
      </c>
      <c r="U45" s="55"/>
      <c r="V45" s="30">
        <f t="shared" si="28"/>
        <v>560000000</v>
      </c>
      <c r="W45" s="30"/>
      <c r="X45" s="403"/>
      <c r="Y45" s="403"/>
      <c r="Z45" s="450">
        <v>9.5E8</v>
      </c>
      <c r="AA45" s="451" t="s">
        <v>158</v>
      </c>
      <c r="AB45" s="123"/>
      <c r="AC45" s="123"/>
      <c r="AD45" s="452"/>
      <c r="AE45" s="123"/>
      <c r="AF45" s="45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37"/>
      <c r="AV45" s="123"/>
      <c r="AW45" s="38"/>
      <c r="AX45" s="123"/>
      <c r="AY45" s="38"/>
      <c r="AZ45" s="65">
        <v>45118.0</v>
      </c>
      <c r="BA45" s="170">
        <f>470000000+90000000</f>
        <v>560000000</v>
      </c>
      <c r="BB45" s="123"/>
      <c r="BC45" s="137"/>
      <c r="BD45" s="123"/>
      <c r="BE45" s="125"/>
      <c r="BF45" s="123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</row>
    <row r="46" ht="15.75" customHeight="1">
      <c r="A46" s="454" t="s">
        <v>310</v>
      </c>
      <c r="B46" s="116" t="s">
        <v>68</v>
      </c>
      <c r="C46" s="116" t="s">
        <v>123</v>
      </c>
      <c r="D46" s="192" t="s">
        <v>311</v>
      </c>
      <c r="E46" s="192" t="s">
        <v>312</v>
      </c>
      <c r="F46" s="118" t="s">
        <v>313</v>
      </c>
      <c r="G46" s="119" t="s">
        <v>314</v>
      </c>
      <c r="H46" s="119" t="s">
        <v>64</v>
      </c>
      <c r="I46" s="25" t="s">
        <v>65</v>
      </c>
      <c r="J46" s="120" t="s">
        <v>212</v>
      </c>
      <c r="K46" s="25">
        <v>3.0</v>
      </c>
      <c r="L46" s="25">
        <v>2017.0</v>
      </c>
      <c r="M46" s="25">
        <f t="shared" ref="M46:M125" si="35">year(now()) -L46</f>
        <v>8</v>
      </c>
      <c r="N46" s="26">
        <f t="shared" ref="N46:N58" si="36">counta(AE46,AG46,AI46,AK46,AM46,AO46,AQ46,AS46,AU46,AW46,AY46,BA46,BC46)</f>
        <v>6</v>
      </c>
      <c r="O46" s="27">
        <f t="shared" si="3"/>
        <v>46</v>
      </c>
      <c r="P46" s="28">
        <f t="shared" si="4"/>
        <v>40</v>
      </c>
      <c r="Q46" s="28">
        <f t="shared" si="5"/>
        <v>46</v>
      </c>
      <c r="R46" s="28"/>
      <c r="S46" s="28">
        <f t="shared" ref="S46:S47" si="37">rank(Y46,$Y$8:$Y$80)</f>
        <v>10</v>
      </c>
      <c r="T46" s="29">
        <f t="shared" si="6"/>
        <v>25059375</v>
      </c>
      <c r="U46" s="28"/>
      <c r="V46" s="30">
        <f t="shared" si="28"/>
        <v>200475000</v>
      </c>
      <c r="W46" s="31">
        <v>1.5E7</v>
      </c>
      <c r="X46" s="32">
        <f t="shared" ref="X46:X47" si="38">(max(AE46,AG46,AI46,AK46,AM46,AO46,AQ46,AS46,AU46,AW46,AY46,BA46,BC46)/min(AE46,AG46,AI46,AK46,AM46,AO46,AQ46,AS46,AU46,AW46,AY46,BA46,BC46))^(1/N46)-1</f>
        <v>1.201505259</v>
      </c>
      <c r="Y46" s="33">
        <f t="shared" ref="Y46:Y47" si="39">(max(AE46,AG46,AI46,AK46,AM46,AO46,AQ46,AS46,AU46,AW46,AY46,BA46,BC46)/min(AE46,AG46,AI46,AK46,AM46,AO46,AQ46,AS46,AU46,AW46,AY46,BA46,BC46))^(1/M46)-1</f>
        <v>0.8073397291</v>
      </c>
      <c r="Z46" s="121">
        <v>9.02E8</v>
      </c>
      <c r="AA46" s="187" t="s">
        <v>82</v>
      </c>
      <c r="AB46" s="123"/>
      <c r="AC46" s="123"/>
      <c r="AD46" s="124"/>
      <c r="AE46" s="125"/>
      <c r="AF46" s="225">
        <v>42979.0</v>
      </c>
      <c r="AG46" s="127">
        <v>3500000.0</v>
      </c>
      <c r="AH46" s="123"/>
      <c r="AI46" s="128"/>
      <c r="AJ46" s="42">
        <v>43690.0</v>
      </c>
      <c r="AK46" s="127">
        <v>1.4E7</v>
      </c>
      <c r="AL46" s="42">
        <v>44039.0</v>
      </c>
      <c r="AM46" s="127">
        <v>1.6E7</v>
      </c>
      <c r="AN46" s="455" t="str">
        <f>HYPERLINK("https://www.crunchbase.com/funding_round/openspace-ai-series-c--7c743ece","Apr 28, 2021")</f>
        <v>Apr 28, 2021</v>
      </c>
      <c r="AO46" s="127">
        <v>5.5E7</v>
      </c>
      <c r="AP46" s="171">
        <v>44782.0</v>
      </c>
      <c r="AQ46" s="127">
        <f>102000000+9000000</f>
        <v>111000000</v>
      </c>
      <c r="AR46" s="124"/>
      <c r="AS46" s="124"/>
      <c r="AT46" s="124"/>
      <c r="AU46" s="137"/>
      <c r="AV46" s="124"/>
      <c r="AW46" s="38"/>
      <c r="AX46" s="124"/>
      <c r="AY46" s="38"/>
      <c r="AZ46" s="135">
        <v>43347.0</v>
      </c>
      <c r="BA46" s="136">
        <v>975000.0</v>
      </c>
      <c r="BB46" s="124"/>
      <c r="BC46" s="137"/>
      <c r="BD46" s="124"/>
      <c r="BE46" s="125"/>
      <c r="BF46" s="123"/>
      <c r="BG46" s="456"/>
      <c r="BH46" s="456"/>
      <c r="BI46" s="456"/>
      <c r="BJ46" s="456"/>
      <c r="BK46" s="456"/>
      <c r="BL46" s="456"/>
      <c r="BM46" s="456"/>
      <c r="BN46" s="456"/>
      <c r="BO46" s="456"/>
      <c r="BP46" s="456"/>
      <c r="BQ46" s="456"/>
      <c r="BR46" s="456"/>
      <c r="BS46" s="456"/>
      <c r="BT46" s="456"/>
      <c r="BU46" s="456"/>
      <c r="BV46" s="456"/>
      <c r="BW46" s="456"/>
      <c r="BX46" s="456"/>
      <c r="BY46" s="456"/>
      <c r="BZ46" s="456"/>
      <c r="CA46" s="456"/>
      <c r="CB46" s="456"/>
      <c r="CC46" s="456"/>
      <c r="CD46" s="456"/>
      <c r="CE46" s="456"/>
      <c r="CF46" s="456"/>
      <c r="CG46" s="456"/>
      <c r="CH46" s="456"/>
      <c r="CI46" s="456"/>
      <c r="CJ46" s="456"/>
      <c r="CK46" s="456"/>
      <c r="CL46" s="456"/>
      <c r="CM46" s="456"/>
      <c r="CN46" s="456"/>
      <c r="CO46" s="456"/>
      <c r="CP46" s="456"/>
    </row>
    <row r="47" ht="15.75" customHeight="1">
      <c r="A47" s="384" t="s">
        <v>315</v>
      </c>
      <c r="B47" s="68"/>
      <c r="C47" s="69" t="s">
        <v>59</v>
      </c>
      <c r="D47" s="192" t="s">
        <v>316</v>
      </c>
      <c r="E47" s="192" t="s">
        <v>317</v>
      </c>
      <c r="F47" s="118" t="s">
        <v>318</v>
      </c>
      <c r="G47" s="186"/>
      <c r="H47" s="71" t="s">
        <v>128</v>
      </c>
      <c r="I47" s="26" t="s">
        <v>129</v>
      </c>
      <c r="J47" s="237"/>
      <c r="K47" s="26">
        <v>3.0</v>
      </c>
      <c r="L47" s="26">
        <v>2015.0</v>
      </c>
      <c r="M47" s="25">
        <f t="shared" si="35"/>
        <v>10</v>
      </c>
      <c r="N47" s="26">
        <f t="shared" si="36"/>
        <v>5</v>
      </c>
      <c r="O47" s="27">
        <f t="shared" si="3"/>
        <v>47</v>
      </c>
      <c r="P47" s="28">
        <f t="shared" si="4"/>
        <v>13</v>
      </c>
      <c r="Q47" s="28">
        <f t="shared" si="5"/>
        <v>11</v>
      </c>
      <c r="R47" s="28"/>
      <c r="S47" s="28">
        <f t="shared" si="37"/>
        <v>16</v>
      </c>
      <c r="T47" s="29">
        <f t="shared" si="6"/>
        <v>72850000</v>
      </c>
      <c r="U47" s="28"/>
      <c r="V47" s="30">
        <f t="shared" si="28"/>
        <v>728500000</v>
      </c>
      <c r="W47" s="31">
        <v>1.0E8</v>
      </c>
      <c r="X47" s="32">
        <f t="shared" si="38"/>
        <v>1.667802382</v>
      </c>
      <c r="Y47" s="33">
        <f t="shared" si="39"/>
        <v>0.6333408654</v>
      </c>
      <c r="Z47" s="409">
        <v>9.0E8</v>
      </c>
      <c r="AA47" s="457">
        <v>2021.0</v>
      </c>
      <c r="AB47" s="74"/>
      <c r="AC47" s="74"/>
      <c r="AD47" s="109"/>
      <c r="AE47" s="263"/>
      <c r="AF47" s="458" t="str">
        <f>HYPERLINK("https://www.crunchbase.com/funding_round/yieldstreet-seed--b7f3f40c","May 4, 2016")</f>
        <v>May 4, 2016</v>
      </c>
      <c r="AG47" s="281">
        <v>3700000.0</v>
      </c>
      <c r="AH47" s="410"/>
      <c r="AI47" s="411"/>
      <c r="AJ47" s="280" t="str">
        <f>HYPERLINK("https://www.crunchbase.com/funding_round/yieldstreet-series-a--1b15f9f0","Jan 10, 2018")</f>
        <v>Jan 10, 2018</v>
      </c>
      <c r="AK47" s="281">
        <v>1.28E7</v>
      </c>
      <c r="AL47" s="280" t="str">
        <f>HYPERLINK("https://www.crunchbase.com/funding_round/yieldstreet-series-b--05a71b30","Feb 26, 2019")</f>
        <v>Feb 26, 2019</v>
      </c>
      <c r="AM47" s="281">
        <v>6.2E7</v>
      </c>
      <c r="AN47" s="280" t="str">
        <f>HYPERLINK("https://www.crunchbase.com/funding_round/yieldstreet-series-c--343b7859","Nov 17, 2021")</f>
        <v>Nov 17, 2021</v>
      </c>
      <c r="AO47" s="459">
        <v>1.5E8</v>
      </c>
      <c r="AP47" s="282"/>
      <c r="AQ47" s="263"/>
      <c r="AR47" s="282"/>
      <c r="AS47" s="282"/>
      <c r="AT47" s="282"/>
      <c r="AU47" s="283"/>
      <c r="AV47" s="282"/>
      <c r="AW47" s="38"/>
      <c r="AX47" s="460"/>
      <c r="AY47" s="38"/>
      <c r="AZ47" s="460"/>
      <c r="BA47" s="263"/>
      <c r="BB47" s="461">
        <v>44783.0</v>
      </c>
      <c r="BC47" s="281">
        <v>5.0E8</v>
      </c>
      <c r="BD47" s="79"/>
      <c r="BE47" s="84"/>
      <c r="BF47" s="74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</row>
    <row r="48" ht="15.75" customHeight="1">
      <c r="A48" s="462" t="s">
        <v>319</v>
      </c>
      <c r="B48" s="16"/>
      <c r="C48" s="17" t="s">
        <v>132</v>
      </c>
      <c r="D48" s="245"/>
      <c r="E48" s="236" t="s">
        <v>320</v>
      </c>
      <c r="F48" s="20" t="s">
        <v>321</v>
      </c>
      <c r="G48" s="22"/>
      <c r="H48" s="22" t="s">
        <v>322</v>
      </c>
      <c r="I48" s="23" t="s">
        <v>323</v>
      </c>
      <c r="J48" s="237"/>
      <c r="K48" s="23">
        <v>1.0</v>
      </c>
      <c r="L48" s="23">
        <v>2014.0</v>
      </c>
      <c r="M48" s="463">
        <f t="shared" si="35"/>
        <v>11</v>
      </c>
      <c r="N48" s="26">
        <f t="shared" si="36"/>
        <v>5</v>
      </c>
      <c r="O48" s="27">
        <f t="shared" si="3"/>
        <v>48</v>
      </c>
      <c r="P48" s="28">
        <f t="shared" si="4"/>
        <v>41</v>
      </c>
      <c r="Q48" s="28">
        <f t="shared" si="5"/>
        <v>41</v>
      </c>
      <c r="R48" s="464"/>
      <c r="S48" s="464"/>
      <c r="T48" s="29">
        <f t="shared" si="6"/>
        <v>22780000</v>
      </c>
      <c r="U48" s="464"/>
      <c r="V48" s="30">
        <f t="shared" si="28"/>
        <v>250580000</v>
      </c>
      <c r="W48" s="30"/>
      <c r="X48" s="33"/>
      <c r="Y48" s="33"/>
      <c r="Z48" s="59">
        <v>8.9E8</v>
      </c>
      <c r="AA48" s="60" t="s">
        <v>82</v>
      </c>
      <c r="AB48" s="36"/>
      <c r="AC48" s="36"/>
      <c r="AD48" s="465"/>
      <c r="AE48" s="466"/>
      <c r="AF48" s="467" t="str">
        <f>HYPERLINK("https://www.crunchbase.com/funding_round/bucketplace-seed--22693de0","Apr 11, 2016")</f>
        <v>Apr 11, 2016</v>
      </c>
      <c r="AG48" s="468">
        <v>780000.0</v>
      </c>
      <c r="AH48" s="466"/>
      <c r="AI48" s="469"/>
      <c r="AJ48" s="470" t="str">
        <f>HYPERLINK("https://www.crunchbase.com/funding_round/bucketplace-series-a--9541a506","Feb 8, 2018")</f>
        <v>Feb 8, 2018</v>
      </c>
      <c r="AK48" s="468">
        <v>3900000.0</v>
      </c>
      <c r="AL48" s="470" t="str">
        <f>HYPERLINK("https://www.crunchbase.com/funding_round/bucketplace-series-b--e104dda3","Oct 18, 2018")</f>
        <v>Oct 18, 2018</v>
      </c>
      <c r="AM48" s="468">
        <v>3900000.0</v>
      </c>
      <c r="AN48" s="470" t="str">
        <f>HYPERLINK("https://www.crunchbase.com/funding_round/bucketplace-series-c--249efcfc","Nov 23, 2020")</f>
        <v>Nov 23, 2020</v>
      </c>
      <c r="AO48" s="468">
        <v>6.0E7</v>
      </c>
      <c r="AP48" s="470" t="str">
        <f>HYPERLINK("https://www.crunchbase.com/funding_round/bucketplace-series-d--bc591106","May 9, 2022")</f>
        <v>May 9, 2022</v>
      </c>
      <c r="AQ48" s="468">
        <v>1.82E8</v>
      </c>
      <c r="AR48" s="471"/>
      <c r="AS48" s="471"/>
      <c r="AT48" s="471"/>
      <c r="AU48" s="472"/>
      <c r="AV48" s="471"/>
      <c r="AW48" s="38"/>
      <c r="AX48" s="473"/>
      <c r="AY48" s="38"/>
      <c r="AZ48" s="473"/>
      <c r="BA48" s="472"/>
      <c r="BB48" s="473"/>
      <c r="BC48" s="472"/>
      <c r="BD48" s="44"/>
      <c r="BE48" s="46"/>
      <c r="BF48" s="46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</row>
    <row r="49" ht="15.75" customHeight="1">
      <c r="A49" s="153" t="s">
        <v>324</v>
      </c>
      <c r="C49" s="69" t="s">
        <v>190</v>
      </c>
      <c r="D49" s="138" t="s">
        <v>325</v>
      </c>
      <c r="E49" s="138" t="s">
        <v>326</v>
      </c>
      <c r="F49" s="173" t="s">
        <v>327</v>
      </c>
      <c r="G49" s="71"/>
      <c r="H49" s="71" t="s">
        <v>328</v>
      </c>
      <c r="I49" s="26" t="s">
        <v>329</v>
      </c>
      <c r="J49" s="72"/>
      <c r="K49" s="26">
        <v>1.0</v>
      </c>
      <c r="L49" s="26">
        <v>2012.0</v>
      </c>
      <c r="M49" s="25">
        <f t="shared" si="35"/>
        <v>13</v>
      </c>
      <c r="N49" s="26">
        <f t="shared" si="36"/>
        <v>5</v>
      </c>
      <c r="O49" s="27">
        <f t="shared" si="3"/>
        <v>24</v>
      </c>
      <c r="P49" s="28">
        <f t="shared" si="4"/>
        <v>39</v>
      </c>
      <c r="Q49" s="28">
        <f t="shared" si="5"/>
        <v>34</v>
      </c>
      <c r="R49" s="28"/>
      <c r="S49" s="28">
        <f t="shared" ref="S49:S64" si="40">rank(Y49,$Y$8:$Y$80)</f>
        <v>28</v>
      </c>
      <c r="T49" s="29">
        <f t="shared" si="6"/>
        <v>25892307.69</v>
      </c>
      <c r="U49" s="28"/>
      <c r="V49" s="30">
        <f t="shared" si="28"/>
        <v>336600000</v>
      </c>
      <c r="W49" s="31">
        <v>1.42E7</v>
      </c>
      <c r="X49" s="32">
        <f t="shared" ref="X49:X58" si="41">(max(AE49,AG49,AI49,AK49,AM49,AO49,AQ49,AS49,AU49,AW49,AY49,BA49,BC49)/min(AE49,AG49,AI49,AK49,AM49,AO49,AQ49,AS49,AU49,AW49,AY49,BA49,BC49))^(1/N49)-1</f>
        <v>1.585891801</v>
      </c>
      <c r="Y49" s="33">
        <f t="shared" ref="Y49:Y58" si="42">(max(AE49,AG49,AI49,AK49,AM49,AO49,AQ49,AS49,AU49,AW49,AY49,BA49,BC49)/min(AE49,AG49,AI49,AK49,AM49,AO49,AQ49,AS49,AU49,AW49,AY49,BA49,BC49))^(1/M49)-1</f>
        <v>0.4411072005</v>
      </c>
      <c r="Z49" s="474">
        <v>1.2E9</v>
      </c>
      <c r="AA49" s="475" t="s">
        <v>330</v>
      </c>
      <c r="AB49" s="74"/>
      <c r="AC49" s="74"/>
      <c r="AD49" s="476"/>
      <c r="AE49" s="477"/>
      <c r="AF49" s="478">
        <v>42698.0</v>
      </c>
      <c r="AG49" s="479">
        <v>1600000.0</v>
      </c>
      <c r="AH49" s="480"/>
      <c r="AI49" s="481"/>
      <c r="AJ49" s="482">
        <v>43254.0</v>
      </c>
      <c r="AK49" s="479">
        <v>7000000.0</v>
      </c>
      <c r="AL49" s="482">
        <v>43705.0</v>
      </c>
      <c r="AM49" s="479">
        <v>3.3E7</v>
      </c>
      <c r="AN49" s="483">
        <v>44910.0</v>
      </c>
      <c r="AO49" s="477">
        <v>1.85E8</v>
      </c>
      <c r="AP49" s="484"/>
      <c r="AQ49" s="485"/>
      <c r="AR49" s="484"/>
      <c r="AS49" s="484"/>
      <c r="AT49" s="484"/>
      <c r="AU49" s="486"/>
      <c r="AV49" s="484"/>
      <c r="AW49" s="38"/>
      <c r="AX49" s="433"/>
      <c r="AY49" s="38"/>
      <c r="AZ49" s="487">
        <v>45355.0</v>
      </c>
      <c r="BA49" s="477">
        <v>1.1E8</v>
      </c>
      <c r="BB49" s="488">
        <v>44539.0</v>
      </c>
      <c r="BC49" s="415"/>
      <c r="BD49" s="79"/>
      <c r="BE49" s="84"/>
      <c r="BF49" s="74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</row>
    <row r="50" ht="15.75" customHeight="1">
      <c r="A50" s="153" t="s">
        <v>331</v>
      </c>
      <c r="B50" s="68"/>
      <c r="C50" s="69" t="s">
        <v>84</v>
      </c>
      <c r="D50" s="138" t="s">
        <v>332</v>
      </c>
      <c r="E50" s="138" t="s">
        <v>333</v>
      </c>
      <c r="F50" s="173" t="s">
        <v>334</v>
      </c>
      <c r="G50" s="71" t="s">
        <v>335</v>
      </c>
      <c r="H50" s="71" t="s">
        <v>114</v>
      </c>
      <c r="I50" s="26" t="s">
        <v>115</v>
      </c>
      <c r="J50" s="72" t="s">
        <v>336</v>
      </c>
      <c r="K50" s="26">
        <v>1.0</v>
      </c>
      <c r="L50" s="26">
        <v>2018.0</v>
      </c>
      <c r="M50" s="25">
        <f t="shared" si="35"/>
        <v>7</v>
      </c>
      <c r="N50" s="26">
        <f t="shared" si="36"/>
        <v>4</v>
      </c>
      <c r="O50" s="27">
        <f t="shared" si="3"/>
        <v>49</v>
      </c>
      <c r="P50" s="28">
        <f t="shared" si="4"/>
        <v>14</v>
      </c>
      <c r="Q50" s="28">
        <f t="shared" si="5"/>
        <v>20</v>
      </c>
      <c r="R50" s="28"/>
      <c r="S50" s="28">
        <f t="shared" si="40"/>
        <v>5</v>
      </c>
      <c r="T50" s="29">
        <f t="shared" si="6"/>
        <v>71571428.57</v>
      </c>
      <c r="U50" s="28"/>
      <c r="V50" s="30">
        <f t="shared" si="28"/>
        <v>501000000</v>
      </c>
      <c r="W50" s="31">
        <v>3.68E7</v>
      </c>
      <c r="X50" s="32">
        <f t="shared" si="41"/>
        <v>2.038600444</v>
      </c>
      <c r="Y50" s="33">
        <f t="shared" si="42"/>
        <v>0.8871806893</v>
      </c>
      <c r="Z50" s="429">
        <f>664000000+136000000</f>
        <v>800000000</v>
      </c>
      <c r="AA50" s="430" t="s">
        <v>94</v>
      </c>
      <c r="AB50" s="74"/>
      <c r="AC50" s="74"/>
      <c r="AD50" s="476"/>
      <c r="AE50" s="485"/>
      <c r="AF50" s="489" t="str">
        <f>HYPERLINK("https://www.crunchbase.com/funding_round/homeward-seed--7c6d9cdb","Jul 22, 2019")</f>
        <v>Jul 22, 2019</v>
      </c>
      <c r="AG50" s="415">
        <v>4000000.0</v>
      </c>
      <c r="AH50" s="480"/>
      <c r="AI50" s="481"/>
      <c r="AJ50" s="490" t="str">
        <f>HYPERLINK("https://www.crunchbase.com/funding_round/homeward-series-a--a2630d77","May 14, 2020")</f>
        <v>May 14, 2020</v>
      </c>
      <c r="AK50" s="415">
        <v>2.0E7</v>
      </c>
      <c r="AL50" s="490" t="str">
        <f>HYPERLINK("https://www.crunchbase.com/funding_round/homeward-series-b--4bedbba7","May 27, 2021")</f>
        <v>May 27, 2021</v>
      </c>
      <c r="AM50" s="415">
        <v>1.36E8</v>
      </c>
      <c r="AN50" s="484"/>
      <c r="AO50" s="485"/>
      <c r="AP50" s="484"/>
      <c r="AQ50" s="485"/>
      <c r="AR50" s="484"/>
      <c r="AS50" s="484"/>
      <c r="AT50" s="484"/>
      <c r="AU50" s="486"/>
      <c r="AV50" s="484"/>
      <c r="AW50" s="38"/>
      <c r="AX50" s="433"/>
      <c r="AY50" s="38"/>
      <c r="AZ50" s="433"/>
      <c r="BA50" s="485"/>
      <c r="BB50" s="491">
        <v>44343.0</v>
      </c>
      <c r="BC50" s="415">
        <v>3.41E8</v>
      </c>
      <c r="BD50" s="79"/>
      <c r="BE50" s="84"/>
      <c r="BF50" s="74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</row>
    <row r="51" ht="15.75" customHeight="1">
      <c r="A51" s="153" t="s">
        <v>337</v>
      </c>
      <c r="B51" s="69"/>
      <c r="C51" s="69" t="s">
        <v>84</v>
      </c>
      <c r="D51" s="138" t="s">
        <v>338</v>
      </c>
      <c r="E51" s="492" t="s">
        <v>339</v>
      </c>
      <c r="F51" s="173" t="s">
        <v>340</v>
      </c>
      <c r="G51" s="493" t="s">
        <v>341</v>
      </c>
      <c r="H51" s="493" t="s">
        <v>271</v>
      </c>
      <c r="I51" s="26" t="s">
        <v>272</v>
      </c>
      <c r="J51" s="494" t="s">
        <v>342</v>
      </c>
      <c r="K51" s="26">
        <v>2.0</v>
      </c>
      <c r="L51" s="26">
        <v>2016.0</v>
      </c>
      <c r="M51" s="25">
        <f t="shared" si="35"/>
        <v>9</v>
      </c>
      <c r="N51" s="26">
        <f t="shared" si="36"/>
        <v>5</v>
      </c>
      <c r="O51" s="27">
        <f t="shared" si="3"/>
        <v>49</v>
      </c>
      <c r="P51" s="28">
        <f t="shared" si="4"/>
        <v>33</v>
      </c>
      <c r="Q51" s="28">
        <f t="shared" si="5"/>
        <v>36</v>
      </c>
      <c r="R51" s="28"/>
      <c r="S51" s="28">
        <f t="shared" si="40"/>
        <v>18</v>
      </c>
      <c r="T51" s="29">
        <f t="shared" si="6"/>
        <v>34444444.44</v>
      </c>
      <c r="U51" s="28"/>
      <c r="V51" s="30">
        <f t="shared" si="28"/>
        <v>310000000</v>
      </c>
      <c r="W51" s="31">
        <v>1.84E7</v>
      </c>
      <c r="X51" s="32">
        <f t="shared" si="41"/>
        <v>1.37144061</v>
      </c>
      <c r="Y51" s="33">
        <f t="shared" si="42"/>
        <v>0.6156234212</v>
      </c>
      <c r="Z51" s="34">
        <v>8.0E8</v>
      </c>
      <c r="AA51" s="187" t="s">
        <v>94</v>
      </c>
      <c r="AB51" s="74"/>
      <c r="AC51" s="74"/>
      <c r="AD51" s="476"/>
      <c r="AE51" s="485"/>
      <c r="AF51" s="489" t="str">
        <f>HYPERLINK("https://www.crunchbase.com/funding_round/flyhomes-seed--1473dd09","Oct 5, 2017")</f>
        <v>Oct 5, 2017</v>
      </c>
      <c r="AG51" s="415">
        <v>2000000.0</v>
      </c>
      <c r="AH51" s="480"/>
      <c r="AI51" s="481"/>
      <c r="AJ51" s="490" t="str">
        <f>HYPERLINK("https://www.crunchbase.com/funding_round/flyhomes-series-a--6e083500","May 31, 2018")</f>
        <v>May 31, 2018</v>
      </c>
      <c r="AK51" s="415">
        <v>1.7E7</v>
      </c>
      <c r="AL51" s="490" t="str">
        <f>HYPERLINK("https://www.crunchbase.com/funding_round/flyhomes-series-b--fbd99500","Aug 15, 2019")</f>
        <v>Aug 15, 2019</v>
      </c>
      <c r="AM51" s="415">
        <v>2.1E7</v>
      </c>
      <c r="AN51" s="490" t="str">
        <f>HYPERLINK("https://www.crunchbase.com/funding_round/flyhomes-series-c--2ec1f10f","Jun 10, 2021")</f>
        <v>Jun 10, 2021</v>
      </c>
      <c r="AO51" s="415">
        <v>1.5E8</v>
      </c>
      <c r="AP51" s="484"/>
      <c r="AQ51" s="485"/>
      <c r="AR51" s="484"/>
      <c r="AS51" s="484"/>
      <c r="AT51" s="484"/>
      <c r="AU51" s="486"/>
      <c r="AV51" s="484"/>
      <c r="AW51" s="38"/>
      <c r="AX51" s="102"/>
      <c r="AY51" s="38"/>
      <c r="AZ51" s="102"/>
      <c r="BA51" s="486"/>
      <c r="BB51" s="495">
        <v>43692.0</v>
      </c>
      <c r="BC51" s="496">
        <v>1.2E8</v>
      </c>
      <c r="BD51" s="96">
        <v>1.2E8</v>
      </c>
      <c r="BE51" s="46"/>
      <c r="BF51" s="3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</row>
    <row r="52" ht="15.75" customHeight="1">
      <c r="A52" s="153" t="s">
        <v>343</v>
      </c>
      <c r="B52" s="68"/>
      <c r="C52" s="69" t="s">
        <v>59</v>
      </c>
      <c r="D52" s="231"/>
      <c r="E52" s="138" t="s">
        <v>344</v>
      </c>
      <c r="F52" s="173" t="s">
        <v>345</v>
      </c>
      <c r="G52" s="186"/>
      <c r="H52" s="71" t="s">
        <v>235</v>
      </c>
      <c r="I52" s="26" t="s">
        <v>236</v>
      </c>
      <c r="J52" s="155"/>
      <c r="K52" s="26">
        <v>3.0</v>
      </c>
      <c r="L52" s="26">
        <v>2020.0</v>
      </c>
      <c r="M52" s="25">
        <f t="shared" si="35"/>
        <v>5</v>
      </c>
      <c r="N52" s="26">
        <f t="shared" si="36"/>
        <v>4</v>
      </c>
      <c r="O52" s="27">
        <f t="shared" si="3"/>
        <v>49</v>
      </c>
      <c r="P52" s="28">
        <f t="shared" ref="P52:P70" si="43">RANK(T52,$T$2:$T$333)</f>
        <v>30</v>
      </c>
      <c r="Q52" s="28">
        <f t="shared" si="5"/>
        <v>45</v>
      </c>
      <c r="R52" s="28"/>
      <c r="S52" s="28">
        <f t="shared" si="40"/>
        <v>3</v>
      </c>
      <c r="T52" s="29">
        <f t="shared" si="6"/>
        <v>42540000</v>
      </c>
      <c r="U52" s="28"/>
      <c r="V52" s="30">
        <f t="shared" si="28"/>
        <v>212700000</v>
      </c>
      <c r="W52" s="30"/>
      <c r="X52" s="32">
        <f t="shared" si="41"/>
        <v>1.593609844</v>
      </c>
      <c r="Y52" s="33">
        <f t="shared" si="42"/>
        <v>1.14350113</v>
      </c>
      <c r="Z52" s="34">
        <f>181000000+619000000</f>
        <v>800000000</v>
      </c>
      <c r="AA52" s="122" t="s">
        <v>82</v>
      </c>
      <c r="AB52" s="74"/>
      <c r="AC52" s="74"/>
      <c r="AD52" s="497"/>
      <c r="AE52" s="498"/>
      <c r="AF52" s="499" t="str">
        <f>HYPERLINK("https://www.crunchbase.com/funding_round/tul-302e-seed--bfe95e8a","Oct 27, 2020")</f>
        <v>Oct 27, 2020</v>
      </c>
      <c r="AG52" s="500">
        <v>4000000.0</v>
      </c>
      <c r="AH52" s="501"/>
      <c r="AI52" s="502"/>
      <c r="AJ52" s="503">
        <v>44237.0</v>
      </c>
      <c r="AK52" s="415">
        <v>2.0E7</v>
      </c>
      <c r="AL52" s="504" t="str">
        <f>HYPERLINK("https://www.crunchbase.com/funding_round/tul-302e-series-b--e8cdb0a5","Jan 11, 2022")</f>
        <v>Jan 11, 2022</v>
      </c>
      <c r="AM52" s="500">
        <v>1.81E8</v>
      </c>
      <c r="AN52" s="505"/>
      <c r="AO52" s="498"/>
      <c r="AP52" s="505"/>
      <c r="AQ52" s="498"/>
      <c r="AR52" s="505"/>
      <c r="AS52" s="505"/>
      <c r="AT52" s="505"/>
      <c r="AU52" s="506"/>
      <c r="AV52" s="505"/>
      <c r="AW52" s="38"/>
      <c r="AX52" s="81"/>
      <c r="AY52" s="38"/>
      <c r="AZ52" s="81"/>
      <c r="BA52" s="506"/>
      <c r="BB52" s="507">
        <v>44881.0</v>
      </c>
      <c r="BC52" s="508">
        <v>7700000.0</v>
      </c>
      <c r="BD52" s="79"/>
      <c r="BE52" s="84"/>
      <c r="BF52" s="74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</row>
    <row r="53" ht="15.75" customHeight="1">
      <c r="A53" s="183" t="s">
        <v>346</v>
      </c>
      <c r="B53" s="16" t="s">
        <v>347</v>
      </c>
      <c r="C53" s="16" t="s">
        <v>59</v>
      </c>
      <c r="D53" s="184" t="s">
        <v>348</v>
      </c>
      <c r="E53" s="184" t="s">
        <v>349</v>
      </c>
      <c r="F53" s="185" t="s">
        <v>350</v>
      </c>
      <c r="G53" s="442" t="s">
        <v>351</v>
      </c>
      <c r="H53" s="317" t="s">
        <v>128</v>
      </c>
      <c r="I53" s="36" t="s">
        <v>129</v>
      </c>
      <c r="J53" s="509"/>
      <c r="K53" s="36">
        <v>1.0</v>
      </c>
      <c r="L53" s="23">
        <v>2014.0</v>
      </c>
      <c r="M53" s="25">
        <f t="shared" si="35"/>
        <v>11</v>
      </c>
      <c r="N53" s="26">
        <f t="shared" si="36"/>
        <v>3</v>
      </c>
      <c r="O53" s="27">
        <f t="shared" si="3"/>
        <v>49</v>
      </c>
      <c r="P53" s="28">
        <f t="shared" si="43"/>
        <v>89</v>
      </c>
      <c r="Q53" s="28" t="str">
        <f t="shared" si="5"/>
        <v>#N/A</v>
      </c>
      <c r="R53" s="28"/>
      <c r="S53" s="28">
        <f t="shared" si="40"/>
        <v>50</v>
      </c>
      <c r="T53" s="29">
        <f t="shared" si="6"/>
        <v>12118181.82</v>
      </c>
      <c r="U53" s="28"/>
      <c r="V53" s="30">
        <f t="shared" si="28"/>
        <v>133300000</v>
      </c>
      <c r="W53" s="31">
        <v>3.0E7</v>
      </c>
      <c r="X53" s="32">
        <f t="shared" si="41"/>
        <v>0.5257642062</v>
      </c>
      <c r="Y53" s="33">
        <f t="shared" si="42"/>
        <v>0.122127031</v>
      </c>
      <c r="Z53" s="429">
        <v>8.0E8</v>
      </c>
      <c r="AA53" s="475" t="s">
        <v>352</v>
      </c>
      <c r="AB53" s="36"/>
      <c r="AC53" s="36"/>
      <c r="AD53" s="476"/>
      <c r="AE53" s="485"/>
      <c r="AF53" s="510"/>
      <c r="AG53" s="485"/>
      <c r="AH53" s="480"/>
      <c r="AI53" s="481"/>
      <c r="AJ53" s="490" t="str">
        <f>HYPERLINK("https://www.crunchbase.com/funding_round/cadre-2-series-a--3e7f4909"," Mar 24, 2015")</f>
        <v> Mar 24, 2015</v>
      </c>
      <c r="AK53" s="511">
        <v>1.83E7</v>
      </c>
      <c r="AL53" s="512" t="str">
        <f>HYPERLINK("https://www.crunchbase.com/funding_round/cadre-2-series-b--2bdc99b4"," Jan 26, 2016")</f>
        <v> Jan 26, 2016</v>
      </c>
      <c r="AM53" s="513">
        <v>5.0E7</v>
      </c>
      <c r="AN53" s="512" t="str">
        <f>HYPERLINK("https://www.crunchbase.com/funding_round/cadre-2-series-c--2f192c69"," Jun 6, 2017")</f>
        <v> Jun 6, 2017</v>
      </c>
      <c r="AO53" s="513">
        <v>6.5E7</v>
      </c>
      <c r="AP53" s="484"/>
      <c r="AQ53" s="485"/>
      <c r="AR53" s="484"/>
      <c r="AS53" s="484"/>
      <c r="AT53" s="484"/>
      <c r="AU53" s="486"/>
      <c r="AV53" s="484"/>
      <c r="AW53" s="38"/>
      <c r="AX53" s="433"/>
      <c r="AY53" s="38"/>
      <c r="AZ53" s="433"/>
      <c r="BA53" s="485"/>
      <c r="BB53" s="433"/>
      <c r="BC53" s="485"/>
      <c r="BD53" s="44"/>
      <c r="BE53" s="46"/>
      <c r="BF53" s="36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</row>
    <row r="54" ht="15.75" customHeight="1">
      <c r="A54" s="153" t="s">
        <v>353</v>
      </c>
      <c r="B54" s="68"/>
      <c r="C54" s="69" t="s">
        <v>123</v>
      </c>
      <c r="D54" s="192" t="s">
        <v>354</v>
      </c>
      <c r="E54" s="192" t="s">
        <v>355</v>
      </c>
      <c r="F54" s="177" t="s">
        <v>356</v>
      </c>
      <c r="G54" s="407"/>
      <c r="H54" s="71" t="s">
        <v>357</v>
      </c>
      <c r="I54" s="26" t="s">
        <v>358</v>
      </c>
      <c r="J54" s="514"/>
      <c r="K54" s="26">
        <v>2.0</v>
      </c>
      <c r="L54" s="26">
        <v>2015.0</v>
      </c>
      <c r="M54" s="25">
        <f t="shared" si="35"/>
        <v>10</v>
      </c>
      <c r="N54" s="26">
        <f t="shared" si="36"/>
        <v>5</v>
      </c>
      <c r="O54" s="27">
        <f t="shared" si="3"/>
        <v>53</v>
      </c>
      <c r="P54" s="28">
        <f t="shared" si="43"/>
        <v>62</v>
      </c>
      <c r="Q54" s="28">
        <f t="shared" ref="Q54:Q59" si="44">rank(V54,$V$2:$V$50)</f>
        <v>43</v>
      </c>
      <c r="R54" s="28"/>
      <c r="S54" s="28">
        <f t="shared" si="40"/>
        <v>29</v>
      </c>
      <c r="T54" s="29">
        <f t="shared" si="6"/>
        <v>21330000</v>
      </c>
      <c r="U54" s="28"/>
      <c r="V54" s="30">
        <f t="shared" si="28"/>
        <v>213300000</v>
      </c>
      <c r="W54" s="31">
        <v>2.15E7</v>
      </c>
      <c r="X54" s="32">
        <f t="shared" si="41"/>
        <v>1.072492116</v>
      </c>
      <c r="Y54" s="33">
        <f t="shared" si="42"/>
        <v>0.4396152666</v>
      </c>
      <c r="Z54" s="515">
        <v>7.6E8</v>
      </c>
      <c r="AA54" s="35">
        <v>2022.0</v>
      </c>
      <c r="AB54" s="74"/>
      <c r="AC54" s="74"/>
      <c r="AD54" s="497"/>
      <c r="AE54" s="498"/>
      <c r="AF54" s="516" t="str">
        <f>HYPERLINK("https://www.crunchbase.com/funding_round/notarize-seed--ea3521e8"," Feb 4, 2016        
")</f>
        <v> Feb 4, 2016        
</v>
      </c>
      <c r="AG54" s="500">
        <v>3400000.0</v>
      </c>
      <c r="AH54" s="517"/>
      <c r="AI54" s="502"/>
      <c r="AJ54" s="504" t="str">
        <f>HYPERLINK("https://www.crunchbase.com/funding_round/notarize-series-a--3330dd6a"," Jun 10, 2016        
") </f>
        <v> Jun 10, 2016        
</v>
      </c>
      <c r="AK54" s="500">
        <v>8000000.0</v>
      </c>
      <c r="AL54" s="504" t="str">
        <f>HYPERLINK("https://www.crunchbase.com/funding_round/notarize-series-b--bbf1bbcb"," Aug 27, 2019        
")
</f>
        <v> Aug 27, 2019        
</v>
      </c>
      <c r="AM54" s="500">
        <v>3.69E7</v>
      </c>
      <c r="AN54" s="518">
        <v>43891.0</v>
      </c>
      <c r="AO54" s="500">
        <v>3.5E7</v>
      </c>
      <c r="AP54" s="504" t="str">
        <f>HYPERLINK("https://www.crunchbase.com/funding_round/notarize-series-d--4e88b0f1","Mar 25, 2021")</f>
        <v>Mar 25, 2021</v>
      </c>
      <c r="AQ54" s="500">
        <v>1.3E8</v>
      </c>
      <c r="AR54" s="505"/>
      <c r="AS54" s="505"/>
      <c r="AT54" s="505"/>
      <c r="AU54" s="506"/>
      <c r="AV54" s="505"/>
      <c r="AW54" s="38"/>
      <c r="AX54" s="81"/>
      <c r="AY54" s="38"/>
      <c r="AZ54" s="81"/>
      <c r="BA54" s="506"/>
      <c r="BB54" s="81"/>
      <c r="BC54" s="506"/>
      <c r="BD54" s="79"/>
      <c r="BE54" s="84"/>
      <c r="BF54" s="74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</row>
    <row r="55" ht="15.75" customHeight="1">
      <c r="A55" s="183" t="s">
        <v>359</v>
      </c>
      <c r="B55" s="16" t="s">
        <v>360</v>
      </c>
      <c r="C55" s="16" t="s">
        <v>361</v>
      </c>
      <c r="D55" s="492" t="s">
        <v>362</v>
      </c>
      <c r="E55" s="138" t="s">
        <v>363</v>
      </c>
      <c r="F55" s="417" t="s">
        <v>364</v>
      </c>
      <c r="G55" s="442"/>
      <c r="H55" s="317" t="s">
        <v>365</v>
      </c>
      <c r="I55" s="36" t="s">
        <v>65</v>
      </c>
      <c r="J55" s="237"/>
      <c r="K55" s="23">
        <v>3.0</v>
      </c>
      <c r="L55" s="23">
        <v>2013.0</v>
      </c>
      <c r="M55" s="25">
        <f t="shared" si="35"/>
        <v>12</v>
      </c>
      <c r="N55" s="26">
        <f t="shared" si="36"/>
        <v>5</v>
      </c>
      <c r="O55" s="27">
        <f t="shared" si="3"/>
        <v>54</v>
      </c>
      <c r="P55" s="28">
        <f t="shared" si="43"/>
        <v>50</v>
      </c>
      <c r="Q55" s="28" t="str">
        <f t="shared" si="44"/>
        <v>#N/A</v>
      </c>
      <c r="R55" s="28"/>
      <c r="S55" s="28">
        <f t="shared" si="40"/>
        <v>33</v>
      </c>
      <c r="T55" s="29">
        <f t="shared" si="6"/>
        <v>24691666.67</v>
      </c>
      <c r="U55" s="28"/>
      <c r="V55" s="30">
        <f t="shared" si="28"/>
        <v>296300000</v>
      </c>
      <c r="W55" s="31">
        <v>2.62E7</v>
      </c>
      <c r="X55" s="32">
        <f t="shared" si="41"/>
        <v>1.272496438</v>
      </c>
      <c r="Y55" s="33">
        <f t="shared" si="42"/>
        <v>0.4078066251</v>
      </c>
      <c r="Z55" s="515">
        <v>7.0E8</v>
      </c>
      <c r="AA55" s="519" t="s">
        <v>82</v>
      </c>
      <c r="AB55" s="36"/>
      <c r="AC55" s="36"/>
      <c r="AD55" s="520" t="str">
        <f>HYPERLINK("https://www.crunchbase.com/organization/clutter#section-funding-rounds","Feb 21, 2014")</f>
        <v>Feb 21, 2014</v>
      </c>
      <c r="AE55" s="521"/>
      <c r="AF55" s="522" t="str">
        <f>HYPERLINK("https://www.crunchbase.com/organization/clutter#section-funding-rounds"," 6 Aug 2015")</f>
        <v> 6 Aug 2015</v>
      </c>
      <c r="AG55" s="468">
        <v>3300000.0</v>
      </c>
      <c r="AH55" s="523"/>
      <c r="AI55" s="469"/>
      <c r="AJ55" s="524" t="str">
        <f>HYPERLINK("https://www.crunchbase.com/funding_round/clutter-series-a--74b665ad","Oct 22, 2015")</f>
        <v>Oct 22, 2015</v>
      </c>
      <c r="AK55" s="466">
        <v>9000000.0</v>
      </c>
      <c r="AL55" s="470" t="str">
        <f>HYPERLINK("https://www.crunchbase.com/funding_round/clutter-series-b--5007c1b8"," Apr 7, 2016")</f>
        <v> Apr 7, 2016</v>
      </c>
      <c r="AM55" s="466">
        <v>2.0E7</v>
      </c>
      <c r="AN55" s="524" t="str">
        <f>HYPERLINK("https://www.crunchbase.com/funding_round/clutter-series-c--48e7c242"," Jun 13, 2017")</f>
        <v> Jun 13, 2017</v>
      </c>
      <c r="AO55" s="468">
        <v>6.4E7</v>
      </c>
      <c r="AP55" s="524" t="str">
        <f>HYPERLINK("https://www.crunchbase.com/funding_round/clutter-series-d--9dc52c13"," Feb 20, 2019")</f>
        <v> Feb 20, 2019</v>
      </c>
      <c r="AQ55" s="468">
        <v>2.0E8</v>
      </c>
      <c r="AR55" s="471"/>
      <c r="AS55" s="471"/>
      <c r="AT55" s="471"/>
      <c r="AU55" s="472"/>
      <c r="AV55" s="471"/>
      <c r="AW55" s="38"/>
      <c r="AX55" s="473"/>
      <c r="AY55" s="38"/>
      <c r="AZ55" s="473"/>
      <c r="BA55" s="472"/>
      <c r="BB55" s="473"/>
      <c r="BC55" s="472"/>
      <c r="BD55" s="44"/>
      <c r="BE55" s="46"/>
      <c r="BF55" s="36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</row>
    <row r="56" ht="15.75" customHeight="1">
      <c r="A56" s="153" t="s">
        <v>366</v>
      </c>
      <c r="B56" s="69"/>
      <c r="C56" s="69" t="s">
        <v>132</v>
      </c>
      <c r="D56" s="192" t="s">
        <v>367</v>
      </c>
      <c r="E56" s="192" t="s">
        <v>368</v>
      </c>
      <c r="F56" s="154" t="s">
        <v>369</v>
      </c>
      <c r="G56" s="71" t="s">
        <v>370</v>
      </c>
      <c r="H56" s="71" t="s">
        <v>371</v>
      </c>
      <c r="I56" s="26" t="s">
        <v>372</v>
      </c>
      <c r="J56" s="72" t="s">
        <v>373</v>
      </c>
      <c r="K56" s="26">
        <v>2.0</v>
      </c>
      <c r="L56" s="26">
        <v>2013.0</v>
      </c>
      <c r="M56" s="25">
        <f t="shared" si="35"/>
        <v>12</v>
      </c>
      <c r="N56" s="26">
        <f t="shared" si="36"/>
        <v>7</v>
      </c>
      <c r="O56" s="27">
        <f t="shared" si="3"/>
        <v>55</v>
      </c>
      <c r="P56" s="28">
        <f t="shared" si="43"/>
        <v>51</v>
      </c>
      <c r="Q56" s="28" t="str">
        <f t="shared" si="44"/>
        <v>#N/A</v>
      </c>
      <c r="R56" s="28"/>
      <c r="S56" s="28">
        <f t="shared" si="40"/>
        <v>25</v>
      </c>
      <c r="T56" s="29">
        <f t="shared" si="6"/>
        <v>23716666.67</v>
      </c>
      <c r="U56" s="28"/>
      <c r="V56" s="30">
        <f t="shared" si="28"/>
        <v>284600000</v>
      </c>
      <c r="W56" s="30"/>
      <c r="X56" s="32">
        <f t="shared" si="41"/>
        <v>0.9474914634</v>
      </c>
      <c r="Y56" s="33">
        <f t="shared" si="42"/>
        <v>0.4752334287</v>
      </c>
      <c r="Z56" s="288">
        <v>6.9E8</v>
      </c>
      <c r="AA56" s="157" t="s">
        <v>82</v>
      </c>
      <c r="AB56" s="74"/>
      <c r="AC56" s="74"/>
      <c r="AD56" s="497"/>
      <c r="AE56" s="498"/>
      <c r="AF56" s="518">
        <v>41806.0</v>
      </c>
      <c r="AG56" s="500">
        <v>1600000.0</v>
      </c>
      <c r="AH56" s="517"/>
      <c r="AI56" s="502"/>
      <c r="AJ56" s="518">
        <v>42864.0</v>
      </c>
      <c r="AK56" s="500">
        <v>3000000.0</v>
      </c>
      <c r="AL56" s="518">
        <v>43214.0</v>
      </c>
      <c r="AM56" s="500">
        <v>1.98E7</v>
      </c>
      <c r="AN56" s="518">
        <v>43545.0</v>
      </c>
      <c r="AO56" s="500">
        <v>3.5E7</v>
      </c>
      <c r="AP56" s="504" t="str">
        <f>HYPERLINK("https://www.crunchbase.com/funding_round/guesty-series-d--4e049f0c","Apr 27, 2021")</f>
        <v>Apr 27, 2021</v>
      </c>
      <c r="AQ56" s="500">
        <v>5.0E7</v>
      </c>
      <c r="AR56" s="525">
        <v>44789.0</v>
      </c>
      <c r="AS56" s="500">
        <v>1.7E8</v>
      </c>
      <c r="AT56" s="505"/>
      <c r="AU56" s="506"/>
      <c r="AV56" s="505"/>
      <c r="AW56" s="38"/>
      <c r="AX56" s="81"/>
      <c r="AY56" s="38"/>
      <c r="AZ56" s="495">
        <v>43101.0</v>
      </c>
      <c r="BA56" s="526">
        <f>1500000+1400000+2300000</f>
        <v>5200000</v>
      </c>
      <c r="BB56" s="81"/>
      <c r="BC56" s="506"/>
      <c r="BD56" s="79"/>
      <c r="BE56" s="84"/>
      <c r="BF56" s="74"/>
      <c r="BG56" s="456"/>
      <c r="BH56" s="456"/>
      <c r="BI56" s="456"/>
      <c r="BJ56" s="456"/>
      <c r="BK56" s="456"/>
      <c r="BL56" s="456"/>
      <c r="BM56" s="456"/>
      <c r="BN56" s="456"/>
      <c r="BO56" s="456"/>
      <c r="BP56" s="456"/>
      <c r="BQ56" s="456"/>
      <c r="BR56" s="456"/>
      <c r="BS56" s="456"/>
      <c r="BT56" s="456"/>
      <c r="BU56" s="456"/>
      <c r="BV56" s="456"/>
      <c r="BW56" s="456"/>
      <c r="BX56" s="456"/>
      <c r="BY56" s="456"/>
      <c r="BZ56" s="456"/>
      <c r="CA56" s="456"/>
      <c r="CB56" s="456"/>
      <c r="CC56" s="456"/>
      <c r="CD56" s="456"/>
      <c r="CE56" s="456"/>
      <c r="CF56" s="456"/>
      <c r="CG56" s="456"/>
      <c r="CH56" s="456"/>
      <c r="CI56" s="456"/>
      <c r="CJ56" s="456"/>
      <c r="CK56" s="456"/>
      <c r="CL56" s="456"/>
      <c r="CM56" s="456"/>
      <c r="CN56" s="456"/>
      <c r="CO56" s="456"/>
      <c r="CP56" s="456"/>
    </row>
    <row r="57" ht="15.75" customHeight="1">
      <c r="A57" s="153" t="s">
        <v>374</v>
      </c>
      <c r="B57" s="17" t="s">
        <v>375</v>
      </c>
      <c r="C57" s="17" t="s">
        <v>376</v>
      </c>
      <c r="D57" s="138" t="s">
        <v>377</v>
      </c>
      <c r="E57" s="138" t="s">
        <v>378</v>
      </c>
      <c r="F57" s="173" t="s">
        <v>379</v>
      </c>
      <c r="G57" s="21" t="s">
        <v>380</v>
      </c>
      <c r="H57" s="22" t="s">
        <v>381</v>
      </c>
      <c r="I57" s="23" t="s">
        <v>65</v>
      </c>
      <c r="J57" s="527" t="s">
        <v>382</v>
      </c>
      <c r="K57" s="23">
        <v>2.0</v>
      </c>
      <c r="L57" s="23">
        <v>2016.0</v>
      </c>
      <c r="M57" s="25">
        <f t="shared" si="35"/>
        <v>9</v>
      </c>
      <c r="N57" s="26">
        <f t="shared" si="36"/>
        <v>4</v>
      </c>
      <c r="O57" s="27">
        <f t="shared" si="3"/>
        <v>56</v>
      </c>
      <c r="P57" s="28">
        <f t="shared" si="43"/>
        <v>14</v>
      </c>
      <c r="Q57" s="28" t="str">
        <f t="shared" si="44"/>
        <v>#N/A</v>
      </c>
      <c r="R57" s="28"/>
      <c r="S57" s="28">
        <f t="shared" si="40"/>
        <v>4</v>
      </c>
      <c r="T57" s="29">
        <f t="shared" si="6"/>
        <v>76222222.22</v>
      </c>
      <c r="U57" s="28"/>
      <c r="V57" s="30">
        <f t="shared" si="28"/>
        <v>686000000</v>
      </c>
      <c r="W57" s="30"/>
      <c r="X57" s="32">
        <f t="shared" si="41"/>
        <v>3.728708045</v>
      </c>
      <c r="Y57" s="33">
        <f t="shared" si="42"/>
        <v>0.9947365988</v>
      </c>
      <c r="Z57" s="528">
        <v>6.5E8</v>
      </c>
      <c r="AA57" s="529" t="s">
        <v>158</v>
      </c>
      <c r="AB57" s="36"/>
      <c r="AC57" s="36"/>
      <c r="AD57" s="465"/>
      <c r="AE57" s="466"/>
      <c r="AF57" s="530" t="str">
        <f>HYPERLINK("https://www.crunchbase.com/funding_round/avantstay-seed--9b2cd45f"," Dec 21, 2017")</f>
        <v> Dec 21, 2017</v>
      </c>
      <c r="AG57" s="468">
        <v>1000000.0</v>
      </c>
      <c r="AH57" s="531"/>
      <c r="AI57" s="531"/>
      <c r="AJ57" s="532" t="str">
        <f>HYPERLINK("https://www.crunchbase.com/funding_round/avantstay-series-a--b7d47983"," Sep 4, 2018")</f>
        <v> Sep 4, 2018</v>
      </c>
      <c r="AK57" s="533">
        <v>2.5E7</v>
      </c>
      <c r="AL57" s="470" t="str">
        <f>HYPERLINK("https://skift.com/2021/12/15/property-manager-avantstay-adds-160-million-in-funding-to-build-brokerage-service/","Dec 15, 2021")</f>
        <v>Dec 15, 2021</v>
      </c>
      <c r="AM57" s="468">
        <v>1.6E8</v>
      </c>
      <c r="AN57" s="471"/>
      <c r="AO57" s="466"/>
      <c r="AP57" s="471"/>
      <c r="AQ57" s="466"/>
      <c r="AR57" s="471"/>
      <c r="AS57" s="471"/>
      <c r="AT57" s="471"/>
      <c r="AU57" s="472"/>
      <c r="AV57" s="471"/>
      <c r="AW57" s="38"/>
      <c r="AX57" s="473"/>
      <c r="AY57" s="38"/>
      <c r="AZ57" s="495">
        <v>44608.0</v>
      </c>
      <c r="BA57" s="526">
        <v>5.0E8</v>
      </c>
      <c r="BB57" s="473"/>
      <c r="BC57" s="472"/>
      <c r="BD57" s="44"/>
      <c r="BE57" s="46"/>
      <c r="BF57" s="36"/>
      <c r="BG57" s="534"/>
      <c r="BH57" s="534"/>
      <c r="BI57" s="534"/>
      <c r="BJ57" s="534"/>
      <c r="BK57" s="534"/>
      <c r="BL57" s="534"/>
      <c r="BM57" s="534"/>
      <c r="BN57" s="534"/>
      <c r="BO57" s="534"/>
      <c r="BP57" s="534"/>
      <c r="BQ57" s="534"/>
      <c r="BR57" s="534"/>
      <c r="BS57" s="534"/>
      <c r="BT57" s="534"/>
      <c r="BU57" s="534"/>
      <c r="BV57" s="534"/>
      <c r="BW57" s="534"/>
      <c r="BX57" s="534"/>
      <c r="BY57" s="534"/>
      <c r="BZ57" s="534"/>
      <c r="CA57" s="534"/>
      <c r="CB57" s="534"/>
      <c r="CC57" s="534"/>
      <c r="CD57" s="534"/>
      <c r="CE57" s="534"/>
      <c r="CF57" s="534"/>
      <c r="CG57" s="534"/>
      <c r="CH57" s="534"/>
      <c r="CI57" s="534"/>
      <c r="CJ57" s="534"/>
      <c r="CK57" s="534"/>
      <c r="CL57" s="534"/>
      <c r="CM57" s="534"/>
      <c r="CN57" s="534"/>
      <c r="CO57" s="534"/>
      <c r="CP57" s="534"/>
    </row>
    <row r="58" ht="15.75" customHeight="1">
      <c r="A58" s="183" t="s">
        <v>383</v>
      </c>
      <c r="B58" s="16" t="s">
        <v>122</v>
      </c>
      <c r="C58" s="16" t="s">
        <v>384</v>
      </c>
      <c r="D58" s="231" t="s">
        <v>385</v>
      </c>
      <c r="E58" s="535" t="s">
        <v>386</v>
      </c>
      <c r="F58" s="185" t="s">
        <v>387</v>
      </c>
      <c r="G58" s="317"/>
      <c r="H58" s="317" t="s">
        <v>64</v>
      </c>
      <c r="I58" s="36" t="s">
        <v>65</v>
      </c>
      <c r="J58" s="237"/>
      <c r="K58" s="23">
        <v>3.0</v>
      </c>
      <c r="L58" s="23">
        <v>2009.0</v>
      </c>
      <c r="M58" s="25">
        <f t="shared" si="35"/>
        <v>16</v>
      </c>
      <c r="N58" s="26">
        <f t="shared" si="36"/>
        <v>5</v>
      </c>
      <c r="O58" s="27">
        <f t="shared" si="3"/>
        <v>57</v>
      </c>
      <c r="P58" s="28">
        <f t="shared" si="43"/>
        <v>99</v>
      </c>
      <c r="Q58" s="28" t="str">
        <f t="shared" si="44"/>
        <v>#N/A</v>
      </c>
      <c r="R58" s="28"/>
      <c r="S58" s="28">
        <f t="shared" si="40"/>
        <v>49</v>
      </c>
      <c r="T58" s="29">
        <f t="shared" si="6"/>
        <v>10562500</v>
      </c>
      <c r="U58" s="28"/>
      <c r="V58" s="30">
        <f t="shared" si="28"/>
        <v>169000000</v>
      </c>
      <c r="W58" s="31">
        <v>3.73E7</v>
      </c>
      <c r="X58" s="32">
        <f t="shared" si="41"/>
        <v>0.5848931925</v>
      </c>
      <c r="Y58" s="33">
        <f t="shared" si="42"/>
        <v>0.1547819847</v>
      </c>
      <c r="Z58" s="143">
        <v>6.1E8</v>
      </c>
      <c r="AA58" s="536">
        <v>2020.0</v>
      </c>
      <c r="AB58" s="36"/>
      <c r="AC58" s="36"/>
      <c r="AD58" s="476"/>
      <c r="AE58" s="485"/>
      <c r="AF58" s="537">
        <v>40513.0</v>
      </c>
      <c r="AG58" s="485"/>
      <c r="AH58" s="480"/>
      <c r="AI58" s="485"/>
      <c r="AJ58" s="490" t="str">
        <f>HYPERLINK("https://www.crunchbase.com/funding_round/apartmentlist-series-a--6892fef4"," Nov 20, 2013")</f>
        <v> Nov 20, 2013</v>
      </c>
      <c r="AK58" s="511">
        <v>2.3E7</v>
      </c>
      <c r="AL58" s="490" t="str">
        <f>HYPERLINK("https://www.crunchbase.com/funding_round/apartmentlist-series-b--9d89ec82"," Nov 3, 2016")</f>
        <v> Nov 3, 2016</v>
      </c>
      <c r="AM58" s="511">
        <v>3.0E7</v>
      </c>
      <c r="AN58" s="490" t="str">
        <f>HYPERLINK("https://www.crunchbase.com/funding_round/apartmentlist-series-c--afbae5e3"," Jan 17, 2018")</f>
        <v> Jan 17, 2018</v>
      </c>
      <c r="AO58" s="511">
        <v>5.0E7</v>
      </c>
      <c r="AP58" s="538">
        <v>44186.0</v>
      </c>
      <c r="AQ58" s="511">
        <v>6.0E7</v>
      </c>
      <c r="AR58" s="484"/>
      <c r="AS58" s="484"/>
      <c r="AT58" s="484"/>
      <c r="AU58" s="486"/>
      <c r="AV58" s="484"/>
      <c r="AW58" s="38"/>
      <c r="AX58" s="433"/>
      <c r="AY58" s="38"/>
      <c r="AZ58" s="539">
        <v>41675.0</v>
      </c>
      <c r="BA58" s="415">
        <v>6000000.0</v>
      </c>
      <c r="BB58" s="433"/>
      <c r="BC58" s="485"/>
      <c r="BD58" s="44"/>
      <c r="BE58" s="46"/>
      <c r="BF58" s="36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</row>
    <row r="59" ht="15.75" customHeight="1">
      <c r="A59" s="160" t="s">
        <v>388</v>
      </c>
      <c r="B59" s="116" t="s">
        <v>389</v>
      </c>
      <c r="C59" s="116" t="s">
        <v>207</v>
      </c>
      <c r="D59" s="540" t="s">
        <v>390</v>
      </c>
      <c r="E59" s="540" t="s">
        <v>391</v>
      </c>
      <c r="F59" s="541" t="s">
        <v>392</v>
      </c>
      <c r="G59" s="542" t="s">
        <v>393</v>
      </c>
      <c r="H59" s="543" t="s">
        <v>394</v>
      </c>
      <c r="I59" s="25" t="s">
        <v>395</v>
      </c>
      <c r="J59" s="120" t="s">
        <v>396</v>
      </c>
      <c r="K59" s="25">
        <v>2.0</v>
      </c>
      <c r="L59" s="25">
        <v>2013.0</v>
      </c>
      <c r="M59" s="25">
        <f t="shared" si="35"/>
        <v>12</v>
      </c>
      <c r="N59" s="26">
        <f>counta(AE59,AG59,AI59,AK59,AM59,AO59,AQ59,AS59,AU59,AW59,AY59,AZ59,BC59)</f>
        <v>4</v>
      </c>
      <c r="O59" s="27">
        <f t="shared" si="3"/>
        <v>58</v>
      </c>
      <c r="P59" s="28">
        <f t="shared" si="43"/>
        <v>36</v>
      </c>
      <c r="Q59" s="28" t="str">
        <f t="shared" si="44"/>
        <v>#N/A</v>
      </c>
      <c r="R59" s="28"/>
      <c r="S59" s="28">
        <f t="shared" si="40"/>
        <v>7</v>
      </c>
      <c r="T59" s="29">
        <f t="shared" si="6"/>
        <v>35166666.67</v>
      </c>
      <c r="U59" s="28"/>
      <c r="V59" s="30">
        <f t="shared" si="28"/>
        <v>422000000</v>
      </c>
      <c r="W59" s="31">
        <v>4.0E7</v>
      </c>
      <c r="X59" s="32">
        <f>(max(AE59,AG59,AI59,AK59,AM59,AO59,AQ59,AS59,AU59,AW59,AY59,AZ59,BC59)/min(AE59,AG59,AI59,AK59,AM59,AO59,AQ59,AS59,AU59,AW59,AY59,AZ59,BC59))^(1/N59)-1</f>
        <v>5.520736211</v>
      </c>
      <c r="Y59" s="33">
        <f>(max(AE59,AG59,AI59,AK59,AM59,AO59,AQ59,AS59,AU59,AW59,AY59,AZ59,BC59)/min(AE59,AG59,AI59,AK59,AM59,AO59,AQ59,AS59,AU59,AW59,AY59,AZ59,BC59))^(1/M59)-1</f>
        <v>0.8682380394</v>
      </c>
      <c r="Z59" s="515">
        <v>6.0E8</v>
      </c>
      <c r="AA59" s="544" t="s">
        <v>94</v>
      </c>
      <c r="AB59" s="123"/>
      <c r="AC59" s="123"/>
      <c r="AD59" s="545"/>
      <c r="AE59" s="546"/>
      <c r="AF59" s="547"/>
      <c r="AG59" s="546"/>
      <c r="AH59" s="548"/>
      <c r="AI59" s="549"/>
      <c r="AJ59" s="550"/>
      <c r="AK59" s="546"/>
      <c r="AL59" s="551" t="str">
        <f>HYPERLINK("https://www.crunchbase.com/funding_round/industrious-office-series-b--854115a5"," 3/28/2017")</f>
        <v> 3/28/2017</v>
      </c>
      <c r="AM59" s="552">
        <v>6.2E7</v>
      </c>
      <c r="AN59" s="551" t="str">
        <f>HYPERLINK("https://www.crunchbase.com/funding_round/industrious-office-series-c--7bffecfc"," 2/27/2018")</f>
        <v> 2/27/2018</v>
      </c>
      <c r="AO59" s="552">
        <v>8.0E7</v>
      </c>
      <c r="AP59" s="553" t="str">
        <f>HYPERLINK("https://www.crunchbase.com/funding_round/industrious-office-series-d--9825a0c8"," 8/22/2019")</f>
        <v> 8/22/2019</v>
      </c>
      <c r="AQ59" s="552">
        <v>8.0E7</v>
      </c>
      <c r="AR59" s="550"/>
      <c r="AS59" s="550"/>
      <c r="AT59" s="550"/>
      <c r="AU59" s="554"/>
      <c r="AV59" s="550"/>
      <c r="AW59" s="38"/>
      <c r="AX59" s="433"/>
      <c r="AY59" s="38"/>
      <c r="AZ59" s="555">
        <v>44249.0</v>
      </c>
      <c r="BA59" s="556">
        <v>2.0E8</v>
      </c>
      <c r="BB59" s="433"/>
      <c r="BC59" s="554"/>
      <c r="BD59" s="124"/>
      <c r="BE59" s="125"/>
      <c r="BF59" s="123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</row>
    <row r="60" ht="15.75" customHeight="1">
      <c r="A60" s="153" t="s">
        <v>397</v>
      </c>
      <c r="B60" s="16"/>
      <c r="C60" s="17" t="s">
        <v>190</v>
      </c>
      <c r="D60" s="200" t="s">
        <v>398</v>
      </c>
      <c r="E60" s="138" t="s">
        <v>399</v>
      </c>
      <c r="F60" s="154" t="s">
        <v>400</v>
      </c>
      <c r="G60" s="442"/>
      <c r="H60" s="21" t="s">
        <v>401</v>
      </c>
      <c r="I60" s="23" t="s">
        <v>65</v>
      </c>
      <c r="J60" s="237"/>
      <c r="K60" s="23">
        <v>3.0</v>
      </c>
      <c r="L60" s="23">
        <v>2012.0</v>
      </c>
      <c r="M60" s="25">
        <f t="shared" si="35"/>
        <v>13</v>
      </c>
      <c r="N60" s="26">
        <f t="shared" ref="N60:N123" si="45">counta(AE60,AG60,AI60,AK60,AM60,AO60,AQ60,AS60,AU60,AW60,AY60,BA60,BC60)</f>
        <v>6</v>
      </c>
      <c r="O60" s="27">
        <f t="shared" si="3"/>
        <v>58</v>
      </c>
      <c r="P60" s="28">
        <f t="shared" si="43"/>
        <v>67</v>
      </c>
      <c r="Q60" s="28">
        <f t="shared" ref="Q60:Q70" si="46">rank(V60,$V$2:$V$344)</f>
        <v>55</v>
      </c>
      <c r="R60" s="28"/>
      <c r="S60" s="28">
        <f t="shared" si="40"/>
        <v>24</v>
      </c>
      <c r="T60" s="29">
        <f t="shared" si="6"/>
        <v>19107692.31</v>
      </c>
      <c r="U60" s="28"/>
      <c r="V60" s="30">
        <f t="shared" si="28"/>
        <v>248400000</v>
      </c>
      <c r="W60" s="31">
        <v>1.81E7</v>
      </c>
      <c r="X60" s="32">
        <f t="shared" ref="X60:X64" si="47">(max(AE60,AG60,AI60,AK60,AM60,AO60,AQ60,AS60,AU60,AW60,AY60,BA60,BC60)/min(AE60,AG60,AI60,AK60,AM60,AO60,AQ60,AS60,AU60,AW60,AY60,BA60,BC60))^(1/N60)-1</f>
        <v>1.392398632</v>
      </c>
      <c r="Y60" s="33">
        <f t="shared" ref="Y60:Y64" si="48">(max(AE60,AG60,AI60,AK60,AM60,AO60,AQ60,AS60,AU60,AW60,AY60,BA60,BC60)/min(AE60,AG60,AI60,AK60,AM60,AO60,AQ60,AS60,AU60,AW60,AY60,BA60,BC60))^(1/M60)-1</f>
        <v>0.4957060547</v>
      </c>
      <c r="Z60" s="121">
        <v>6.0E8</v>
      </c>
      <c r="AA60" s="187" t="s">
        <v>94</v>
      </c>
      <c r="AB60" s="36"/>
      <c r="AC60" s="36"/>
      <c r="AD60" s="557"/>
      <c r="AE60" s="521"/>
      <c r="AF60" s="522" t="str">
        <f>HYPERLINK("https://www.crunchbase.com/funding_round/cloudbeds-seed--1de5babb","Jan 17, 2012")</f>
        <v>Jan 17, 2012</v>
      </c>
      <c r="AG60" s="468">
        <v>800000.0</v>
      </c>
      <c r="AH60" s="558">
        <v>42064.0</v>
      </c>
      <c r="AI60" s="559">
        <v>3500000.0</v>
      </c>
      <c r="AJ60" s="524" t="str">
        <f>HYPERLINK("https://www.crunchbase.com/funding_round/cloudbeds-series-a--c1817045"," Jul 13, 2016")</f>
        <v> Jul 13, 2016</v>
      </c>
      <c r="AK60" s="560">
        <v>3100000.0</v>
      </c>
      <c r="AL60" s="524" t="str">
        <f>HYPERLINK("https://www.crunchbase.com/funding_round/cloudbeds-series-b--552249d5","Jun 22, 2017")</f>
        <v>Jun 22, 2017</v>
      </c>
      <c r="AM60" s="468">
        <v>9000000.0</v>
      </c>
      <c r="AN60" s="524" t="str">
        <f>HYPERLINK("https://www.crunchbase.com/funding_round/cloudbeds-series-c--7c242ca3","Mar 11, 2020")</f>
        <v>Mar 11, 2020</v>
      </c>
      <c r="AO60" s="468">
        <v>8.2E7</v>
      </c>
      <c r="AP60" s="524" t="str">
        <f>HYPERLINK("https://www.crunchbase.com/funding_round/cloudbeds-series-d--d7d68ff0","Nov 3, 2021")</f>
        <v>Nov 3, 2021</v>
      </c>
      <c r="AQ60" s="468">
        <v>1.5E8</v>
      </c>
      <c r="AR60" s="471"/>
      <c r="AS60" s="471"/>
      <c r="AT60" s="471"/>
      <c r="AU60" s="472"/>
      <c r="AV60" s="471"/>
      <c r="AW60" s="38"/>
      <c r="AX60" s="473"/>
      <c r="AY60" s="38"/>
      <c r="AZ60" s="473"/>
      <c r="BA60" s="472"/>
      <c r="BB60" s="473"/>
      <c r="BC60" s="472"/>
      <c r="BD60" s="44"/>
      <c r="BE60" s="46"/>
      <c r="BF60" s="36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</row>
    <row r="61" ht="15.75" customHeight="1">
      <c r="A61" s="153" t="s">
        <v>402</v>
      </c>
      <c r="B61" s="16"/>
      <c r="C61" s="17" t="s">
        <v>403</v>
      </c>
      <c r="D61" s="236" t="s">
        <v>404</v>
      </c>
      <c r="E61" s="19" t="s">
        <v>405</v>
      </c>
      <c r="F61" s="173" t="s">
        <v>406</v>
      </c>
      <c r="G61" s="317"/>
      <c r="H61" s="22" t="s">
        <v>64</v>
      </c>
      <c r="I61" s="23" t="s">
        <v>65</v>
      </c>
      <c r="J61" s="237"/>
      <c r="K61" s="23">
        <v>2.0</v>
      </c>
      <c r="L61" s="23">
        <v>2016.0</v>
      </c>
      <c r="M61" s="25">
        <f t="shared" si="35"/>
        <v>9</v>
      </c>
      <c r="N61" s="26">
        <f t="shared" si="45"/>
        <v>4</v>
      </c>
      <c r="O61" s="27">
        <f t="shared" si="3"/>
        <v>58</v>
      </c>
      <c r="P61" s="28">
        <f t="shared" si="43"/>
        <v>68</v>
      </c>
      <c r="Q61" s="28">
        <f t="shared" si="46"/>
        <v>85</v>
      </c>
      <c r="R61" s="28"/>
      <c r="S61" s="28">
        <f t="shared" si="40"/>
        <v>46</v>
      </c>
      <c r="T61" s="29">
        <f t="shared" si="6"/>
        <v>19000000</v>
      </c>
      <c r="U61" s="28"/>
      <c r="V61" s="30">
        <f t="shared" si="28"/>
        <v>171000000</v>
      </c>
      <c r="W61" s="31">
        <v>1.02E7</v>
      </c>
      <c r="X61" s="32">
        <f t="shared" si="47"/>
        <v>0.5213646011</v>
      </c>
      <c r="Y61" s="33">
        <f t="shared" si="48"/>
        <v>0.2050153547</v>
      </c>
      <c r="Z61" s="429">
        <v>6.0E8</v>
      </c>
      <c r="AA61" s="430" t="s">
        <v>94</v>
      </c>
      <c r="AB61" s="36"/>
      <c r="AC61" s="36"/>
      <c r="AD61" s="476"/>
      <c r="AE61" s="485"/>
      <c r="AF61" s="510"/>
      <c r="AG61" s="485"/>
      <c r="AH61" s="480"/>
      <c r="AI61" s="481"/>
      <c r="AJ61" s="561">
        <v>43335.0</v>
      </c>
      <c r="AK61" s="511">
        <v>1.4E7</v>
      </c>
      <c r="AL61" s="561">
        <v>43787.0</v>
      </c>
      <c r="AM61" s="513">
        <v>3.2E7</v>
      </c>
      <c r="AN61" s="512" t="str">
        <f>HYPERLINK("https://www.crunchbase.com/funding_round/bungalow-series-c--0c01658e","Aug 24, 2021")</f>
        <v>Aug 24, 2021</v>
      </c>
      <c r="AO61" s="513">
        <v>7.5E7</v>
      </c>
      <c r="AP61" s="484"/>
      <c r="AQ61" s="485"/>
      <c r="AR61" s="484"/>
      <c r="AS61" s="484"/>
      <c r="AT61" s="484"/>
      <c r="AU61" s="486"/>
      <c r="AV61" s="484"/>
      <c r="AW61" s="38"/>
      <c r="AX61" s="433"/>
      <c r="AY61" s="38"/>
      <c r="AZ61" s="433"/>
      <c r="BA61" s="485"/>
      <c r="BB61" s="539">
        <v>43352.0</v>
      </c>
      <c r="BC61" s="415">
        <v>5.0E7</v>
      </c>
      <c r="BD61" s="44"/>
      <c r="BE61" s="46"/>
      <c r="BF61" s="36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</row>
    <row r="62" ht="15.75" customHeight="1">
      <c r="A62" s="153" t="s">
        <v>407</v>
      </c>
      <c r="B62" s="68" t="s">
        <v>408</v>
      </c>
      <c r="C62" s="69" t="s">
        <v>59</v>
      </c>
      <c r="D62" s="48"/>
      <c r="E62" s="388" t="s">
        <v>409</v>
      </c>
      <c r="F62" s="154" t="s">
        <v>410</v>
      </c>
      <c r="G62" s="140"/>
      <c r="H62" s="71" t="s">
        <v>64</v>
      </c>
      <c r="I62" s="562" t="s">
        <v>65</v>
      </c>
      <c r="J62" s="72"/>
      <c r="K62" s="26">
        <v>2.0</v>
      </c>
      <c r="L62" s="26">
        <v>2010.0</v>
      </c>
      <c r="M62" s="25">
        <f t="shared" si="35"/>
        <v>15</v>
      </c>
      <c r="N62" s="26">
        <f t="shared" si="45"/>
        <v>5</v>
      </c>
      <c r="O62" s="27">
        <f t="shared" si="3"/>
        <v>61</v>
      </c>
      <c r="P62" s="28">
        <f t="shared" si="43"/>
        <v>57</v>
      </c>
      <c r="Q62" s="28">
        <f t="shared" si="46"/>
        <v>41</v>
      </c>
      <c r="R62" s="28"/>
      <c r="S62" s="28">
        <f t="shared" si="40"/>
        <v>42</v>
      </c>
      <c r="T62" s="29">
        <f t="shared" si="6"/>
        <v>21933333.33</v>
      </c>
      <c r="U62" s="28"/>
      <c r="V62" s="30">
        <f t="shared" si="28"/>
        <v>329000000</v>
      </c>
      <c r="W62" s="31">
        <v>1.0E7</v>
      </c>
      <c r="X62" s="32">
        <f t="shared" si="47"/>
        <v>1.023185002</v>
      </c>
      <c r="Y62" s="33">
        <f t="shared" si="48"/>
        <v>0.2647709025</v>
      </c>
      <c r="Z62" s="408">
        <v>5.0E8</v>
      </c>
      <c r="AA62" s="563" t="s">
        <v>158</v>
      </c>
      <c r="AB62" s="74"/>
      <c r="AC62" s="74"/>
      <c r="AD62" s="476"/>
      <c r="AE62" s="485"/>
      <c r="AF62" s="510"/>
      <c r="AG62" s="485"/>
      <c r="AH62" s="480"/>
      <c r="AI62" s="481"/>
      <c r="AJ62" s="484"/>
      <c r="AK62" s="485"/>
      <c r="AL62" s="503">
        <v>42307.0</v>
      </c>
      <c r="AM62" s="511">
        <v>5900000.0</v>
      </c>
      <c r="AN62" s="490" t="str">
        <f>HYPERLINK("https://www.crunchbase.com/funding_round/kinestral-technologies-series-c--2a8130e0","Jan 31, 2017")</f>
        <v>Jan 31, 2017</v>
      </c>
      <c r="AO62" s="415">
        <v>6.5E7</v>
      </c>
      <c r="AP62" s="564">
        <v>44536.0</v>
      </c>
      <c r="AQ62" s="415">
        <v>2.0E8</v>
      </c>
      <c r="AR62" s="484"/>
      <c r="AS62" s="484"/>
      <c r="AT62" s="484"/>
      <c r="AU62" s="486"/>
      <c r="AV62" s="484"/>
      <c r="AW62" s="38"/>
      <c r="AX62" s="433"/>
      <c r="AY62" s="38"/>
      <c r="AZ62" s="539">
        <v>41696.0</v>
      </c>
      <c r="BA62" s="415">
        <f>16000000+7100000</f>
        <v>23100000</v>
      </c>
      <c r="BB62" s="539">
        <v>43279.0</v>
      </c>
      <c r="BC62" s="415">
        <v>3.5E7</v>
      </c>
      <c r="BD62" s="79"/>
      <c r="BE62" s="84"/>
      <c r="BF62" s="74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</row>
    <row r="63" ht="15.75" customHeight="1">
      <c r="A63" s="183" t="s">
        <v>411</v>
      </c>
      <c r="B63" s="16" t="s">
        <v>360</v>
      </c>
      <c r="C63" s="16" t="s">
        <v>207</v>
      </c>
      <c r="D63" s="138" t="s">
        <v>412</v>
      </c>
      <c r="E63" s="184" t="s">
        <v>413</v>
      </c>
      <c r="F63" s="565" t="s">
        <v>414</v>
      </c>
      <c r="G63" s="317" t="s">
        <v>415</v>
      </c>
      <c r="H63" s="317" t="s">
        <v>128</v>
      </c>
      <c r="I63" s="23" t="s">
        <v>129</v>
      </c>
      <c r="J63" s="237" t="s">
        <v>416</v>
      </c>
      <c r="K63" s="36">
        <v>2.0</v>
      </c>
      <c r="L63" s="23">
        <v>2009.0</v>
      </c>
      <c r="M63" s="25">
        <f t="shared" si="35"/>
        <v>16</v>
      </c>
      <c r="N63" s="26">
        <f t="shared" si="45"/>
        <v>6</v>
      </c>
      <c r="O63" s="27">
        <f t="shared" si="3"/>
        <v>61</v>
      </c>
      <c r="P63" s="28">
        <f t="shared" si="43"/>
        <v>69</v>
      </c>
      <c r="Q63" s="28">
        <f t="shared" si="46"/>
        <v>49</v>
      </c>
      <c r="R63" s="28"/>
      <c r="S63" s="28">
        <f t="shared" si="40"/>
        <v>37</v>
      </c>
      <c r="T63" s="29">
        <f t="shared" si="6"/>
        <v>17600000</v>
      </c>
      <c r="U63" s="28"/>
      <c r="V63" s="30">
        <f t="shared" si="28"/>
        <v>281600000</v>
      </c>
      <c r="W63" s="31">
        <v>1.25E8</v>
      </c>
      <c r="X63" s="32">
        <f t="shared" si="47"/>
        <v>1.273745315</v>
      </c>
      <c r="Y63" s="33">
        <f t="shared" si="48"/>
        <v>0.3607494938</v>
      </c>
      <c r="Z63" s="566">
        <v>5.0E8</v>
      </c>
      <c r="AA63" s="122" t="s">
        <v>82</v>
      </c>
      <c r="AB63" s="36"/>
      <c r="AC63" s="36"/>
      <c r="AD63" s="465"/>
      <c r="AE63" s="466"/>
      <c r="AF63" s="567"/>
      <c r="AG63" s="466"/>
      <c r="AH63" s="568"/>
      <c r="AI63" s="469"/>
      <c r="AJ63" s="470" t="str">
        <f>HYPERLINK("https://www.crunchbase.com/organization/convene#section-funding-rounds"," Jul 9, 2013        
")</f>
        <v> Jul 9, 2013        
</v>
      </c>
      <c r="AK63" s="466">
        <v>1.0E7</v>
      </c>
      <c r="AL63" s="470" t="str">
        <f>HYPERLINK("https://www.crunchbase.com/organization/convene#section-funding-rounds"," May 19, 2016")</f>
        <v> May 19, 2016</v>
      </c>
      <c r="AM63" s="466">
        <v>3.55E7</v>
      </c>
      <c r="AN63" s="470" t="str">
        <f>HYPERLINK("https://www.crunchbase.com/funding_round/convene-series-c--fe98efaa2"," May 1, 2017")</f>
        <v> May 1, 2017</v>
      </c>
      <c r="AO63" s="466">
        <v>6.8E7</v>
      </c>
      <c r="AP63" s="524" t="str">
        <f>HYPERLINK("https://www.crunchbase.com/funding_round/convene-series-d--592928e0"," Jul 10, 2018")</f>
        <v> Jul 10, 2018</v>
      </c>
      <c r="AQ63" s="468">
        <v>1.52E8</v>
      </c>
      <c r="AR63" s="471"/>
      <c r="AS63" s="471"/>
      <c r="AT63" s="471"/>
      <c r="AU63" s="472"/>
      <c r="AV63" s="471"/>
      <c r="AW63" s="38"/>
      <c r="AX63" s="473"/>
      <c r="AY63" s="38"/>
      <c r="AZ63" s="495">
        <v>44754.0</v>
      </c>
      <c r="BA63" s="526">
        <v>1100000.0</v>
      </c>
      <c r="BB63" s="495">
        <v>42509.0</v>
      </c>
      <c r="BC63" s="526">
        <v>1.5E7</v>
      </c>
      <c r="BD63" s="44"/>
      <c r="BE63" s="46"/>
      <c r="BF63" s="36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</row>
    <row r="64" ht="15.75" customHeight="1">
      <c r="A64" s="114" t="s">
        <v>417</v>
      </c>
      <c r="B64" s="115"/>
      <c r="C64" s="116" t="s">
        <v>84</v>
      </c>
      <c r="D64" s="192" t="s">
        <v>418</v>
      </c>
      <c r="E64" s="192" t="s">
        <v>419</v>
      </c>
      <c r="F64" s="118" t="s">
        <v>420</v>
      </c>
      <c r="G64" s="119" t="s">
        <v>421</v>
      </c>
      <c r="H64" s="119" t="s">
        <v>128</v>
      </c>
      <c r="I64" s="25" t="s">
        <v>156</v>
      </c>
      <c r="J64" s="120" t="s">
        <v>157</v>
      </c>
      <c r="K64" s="25">
        <v>2.0</v>
      </c>
      <c r="L64" s="25">
        <v>2018.0</v>
      </c>
      <c r="M64" s="25">
        <f t="shared" si="35"/>
        <v>7</v>
      </c>
      <c r="N64" s="26">
        <f t="shared" si="45"/>
        <v>4</v>
      </c>
      <c r="O64" s="27">
        <f t="shared" si="3"/>
        <v>61</v>
      </c>
      <c r="P64" s="28">
        <f t="shared" si="43"/>
        <v>44</v>
      </c>
      <c r="Q64" s="28">
        <f t="shared" si="46"/>
        <v>61</v>
      </c>
      <c r="R64" s="28"/>
      <c r="S64" s="28">
        <f t="shared" si="40"/>
        <v>6</v>
      </c>
      <c r="T64" s="29">
        <f t="shared" si="6"/>
        <v>31714285.71</v>
      </c>
      <c r="U64" s="28"/>
      <c r="V64" s="30">
        <f t="shared" si="28"/>
        <v>222000000</v>
      </c>
      <c r="W64" s="31">
        <v>2.31E7</v>
      </c>
      <c r="X64" s="32">
        <f t="shared" si="47"/>
        <v>2.013793467</v>
      </c>
      <c r="Y64" s="33">
        <f t="shared" si="48"/>
        <v>0.8783613158</v>
      </c>
      <c r="Z64" s="569">
        <v>5.0E8</v>
      </c>
      <c r="AA64" s="563" t="s">
        <v>158</v>
      </c>
      <c r="AB64" s="123"/>
      <c r="AC64" s="123"/>
      <c r="AD64" s="570"/>
      <c r="AE64" s="571"/>
      <c r="AF64" s="572" t="str">
        <f>HYPERLINK("https://www.crunchbase.com/funding_round/landis-seed--b1fa0e42","Oct 8, 2018")</f>
        <v>Oct 8, 2018</v>
      </c>
      <c r="AG64" s="573">
        <v>2000000.0</v>
      </c>
      <c r="AH64" s="574"/>
      <c r="AI64" s="575"/>
      <c r="AJ64" s="576" t="str">
        <f>HYPERLINK("https://www.crunchbase.com/funding_round/landis-series-a--94cc27a3","Jul 27, 2021")</f>
        <v>Jul 27, 2021</v>
      </c>
      <c r="AK64" s="577">
        <v>1.65E8</v>
      </c>
      <c r="AL64" s="578">
        <v>44852.0</v>
      </c>
      <c r="AM64" s="573">
        <v>4.0E7</v>
      </c>
      <c r="AN64" s="579"/>
      <c r="AO64" s="571"/>
      <c r="AP64" s="579"/>
      <c r="AQ64" s="571"/>
      <c r="AR64" s="579"/>
      <c r="AS64" s="579"/>
      <c r="AT64" s="579"/>
      <c r="AU64" s="580"/>
      <c r="AV64" s="579"/>
      <c r="AW64" s="38"/>
      <c r="AX64" s="198"/>
      <c r="AY64" s="38"/>
      <c r="AZ64" s="198"/>
      <c r="BA64" s="580"/>
      <c r="BB64" s="555">
        <v>43701.0</v>
      </c>
      <c r="BC64" s="581">
        <v>1.5E7</v>
      </c>
      <c r="BD64" s="124"/>
      <c r="BE64" s="125"/>
      <c r="BF64" s="123"/>
      <c r="BG64" s="582"/>
      <c r="BH64" s="582"/>
      <c r="BI64" s="582"/>
      <c r="BJ64" s="582"/>
      <c r="BK64" s="582"/>
      <c r="BL64" s="582"/>
      <c r="BM64" s="582"/>
      <c r="BN64" s="582"/>
      <c r="BO64" s="582"/>
      <c r="BP64" s="582"/>
      <c r="BQ64" s="582"/>
      <c r="BR64" s="582"/>
      <c r="BS64" s="582"/>
      <c r="BT64" s="582"/>
      <c r="BU64" s="582"/>
      <c r="BV64" s="582"/>
      <c r="BW64" s="582"/>
      <c r="BX64" s="582"/>
      <c r="BY64" s="582"/>
      <c r="BZ64" s="582"/>
      <c r="CA64" s="582"/>
      <c r="CB64" s="582"/>
      <c r="CC64" s="582"/>
      <c r="CD64" s="582"/>
      <c r="CE64" s="582"/>
      <c r="CF64" s="582"/>
      <c r="CG64" s="582"/>
      <c r="CH64" s="582"/>
      <c r="CI64" s="582"/>
      <c r="CJ64" s="582"/>
      <c r="CK64" s="582"/>
      <c r="CL64" s="582"/>
      <c r="CM64" s="582"/>
      <c r="CN64" s="582"/>
      <c r="CO64" s="582"/>
      <c r="CP64" s="582"/>
    </row>
    <row r="65" ht="15.75" customHeight="1">
      <c r="A65" s="400" t="s">
        <v>422</v>
      </c>
      <c r="B65" s="115"/>
      <c r="C65" s="116" t="s">
        <v>190</v>
      </c>
      <c r="D65" s="161" t="s">
        <v>423</v>
      </c>
      <c r="E65" s="161" t="s">
        <v>424</v>
      </c>
      <c r="F65" s="583" t="s">
        <v>425</v>
      </c>
      <c r="G65" s="119"/>
      <c r="H65" s="119" t="s">
        <v>163</v>
      </c>
      <c r="I65" s="26" t="s">
        <v>164</v>
      </c>
      <c r="J65" s="120"/>
      <c r="K65" s="25">
        <v>2.0</v>
      </c>
      <c r="L65" s="25">
        <v>2017.0</v>
      </c>
      <c r="M65" s="25">
        <f t="shared" si="35"/>
        <v>8</v>
      </c>
      <c r="N65" s="26">
        <f t="shared" si="45"/>
        <v>5</v>
      </c>
      <c r="O65" s="27">
        <f t="shared" si="3"/>
        <v>61</v>
      </c>
      <c r="P65" s="28" t="str">
        <f t="shared" si="43"/>
        <v>#N/A</v>
      </c>
      <c r="Q65" s="28">
        <f t="shared" si="46"/>
        <v>73</v>
      </c>
      <c r="R65" s="55"/>
      <c r="S65" s="55"/>
      <c r="T65" s="55"/>
      <c r="U65" s="55"/>
      <c r="V65" s="30">
        <f t="shared" si="28"/>
        <v>192100000</v>
      </c>
      <c r="W65" s="31">
        <v>1000000.0</v>
      </c>
      <c r="X65" s="403"/>
      <c r="Y65" s="403"/>
      <c r="Z65" s="409">
        <v>5.0E8</v>
      </c>
      <c r="AA65" s="584" t="s">
        <v>158</v>
      </c>
      <c r="AB65" s="123"/>
      <c r="AC65" s="123"/>
      <c r="AD65" s="585"/>
      <c r="AE65" s="571"/>
      <c r="AF65" s="586">
        <v>43258.0</v>
      </c>
      <c r="AG65" s="573">
        <v>3900000.0</v>
      </c>
      <c r="AH65" s="574"/>
      <c r="AI65" s="575"/>
      <c r="AJ65" s="587">
        <v>43445.0</v>
      </c>
      <c r="AK65" s="573">
        <v>1.12E7</v>
      </c>
      <c r="AL65" s="587">
        <v>43810.0</v>
      </c>
      <c r="AM65" s="573">
        <v>2.2E7</v>
      </c>
      <c r="AN65" s="587">
        <v>45006.0</v>
      </c>
      <c r="AO65" s="573">
        <v>6.5E7</v>
      </c>
      <c r="AP65" s="588"/>
      <c r="AQ65" s="571"/>
      <c r="AR65" s="574"/>
      <c r="AS65" s="574"/>
      <c r="AT65" s="574"/>
      <c r="AU65" s="580"/>
      <c r="AV65" s="574"/>
      <c r="AW65" s="38"/>
      <c r="AX65" s="115"/>
      <c r="AY65" s="38"/>
      <c r="AZ65" s="589">
        <v>44635.0</v>
      </c>
      <c r="BA65" s="590">
        <v>9.0E7</v>
      </c>
      <c r="BB65" s="115"/>
      <c r="BC65" s="580"/>
      <c r="BD65" s="123"/>
      <c r="BE65" s="125"/>
      <c r="BF65" s="123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</row>
    <row r="66" ht="15.75" customHeight="1">
      <c r="A66" s="591" t="s">
        <v>426</v>
      </c>
      <c r="B66" s="592"/>
      <c r="C66" s="48" t="s">
        <v>427</v>
      </c>
      <c r="D66" s="593" t="s">
        <v>428</v>
      </c>
      <c r="E66" s="593" t="s">
        <v>429</v>
      </c>
      <c r="F66" s="594" t="s">
        <v>430</v>
      </c>
      <c r="G66" s="595"/>
      <c r="H66" s="71" t="s">
        <v>64</v>
      </c>
      <c r="I66" s="26" t="s">
        <v>65</v>
      </c>
      <c r="J66" s="596"/>
      <c r="K66" s="25">
        <v>4.0</v>
      </c>
      <c r="L66" s="26">
        <v>2012.0</v>
      </c>
      <c r="M66" s="25">
        <f t="shared" si="35"/>
        <v>13</v>
      </c>
      <c r="N66" s="26">
        <f t="shared" si="45"/>
        <v>4</v>
      </c>
      <c r="O66" s="27">
        <f t="shared" si="3"/>
        <v>61</v>
      </c>
      <c r="P66" s="28" t="str">
        <f t="shared" si="43"/>
        <v>#N/A</v>
      </c>
      <c r="Q66" s="28">
        <f t="shared" si="46"/>
        <v>78</v>
      </c>
      <c r="R66" s="55"/>
      <c r="S66" s="55"/>
      <c r="T66" s="55"/>
      <c r="U66" s="55"/>
      <c r="V66" s="30">
        <f t="shared" si="28"/>
        <v>180300000</v>
      </c>
      <c r="W66" s="31">
        <v>2.5E7</v>
      </c>
      <c r="X66" s="597"/>
      <c r="Y66" s="597"/>
      <c r="Z66" s="598">
        <v>5.0E8</v>
      </c>
      <c r="AA66" s="122" t="s">
        <v>82</v>
      </c>
      <c r="AB66" s="123"/>
      <c r="AC66" s="123"/>
      <c r="AD66" s="599"/>
      <c r="AE66" s="574"/>
      <c r="AF66" s="600"/>
      <c r="AG66" s="574"/>
      <c r="AH66" s="574"/>
      <c r="AI66" s="574"/>
      <c r="AJ66" s="587">
        <v>42389.0</v>
      </c>
      <c r="AK66" s="500">
        <f>(6.5+6.4+6.9)*1000000</f>
        <v>19800000</v>
      </c>
      <c r="AL66" s="587">
        <v>42656.0</v>
      </c>
      <c r="AM66" s="500">
        <v>2.27E7</v>
      </c>
      <c r="AN66" s="587">
        <v>43343.0</v>
      </c>
      <c r="AO66" s="500">
        <v>4.6E7</v>
      </c>
      <c r="AP66" s="587">
        <v>44798.0</v>
      </c>
      <c r="AQ66" s="500">
        <v>9.18E7</v>
      </c>
      <c r="AR66" s="574"/>
      <c r="AS66" s="574"/>
      <c r="AT66" s="574"/>
      <c r="AU66" s="580"/>
      <c r="AV66" s="574"/>
      <c r="AW66" s="38"/>
      <c r="AX66" s="115"/>
      <c r="AY66" s="38"/>
      <c r="AZ66" s="115"/>
      <c r="BA66" s="580"/>
      <c r="BB66" s="115"/>
      <c r="BC66" s="580"/>
      <c r="BD66" s="123"/>
      <c r="BE66" s="123"/>
      <c r="BF66" s="123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</row>
    <row r="67" ht="15.75" customHeight="1">
      <c r="A67" s="442" t="s">
        <v>431</v>
      </c>
      <c r="B67" s="68" t="s">
        <v>432</v>
      </c>
      <c r="C67" s="68" t="s">
        <v>59</v>
      </c>
      <c r="D67" s="184" t="s">
        <v>433</v>
      </c>
      <c r="E67" s="535" t="s">
        <v>434</v>
      </c>
      <c r="F67" s="185" t="s">
        <v>435</v>
      </c>
      <c r="G67" s="407" t="s">
        <v>436</v>
      </c>
      <c r="H67" s="186" t="s">
        <v>401</v>
      </c>
      <c r="I67" s="74" t="s">
        <v>65</v>
      </c>
      <c r="J67" s="72" t="s">
        <v>437</v>
      </c>
      <c r="K67" s="26">
        <v>1.0</v>
      </c>
      <c r="L67" s="142">
        <v>2013.0</v>
      </c>
      <c r="M67" s="25">
        <f t="shared" si="35"/>
        <v>12</v>
      </c>
      <c r="N67" s="26">
        <f t="shared" si="45"/>
        <v>5</v>
      </c>
      <c r="O67" s="27">
        <f t="shared" si="3"/>
        <v>61</v>
      </c>
      <c r="P67" s="28">
        <f t="shared" si="43"/>
        <v>75</v>
      </c>
      <c r="Q67" s="28">
        <f t="shared" si="46"/>
        <v>83</v>
      </c>
      <c r="R67" s="28"/>
      <c r="S67" s="28"/>
      <c r="T67" s="29">
        <f t="shared" ref="T67:T69" si="49">V67/M67</f>
        <v>14383333.33</v>
      </c>
      <c r="U67" s="28"/>
      <c r="V67" s="30">
        <f t="shared" si="28"/>
        <v>172600000</v>
      </c>
      <c r="W67" s="30"/>
      <c r="X67" s="32">
        <f t="shared" ref="X67:X69" si="50">(max(AE67,AG67,AI67,AK67,AM67,AO67,AQ67,AS67,AU67,AW67,AY67,BA67,BC67)/min(AE67,AG67,AI67,AK67,AM67,AO67,AQ67,AS67,AU67,AW67,AY67,BA67,BC67))^(1/N67)-1</f>
        <v>0.8492809615</v>
      </c>
      <c r="Y67" s="33">
        <f t="shared" ref="Y67:Y69" si="51">(max(AE67,AG67,AI67,AK67,AM67,AO67,AQ67,AS67,AU67,AW67,AY67,BA67,BC67)/min(AE67,AG67,AI67,AK67,AM67,AO67,AQ67,AS67,AU67,AW67,AY67,BA67,BC67))^(1/M67)-1</f>
        <v>0.291966366</v>
      </c>
      <c r="Z67" s="121">
        <v>5.0E8</v>
      </c>
      <c r="AA67" s="601">
        <v>2023.0</v>
      </c>
      <c r="AB67" s="74"/>
      <c r="AC67" s="74"/>
      <c r="AD67" s="497"/>
      <c r="AE67" s="498"/>
      <c r="AF67" s="499" t="str">
        <f>HYPERLINK("https://www.crunchbase.com/organization/measurabl#section-overview","Oct 1, 2014")</f>
        <v>Oct 1, 2014</v>
      </c>
      <c r="AG67" s="500">
        <v>4300000.0</v>
      </c>
      <c r="AH67" s="501"/>
      <c r="AI67" s="502"/>
      <c r="AJ67" s="602" t="str">
        <f>HYPERLINK("https://www.crunchbase.com/funding_round/measurabl-series-a--15e3ac32"," Apr 16, 2018        
")</f>
        <v> Apr 16, 2018        
</v>
      </c>
      <c r="AK67" s="498">
        <v>7000000.0</v>
      </c>
      <c r="AL67" s="504" t="str">
        <f>HYPERLINK("https://www.crunchbase.com/funding_round/measurabl-series-b--5f422f4a","Jan 2, 2019")</f>
        <v>Jan 2, 2019</v>
      </c>
      <c r="AM67" s="500">
        <v>1.83E7</v>
      </c>
      <c r="AN67" s="504" t="str">
        <f>HYPERLINK("https://www.crunchbase.com/funding_round/measurabl-series-c--3eab87fe","Sep 14, 2021")</f>
        <v>Sep 14, 2021</v>
      </c>
      <c r="AO67" s="500">
        <v>5.0E7</v>
      </c>
      <c r="AP67" s="603">
        <v>45077.0</v>
      </c>
      <c r="AQ67" s="500">
        <v>9.3E7</v>
      </c>
      <c r="AR67" s="505"/>
      <c r="AS67" s="505"/>
      <c r="AT67" s="505"/>
      <c r="AU67" s="506"/>
      <c r="AV67" s="505"/>
      <c r="AW67" s="38"/>
      <c r="AX67" s="81"/>
      <c r="AY67" s="38"/>
      <c r="AZ67" s="81"/>
      <c r="BA67" s="506"/>
      <c r="BB67" s="81"/>
      <c r="BC67" s="506"/>
      <c r="BD67" s="79"/>
      <c r="BE67" s="84"/>
      <c r="BF67" s="74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</row>
    <row r="68" ht="15.75" customHeight="1">
      <c r="A68" s="47" t="s">
        <v>438</v>
      </c>
      <c r="B68" s="115"/>
      <c r="C68" s="116" t="s">
        <v>132</v>
      </c>
      <c r="D68" s="192" t="s">
        <v>439</v>
      </c>
      <c r="E68" s="192" t="s">
        <v>440</v>
      </c>
      <c r="F68" s="118" t="s">
        <v>441</v>
      </c>
      <c r="G68" s="604" t="s">
        <v>442</v>
      </c>
      <c r="H68" s="119" t="s">
        <v>64</v>
      </c>
      <c r="I68" s="25" t="s">
        <v>65</v>
      </c>
      <c r="J68" s="287"/>
      <c r="K68" s="25">
        <v>1.0</v>
      </c>
      <c r="L68" s="25">
        <v>2019.0</v>
      </c>
      <c r="M68" s="25">
        <f t="shared" si="35"/>
        <v>6</v>
      </c>
      <c r="N68" s="26">
        <f t="shared" si="45"/>
        <v>5</v>
      </c>
      <c r="O68" s="27">
        <f t="shared" si="3"/>
        <v>67</v>
      </c>
      <c r="P68" s="28">
        <f t="shared" si="43"/>
        <v>20</v>
      </c>
      <c r="Q68" s="28">
        <f t="shared" si="46"/>
        <v>39</v>
      </c>
      <c r="R68" s="28"/>
      <c r="S68" s="28">
        <f>rank(Y68,$Y$8:$Y$80)</f>
        <v>12</v>
      </c>
      <c r="T68" s="29">
        <f t="shared" si="49"/>
        <v>57966666.67</v>
      </c>
      <c r="U68" s="28"/>
      <c r="V68" s="30">
        <f t="shared" si="28"/>
        <v>347800000</v>
      </c>
      <c r="W68" s="31">
        <v>2.8E7</v>
      </c>
      <c r="X68" s="32">
        <f t="shared" si="50"/>
        <v>0.9816669667</v>
      </c>
      <c r="Y68" s="33">
        <f t="shared" si="51"/>
        <v>0.7681762722</v>
      </c>
      <c r="Z68" s="34">
        <v>4.75E8</v>
      </c>
      <c r="AA68" s="187" t="s">
        <v>82</v>
      </c>
      <c r="AB68" s="123"/>
      <c r="AC68" s="123"/>
      <c r="AD68" s="545"/>
      <c r="AE68" s="546"/>
      <c r="AF68" s="605">
        <v>43525.0</v>
      </c>
      <c r="AG68" s="552">
        <v>5000000.0</v>
      </c>
      <c r="AH68" s="606"/>
      <c r="AI68" s="549"/>
      <c r="AJ68" s="607">
        <v>43800.0</v>
      </c>
      <c r="AK68" s="552">
        <v>2.0E7</v>
      </c>
      <c r="AL68" s="608">
        <v>44208.0</v>
      </c>
      <c r="AM68" s="552">
        <v>4.5E7</v>
      </c>
      <c r="AN68" s="607">
        <v>44798.0</v>
      </c>
      <c r="AO68" s="552">
        <v>1.25E8</v>
      </c>
      <c r="AP68" s="550"/>
      <c r="AQ68" s="546"/>
      <c r="AR68" s="550"/>
      <c r="AS68" s="550"/>
      <c r="AT68" s="550"/>
      <c r="AU68" s="554"/>
      <c r="AV68" s="550"/>
      <c r="AW68" s="38"/>
      <c r="AX68" s="433"/>
      <c r="AY68" s="38"/>
      <c r="AZ68" s="433"/>
      <c r="BA68" s="554"/>
      <c r="BB68" s="555">
        <v>44798.0</v>
      </c>
      <c r="BC68" s="581">
        <v>1.528E8</v>
      </c>
      <c r="BD68" s="124"/>
      <c r="BE68" s="125"/>
      <c r="BF68" s="123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</row>
    <row r="69" ht="15.75" customHeight="1">
      <c r="A69" s="21" t="s">
        <v>443</v>
      </c>
      <c r="B69" s="68"/>
      <c r="C69" s="69" t="s">
        <v>84</v>
      </c>
      <c r="D69" s="200" t="s">
        <v>444</v>
      </c>
      <c r="E69" s="200" t="s">
        <v>445</v>
      </c>
      <c r="F69" s="173" t="s">
        <v>446</v>
      </c>
      <c r="G69" s="186"/>
      <c r="H69" s="140" t="s">
        <v>328</v>
      </c>
      <c r="I69" s="26" t="s">
        <v>329</v>
      </c>
      <c r="J69" s="155"/>
      <c r="K69" s="26">
        <v>3.0</v>
      </c>
      <c r="L69" s="26">
        <v>2015.0</v>
      </c>
      <c r="M69" s="25">
        <f t="shared" si="35"/>
        <v>10</v>
      </c>
      <c r="N69" s="26">
        <f t="shared" si="45"/>
        <v>6</v>
      </c>
      <c r="O69" s="27">
        <f t="shared" si="3"/>
        <v>68</v>
      </c>
      <c r="P69" s="28">
        <f t="shared" si="43"/>
        <v>56</v>
      </c>
      <c r="Q69" s="28">
        <f t="shared" si="46"/>
        <v>62</v>
      </c>
      <c r="R69" s="28"/>
      <c r="S69" s="28"/>
      <c r="T69" s="29">
        <f t="shared" si="49"/>
        <v>22120000</v>
      </c>
      <c r="U69" s="28"/>
      <c r="V69" s="30">
        <f t="shared" si="28"/>
        <v>221200000</v>
      </c>
      <c r="W69" s="30"/>
      <c r="X69" s="32">
        <f t="shared" si="50"/>
        <v>1.079548478</v>
      </c>
      <c r="Y69" s="33">
        <f t="shared" si="51"/>
        <v>0.5516059251</v>
      </c>
      <c r="Z69" s="212">
        <v>4.4E8</v>
      </c>
      <c r="AA69" s="609" t="s">
        <v>158</v>
      </c>
      <c r="AB69" s="74"/>
      <c r="AC69" s="74"/>
      <c r="AD69" s="476"/>
      <c r="AE69" s="485"/>
      <c r="AF69" s="489" t="str">
        <f>HYPERLINK("crunchbase.com/organization/nested#section-funding-rounds"," 9/21/2016")</f>
        <v> 9/21/2016</v>
      </c>
      <c r="AG69" s="415">
        <v>1600000.0</v>
      </c>
      <c r="AH69" s="610"/>
      <c r="AI69" s="481"/>
      <c r="AJ69" s="490" t="str">
        <f>HYPERLINK("https://www.crunchbase.com/funding_round/nested-series-a--7e3b922d"," 3/20/2017")</f>
        <v> 3/20/2017</v>
      </c>
      <c r="AK69" s="611">
        <v>9900000.0</v>
      </c>
      <c r="AL69" s="490" t="str">
        <f>HYPERLINK("https://www.crunchbase.com/funding_round/nested-series-b--c39542fc"," 10/23/2017")</f>
        <v> 10/23/2017</v>
      </c>
      <c r="AM69" s="415">
        <v>4.75E7</v>
      </c>
      <c r="AN69" s="490" t="str">
        <f>HYPERLINK("https://www.crunchbase.com/funding_round/nested-series-c--ad0b0487"," 11/11/2018")</f>
        <v> 11/11/2018</v>
      </c>
      <c r="AO69" s="415">
        <v>2.59E7</v>
      </c>
      <c r="AP69" s="484"/>
      <c r="AQ69" s="485"/>
      <c r="AR69" s="484"/>
      <c r="AS69" s="484"/>
      <c r="AT69" s="484"/>
      <c r="AU69" s="486"/>
      <c r="AV69" s="484"/>
      <c r="AW69" s="38"/>
      <c r="AX69" s="102"/>
      <c r="AY69" s="38"/>
      <c r="AZ69" s="495">
        <v>44286.0</v>
      </c>
      <c r="BA69" s="612">
        <v>6900000.0</v>
      </c>
      <c r="BB69" s="495">
        <v>43415.0</v>
      </c>
      <c r="BC69" s="612">
        <v>1.294E8</v>
      </c>
      <c r="BD69" s="79"/>
      <c r="BE69" s="84"/>
      <c r="BF69" s="74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</row>
    <row r="70" ht="15.75" customHeight="1">
      <c r="A70" s="21" t="s">
        <v>447</v>
      </c>
      <c r="B70" s="68"/>
      <c r="C70" s="69" t="s">
        <v>59</v>
      </c>
      <c r="D70" s="48"/>
      <c r="E70" s="200" t="s">
        <v>448</v>
      </c>
      <c r="F70" s="173" t="s">
        <v>449</v>
      </c>
      <c r="G70" s="186"/>
      <c r="H70" s="71" t="s">
        <v>450</v>
      </c>
      <c r="I70" s="71" t="s">
        <v>450</v>
      </c>
      <c r="J70" s="155"/>
      <c r="K70" s="26">
        <v>1.0</v>
      </c>
      <c r="L70" s="26">
        <v>2017.0</v>
      </c>
      <c r="M70" s="25">
        <f t="shared" si="35"/>
        <v>8</v>
      </c>
      <c r="N70" s="26">
        <f t="shared" si="45"/>
        <v>1</v>
      </c>
      <c r="O70" s="27">
        <f t="shared" si="3"/>
        <v>68</v>
      </c>
      <c r="P70" s="28" t="str">
        <f t="shared" si="43"/>
        <v>#N/A</v>
      </c>
      <c r="Q70" s="28">
        <f t="shared" si="46"/>
        <v>69</v>
      </c>
      <c r="R70" s="28"/>
      <c r="S70" s="28"/>
      <c r="T70" s="28"/>
      <c r="U70" s="28"/>
      <c r="V70" s="30">
        <f t="shared" si="28"/>
        <v>210000000</v>
      </c>
      <c r="W70" s="30"/>
      <c r="X70" s="73"/>
      <c r="Y70" s="73"/>
      <c r="Z70" s="212">
        <v>4.4E8</v>
      </c>
      <c r="AA70" s="213" t="s">
        <v>158</v>
      </c>
      <c r="AB70" s="74"/>
      <c r="AC70" s="74"/>
      <c r="AD70" s="465"/>
      <c r="AE70" s="466"/>
      <c r="AF70" s="613"/>
      <c r="AG70" s="614"/>
      <c r="AH70" s="568"/>
      <c r="AI70" s="469"/>
      <c r="AJ70" s="524" t="str">
        <f>HYPERLINK("https://www.crunchbase.com/organization/envision-digital/","Jun 7, 2022")</f>
        <v>Jun 7, 2022</v>
      </c>
      <c r="AK70" s="468">
        <v>2.1E8</v>
      </c>
      <c r="AL70" s="615"/>
      <c r="AM70" s="616"/>
      <c r="AN70" s="471"/>
      <c r="AO70" s="468"/>
      <c r="AP70" s="471"/>
      <c r="AQ70" s="466"/>
      <c r="AR70" s="471"/>
      <c r="AS70" s="471"/>
      <c r="AT70" s="471"/>
      <c r="AU70" s="472"/>
      <c r="AV70" s="471"/>
      <c r="AW70" s="38"/>
      <c r="AX70" s="473"/>
      <c r="AY70" s="38"/>
      <c r="AZ70" s="473"/>
      <c r="BA70" s="472"/>
      <c r="BB70" s="473"/>
      <c r="BC70" s="472"/>
      <c r="BD70" s="44"/>
      <c r="BE70" s="46"/>
      <c r="BF70" s="36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</row>
    <row r="71" ht="15.75" customHeight="1">
      <c r="A71" s="47" t="s">
        <v>451</v>
      </c>
      <c r="C71" s="48" t="s">
        <v>84</v>
      </c>
      <c r="D71" s="617" t="s">
        <v>452</v>
      </c>
      <c r="E71" s="49" t="s">
        <v>453</v>
      </c>
      <c r="F71" s="352" t="s">
        <v>454</v>
      </c>
      <c r="G71" s="353"/>
      <c r="H71" s="53" t="s">
        <v>455</v>
      </c>
      <c r="I71" s="54" t="s">
        <v>100</v>
      </c>
      <c r="J71" s="55"/>
      <c r="K71" s="54">
        <v>4.0</v>
      </c>
      <c r="L71" s="56">
        <v>2011.0</v>
      </c>
      <c r="M71" s="25">
        <f t="shared" si="35"/>
        <v>14</v>
      </c>
      <c r="N71" s="26">
        <f t="shared" si="45"/>
        <v>8</v>
      </c>
      <c r="O71" s="27">
        <f t="shared" si="3"/>
        <v>70</v>
      </c>
      <c r="P71" s="55"/>
      <c r="Q71" s="55"/>
      <c r="R71" s="55"/>
      <c r="S71" s="55"/>
      <c r="T71" s="55"/>
      <c r="U71" s="55"/>
      <c r="V71" s="30">
        <f t="shared" si="28"/>
        <v>217500000</v>
      </c>
      <c r="W71" s="30"/>
      <c r="X71" s="58"/>
      <c r="Y71" s="58"/>
      <c r="Z71" s="59">
        <v>4.33E8</v>
      </c>
      <c r="AA71" s="60" t="s">
        <v>82</v>
      </c>
      <c r="AB71" s="55"/>
      <c r="AC71" s="55"/>
      <c r="AD71" s="618"/>
      <c r="AE71" s="531"/>
      <c r="AF71" s="619"/>
      <c r="AG71" s="531"/>
      <c r="AH71" s="531"/>
      <c r="AI71" s="531"/>
      <c r="AJ71" s="620">
        <v>40954.0</v>
      </c>
      <c r="AK71" s="468">
        <v>2000000.0</v>
      </c>
      <c r="AL71" s="620">
        <v>41522.0</v>
      </c>
      <c r="AM71" s="468">
        <v>2900000.0</v>
      </c>
      <c r="AN71" s="620">
        <v>41836.0</v>
      </c>
      <c r="AO71" s="468">
        <v>1.47E7</v>
      </c>
      <c r="AP71" s="621">
        <v>42284.0</v>
      </c>
      <c r="AQ71" s="468">
        <v>1.71E7</v>
      </c>
      <c r="AR71" s="620">
        <v>42486.0</v>
      </c>
      <c r="AS71" s="468">
        <v>2.26E7</v>
      </c>
      <c r="AT71" s="620">
        <v>43398.0</v>
      </c>
      <c r="AU71" s="622">
        <v>5.0E7</v>
      </c>
      <c r="AV71" s="531"/>
      <c r="AW71" s="38"/>
      <c r="AY71" s="38"/>
      <c r="AZ71" s="623">
        <v>44330.0</v>
      </c>
      <c r="BA71" s="624">
        <f>46100000+2100000</f>
        <v>48200000</v>
      </c>
      <c r="BB71" s="623">
        <v>45020.0</v>
      </c>
      <c r="BC71" s="468">
        <v>6.0E7</v>
      </c>
      <c r="BD71" s="55"/>
      <c r="BE71" s="38"/>
      <c r="BF71" s="55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</row>
    <row r="72" ht="15.75" customHeight="1">
      <c r="A72" s="21" t="s">
        <v>456</v>
      </c>
      <c r="B72" s="16"/>
      <c r="C72" s="17" t="s">
        <v>84</v>
      </c>
      <c r="D72" s="138" t="s">
        <v>457</v>
      </c>
      <c r="E72" s="231" t="s">
        <v>458</v>
      </c>
      <c r="F72" s="173" t="s">
        <v>459</v>
      </c>
      <c r="G72" s="317"/>
      <c r="H72" s="22" t="s">
        <v>460</v>
      </c>
      <c r="I72" s="23" t="s">
        <v>461</v>
      </c>
      <c r="J72" s="237"/>
      <c r="K72" s="23">
        <v>2.0</v>
      </c>
      <c r="L72" s="23">
        <v>2017.0</v>
      </c>
      <c r="M72" s="25">
        <f t="shared" si="35"/>
        <v>8</v>
      </c>
      <c r="N72" s="26">
        <f t="shared" si="45"/>
        <v>8</v>
      </c>
      <c r="O72" s="27">
        <f t="shared" si="3"/>
        <v>71</v>
      </c>
      <c r="P72" s="28" t="str">
        <f t="shared" ref="P72:P74" si="52">RANK(T72,$T$2:$T$333)</f>
        <v>#N/A</v>
      </c>
      <c r="Q72" s="28">
        <f t="shared" ref="Q72:Q74" si="53">rank(V72,$V$2:$V$344)</f>
        <v>10</v>
      </c>
      <c r="R72" s="464"/>
      <c r="S72" s="464"/>
      <c r="T72" s="464"/>
      <c r="U72" s="464"/>
      <c r="V72" s="30">
        <f t="shared" si="28"/>
        <v>771187500</v>
      </c>
      <c r="W72" s="30"/>
      <c r="X72" s="33"/>
      <c r="Y72" s="33"/>
      <c r="Z72" s="59">
        <v>4.0E8</v>
      </c>
      <c r="AA72" s="60" t="s">
        <v>82</v>
      </c>
      <c r="AB72" s="36"/>
      <c r="AC72" s="36"/>
      <c r="AD72" s="625">
        <v>43005.0</v>
      </c>
      <c r="AE72" s="626">
        <v>587500.0</v>
      </c>
      <c r="AF72" s="627">
        <v>43190.0</v>
      </c>
      <c r="AG72" s="468">
        <v>1700000.0</v>
      </c>
      <c r="AH72" s="531"/>
      <c r="AI72" s="531"/>
      <c r="AJ72" s="628">
        <v>43518.0</v>
      </c>
      <c r="AK72" s="533">
        <v>7900000.0</v>
      </c>
      <c r="AL72" s="629">
        <v>43748.0</v>
      </c>
      <c r="AM72" s="468">
        <v>5.51E7</v>
      </c>
      <c r="AN72" s="629">
        <v>44272.0</v>
      </c>
      <c r="AO72" s="468">
        <v>5.99E7</v>
      </c>
      <c r="AP72" s="629">
        <v>44761.0</v>
      </c>
      <c r="AQ72" s="468">
        <v>1.023E8</v>
      </c>
      <c r="AR72" s="471"/>
      <c r="AS72" s="471"/>
      <c r="AT72" s="471"/>
      <c r="AU72" s="472"/>
      <c r="AV72" s="471"/>
      <c r="AW72" s="38"/>
      <c r="AX72" s="473"/>
      <c r="AY72" s="38"/>
      <c r="AZ72" s="507">
        <v>44916.0</v>
      </c>
      <c r="BA72" s="630">
        <v>1.06E7</v>
      </c>
      <c r="BB72" s="507">
        <v>44761.0</v>
      </c>
      <c r="BC72" s="630">
        <v>5.331E8</v>
      </c>
      <c r="BD72" s="44"/>
      <c r="BE72" s="46"/>
      <c r="BF72" s="3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</row>
    <row r="73" ht="15.75" customHeight="1">
      <c r="A73" s="400" t="s">
        <v>462</v>
      </c>
      <c r="B73" s="116"/>
      <c r="C73" s="116" t="s">
        <v>123</v>
      </c>
      <c r="D73" s="449"/>
      <c r="E73" s="162" t="s">
        <v>463</v>
      </c>
      <c r="F73" s="163" t="s">
        <v>464</v>
      </c>
      <c r="G73" s="119" t="s">
        <v>465</v>
      </c>
      <c r="H73" s="119" t="s">
        <v>128</v>
      </c>
      <c r="I73" s="25" t="s">
        <v>156</v>
      </c>
      <c r="J73" s="120" t="s">
        <v>466</v>
      </c>
      <c r="K73" s="25">
        <v>2.0</v>
      </c>
      <c r="L73" s="25">
        <v>2019.0</v>
      </c>
      <c r="M73" s="25">
        <f t="shared" si="35"/>
        <v>6</v>
      </c>
      <c r="N73" s="26">
        <f t="shared" si="45"/>
        <v>4</v>
      </c>
      <c r="O73" s="27">
        <f t="shared" si="3"/>
        <v>71</v>
      </c>
      <c r="P73" s="28">
        <f t="shared" si="52"/>
        <v>34</v>
      </c>
      <c r="Q73" s="28">
        <f t="shared" si="53"/>
        <v>65</v>
      </c>
      <c r="R73" s="28"/>
      <c r="S73" s="28">
        <f t="shared" ref="S73:S74" si="54">rank(Y73,$Y$8:$Y$80)</f>
        <v>36</v>
      </c>
      <c r="T73" s="29">
        <f t="shared" ref="T73:T74" si="55">V73/M73</f>
        <v>35800000</v>
      </c>
      <c r="U73" s="28"/>
      <c r="V73" s="30">
        <f t="shared" si="28"/>
        <v>214800000</v>
      </c>
      <c r="W73" s="30"/>
      <c r="X73" s="32">
        <f t="shared" ref="X73:X74" si="56">(max(AE73,AG73,AI73,AK73,AM73,AO73,AQ73,AS73,AU73,AW73,AY73,BA73,BC73)/min(AE73,AG73,AI73,AK73,AM73,AO73,AQ73,AS73,AU73,AW73,AY73,BA73,BC73))^(1/N73)-1</f>
        <v>0.6122581135</v>
      </c>
      <c r="Y73" s="33">
        <f t="shared" ref="Y73:Y74" si="57">(max(AE73,AG73,AI73,AK73,AM73,AO73,AQ73,AS73,AU73,AW73,AY73,BA73,BC73)/min(AE73,AG73,AI73,AK73,AM73,AO73,AQ73,AS73,AU73,AW73,AY73,BA73,BC73))^(1/M73)-1</f>
        <v>0.3749588924</v>
      </c>
      <c r="Z73" s="631">
        <v>4.0E8</v>
      </c>
      <c r="AA73" s="632" t="s">
        <v>82</v>
      </c>
      <c r="AB73" s="123"/>
      <c r="AC73" s="123"/>
      <c r="AD73" s="476"/>
      <c r="AE73" s="546"/>
      <c r="AF73" s="633" t="str">
        <f>HYPERLINK("https://www.crunchbase.com/funding_round/lev-seed--6f9bab29","Feb 23, 2021")</f>
        <v>Feb 23, 2021</v>
      </c>
      <c r="AG73" s="634">
        <v>1.48E7</v>
      </c>
      <c r="AH73" s="606"/>
      <c r="AI73" s="549"/>
      <c r="AJ73" s="551" t="str">
        <f>HYPERLINK("https://www.crunchbase.com/funding_round/lev-series-a--1f187eff","Jun 21, 2021")</f>
        <v>Jun 21, 2021</v>
      </c>
      <c r="AK73" s="635">
        <v>3.0E7</v>
      </c>
      <c r="AL73" s="551" t="str">
        <f>HYPERLINK("https://www.crunchbase.com/funding_round/lev-series-b--d9c6c202","May 5, 2022")</f>
        <v>May 5, 2022</v>
      </c>
      <c r="AM73" s="634">
        <v>7.0E7</v>
      </c>
      <c r="AN73" s="550"/>
      <c r="AO73" s="546"/>
      <c r="AP73" s="550"/>
      <c r="AQ73" s="546"/>
      <c r="AR73" s="550"/>
      <c r="AS73" s="550"/>
      <c r="AT73" s="550"/>
      <c r="AU73" s="554"/>
      <c r="AV73" s="550"/>
      <c r="AW73" s="38"/>
      <c r="AX73" s="433"/>
      <c r="AY73" s="38"/>
      <c r="AZ73" s="433"/>
      <c r="BA73" s="485"/>
      <c r="BB73" s="491">
        <v>44686.0</v>
      </c>
      <c r="BC73" s="415">
        <v>1.0E8</v>
      </c>
      <c r="BD73" s="169"/>
      <c r="BE73" s="125"/>
      <c r="BF73" s="172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</row>
    <row r="74" ht="15.75" customHeight="1">
      <c r="A74" s="48" t="s">
        <v>467</v>
      </c>
      <c r="B74" s="116" t="s">
        <v>468</v>
      </c>
      <c r="C74" s="116" t="s">
        <v>132</v>
      </c>
      <c r="D74" s="192" t="s">
        <v>469</v>
      </c>
      <c r="E74" s="192" t="s">
        <v>470</v>
      </c>
      <c r="F74" s="118" t="s">
        <v>471</v>
      </c>
      <c r="G74" s="119" t="s">
        <v>472</v>
      </c>
      <c r="H74" s="25" t="s">
        <v>473</v>
      </c>
      <c r="I74" s="25" t="s">
        <v>236</v>
      </c>
      <c r="J74" s="287"/>
      <c r="K74" s="25">
        <v>5.0</v>
      </c>
      <c r="L74" s="25">
        <v>2017.0</v>
      </c>
      <c r="M74" s="25">
        <f t="shared" si="35"/>
        <v>8</v>
      </c>
      <c r="N74" s="26">
        <f t="shared" si="45"/>
        <v>7</v>
      </c>
      <c r="O74" s="27">
        <f t="shared" si="3"/>
        <v>73</v>
      </c>
      <c r="P74" s="28">
        <f t="shared" si="52"/>
        <v>40</v>
      </c>
      <c r="Q74" s="28">
        <f t="shared" si="53"/>
        <v>50</v>
      </c>
      <c r="R74" s="28"/>
      <c r="S74" s="28">
        <f t="shared" si="54"/>
        <v>15</v>
      </c>
      <c r="T74" s="29">
        <f t="shared" si="55"/>
        <v>34228125</v>
      </c>
      <c r="U74" s="28"/>
      <c r="V74" s="30">
        <f t="shared" si="28"/>
        <v>273825000</v>
      </c>
      <c r="W74" s="30"/>
      <c r="X74" s="32">
        <f t="shared" si="56"/>
        <v>0.7978598815</v>
      </c>
      <c r="Y74" s="33">
        <f t="shared" si="57"/>
        <v>0.6707495824</v>
      </c>
      <c r="Z74" s="59">
        <v>3.22E8</v>
      </c>
      <c r="AA74" s="60" t="s">
        <v>82</v>
      </c>
      <c r="AB74" s="123"/>
      <c r="AC74" s="123"/>
      <c r="AD74" s="636">
        <v>43191.0</v>
      </c>
      <c r="AE74" s="634">
        <v>1400000.0</v>
      </c>
      <c r="AF74" s="637">
        <v>43465.0</v>
      </c>
      <c r="AG74" s="634">
        <v>4500000.0</v>
      </c>
      <c r="AH74" s="606"/>
      <c r="AI74" s="549"/>
      <c r="AJ74" s="608">
        <v>43998.0</v>
      </c>
      <c r="AK74" s="634">
        <v>1.0E7</v>
      </c>
      <c r="AL74" s="638" t="str">
        <f>HYPERLINK("https://techcrunch.com/2021/07/29/colombias-la-haus-secures-100m-in-debt-equity/","Jul 29, 2021")</f>
        <v>Jul 29, 2021</v>
      </c>
      <c r="AM74" s="634">
        <v>8.5E7</v>
      </c>
      <c r="AN74" s="639">
        <v>44733.0</v>
      </c>
      <c r="AO74" s="640">
        <v>6.2E7</v>
      </c>
      <c r="AP74" s="550"/>
      <c r="AQ74" s="546"/>
      <c r="AR74" s="550"/>
      <c r="AS74" s="550"/>
      <c r="AT74" s="550"/>
      <c r="AU74" s="554"/>
      <c r="AV74" s="550"/>
      <c r="AW74" s="38"/>
      <c r="AX74" s="433"/>
      <c r="AY74" s="38"/>
      <c r="AZ74" s="539">
        <v>44719.0</v>
      </c>
      <c r="BA74" s="415">
        <f>60400000+525000</f>
        <v>60925000</v>
      </c>
      <c r="BB74" s="539">
        <v>44406.0</v>
      </c>
      <c r="BC74" s="415">
        <v>5.0E7</v>
      </c>
      <c r="BD74" s="124"/>
      <c r="BE74" s="125"/>
      <c r="BF74" s="123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</row>
    <row r="75" ht="15.75" customHeight="1">
      <c r="A75" s="400" t="s">
        <v>474</v>
      </c>
      <c r="B75" s="115"/>
      <c r="C75" s="116" t="s">
        <v>59</v>
      </c>
      <c r="D75" s="162"/>
      <c r="E75" s="192" t="s">
        <v>475</v>
      </c>
      <c r="F75" s="163" t="s">
        <v>476</v>
      </c>
      <c r="G75" s="119"/>
      <c r="H75" s="119" t="s">
        <v>365</v>
      </c>
      <c r="I75" s="25" t="s">
        <v>65</v>
      </c>
      <c r="J75" s="287"/>
      <c r="K75" s="25">
        <v>1.0</v>
      </c>
      <c r="L75" s="25">
        <v>2017.0</v>
      </c>
      <c r="M75" s="25">
        <f t="shared" si="35"/>
        <v>8</v>
      </c>
      <c r="N75" s="26">
        <f t="shared" si="45"/>
        <v>1</v>
      </c>
      <c r="O75" s="27">
        <f t="shared" si="3"/>
        <v>74</v>
      </c>
      <c r="P75" s="55"/>
      <c r="Q75" s="55"/>
      <c r="R75" s="55"/>
      <c r="S75" s="55"/>
      <c r="T75" s="55"/>
      <c r="U75" s="55"/>
      <c r="V75" s="30">
        <f t="shared" si="28"/>
        <v>100000000</v>
      </c>
      <c r="W75" s="31">
        <v>5000000.0</v>
      </c>
      <c r="X75" s="32"/>
      <c r="Y75" s="33"/>
      <c r="Z75" s="212">
        <v>2.75E8</v>
      </c>
      <c r="AA75" s="213" t="s">
        <v>82</v>
      </c>
      <c r="AB75" s="123"/>
      <c r="AC75" s="123"/>
      <c r="AD75" s="570"/>
      <c r="AE75" s="571"/>
      <c r="AF75" s="641"/>
      <c r="AG75" s="573"/>
      <c r="AH75" s="574"/>
      <c r="AI75" s="575"/>
      <c r="AJ75" s="642">
        <v>44635.0</v>
      </c>
      <c r="AK75" s="643">
        <v>1.0E8</v>
      </c>
      <c r="AL75" s="638"/>
      <c r="AM75" s="644"/>
      <c r="AN75" s="638"/>
      <c r="AO75" s="644"/>
      <c r="AP75" s="638"/>
      <c r="AQ75" s="644"/>
      <c r="AR75" s="638"/>
      <c r="AS75" s="645"/>
      <c r="AT75" s="579"/>
      <c r="AU75" s="580"/>
      <c r="AV75" s="579"/>
      <c r="AW75" s="38"/>
      <c r="AX75" s="198"/>
      <c r="AY75" s="38"/>
      <c r="AZ75" s="646">
        <v>43488.0</v>
      </c>
      <c r="BA75" s="580"/>
      <c r="BB75" s="646">
        <v>43350.0</v>
      </c>
      <c r="BC75" s="580"/>
      <c r="BD75" s="124"/>
      <c r="BE75" s="125"/>
      <c r="BF75" s="123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</row>
    <row r="76" ht="15.75" customHeight="1">
      <c r="A76" s="400" t="s">
        <v>477</v>
      </c>
      <c r="B76" s="115"/>
      <c r="C76" s="116" t="s">
        <v>190</v>
      </c>
      <c r="D76" s="192" t="s">
        <v>478</v>
      </c>
      <c r="E76" s="161" t="s">
        <v>479</v>
      </c>
      <c r="F76" s="402" t="s">
        <v>480</v>
      </c>
      <c r="G76" s="286"/>
      <c r="H76" s="119" t="s">
        <v>128</v>
      </c>
      <c r="I76" s="25" t="s">
        <v>156</v>
      </c>
      <c r="J76" s="287"/>
      <c r="K76" s="25">
        <v>1.0</v>
      </c>
      <c r="L76" s="25">
        <v>2017.0</v>
      </c>
      <c r="M76" s="25">
        <f t="shared" si="35"/>
        <v>8</v>
      </c>
      <c r="N76" s="26">
        <f t="shared" si="45"/>
        <v>4</v>
      </c>
      <c r="O76" s="27">
        <f t="shared" si="3"/>
        <v>75</v>
      </c>
      <c r="P76" s="28">
        <f t="shared" ref="P76:P92" si="58">RANK(T76,$T$2:$T$333)</f>
        <v>85</v>
      </c>
      <c r="Q76" s="28">
        <f t="shared" ref="Q76:Q92" si="59">rank(V76,$V$2:$V$344)</f>
        <v>146</v>
      </c>
      <c r="R76" s="28"/>
      <c r="S76" s="28">
        <f>rank(Y76,$Y$8:$Y$80)</f>
        <v>23</v>
      </c>
      <c r="T76" s="29">
        <f t="shared" ref="T76:T81" si="60">V76/M76</f>
        <v>12550000</v>
      </c>
      <c r="U76" s="28"/>
      <c r="V76" s="30">
        <f t="shared" si="28"/>
        <v>100400000</v>
      </c>
      <c r="W76" s="30"/>
      <c r="X76" s="32">
        <f t="shared" ref="X76:X81" si="61">(max(AE76,AG76,AI76,AK76,AM76,AO76,AQ76,AS76,AU76,AW76,AY76,BA76,BC76)/min(AE76,AG76,AI76,AK76,AM76,AO76,AQ76,AS76,AU76,AW76,AY76,BA76,BC76))^(1/N76)-1</f>
        <v>1.259986545</v>
      </c>
      <c r="Y76" s="33">
        <f t="shared" ref="Y76:Y81" si="62">(max(AE76,AG76,AI76,AK76,AM76,AO76,AQ76,AS76,AU76,AW76,AY76,BA76,BC76)/min(AE76,AG76,AI76,AK76,AM76,AO76,AQ76,AS76,AU76,AW76,AY76,BA76,BC76))^(1/M76)-1</f>
        <v>0.5033251628</v>
      </c>
      <c r="Z76" s="429">
        <v>2.5E8</v>
      </c>
      <c r="AA76" s="430" t="s">
        <v>94</v>
      </c>
      <c r="AB76" s="123"/>
      <c r="AC76" s="123"/>
      <c r="AD76" s="133"/>
      <c r="AE76" s="392"/>
      <c r="AF76" s="647" t="str">
        <f>HYPERLINK("https://www.crunchbase.com/funding_round/the-life-house-group-seed--a484567f","Sep 30, 2017")</f>
        <v>Sep 30, 2017</v>
      </c>
      <c r="AG76" s="130">
        <v>2300000.0</v>
      </c>
      <c r="AH76" s="648"/>
      <c r="AI76" s="395"/>
      <c r="AJ76" s="132" t="str">
        <f>HYPERLINK("https://www.crunchbase.com/funding_round/the-life-house-group-series-a--8402a9e1","Mar 2, 2018")</f>
        <v>Mar 2, 2018</v>
      </c>
      <c r="AK76" s="130">
        <v>8100000.0</v>
      </c>
      <c r="AL76" s="132" t="str">
        <f>HYPERLINK("https://www.crunchbase.com/funding_round/the-life-house-group-series-b--b7fd1239","Jan 24, 2020")</f>
        <v>Jan 24, 2020</v>
      </c>
      <c r="AM76" s="130">
        <v>3.0E7</v>
      </c>
      <c r="AN76" s="132" t="str">
        <f>HYPERLINK("https://www.crunchbase.com/funding_round/the-life-house-group-series-c--c1c64db0","Dec 2, 2021")</f>
        <v>Dec 2, 2021</v>
      </c>
      <c r="AO76" s="130">
        <v>6.0E7</v>
      </c>
      <c r="AP76" s="133"/>
      <c r="AQ76" s="392"/>
      <c r="AR76" s="133"/>
      <c r="AS76" s="133"/>
      <c r="AT76" s="133"/>
      <c r="AU76" s="134"/>
      <c r="AV76" s="133"/>
      <c r="AW76" s="38"/>
      <c r="AX76" s="133"/>
      <c r="AY76" s="38"/>
      <c r="AZ76" s="133"/>
      <c r="BA76" s="134"/>
      <c r="BB76" s="133"/>
      <c r="BC76" s="105"/>
      <c r="BD76" s="133"/>
      <c r="BE76" s="125"/>
      <c r="BF76" s="123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</row>
    <row r="77" ht="15.75" customHeight="1">
      <c r="A77" s="442" t="s">
        <v>481</v>
      </c>
      <c r="B77" s="68" t="s">
        <v>266</v>
      </c>
      <c r="C77" s="69" t="s">
        <v>132</v>
      </c>
      <c r="D77" s="200" t="s">
        <v>482</v>
      </c>
      <c r="E77" s="231" t="s">
        <v>483</v>
      </c>
      <c r="F77" s="154" t="s">
        <v>484</v>
      </c>
      <c r="G77" s="71" t="s">
        <v>485</v>
      </c>
      <c r="H77" s="71" t="s">
        <v>114</v>
      </c>
      <c r="I77" s="74" t="s">
        <v>115</v>
      </c>
      <c r="J77" s="72" t="s">
        <v>486</v>
      </c>
      <c r="K77" s="26">
        <v>2.0</v>
      </c>
      <c r="L77" s="26">
        <v>2016.0</v>
      </c>
      <c r="M77" s="25">
        <f t="shared" si="35"/>
        <v>9</v>
      </c>
      <c r="N77" s="26">
        <f t="shared" si="45"/>
        <v>7</v>
      </c>
      <c r="O77" s="27">
        <f t="shared" si="3"/>
        <v>75</v>
      </c>
      <c r="P77" s="28">
        <f t="shared" si="58"/>
        <v>74</v>
      </c>
      <c r="Q77" s="28">
        <f t="shared" si="59"/>
        <v>107</v>
      </c>
      <c r="R77" s="28"/>
      <c r="S77" s="28"/>
      <c r="T77" s="29">
        <f t="shared" si="60"/>
        <v>14802222.22</v>
      </c>
      <c r="U77" s="28"/>
      <c r="V77" s="30">
        <f t="shared" si="28"/>
        <v>133220000</v>
      </c>
      <c r="W77" s="31">
        <v>4.0E7</v>
      </c>
      <c r="X77" s="32">
        <f t="shared" si="61"/>
        <v>0.9793907234</v>
      </c>
      <c r="Y77" s="33">
        <f t="shared" si="62"/>
        <v>0.7007310275</v>
      </c>
      <c r="Z77" s="474">
        <v>2.5E8</v>
      </c>
      <c r="AA77" s="475" t="s">
        <v>82</v>
      </c>
      <c r="AB77" s="74"/>
      <c r="AC77" s="74"/>
      <c r="AD77" s="147">
        <v>43146.0</v>
      </c>
      <c r="AE77" s="420">
        <v>420000.0</v>
      </c>
      <c r="AF77" s="649" t="str">
        <f>HYPERLINK("https://www.crunchbase.com/funding_round/fetch-package-seed--a70917ec"," Aug 1, 2018        
")</f>
        <v> Aug 1, 2018        
</v>
      </c>
      <c r="AG77" s="420">
        <v>3100000.0</v>
      </c>
      <c r="AH77" s="410"/>
      <c r="AI77" s="411"/>
      <c r="AJ77" s="280" t="str">
        <f>HYPERLINK("https://www.crunchbase.com/funding_round/fetch-package-series-a--8181301d"," Sep 26, 2019        
")</f>
        <v> Sep 26, 2019        
</v>
      </c>
      <c r="AK77" s="281">
        <v>1.05E7</v>
      </c>
      <c r="AL77" s="650">
        <v>44061.0</v>
      </c>
      <c r="AM77" s="420">
        <v>1.8E7</v>
      </c>
      <c r="AN77" s="280" t="str">
        <f>HYPERLINK("https://www.crunchbase.com/funding_round/fetch-package-series-c--7fe82827","Jul 21, 2021")</f>
        <v>Jul 21, 2021</v>
      </c>
      <c r="AO77" s="420">
        <v>5.0E7</v>
      </c>
      <c r="AP77" s="282"/>
      <c r="AQ77" s="263"/>
      <c r="AR77" s="282"/>
      <c r="AS77" s="282"/>
      <c r="AT77" s="282"/>
      <c r="AU77" s="283"/>
      <c r="AV77" s="282"/>
      <c r="AW77" s="38"/>
      <c r="AX77" s="282"/>
      <c r="AY77" s="38"/>
      <c r="AZ77" s="284">
        <v>44879.0</v>
      </c>
      <c r="BA77" s="281">
        <f>7500000+29000000+4700000</f>
        <v>41200000</v>
      </c>
      <c r="BB77" s="209">
        <v>44398.0</v>
      </c>
      <c r="BC77" s="651">
        <v>1.0E7</v>
      </c>
      <c r="BD77" s="473"/>
      <c r="BE77" s="46"/>
      <c r="BF77" s="3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</row>
    <row r="78" ht="15.75" customHeight="1">
      <c r="A78" s="442" t="s">
        <v>487</v>
      </c>
      <c r="B78" s="16" t="s">
        <v>275</v>
      </c>
      <c r="C78" s="16" t="s">
        <v>59</v>
      </c>
      <c r="D78" s="231" t="s">
        <v>488</v>
      </c>
      <c r="E78" s="337" t="s">
        <v>489</v>
      </c>
      <c r="F78" s="652" t="s">
        <v>490</v>
      </c>
      <c r="G78" s="71" t="s">
        <v>491</v>
      </c>
      <c r="H78" s="71" t="s">
        <v>128</v>
      </c>
      <c r="I78" s="26" t="s">
        <v>129</v>
      </c>
      <c r="J78" s="72" t="s">
        <v>130</v>
      </c>
      <c r="K78" s="36">
        <v>2.0</v>
      </c>
      <c r="L78" s="23">
        <v>2016.0</v>
      </c>
      <c r="M78" s="25">
        <f t="shared" si="35"/>
        <v>9</v>
      </c>
      <c r="N78" s="26">
        <f t="shared" si="45"/>
        <v>3</v>
      </c>
      <c r="O78" s="27">
        <f t="shared" si="3"/>
        <v>75</v>
      </c>
      <c r="P78" s="28">
        <f t="shared" si="58"/>
        <v>122</v>
      </c>
      <c r="Q78" s="28">
        <f t="shared" si="59"/>
        <v>180</v>
      </c>
      <c r="R78" s="28"/>
      <c r="S78" s="28"/>
      <c r="T78" s="29">
        <f t="shared" si="60"/>
        <v>8333333.333</v>
      </c>
      <c r="U78" s="28"/>
      <c r="V78" s="30">
        <f t="shared" si="28"/>
        <v>75000000</v>
      </c>
      <c r="W78" s="31">
        <v>7600000.0</v>
      </c>
      <c r="X78" s="32">
        <f t="shared" si="61"/>
        <v>0.7710976153</v>
      </c>
      <c r="Y78" s="33">
        <f t="shared" si="62"/>
        <v>0.2098944915</v>
      </c>
      <c r="Z78" s="569">
        <v>2.5E8</v>
      </c>
      <c r="AA78" s="409" t="s">
        <v>158</v>
      </c>
      <c r="AB78" s="36"/>
      <c r="AC78" s="36"/>
      <c r="AD78" s="465"/>
      <c r="AE78" s="466"/>
      <c r="AF78" s="530" t="str">
        <f>HYPERLINK("https://www.crunchbase.com/organization/cherre#section-funding-rounds","Oct 1, 2018")</f>
        <v>Oct 1, 2018</v>
      </c>
      <c r="AG78" s="466">
        <v>9000000.0</v>
      </c>
      <c r="AH78" s="568"/>
      <c r="AI78" s="469"/>
      <c r="AJ78" s="470" t="str">
        <f>HYPERLINK("https://www.crunchbase.com/funding_round/cherre-series-a--8f4ab398"," Feb 5, 2020        
")
</f>
        <v> Feb 5, 2020        
</v>
      </c>
      <c r="AK78" s="468">
        <v>1.6E7</v>
      </c>
      <c r="AL78" s="470" t="str">
        <f>HYPERLINK("https://www.crunchbase.com/funding_round/cherre-series-b--3f88561d","Apr 22, 2021")</f>
        <v>Apr 22, 2021</v>
      </c>
      <c r="AM78" s="468">
        <v>5.0E7</v>
      </c>
      <c r="AN78" s="471"/>
      <c r="AO78" s="466"/>
      <c r="AP78" s="471"/>
      <c r="AQ78" s="466"/>
      <c r="AR78" s="471"/>
      <c r="AS78" s="471"/>
      <c r="AT78" s="471"/>
      <c r="AU78" s="472"/>
      <c r="AV78" s="471"/>
      <c r="AW78" s="38"/>
      <c r="AX78" s="471"/>
      <c r="AY78" s="38"/>
      <c r="AZ78" s="473"/>
      <c r="BA78" s="472"/>
      <c r="BB78" s="473"/>
      <c r="BC78" s="472"/>
      <c r="BD78" s="473"/>
      <c r="BE78" s="46"/>
      <c r="BF78" s="3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</row>
    <row r="79" ht="15.75" customHeight="1">
      <c r="A79" s="442" t="s">
        <v>492</v>
      </c>
      <c r="B79" s="16" t="s">
        <v>493</v>
      </c>
      <c r="C79" s="17" t="s">
        <v>123</v>
      </c>
      <c r="D79" s="184" t="s">
        <v>494</v>
      </c>
      <c r="E79" s="184" t="s">
        <v>495</v>
      </c>
      <c r="F79" s="185" t="s">
        <v>496</v>
      </c>
      <c r="G79" s="317" t="s">
        <v>497</v>
      </c>
      <c r="H79" s="317" t="s">
        <v>128</v>
      </c>
      <c r="I79" s="36" t="s">
        <v>128</v>
      </c>
      <c r="J79" s="237" t="s">
        <v>498</v>
      </c>
      <c r="K79" s="36">
        <v>2.0</v>
      </c>
      <c r="L79" s="23">
        <v>2011.0</v>
      </c>
      <c r="M79" s="25">
        <f t="shared" si="35"/>
        <v>14</v>
      </c>
      <c r="N79" s="26">
        <f t="shared" si="45"/>
        <v>6</v>
      </c>
      <c r="O79" s="27">
        <f t="shared" si="3"/>
        <v>78</v>
      </c>
      <c r="P79" s="28">
        <f t="shared" si="58"/>
        <v>160</v>
      </c>
      <c r="Q79" s="28">
        <f t="shared" si="59"/>
        <v>169</v>
      </c>
      <c r="R79" s="28"/>
      <c r="S79" s="28"/>
      <c r="T79" s="29">
        <f t="shared" si="60"/>
        <v>5783571.429</v>
      </c>
      <c r="U79" s="28"/>
      <c r="V79" s="30">
        <f t="shared" si="28"/>
        <v>80970000</v>
      </c>
      <c r="W79" s="31">
        <v>2.0E7</v>
      </c>
      <c r="X79" s="32">
        <f t="shared" si="61"/>
        <v>1.107896057</v>
      </c>
      <c r="Y79" s="33">
        <f t="shared" si="62"/>
        <v>0.3765516478</v>
      </c>
      <c r="Z79" s="653">
        <v>2.0E8</v>
      </c>
      <c r="AA79" s="654" t="s">
        <v>158</v>
      </c>
      <c r="AB79" s="36" t="s">
        <v>499</v>
      </c>
      <c r="AC79" s="36"/>
      <c r="AD79" s="465"/>
      <c r="AE79" s="466"/>
      <c r="AF79" s="530" t="str">
        <f>HYPERLINK("https://www.crunchbase.com/organization/compstak#section-funding-rounds"," Dec 31, 2012")</f>
        <v> Dec 31, 2012</v>
      </c>
      <c r="AG79" s="655">
        <v>570000.0</v>
      </c>
      <c r="AH79" s="568"/>
      <c r="AI79" s="469"/>
      <c r="AJ79" s="525">
        <v>41960.0</v>
      </c>
      <c r="AK79" s="468">
        <v>8900000.0</v>
      </c>
      <c r="AL79" s="470" t="str">
        <f>HYPERLINK("https://www.crunchbase.com/organization/compstak#section-funding-rounds"," Jul 25, 2019        
")</f>
        <v> Jul 25, 2019        
</v>
      </c>
      <c r="AM79" s="468">
        <v>1.4E7</v>
      </c>
      <c r="AN79" s="470" t="str">
        <f>HYPERLINK("https://www.crunchbase.com/funding_round/compstak-series-c--d8bc36cc","Nov 11, 2021")</f>
        <v>Nov 11, 2021</v>
      </c>
      <c r="AO79" s="468">
        <v>5.0E7</v>
      </c>
      <c r="AP79" s="471"/>
      <c r="AQ79" s="466"/>
      <c r="AR79" s="471"/>
      <c r="AS79" s="471"/>
      <c r="AT79" s="471"/>
      <c r="AU79" s="472"/>
      <c r="AV79" s="471"/>
      <c r="AW79" s="38"/>
      <c r="AX79" s="471"/>
      <c r="AY79" s="38"/>
      <c r="AZ79" s="656">
        <v>42522.0</v>
      </c>
      <c r="BA79" s="415">
        <v>4500000.0</v>
      </c>
      <c r="BB79" s="657">
        <v>42088.0</v>
      </c>
      <c r="BC79" s="415">
        <v>3000000.0</v>
      </c>
      <c r="BD79" s="473"/>
      <c r="BE79" s="46"/>
      <c r="BF79" s="36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</row>
    <row r="80" ht="15.75" customHeight="1">
      <c r="A80" s="442" t="s">
        <v>500</v>
      </c>
      <c r="B80" s="68" t="s">
        <v>501</v>
      </c>
      <c r="C80" s="69" t="s">
        <v>123</v>
      </c>
      <c r="D80" s="184" t="s">
        <v>502</v>
      </c>
      <c r="E80" s="184" t="s">
        <v>503</v>
      </c>
      <c r="F80" s="185" t="s">
        <v>504</v>
      </c>
      <c r="G80" s="186" t="s">
        <v>505</v>
      </c>
      <c r="H80" s="186" t="s">
        <v>64</v>
      </c>
      <c r="I80" s="74" t="s">
        <v>65</v>
      </c>
      <c r="J80" s="155" t="s">
        <v>142</v>
      </c>
      <c r="K80" s="74">
        <v>3.0</v>
      </c>
      <c r="L80" s="26">
        <v>2014.0</v>
      </c>
      <c r="M80" s="25">
        <f t="shared" si="35"/>
        <v>11</v>
      </c>
      <c r="N80" s="26">
        <f t="shared" si="45"/>
        <v>4</v>
      </c>
      <c r="O80" s="27">
        <f t="shared" si="3"/>
        <v>79</v>
      </c>
      <c r="P80" s="28">
        <f t="shared" si="58"/>
        <v>153</v>
      </c>
      <c r="Q80" s="28">
        <f t="shared" si="59"/>
        <v>197</v>
      </c>
      <c r="R80" s="28"/>
      <c r="S80" s="28"/>
      <c r="T80" s="29">
        <f t="shared" si="60"/>
        <v>6100000</v>
      </c>
      <c r="U80" s="28"/>
      <c r="V80" s="30">
        <f t="shared" si="28"/>
        <v>67100000</v>
      </c>
      <c r="W80" s="31">
        <v>3400000.0</v>
      </c>
      <c r="X80" s="32">
        <f t="shared" si="61"/>
        <v>0.6294260498</v>
      </c>
      <c r="Y80" s="33">
        <f t="shared" si="62"/>
        <v>0.1942727168</v>
      </c>
      <c r="Z80" s="569">
        <v>1.6E8</v>
      </c>
      <c r="AA80" s="409" t="s">
        <v>158</v>
      </c>
      <c r="AB80" s="74"/>
      <c r="AC80" s="74"/>
      <c r="AD80" s="465"/>
      <c r="AE80" s="466"/>
      <c r="AF80" s="658">
        <v>42216.0</v>
      </c>
      <c r="AG80" s="468">
        <f>2100000+4000000</f>
        <v>6100000</v>
      </c>
      <c r="AH80" s="568"/>
      <c r="AI80" s="469"/>
      <c r="AJ80" s="524" t="str">
        <f>HYPERLINK("https://www.crunchbase.com/funding_round/dealpath-series-a--383e331c"," 10/5/2016")</f>
        <v> 10/5/2016</v>
      </c>
      <c r="AK80" s="468">
        <v>8000000.0</v>
      </c>
      <c r="AL80" s="471"/>
      <c r="AM80" s="466"/>
      <c r="AN80" s="525">
        <v>44812.0</v>
      </c>
      <c r="AO80" s="468">
        <v>4.3E7</v>
      </c>
      <c r="AP80" s="471"/>
      <c r="AQ80" s="466"/>
      <c r="AR80" s="471"/>
      <c r="AS80" s="471"/>
      <c r="AT80" s="471"/>
      <c r="AU80" s="472"/>
      <c r="AV80" s="471"/>
      <c r="AW80" s="38"/>
      <c r="AX80" s="471"/>
      <c r="AY80" s="38"/>
      <c r="AZ80" s="471"/>
      <c r="BA80" s="472"/>
      <c r="BB80" s="507">
        <v>43354.0</v>
      </c>
      <c r="BC80" s="630">
        <v>1.0E7</v>
      </c>
      <c r="BD80" s="473"/>
      <c r="BE80" s="46"/>
      <c r="BF80" s="36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</row>
    <row r="81" ht="15.75" customHeight="1">
      <c r="A81" s="48" t="s">
        <v>506</v>
      </c>
      <c r="B81" s="69"/>
      <c r="C81" s="69" t="s">
        <v>507</v>
      </c>
      <c r="D81" s="192" t="s">
        <v>508</v>
      </c>
      <c r="E81" s="388" t="s">
        <v>509</v>
      </c>
      <c r="F81" s="659" t="s">
        <v>510</v>
      </c>
      <c r="G81" s="71" t="s">
        <v>511</v>
      </c>
      <c r="H81" s="71" t="s">
        <v>64</v>
      </c>
      <c r="I81" s="26" t="s">
        <v>65</v>
      </c>
      <c r="J81" s="72"/>
      <c r="K81" s="26"/>
      <c r="L81" s="26">
        <v>2011.0</v>
      </c>
      <c r="M81" s="25">
        <f t="shared" si="35"/>
        <v>14</v>
      </c>
      <c r="N81" s="26">
        <f t="shared" si="45"/>
        <v>6</v>
      </c>
      <c r="O81" s="27">
        <f t="shared" si="3"/>
        <v>80</v>
      </c>
      <c r="P81" s="28">
        <f t="shared" si="58"/>
        <v>95</v>
      </c>
      <c r="Q81" s="28">
        <f t="shared" si="59"/>
        <v>95</v>
      </c>
      <c r="R81" s="28"/>
      <c r="S81" s="28" t="str">
        <f>rank(Y81,$Y$8:$Y$80)</f>
        <v>#N/A</v>
      </c>
      <c r="T81" s="29">
        <f t="shared" si="60"/>
        <v>10828571.43</v>
      </c>
      <c r="U81" s="28"/>
      <c r="V81" s="30">
        <f t="shared" si="28"/>
        <v>151600000</v>
      </c>
      <c r="W81" s="30"/>
      <c r="X81" s="32">
        <f t="shared" si="61"/>
        <v>0.4863876409</v>
      </c>
      <c r="Y81" s="33">
        <f t="shared" si="62"/>
        <v>0.1851433769</v>
      </c>
      <c r="Z81" s="429">
        <v>1.0E8</v>
      </c>
      <c r="AA81" s="536">
        <v>2021.0</v>
      </c>
      <c r="AB81" s="74"/>
      <c r="AC81" s="74"/>
      <c r="AD81" s="660">
        <v>42152.0</v>
      </c>
      <c r="AE81" s="485"/>
      <c r="AF81" s="661">
        <v>42545.0</v>
      </c>
      <c r="AG81" s="415">
        <v>5100000.0</v>
      </c>
      <c r="AH81" s="606"/>
      <c r="AI81" s="481"/>
      <c r="AJ81" s="662">
        <v>43098.0</v>
      </c>
      <c r="AK81" s="415">
        <v>1.15E7</v>
      </c>
      <c r="AL81" s="561">
        <v>43808.0</v>
      </c>
      <c r="AM81" s="663">
        <v>5.5E7</v>
      </c>
      <c r="AN81" s="490" t="str">
        <f>HYPERLINK("https://www.crunchbase.com/funding_round/zeus-living-series-c--94e09f42","Oct 14, 2021")</f>
        <v>Oct 14, 2021</v>
      </c>
      <c r="AO81" s="415">
        <v>5.5E7</v>
      </c>
      <c r="AP81" s="484"/>
      <c r="AQ81" s="485"/>
      <c r="AR81" s="484"/>
      <c r="AS81" s="484"/>
      <c r="AT81" s="484"/>
      <c r="AU81" s="486"/>
      <c r="AV81" s="484"/>
      <c r="AW81" s="38"/>
      <c r="AX81" s="550"/>
      <c r="AY81" s="38"/>
      <c r="AZ81" s="664">
        <v>43962.0</v>
      </c>
      <c r="BA81" s="415">
        <v>1.5E7</v>
      </c>
      <c r="BB81" s="539">
        <v>43539.0</v>
      </c>
      <c r="BC81" s="415">
        <v>1.0E7</v>
      </c>
      <c r="BD81" s="81"/>
      <c r="BE81" s="84"/>
      <c r="BF81" s="74"/>
      <c r="BG81" s="115"/>
      <c r="BH81" s="115"/>
      <c r="BI81" s="115"/>
      <c r="BJ81" s="115"/>
      <c r="BK81" s="115"/>
      <c r="BL81" s="115"/>
      <c r="BM81" s="115"/>
      <c r="BN81" s="115"/>
      <c r="BO81" s="115"/>
      <c r="BP81" s="115"/>
      <c r="BQ81" s="115"/>
      <c r="BR81" s="115"/>
      <c r="BS81" s="115"/>
      <c r="BT81" s="115"/>
      <c r="BU81" s="115"/>
      <c r="BV81" s="115"/>
      <c r="BW81" s="115"/>
      <c r="BX81" s="115"/>
      <c r="BY81" s="115"/>
      <c r="BZ81" s="115"/>
      <c r="CA81" s="115"/>
      <c r="CB81" s="115"/>
      <c r="CC81" s="115"/>
      <c r="CD81" s="115"/>
      <c r="CE81" s="115"/>
      <c r="CF81" s="115"/>
      <c r="CG81" s="115"/>
      <c r="CH81" s="115"/>
      <c r="CI81" s="115"/>
      <c r="CJ81" s="115"/>
      <c r="CK81" s="115"/>
      <c r="CL81" s="115"/>
      <c r="CM81" s="115"/>
      <c r="CN81" s="115"/>
      <c r="CO81" s="115"/>
      <c r="CP81" s="115"/>
    </row>
    <row r="82" ht="15.75" customHeight="1">
      <c r="A82" s="400" t="s">
        <v>512</v>
      </c>
      <c r="B82" s="115"/>
      <c r="C82" s="116" t="s">
        <v>513</v>
      </c>
      <c r="D82" s="401" t="s">
        <v>514</v>
      </c>
      <c r="E82" s="401" t="s">
        <v>515</v>
      </c>
      <c r="F82" s="402" t="s">
        <v>516</v>
      </c>
      <c r="G82" s="119" t="s">
        <v>517</v>
      </c>
      <c r="H82" s="119" t="s">
        <v>357</v>
      </c>
      <c r="I82" s="25" t="s">
        <v>518</v>
      </c>
      <c r="J82" s="120" t="s">
        <v>519</v>
      </c>
      <c r="K82" s="25">
        <v>3.0</v>
      </c>
      <c r="L82" s="25">
        <v>2013.0</v>
      </c>
      <c r="M82" s="25">
        <f t="shared" si="35"/>
        <v>12</v>
      </c>
      <c r="N82" s="26">
        <f t="shared" si="45"/>
        <v>7</v>
      </c>
      <c r="O82" s="27">
        <f t="shared" si="3"/>
        <v>80</v>
      </c>
      <c r="P82" s="28" t="str">
        <f t="shared" si="58"/>
        <v>#N/A</v>
      </c>
      <c r="Q82" s="28">
        <f t="shared" si="59"/>
        <v>113</v>
      </c>
      <c r="R82" s="55"/>
      <c r="S82" s="55"/>
      <c r="T82" s="55"/>
      <c r="U82" s="55"/>
      <c r="V82" s="30">
        <f t="shared" si="28"/>
        <v>130290000</v>
      </c>
      <c r="W82" s="31">
        <v>5.4E7</v>
      </c>
      <c r="X82" s="403"/>
      <c r="Y82" s="403"/>
      <c r="Z82" s="59">
        <v>1.0E8</v>
      </c>
      <c r="AA82" s="665"/>
      <c r="AB82" s="123"/>
      <c r="AC82" s="123"/>
      <c r="AD82" s="452"/>
      <c r="AE82" s="125"/>
      <c r="AF82" s="404">
        <v>42125.0</v>
      </c>
      <c r="AG82" s="127">
        <v>1500000.0</v>
      </c>
      <c r="AH82" s="123"/>
      <c r="AI82" s="128"/>
      <c r="AJ82" s="404">
        <v>42341.0</v>
      </c>
      <c r="AK82" s="127">
        <v>6500000.0</v>
      </c>
      <c r="AL82" s="404">
        <v>42929.0</v>
      </c>
      <c r="AM82" s="127">
        <v>1.65E7</v>
      </c>
      <c r="AN82" s="404">
        <v>43488.0</v>
      </c>
      <c r="AO82" s="127">
        <v>3.55E7</v>
      </c>
      <c r="AP82" s="404">
        <v>44782.0</v>
      </c>
      <c r="AQ82" s="127">
        <v>7.0E7</v>
      </c>
      <c r="AR82" s="123"/>
      <c r="AS82" s="123"/>
      <c r="AT82" s="123"/>
      <c r="AU82" s="137"/>
      <c r="AV82" s="123"/>
      <c r="AW82" s="38"/>
      <c r="AX82" s="123"/>
      <c r="AY82" s="38"/>
      <c r="AZ82" s="404">
        <v>41666.0</v>
      </c>
      <c r="BA82" s="170">
        <v>100000.0</v>
      </c>
      <c r="BB82" s="404">
        <v>42074.0</v>
      </c>
      <c r="BC82" s="170">
        <v>190000.0</v>
      </c>
      <c r="BD82" s="123"/>
      <c r="BE82" s="125"/>
      <c r="BF82" s="123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</row>
    <row r="83" ht="15.75" customHeight="1">
      <c r="A83" s="666" t="s">
        <v>520</v>
      </c>
      <c r="B83" s="115" t="s">
        <v>521</v>
      </c>
      <c r="C83" s="116" t="s">
        <v>123</v>
      </c>
      <c r="D83" s="667" t="s">
        <v>522</v>
      </c>
      <c r="E83" s="667" t="s">
        <v>523</v>
      </c>
      <c r="F83" s="668" t="s">
        <v>524</v>
      </c>
      <c r="G83" s="286" t="s">
        <v>525</v>
      </c>
      <c r="H83" s="286" t="s">
        <v>526</v>
      </c>
      <c r="I83" s="26" t="s">
        <v>65</v>
      </c>
      <c r="J83" s="287">
        <v>94306.0</v>
      </c>
      <c r="K83" s="123">
        <v>1.0</v>
      </c>
      <c r="L83" s="25">
        <v>2013.0</v>
      </c>
      <c r="M83" s="25">
        <f t="shared" si="35"/>
        <v>12</v>
      </c>
      <c r="N83" s="26">
        <f t="shared" si="45"/>
        <v>4</v>
      </c>
      <c r="O83" s="27">
        <f t="shared" si="3"/>
        <v>80</v>
      </c>
      <c r="P83" s="28">
        <f t="shared" si="58"/>
        <v>98</v>
      </c>
      <c r="Q83" s="28">
        <f t="shared" si="59"/>
        <v>115</v>
      </c>
      <c r="R83" s="28"/>
      <c r="S83" s="28" t="str">
        <f t="shared" ref="S83:S84" si="63">rank(Y83,$Y$8:$Y$80)</f>
        <v>#N/A</v>
      </c>
      <c r="T83" s="29">
        <f t="shared" ref="T83:T90" si="64">V83/M83</f>
        <v>10725000</v>
      </c>
      <c r="U83" s="28"/>
      <c r="V83" s="30">
        <f t="shared" si="28"/>
        <v>128700000</v>
      </c>
      <c r="W83" s="30"/>
      <c r="X83" s="32">
        <f t="shared" ref="X83:X90" si="65">(max(AE83,AG83,AI83,AK83,AM83,AO83,AQ83,AS83,AU83,AW83,AY83,BA83,BC83)/min(AE83,AG83,AI83,AK83,AM83,AO83,AQ83,AS83,AU83,AW83,AY83,BA83,BC83))^(1/N83)-1</f>
        <v>0.5483270027</v>
      </c>
      <c r="Y83" s="33">
        <f t="shared" ref="Y83:Y88" si="66">(max(AE83,AG83,AI83,AK83,AM83,AO83,AQ83,AS83,AU83,AW83,AY83,BA83,BC83)/min(AE83,AG83,AI83,AK83,AM83,AO83,AQ83,AS83,AU83,AW83,AY83,BA83,BC83))^(1/M83)-1</f>
        <v>0.1568780009</v>
      </c>
      <c r="Z83" s="429">
        <v>1.0E8</v>
      </c>
      <c r="AA83" s="536">
        <v>2019.0</v>
      </c>
      <c r="AB83" s="123"/>
      <c r="AC83" s="123"/>
      <c r="AD83" s="133"/>
      <c r="AE83" s="669"/>
      <c r="AF83" s="670"/>
      <c r="AG83" s="669"/>
      <c r="AH83" s="671"/>
      <c r="AI83" s="672"/>
      <c r="AJ83" s="397" t="str">
        <f>HYPERLINK("https://www.crunchbase.com/organization/orbital-insight-inc#section-funding-rounds"," Mar 16, 2015")</f>
        <v> Mar 16, 2015</v>
      </c>
      <c r="AK83" s="673">
        <v>8700000.0</v>
      </c>
      <c r="AL83" s="397" t="str">
        <f>HYPERLINK("https://www.crunchbase.com/funding_round/orbital-insight-inc-series-b--1a4c2b2c","Jun 27, 2016")</f>
        <v>Jun 27, 2016</v>
      </c>
      <c r="AM83" s="673">
        <v>2.0E7</v>
      </c>
      <c r="AN83" s="397" t="str">
        <f>HYPERLINK("https://www.crunchbase.com/funding_round/orbital-insight-inc-series-c--8a2a2c55","May 2, 2017")</f>
        <v>May 2, 2017</v>
      </c>
      <c r="AO83" s="673">
        <v>5.0E7</v>
      </c>
      <c r="AP83" s="397" t="str">
        <f>HYPERLINK("https://www.crunchbase.com/funding_round/orbital-insight-inc-series-d--ea77af7b","Nov 12, 2019")</f>
        <v>Nov 12, 2019</v>
      </c>
      <c r="AQ83" s="673">
        <v>5.0E7</v>
      </c>
      <c r="AR83" s="333">
        <v>44307.0</v>
      </c>
      <c r="AS83" s="398"/>
      <c r="AT83" s="398"/>
      <c r="AU83" s="399"/>
      <c r="AV83" s="398"/>
      <c r="AW83" s="38"/>
      <c r="AX83" s="398"/>
      <c r="AY83" s="38"/>
      <c r="AZ83" s="460"/>
      <c r="BA83" s="263"/>
      <c r="BB83" s="398"/>
      <c r="BC83" s="263"/>
      <c r="BD83" s="124"/>
      <c r="BE83" s="125"/>
      <c r="BF83" s="123"/>
      <c r="BG83" s="115"/>
      <c r="BH83" s="115"/>
      <c r="BI83" s="115"/>
      <c r="BJ83" s="115"/>
      <c r="BK83" s="115"/>
      <c r="BL83" s="115"/>
      <c r="BM83" s="115"/>
      <c r="BN83" s="115"/>
      <c r="BO83" s="115"/>
      <c r="BP83" s="115"/>
      <c r="BQ83" s="115"/>
      <c r="BR83" s="115"/>
      <c r="BS83" s="115"/>
      <c r="BT83" s="115"/>
      <c r="BU83" s="115"/>
      <c r="BV83" s="115"/>
      <c r="BW83" s="115"/>
      <c r="BX83" s="115"/>
      <c r="BY83" s="115"/>
      <c r="BZ83" s="115"/>
      <c r="CA83" s="115"/>
      <c r="CB83" s="115"/>
      <c r="CC83" s="115"/>
      <c r="CD83" s="115"/>
      <c r="CE83" s="115"/>
      <c r="CF83" s="115"/>
      <c r="CG83" s="115"/>
      <c r="CH83" s="115"/>
      <c r="CI83" s="115"/>
      <c r="CJ83" s="115"/>
      <c r="CK83" s="115"/>
      <c r="CL83" s="115"/>
      <c r="CM83" s="115"/>
      <c r="CN83" s="115"/>
      <c r="CO83" s="115"/>
      <c r="CP83" s="115"/>
    </row>
    <row r="84" ht="15.75" customHeight="1">
      <c r="A84" s="442" t="s">
        <v>527</v>
      </c>
      <c r="B84" s="68" t="s">
        <v>528</v>
      </c>
      <c r="C84" s="69" t="s">
        <v>84</v>
      </c>
      <c r="D84" s="184" t="s">
        <v>529</v>
      </c>
      <c r="E84" s="184" t="s">
        <v>530</v>
      </c>
      <c r="F84" s="185" t="s">
        <v>531</v>
      </c>
      <c r="G84" s="54" t="s">
        <v>532</v>
      </c>
      <c r="H84" s="186" t="s">
        <v>533</v>
      </c>
      <c r="I84" s="74" t="s">
        <v>65</v>
      </c>
      <c r="J84" s="178" t="s">
        <v>534</v>
      </c>
      <c r="K84" s="26">
        <v>3.0</v>
      </c>
      <c r="L84" s="26">
        <v>2013.0</v>
      </c>
      <c r="M84" s="25">
        <f t="shared" si="35"/>
        <v>12</v>
      </c>
      <c r="N84" s="26">
        <f t="shared" si="45"/>
        <v>5</v>
      </c>
      <c r="O84" s="27">
        <f t="shared" si="3"/>
        <v>80</v>
      </c>
      <c r="P84" s="28">
        <f t="shared" si="58"/>
        <v>102</v>
      </c>
      <c r="Q84" s="28">
        <f t="shared" si="59"/>
        <v>119</v>
      </c>
      <c r="R84" s="28"/>
      <c r="S84" s="28" t="str">
        <f t="shared" si="63"/>
        <v>#N/A</v>
      </c>
      <c r="T84" s="29">
        <f t="shared" si="64"/>
        <v>10158333.33</v>
      </c>
      <c r="U84" s="28"/>
      <c r="V84" s="30">
        <f t="shared" si="28"/>
        <v>121900000</v>
      </c>
      <c r="W84" s="30"/>
      <c r="X84" s="32">
        <f t="shared" si="65"/>
        <v>0.5796624077</v>
      </c>
      <c r="Y84" s="33">
        <f t="shared" si="66"/>
        <v>0.2098599986</v>
      </c>
      <c r="Z84" s="429">
        <v>1.0E8</v>
      </c>
      <c r="AA84" s="536">
        <v>2019.0</v>
      </c>
      <c r="AB84" s="74"/>
      <c r="AC84" s="74"/>
      <c r="AD84" s="109"/>
      <c r="AE84" s="105"/>
      <c r="AF84" s="188" t="str">
        <f>HYPERLINK("https://www.crunchbase.com/organization/peerstreet#section-overview"," Ago 17, 2015")</f>
        <v> Ago 17, 2015</v>
      </c>
      <c r="AG84" s="148">
        <v>6100000.0</v>
      </c>
      <c r="AH84" s="101"/>
      <c r="AI84" s="106"/>
      <c r="AJ84" s="107" t="str">
        <f>HYPERLINK("https://www.crunchbase.com/funding_round/peerstreet-series-a--436585b5","Nov 17, 2016")</f>
        <v>Nov 17, 2016</v>
      </c>
      <c r="AK84" s="148">
        <v>1.5E7</v>
      </c>
      <c r="AL84" s="107" t="str">
        <f>HYPERLINK("https://www.crunchbase.com/funding_round/peerstreet-series-b--bbe03564","Apr 5, 2018")</f>
        <v>Apr 5, 2018</v>
      </c>
      <c r="AM84" s="148">
        <v>2.95E7</v>
      </c>
      <c r="AN84" s="107" t="str">
        <f>HYPERLINK("https://www.crunchbase.com/funding_round/peerstreet-series-c--37f6fb90","Oct 28, 2019")</f>
        <v>Oct 28, 2019</v>
      </c>
      <c r="AO84" s="108">
        <v>6.0E7</v>
      </c>
      <c r="AP84" s="109"/>
      <c r="AQ84" s="105"/>
      <c r="AR84" s="109"/>
      <c r="AS84" s="109"/>
      <c r="AT84" s="109"/>
      <c r="AU84" s="110"/>
      <c r="AV84" s="109"/>
      <c r="AW84" s="38"/>
      <c r="AX84" s="133"/>
      <c r="AY84" s="38"/>
      <c r="AZ84" s="133"/>
      <c r="BA84" s="105"/>
      <c r="BB84" s="674">
        <v>42115.0</v>
      </c>
      <c r="BC84" s="108">
        <v>1.13E7</v>
      </c>
      <c r="BD84" s="79"/>
      <c r="BE84" s="84"/>
      <c r="BF84" s="74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</row>
    <row r="85" ht="15.75" customHeight="1">
      <c r="A85" s="47" t="s">
        <v>535</v>
      </c>
      <c r="B85" s="68"/>
      <c r="C85" s="69" t="s">
        <v>123</v>
      </c>
      <c r="D85" s="48"/>
      <c r="E85" s="192" t="s">
        <v>536</v>
      </c>
      <c r="F85" s="118" t="s">
        <v>537</v>
      </c>
      <c r="G85" s="71" t="s">
        <v>538</v>
      </c>
      <c r="H85" s="26" t="s">
        <v>64</v>
      </c>
      <c r="I85" s="74" t="s">
        <v>65</v>
      </c>
      <c r="J85" s="155"/>
      <c r="K85" s="26">
        <v>3.0</v>
      </c>
      <c r="L85" s="26">
        <v>2014.0</v>
      </c>
      <c r="M85" s="25">
        <f t="shared" si="35"/>
        <v>11</v>
      </c>
      <c r="N85" s="26">
        <f t="shared" si="45"/>
        <v>5</v>
      </c>
      <c r="O85" s="27">
        <f t="shared" si="3"/>
        <v>80</v>
      </c>
      <c r="P85" s="28">
        <f t="shared" si="58"/>
        <v>97</v>
      </c>
      <c r="Q85" s="28">
        <f t="shared" si="59"/>
        <v>121</v>
      </c>
      <c r="R85" s="28"/>
      <c r="S85" s="28"/>
      <c r="T85" s="29">
        <f t="shared" si="64"/>
        <v>10781818.18</v>
      </c>
      <c r="U85" s="28"/>
      <c r="V85" s="30">
        <f t="shared" si="28"/>
        <v>118600000</v>
      </c>
      <c r="W85" s="30"/>
      <c r="X85" s="32">
        <f t="shared" si="65"/>
        <v>0.7741192603</v>
      </c>
      <c r="Y85" s="33">
        <f t="shared" si="66"/>
        <v>0.2976991043</v>
      </c>
      <c r="Z85" s="429">
        <v>1.0E8</v>
      </c>
      <c r="AA85" s="536">
        <v>2020.0</v>
      </c>
      <c r="AB85" s="74"/>
      <c r="AC85" s="74"/>
      <c r="AD85" s="109"/>
      <c r="AE85" s="105"/>
      <c r="AF85" s="675">
        <v>42514.0</v>
      </c>
      <c r="AG85" s="108">
        <v>3300000.0</v>
      </c>
      <c r="AH85" s="676"/>
      <c r="AI85" s="106"/>
      <c r="AJ85" s="677">
        <v>42935.0</v>
      </c>
      <c r="AK85" s="108">
        <v>1.01E7</v>
      </c>
      <c r="AL85" s="677">
        <v>43405.0</v>
      </c>
      <c r="AM85" s="108">
        <v>2.5E7</v>
      </c>
      <c r="AN85" s="677">
        <v>43886.0</v>
      </c>
      <c r="AO85" s="108">
        <v>5.8E7</v>
      </c>
      <c r="AP85" s="109"/>
      <c r="AQ85" s="105"/>
      <c r="AR85" s="109"/>
      <c r="AS85" s="109"/>
      <c r="AT85" s="109"/>
      <c r="AU85" s="110"/>
      <c r="AV85" s="109"/>
      <c r="AW85" s="38"/>
      <c r="AX85" s="109"/>
      <c r="AY85" s="38"/>
      <c r="AZ85" s="674">
        <v>44734.0</v>
      </c>
      <c r="BA85" s="678">
        <v>2.22E7</v>
      </c>
      <c r="BB85" s="109"/>
      <c r="BC85" s="105"/>
      <c r="BD85" s="79"/>
      <c r="BE85" s="84"/>
      <c r="BF85" s="74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</row>
    <row r="86" ht="15.75" customHeight="1">
      <c r="A86" s="21" t="s">
        <v>539</v>
      </c>
      <c r="B86" s="16"/>
      <c r="C86" s="17" t="s">
        <v>132</v>
      </c>
      <c r="D86" s="236" t="s">
        <v>540</v>
      </c>
      <c r="E86" s="19" t="s">
        <v>541</v>
      </c>
      <c r="F86" s="173" t="s">
        <v>542</v>
      </c>
      <c r="G86" s="317" t="s">
        <v>543</v>
      </c>
      <c r="H86" s="679" t="s">
        <v>128</v>
      </c>
      <c r="I86" s="23" t="s">
        <v>129</v>
      </c>
      <c r="J86" s="237"/>
      <c r="K86" s="23">
        <v>1.0</v>
      </c>
      <c r="L86" s="23">
        <v>2015.0</v>
      </c>
      <c r="M86" s="25">
        <f t="shared" si="35"/>
        <v>10</v>
      </c>
      <c r="N86" s="26">
        <f t="shared" si="45"/>
        <v>4</v>
      </c>
      <c r="O86" s="27">
        <f t="shared" si="3"/>
        <v>80</v>
      </c>
      <c r="P86" s="28">
        <f t="shared" si="58"/>
        <v>93</v>
      </c>
      <c r="Q86" s="28">
        <f t="shared" si="59"/>
        <v>128</v>
      </c>
      <c r="R86" s="28"/>
      <c r="S86" s="28" t="str">
        <f t="shared" ref="S86:S87" si="67">rank(Y86,$Y$8:$Y$80)</f>
        <v>#N/A</v>
      </c>
      <c r="T86" s="29">
        <f t="shared" si="64"/>
        <v>11340000</v>
      </c>
      <c r="U86" s="28"/>
      <c r="V86" s="30">
        <f t="shared" si="28"/>
        <v>113400000</v>
      </c>
      <c r="W86" s="30"/>
      <c r="X86" s="32">
        <f t="shared" si="65"/>
        <v>0.6122581135</v>
      </c>
      <c r="Y86" s="33">
        <f t="shared" si="66"/>
        <v>0.2105251824</v>
      </c>
      <c r="Z86" s="429">
        <v>1.0E8</v>
      </c>
      <c r="AA86" s="536">
        <v>2020.0</v>
      </c>
      <c r="AB86" s="36"/>
      <c r="AC86" s="36"/>
      <c r="AD86" s="109"/>
      <c r="AE86" s="263"/>
      <c r="AF86" s="680"/>
      <c r="AG86" s="681"/>
      <c r="AH86" s="410"/>
      <c r="AI86" s="411"/>
      <c r="AJ86" s="682">
        <v>42201.0</v>
      </c>
      <c r="AK86" s="420">
        <v>7400000.0</v>
      </c>
      <c r="AL86" s="682">
        <v>42536.0</v>
      </c>
      <c r="AM86" s="420">
        <v>1.6E7</v>
      </c>
      <c r="AN86" s="682">
        <v>43088.0</v>
      </c>
      <c r="AO86" s="420">
        <v>4.0E7</v>
      </c>
      <c r="AP86" s="682">
        <v>44096.0</v>
      </c>
      <c r="AQ86" s="420">
        <v>5.0E7</v>
      </c>
      <c r="AR86" s="282"/>
      <c r="AS86" s="282"/>
      <c r="AT86" s="282"/>
      <c r="AU86" s="283"/>
      <c r="AV86" s="282"/>
      <c r="AW86" s="38"/>
      <c r="AX86" s="398"/>
      <c r="AY86" s="38"/>
      <c r="AZ86" s="398"/>
      <c r="BA86" s="263"/>
      <c r="BB86" s="398"/>
      <c r="BC86" s="263"/>
      <c r="BD86" s="44"/>
      <c r="BE86" s="46"/>
      <c r="BF86" s="3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</row>
    <row r="87" ht="15.75" customHeight="1">
      <c r="A87" s="21" t="s">
        <v>544</v>
      </c>
      <c r="B87" s="68" t="s">
        <v>545</v>
      </c>
      <c r="C87" s="69" t="s">
        <v>59</v>
      </c>
      <c r="D87" s="231" t="s">
        <v>546</v>
      </c>
      <c r="E87" s="231" t="s">
        <v>547</v>
      </c>
      <c r="F87" s="652" t="s">
        <v>548</v>
      </c>
      <c r="G87" s="71" t="s">
        <v>549</v>
      </c>
      <c r="H87" s="186" t="s">
        <v>128</v>
      </c>
      <c r="I87" s="74" t="s">
        <v>129</v>
      </c>
      <c r="J87" s="72" t="s">
        <v>550</v>
      </c>
      <c r="K87" s="74">
        <v>2.0</v>
      </c>
      <c r="L87" s="26">
        <v>2016.0</v>
      </c>
      <c r="M87" s="25">
        <f t="shared" si="35"/>
        <v>9</v>
      </c>
      <c r="N87" s="26">
        <f t="shared" si="45"/>
        <v>4</v>
      </c>
      <c r="O87" s="27">
        <f t="shared" si="3"/>
        <v>80</v>
      </c>
      <c r="P87" s="28">
        <f t="shared" si="58"/>
        <v>88</v>
      </c>
      <c r="Q87" s="28">
        <f t="shared" si="59"/>
        <v>133</v>
      </c>
      <c r="R87" s="28"/>
      <c r="S87" s="28" t="str">
        <f t="shared" si="67"/>
        <v>#N/A</v>
      </c>
      <c r="T87" s="29">
        <f t="shared" si="64"/>
        <v>12233333.33</v>
      </c>
      <c r="U87" s="28"/>
      <c r="V87" s="30">
        <f t="shared" si="28"/>
        <v>110100000</v>
      </c>
      <c r="W87" s="30"/>
      <c r="X87" s="32">
        <f t="shared" si="65"/>
        <v>1.783157684</v>
      </c>
      <c r="Y87" s="33">
        <f t="shared" si="66"/>
        <v>0.5760586001</v>
      </c>
      <c r="Z87" s="432">
        <v>1.0E8</v>
      </c>
      <c r="AA87" s="683">
        <v>2021.0</v>
      </c>
      <c r="AB87" s="74"/>
      <c r="AC87" s="74"/>
      <c r="AD87" s="109"/>
      <c r="AE87" s="105"/>
      <c r="AF87" s="188" t="str">
        <f>HYPERLINK("https://www.crunchbase.com/organization/spruce-holdings#section-overview"," Aug 30, 2016")</f>
        <v> Aug 30, 2016</v>
      </c>
      <c r="AG87" s="148">
        <v>1000000.0</v>
      </c>
      <c r="AH87" s="684"/>
      <c r="AI87" s="106"/>
      <c r="AJ87" s="107" t="str">
        <f>HYPERLINK("https://www.crunchbase.com/funding_round/spruce-holdings-series-a--2c47e6d0","Jul 19, 2018")</f>
        <v>Jul 19, 2018</v>
      </c>
      <c r="AK87" s="148">
        <v>2.01E7</v>
      </c>
      <c r="AL87" s="107" t="str">
        <f>HYPERLINK("https://www.crunchbase.com/funding_round/spruce-holdings-series-b--370a0c56"," May 21, 2020        
")</f>
        <v> May 21, 2020        
</v>
      </c>
      <c r="AM87" s="108">
        <v>2.9E7</v>
      </c>
      <c r="AN87" s="107" t="str">
        <f>HYPERLINK("https://www.inman.com/2021/06/02/spruce-raises-60m-in-new-series-c-funding-round/","Jun 2, 2021")</f>
        <v>Jun 2, 2021</v>
      </c>
      <c r="AO87" s="108">
        <v>6.0E7</v>
      </c>
      <c r="AP87" s="109"/>
      <c r="AQ87" s="105"/>
      <c r="AR87" s="109"/>
      <c r="AS87" s="109"/>
      <c r="AT87" s="109"/>
      <c r="AU87" s="110"/>
      <c r="AV87" s="109"/>
      <c r="AW87" s="38"/>
      <c r="AX87" s="133"/>
      <c r="AY87" s="38"/>
      <c r="AZ87" s="133"/>
      <c r="BA87" s="105"/>
      <c r="BB87" s="133"/>
      <c r="BC87" s="105"/>
      <c r="BD87" s="79"/>
      <c r="BE87" s="84"/>
      <c r="BF87" s="74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</row>
    <row r="88" ht="15.75" customHeight="1">
      <c r="A88" s="21" t="s">
        <v>551</v>
      </c>
      <c r="B88" s="69"/>
      <c r="C88" s="69" t="s">
        <v>552</v>
      </c>
      <c r="D88" s="192" t="s">
        <v>553</v>
      </c>
      <c r="E88" s="192" t="s">
        <v>554</v>
      </c>
      <c r="F88" s="659" t="s">
        <v>555</v>
      </c>
      <c r="G88" s="71" t="s">
        <v>556</v>
      </c>
      <c r="H88" s="71" t="s">
        <v>557</v>
      </c>
      <c r="I88" s="26" t="s">
        <v>558</v>
      </c>
      <c r="J88" s="72" t="s">
        <v>559</v>
      </c>
      <c r="K88" s="26">
        <v>4.0</v>
      </c>
      <c r="L88" s="26">
        <v>2015.0</v>
      </c>
      <c r="M88" s="25">
        <f t="shared" si="35"/>
        <v>10</v>
      </c>
      <c r="N88" s="26">
        <f t="shared" si="45"/>
        <v>4</v>
      </c>
      <c r="O88" s="27">
        <f t="shared" si="3"/>
        <v>80</v>
      </c>
      <c r="P88" s="28">
        <f t="shared" si="58"/>
        <v>106</v>
      </c>
      <c r="Q88" s="28">
        <f t="shared" si="59"/>
        <v>152</v>
      </c>
      <c r="R88" s="28"/>
      <c r="S88" s="28"/>
      <c r="T88" s="29">
        <f t="shared" si="64"/>
        <v>9800000</v>
      </c>
      <c r="U88" s="28"/>
      <c r="V88" s="30">
        <f t="shared" si="28"/>
        <v>98000000</v>
      </c>
      <c r="W88" s="30"/>
      <c r="X88" s="32">
        <f t="shared" si="65"/>
        <v>0.8293824385</v>
      </c>
      <c r="Y88" s="33">
        <f t="shared" si="66"/>
        <v>0.2732737986</v>
      </c>
      <c r="Z88" s="429">
        <v>1.0E8</v>
      </c>
      <c r="AA88" s="536">
        <v>2019.0</v>
      </c>
      <c r="AB88" s="74"/>
      <c r="AC88" s="74"/>
      <c r="AD88" s="109"/>
      <c r="AE88" s="105"/>
      <c r="AF88" s="104"/>
      <c r="AG88" s="105"/>
      <c r="AH88" s="101"/>
      <c r="AI88" s="106"/>
      <c r="AJ88" s="107" t="str">
        <f>HYPERLINK("https://www.crunchbase.com/funding_round/zolostays-series-a--5fa03c33"," Jan 16, 2017        
")</f>
        <v> Jan 16, 2017        
</v>
      </c>
      <c r="AK88" s="108">
        <v>5000000.0</v>
      </c>
      <c r="AL88" s="107" t="str">
        <f>HYPERLINK("https://www.crunchbase.com/funding_round/zolostays-series-b--74cadce9"," 1/7/2019")</f>
        <v> 1/7/2019</v>
      </c>
      <c r="AM88" s="685">
        <v>3.0E7</v>
      </c>
      <c r="AN88" s="107" t="str">
        <f>HYPERLINK("https://www.crunchbase.com/funding_round/zolostays-series-c--4c876fb12"," Jul 7, 2020        
")</f>
        <v> Jul 7, 2020        
</v>
      </c>
      <c r="AO88" s="108">
        <v>5.6E7</v>
      </c>
      <c r="AP88" s="109"/>
      <c r="AQ88" s="105"/>
      <c r="AR88" s="109"/>
      <c r="AS88" s="109"/>
      <c r="AT88" s="109"/>
      <c r="AU88" s="110"/>
      <c r="AV88" s="109"/>
      <c r="AW88" s="38"/>
      <c r="AX88" s="109"/>
      <c r="AY88" s="38"/>
      <c r="AZ88" s="109"/>
      <c r="BA88" s="110"/>
      <c r="BB88" s="147">
        <v>43804.0</v>
      </c>
      <c r="BC88" s="678">
        <v>7000000.0</v>
      </c>
      <c r="BD88" s="79"/>
      <c r="BE88" s="84"/>
      <c r="BF88" s="74"/>
      <c r="BG88" s="115"/>
      <c r="BH88" s="115"/>
      <c r="BI88" s="115"/>
      <c r="BJ88" s="115"/>
      <c r="BK88" s="115"/>
      <c r="BL88" s="115"/>
      <c r="BM88" s="115"/>
      <c r="BN88" s="115"/>
      <c r="BO88" s="115"/>
      <c r="BP88" s="115"/>
      <c r="BQ88" s="115"/>
      <c r="BR88" s="115"/>
      <c r="BS88" s="115"/>
      <c r="BT88" s="115"/>
      <c r="BU88" s="115"/>
      <c r="BV88" s="115"/>
      <c r="BW88" s="115"/>
      <c r="BX88" s="115"/>
      <c r="BY88" s="115"/>
      <c r="BZ88" s="115"/>
      <c r="CA88" s="115"/>
      <c r="CB88" s="115"/>
      <c r="CC88" s="115"/>
      <c r="CD88" s="115"/>
      <c r="CE88" s="115"/>
      <c r="CF88" s="115"/>
      <c r="CG88" s="115"/>
      <c r="CH88" s="115"/>
      <c r="CI88" s="115"/>
      <c r="CJ88" s="115"/>
      <c r="CK88" s="115"/>
      <c r="CL88" s="115"/>
      <c r="CM88" s="115"/>
      <c r="CN88" s="115"/>
      <c r="CO88" s="115"/>
      <c r="CP88" s="115"/>
    </row>
    <row r="89" ht="15.75" customHeight="1">
      <c r="A89" s="686" t="s">
        <v>560</v>
      </c>
      <c r="B89" s="68" t="s">
        <v>561</v>
      </c>
      <c r="C89" s="68" t="s">
        <v>207</v>
      </c>
      <c r="D89" s="184" t="s">
        <v>562</v>
      </c>
      <c r="E89" s="535" t="s">
        <v>563</v>
      </c>
      <c r="F89" s="185" t="s">
        <v>564</v>
      </c>
      <c r="G89" s="54" t="s">
        <v>565</v>
      </c>
      <c r="H89" s="186" t="s">
        <v>64</v>
      </c>
      <c r="I89" s="74" t="s">
        <v>65</v>
      </c>
      <c r="J89" s="178" t="s">
        <v>566</v>
      </c>
      <c r="K89" s="74">
        <v>1.0</v>
      </c>
      <c r="L89" s="26">
        <v>2017.0</v>
      </c>
      <c r="M89" s="25">
        <f t="shared" si="35"/>
        <v>8</v>
      </c>
      <c r="N89" s="26">
        <f t="shared" si="45"/>
        <v>5</v>
      </c>
      <c r="O89" s="27">
        <f t="shared" si="3"/>
        <v>80</v>
      </c>
      <c r="P89" s="28">
        <f t="shared" si="58"/>
        <v>100</v>
      </c>
      <c r="Q89" s="28">
        <f t="shared" si="59"/>
        <v>166</v>
      </c>
      <c r="R89" s="28"/>
      <c r="S89" s="28"/>
      <c r="T89" s="29">
        <f t="shared" si="64"/>
        <v>10325000</v>
      </c>
      <c r="U89" s="28"/>
      <c r="V89" s="30">
        <f t="shared" si="28"/>
        <v>82600000</v>
      </c>
      <c r="W89" s="30"/>
      <c r="X89" s="32" t="str">
        <f t="shared" si="65"/>
        <v>#DIV/0!</v>
      </c>
      <c r="Y89" s="33"/>
      <c r="Z89" s="429">
        <v>1.0E8</v>
      </c>
      <c r="AA89" s="536">
        <v>2021.0</v>
      </c>
      <c r="AB89" s="74"/>
      <c r="AC89" s="74"/>
      <c r="AD89" s="109"/>
      <c r="AE89" s="263"/>
      <c r="AF89" s="458" t="str">
        <f>HYPERLINK("https://www.crunchbase.com/funding_round/vergesense-seed--b4200bbf","Oct 25, 2018")</f>
        <v>Oct 25, 2018</v>
      </c>
      <c r="AG89" s="281">
        <v>1600000.0</v>
      </c>
      <c r="AH89" s="687" t="str">
        <f>HYPERLINK("https://www.crunchbase.com/funding_round/vergesense-series-unknown--50bb8c8d","May 21, 2020")</f>
        <v>May 21, 2020</v>
      </c>
      <c r="AI89" s="688">
        <v>9000000.0</v>
      </c>
      <c r="AJ89" s="280" t="str">
        <f>HYPERLINK("https://www.crunchbase.com/funding_round/vergesense-series-a--a07f4353","Dec 12, 2019")</f>
        <v>Dec 12, 2019</v>
      </c>
      <c r="AK89" s="281">
        <v>0.0</v>
      </c>
      <c r="AL89" s="421">
        <v>44187.0</v>
      </c>
      <c r="AM89" s="673">
        <v>1.2E7</v>
      </c>
      <c r="AN89" s="280" t="str">
        <f>HYPERLINK("https://www.crunchbase.com/funding_round/vergesense-series-c--fe8a7815","Nov 8, 2021")</f>
        <v>Nov 8, 2021</v>
      </c>
      <c r="AO89" s="281">
        <v>6.0E7</v>
      </c>
      <c r="AP89" s="282"/>
      <c r="AQ89" s="263"/>
      <c r="AR89" s="282"/>
      <c r="AS89" s="282"/>
      <c r="AT89" s="282"/>
      <c r="AU89" s="283"/>
      <c r="AV89" s="282"/>
      <c r="AW89" s="38"/>
      <c r="AX89" s="282"/>
      <c r="AY89" s="38"/>
      <c r="AZ89" s="282"/>
      <c r="BA89" s="283"/>
      <c r="BB89" s="282"/>
      <c r="BC89" s="283"/>
      <c r="BD89" s="79"/>
      <c r="BE89" s="84"/>
      <c r="BF89" s="74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  <c r="BR89" s="115"/>
      <c r="BS89" s="115"/>
      <c r="BT89" s="115"/>
      <c r="BU89" s="115"/>
      <c r="BV89" s="115"/>
      <c r="BW89" s="115"/>
      <c r="BX89" s="115"/>
      <c r="BY89" s="115"/>
      <c r="BZ89" s="115"/>
      <c r="CA89" s="115"/>
      <c r="CB89" s="115"/>
      <c r="CC89" s="115"/>
      <c r="CD89" s="115"/>
      <c r="CE89" s="115"/>
      <c r="CF89" s="115"/>
      <c r="CG89" s="115"/>
      <c r="CH89" s="115"/>
      <c r="CI89" s="115"/>
      <c r="CJ89" s="115"/>
      <c r="CK89" s="115"/>
      <c r="CL89" s="115"/>
      <c r="CM89" s="115"/>
      <c r="CN89" s="115"/>
      <c r="CO89" s="115"/>
      <c r="CP89" s="115"/>
    </row>
    <row r="90" ht="15.75" customHeight="1">
      <c r="A90" s="666" t="s">
        <v>567</v>
      </c>
      <c r="B90" s="534" t="s">
        <v>568</v>
      </c>
      <c r="C90" s="534" t="s">
        <v>59</v>
      </c>
      <c r="D90" s="449" t="s">
        <v>569</v>
      </c>
      <c r="E90" s="162" t="s">
        <v>570</v>
      </c>
      <c r="F90" s="689" t="s">
        <v>571</v>
      </c>
      <c r="G90" s="690"/>
      <c r="H90" s="690" t="s">
        <v>64</v>
      </c>
      <c r="I90" s="326" t="s">
        <v>65</v>
      </c>
      <c r="J90" s="691"/>
      <c r="K90" s="326">
        <v>2.0</v>
      </c>
      <c r="L90" s="222">
        <v>2010.0</v>
      </c>
      <c r="M90" s="25">
        <f t="shared" si="35"/>
        <v>15</v>
      </c>
      <c r="N90" s="26">
        <f t="shared" si="45"/>
        <v>2</v>
      </c>
      <c r="O90" s="27">
        <f t="shared" si="3"/>
        <v>80</v>
      </c>
      <c r="P90" s="28">
        <f t="shared" si="58"/>
        <v>186</v>
      </c>
      <c r="Q90" s="28">
        <f t="shared" si="59"/>
        <v>204</v>
      </c>
      <c r="R90" s="28"/>
      <c r="S90" s="28"/>
      <c r="T90" s="29">
        <f t="shared" si="64"/>
        <v>4266666.667</v>
      </c>
      <c r="U90" s="28"/>
      <c r="V90" s="30">
        <f t="shared" si="28"/>
        <v>64000000</v>
      </c>
      <c r="W90" s="30"/>
      <c r="X90" s="32">
        <f t="shared" si="65"/>
        <v>0.2909944487</v>
      </c>
      <c r="Y90" s="33">
        <f>(max(AE90,AG90,AI90,AK90,AM90,AO90,AQ90,AS90,AU90,AW90,AY90,BA90,BC90)/min(AE90,AG90,AI90,AK90,AM90,AO90,AQ90,AS90,AU90,AW90,AY90,BA90,BC90))^(1/M90)-1</f>
        <v>0.03464155347</v>
      </c>
      <c r="Z90" s="429">
        <v>1.0E8</v>
      </c>
      <c r="AA90" s="536">
        <v>2020.0</v>
      </c>
      <c r="AB90" s="326"/>
      <c r="AC90" s="326"/>
      <c r="AD90" s="545"/>
      <c r="AE90" s="546"/>
      <c r="AF90" s="547"/>
      <c r="AG90" s="546"/>
      <c r="AH90" s="606"/>
      <c r="AI90" s="546"/>
      <c r="AJ90" s="551" t="str">
        <f> HYPERLINK("https://www.crunchbase.com/funding_round/aclima-series-a--b015bc9e","Jun 26, 2018")</f>
        <v>Jun 26, 2018</v>
      </c>
      <c r="AK90" s="634">
        <v>2.4E7</v>
      </c>
      <c r="AL90" s="662">
        <v>44154.0</v>
      </c>
      <c r="AM90" s="552">
        <v>4.0E7</v>
      </c>
      <c r="AN90" s="484"/>
      <c r="AO90" s="546"/>
      <c r="AP90" s="550"/>
      <c r="AQ90" s="546"/>
      <c r="AR90" s="433"/>
      <c r="AS90" s="550"/>
      <c r="AT90" s="550"/>
      <c r="AU90" s="554"/>
      <c r="AV90" s="550"/>
      <c r="AW90" s="38"/>
      <c r="AX90" s="550"/>
      <c r="AY90" s="38"/>
      <c r="AZ90" s="550"/>
      <c r="BA90" s="554"/>
      <c r="BB90" s="550"/>
      <c r="BC90" s="554"/>
      <c r="BD90" s="322"/>
      <c r="BE90" s="323"/>
      <c r="BF90" s="32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</row>
    <row r="91" ht="15.75" customHeight="1">
      <c r="A91" s="400" t="s">
        <v>572</v>
      </c>
      <c r="B91" s="115"/>
      <c r="C91" s="116" t="s">
        <v>76</v>
      </c>
      <c r="D91" s="449"/>
      <c r="E91" s="161" t="s">
        <v>573</v>
      </c>
      <c r="F91" s="402" t="s">
        <v>574</v>
      </c>
      <c r="G91" s="119"/>
      <c r="H91" s="407" t="s">
        <v>575</v>
      </c>
      <c r="I91" s="26" t="s">
        <v>65</v>
      </c>
      <c r="J91" s="120"/>
      <c r="K91" s="123"/>
      <c r="L91" s="25">
        <v>2014.0</v>
      </c>
      <c r="M91" s="25">
        <f t="shared" si="35"/>
        <v>11</v>
      </c>
      <c r="N91" s="26">
        <f t="shared" si="45"/>
        <v>2</v>
      </c>
      <c r="O91" s="27">
        <f t="shared" si="3"/>
        <v>90</v>
      </c>
      <c r="P91" s="28" t="str">
        <f t="shared" si="58"/>
        <v>#N/A</v>
      </c>
      <c r="Q91" s="28">
        <f t="shared" si="59"/>
        <v>343</v>
      </c>
      <c r="R91" s="55"/>
      <c r="S91" s="55"/>
      <c r="T91" s="55"/>
      <c r="U91" s="55"/>
      <c r="V91" s="30">
        <f t="shared" si="28"/>
        <v>24700000</v>
      </c>
      <c r="W91" s="31">
        <v>2.0E7</v>
      </c>
      <c r="X91" s="403"/>
      <c r="Y91" s="403"/>
      <c r="Z91" s="692">
        <f>65000000+17500000</f>
        <v>82500000</v>
      </c>
      <c r="AA91" s="693" t="s">
        <v>82</v>
      </c>
      <c r="AB91" s="123"/>
      <c r="AC91" s="123"/>
      <c r="AD91" s="599"/>
      <c r="AE91" s="571"/>
      <c r="AF91" s="600"/>
      <c r="AG91" s="571"/>
      <c r="AH91" s="574"/>
      <c r="AI91" s="575"/>
      <c r="AJ91" s="574"/>
      <c r="AK91" s="574"/>
      <c r="AL91" s="574"/>
      <c r="AM91" s="571"/>
      <c r="AN91" s="574"/>
      <c r="AO91" s="571"/>
      <c r="AP91" s="588"/>
      <c r="AQ91" s="571"/>
      <c r="AR91" s="574"/>
      <c r="AS91" s="574"/>
      <c r="AT91" s="574"/>
      <c r="AU91" s="580"/>
      <c r="AV91" s="574"/>
      <c r="AW91" s="38"/>
      <c r="AX91" s="574"/>
      <c r="AY91" s="38"/>
      <c r="AZ91" s="587">
        <v>44943.0</v>
      </c>
      <c r="BA91" s="590">
        <v>1.47E7</v>
      </c>
      <c r="BB91" s="587">
        <v>44544.0</v>
      </c>
      <c r="BC91" s="590">
        <v>1.0E7</v>
      </c>
      <c r="BD91" s="123"/>
      <c r="BE91" s="125"/>
      <c r="BF91" s="123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</row>
    <row r="92" ht="15.75" customHeight="1">
      <c r="A92" s="47" t="s">
        <v>576</v>
      </c>
      <c r="B92" s="694"/>
      <c r="C92" s="48" t="s">
        <v>84</v>
      </c>
      <c r="D92" s="161" t="s">
        <v>577</v>
      </c>
      <c r="E92" s="540" t="s">
        <v>578</v>
      </c>
      <c r="F92" s="118" t="s">
        <v>579</v>
      </c>
      <c r="G92" s="119" t="s">
        <v>580</v>
      </c>
      <c r="H92" s="543" t="s">
        <v>581</v>
      </c>
      <c r="I92" s="25" t="s">
        <v>109</v>
      </c>
      <c r="J92" s="120" t="s">
        <v>582</v>
      </c>
      <c r="K92" s="25">
        <v>2.0</v>
      </c>
      <c r="L92" s="25">
        <v>2015.0</v>
      </c>
      <c r="M92" s="25">
        <f t="shared" si="35"/>
        <v>10</v>
      </c>
      <c r="N92" s="26">
        <f t="shared" si="45"/>
        <v>3</v>
      </c>
      <c r="O92" s="27" t="str">
        <f t="shared" si="3"/>
        <v>#N/A</v>
      </c>
      <c r="P92" s="28">
        <f t="shared" si="58"/>
        <v>13</v>
      </c>
      <c r="Q92" s="28">
        <f t="shared" si="59"/>
        <v>7</v>
      </c>
      <c r="R92" s="28"/>
      <c r="S92" s="28" t="str">
        <f>rank(Y92,$Y$8:$Y$80)</f>
        <v>#N/A</v>
      </c>
      <c r="T92" s="29">
        <f>V92/M92</f>
        <v>80500000</v>
      </c>
      <c r="U92" s="28"/>
      <c r="V92" s="30">
        <f t="shared" si="28"/>
        <v>805000000</v>
      </c>
      <c r="W92" s="30"/>
      <c r="X92" s="32">
        <f>(max(AE92,AG92,AI92,AK92,AM92,AO92,AQ92,AS92,AU92,AW92,AY92,BA92,BC92)/min(AE92,AG92,AI92,AK92,AM92,AO92,AQ92,AS92,AU92,AW92,AY92,BA92,BC92))^(1/N92)-1</f>
        <v>0.3572088083</v>
      </c>
      <c r="Y92" s="33">
        <f>(max(AE92,AG92,AI92,AK92,AM92,AO92,AQ92,AS92,AU92,AW92,AY92,BA92,BC92)/min(AE92,AG92,AI92,AK92,AM92,AO92,AQ92,AS92,AU92,AW92,AY92,BA92,BC92))^(1/M92)-1</f>
        <v>0.09595822639</v>
      </c>
      <c r="Z92" s="695"/>
      <c r="AA92" s="696"/>
      <c r="AB92" s="123"/>
      <c r="AC92" s="123"/>
      <c r="AD92" s="697"/>
      <c r="AE92" s="698"/>
      <c r="AF92" s="699"/>
      <c r="AG92" s="700"/>
      <c r="AH92" s="701"/>
      <c r="AI92" s="700"/>
      <c r="AJ92" s="702" t="str">
        <f>HYPERLINK("https://www.crunchbase.com/funding_round/offerpad-series-a--b23828ea","Jan 25, 2017")</f>
        <v>Jan 25, 2017</v>
      </c>
      <c r="AK92" s="703">
        <v>3.0E7</v>
      </c>
      <c r="AL92" s="704" t="str">
        <f>HYPERLINK("https://www.crunchbase.com/funding_round/offerpad-series-b--faf47edd","May 16, 2018")</f>
        <v>May 16, 2018</v>
      </c>
      <c r="AM92" s="705">
        <v>5.0E7</v>
      </c>
      <c r="AN92" s="704" t="str">
        <f>HYPERLINK("https://www.crunchbase.com/funding_round/offerpad-series-c--8349973c","Mar 14, 2019")</f>
        <v>Mar 14, 2019</v>
      </c>
      <c r="AO92" s="705">
        <v>7.5E7</v>
      </c>
      <c r="AP92" s="706"/>
      <c r="AQ92" s="700"/>
      <c r="AR92" s="706"/>
      <c r="AS92" s="706"/>
      <c r="AT92" s="706"/>
      <c r="AU92" s="707"/>
      <c r="AV92" s="706"/>
      <c r="AW92" s="38"/>
      <c r="AX92" s="706"/>
      <c r="AY92" s="38"/>
      <c r="AZ92" s="706"/>
      <c r="BA92" s="700"/>
      <c r="BB92" s="706"/>
      <c r="BC92" s="700"/>
      <c r="BD92" s="169">
        <v>44440.0</v>
      </c>
      <c r="BE92" s="127">
        <v>6.5E8</v>
      </c>
      <c r="BF92" s="123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  <c r="BR92" s="115"/>
      <c r="BS92" s="115"/>
      <c r="BT92" s="115"/>
      <c r="BU92" s="115"/>
      <c r="BV92" s="115"/>
      <c r="BW92" s="115"/>
      <c r="BX92" s="115"/>
      <c r="BY92" s="115"/>
      <c r="BZ92" s="115"/>
      <c r="CA92" s="115"/>
      <c r="CB92" s="115"/>
      <c r="CC92" s="115"/>
      <c r="CD92" s="115"/>
      <c r="CE92" s="115"/>
      <c r="CF92" s="115"/>
      <c r="CG92" s="115"/>
      <c r="CH92" s="115"/>
      <c r="CI92" s="115"/>
      <c r="CJ92" s="115"/>
      <c r="CK92" s="115"/>
      <c r="CL92" s="115"/>
      <c r="CM92" s="115"/>
      <c r="CN92" s="115"/>
      <c r="CO92" s="115"/>
      <c r="CP92" s="115"/>
    </row>
    <row r="93" ht="15.75" customHeight="1">
      <c r="A93" s="400" t="s">
        <v>583</v>
      </c>
      <c r="B93" s="115"/>
      <c r="C93" s="116" t="s">
        <v>84</v>
      </c>
      <c r="D93" s="161" t="s">
        <v>584</v>
      </c>
      <c r="E93" s="161" t="s">
        <v>585</v>
      </c>
      <c r="F93" s="402" t="s">
        <v>586</v>
      </c>
      <c r="G93" s="286"/>
      <c r="H93" s="543" t="s">
        <v>587</v>
      </c>
      <c r="I93" s="25" t="s">
        <v>65</v>
      </c>
      <c r="J93" s="287"/>
      <c r="K93" s="25">
        <v>3.0</v>
      </c>
      <c r="L93" s="25">
        <v>2014.0</v>
      </c>
      <c r="M93" s="25">
        <f t="shared" si="35"/>
        <v>11</v>
      </c>
      <c r="N93" s="26">
        <f t="shared" si="45"/>
        <v>3</v>
      </c>
      <c r="O93" s="27" t="str">
        <f t="shared" si="3"/>
        <v>#N/A</v>
      </c>
      <c r="P93" s="55"/>
      <c r="Q93" s="55"/>
      <c r="R93" s="55"/>
      <c r="S93" s="55"/>
      <c r="T93" s="55"/>
      <c r="U93" s="55"/>
      <c r="V93" s="30">
        <f t="shared" si="28"/>
        <v>582000000</v>
      </c>
      <c r="W93" s="31">
        <v>6000000.0</v>
      </c>
      <c r="X93" s="403"/>
      <c r="Y93" s="403"/>
      <c r="Z93" s="692"/>
      <c r="AA93" s="665"/>
      <c r="AB93" s="123"/>
      <c r="AC93" s="123"/>
      <c r="AD93" s="355"/>
      <c r="AE93" s="38"/>
      <c r="AF93" s="62">
        <v>43040.0</v>
      </c>
      <c r="AG93" s="38"/>
      <c r="AH93" s="123"/>
      <c r="AI93" s="123"/>
      <c r="AJ93" s="404">
        <v>43796.0</v>
      </c>
      <c r="AK93" s="76">
        <v>1.2E7</v>
      </c>
      <c r="AL93" s="404">
        <v>44887.0</v>
      </c>
      <c r="AM93" s="76">
        <v>1.2E8</v>
      </c>
      <c r="AN93" s="123"/>
      <c r="AO93" s="123"/>
      <c r="AP93" s="123"/>
      <c r="AQ93" s="123"/>
      <c r="AR93" s="123"/>
      <c r="AS93" s="123"/>
      <c r="AT93" s="123"/>
      <c r="AU93" s="137"/>
      <c r="AV93" s="123"/>
      <c r="AW93" s="38"/>
      <c r="AX93" s="123"/>
      <c r="AY93" s="38"/>
      <c r="AZ93" s="404">
        <v>44176.0</v>
      </c>
      <c r="BA93" s="170">
        <v>4.5E8</v>
      </c>
      <c r="BB93" s="123"/>
      <c r="BC93" s="137"/>
      <c r="BD93" s="123"/>
      <c r="BE93" s="125"/>
      <c r="BF93" s="123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</row>
    <row r="94" ht="15.75" customHeight="1">
      <c r="A94" s="400" t="s">
        <v>588</v>
      </c>
      <c r="B94" s="115"/>
      <c r="C94" s="116" t="s">
        <v>513</v>
      </c>
      <c r="D94" s="161" t="s">
        <v>589</v>
      </c>
      <c r="E94" s="192" t="s">
        <v>590</v>
      </c>
      <c r="F94" s="708" t="s">
        <v>591</v>
      </c>
      <c r="G94" s="286"/>
      <c r="H94" s="119" t="s">
        <v>592</v>
      </c>
      <c r="I94" s="25" t="s">
        <v>149</v>
      </c>
      <c r="J94" s="287"/>
      <c r="K94" s="25">
        <v>2.0</v>
      </c>
      <c r="L94" s="25">
        <v>2020.0</v>
      </c>
      <c r="M94" s="25">
        <f t="shared" si="35"/>
        <v>5</v>
      </c>
      <c r="N94" s="26">
        <f t="shared" si="45"/>
        <v>3</v>
      </c>
      <c r="O94" s="27" t="str">
        <f t="shared" si="3"/>
        <v>#N/A</v>
      </c>
      <c r="P94" s="55"/>
      <c r="Q94" s="55"/>
      <c r="R94" s="55"/>
      <c r="S94" s="55"/>
      <c r="T94" s="55"/>
      <c r="U94" s="55"/>
      <c r="V94" s="30">
        <f t="shared" si="28"/>
        <v>306100000</v>
      </c>
      <c r="W94" s="30"/>
      <c r="X94" s="403"/>
      <c r="Y94" s="403"/>
      <c r="Z94" s="692"/>
      <c r="AA94" s="665"/>
      <c r="AB94" s="123"/>
      <c r="AC94" s="123"/>
      <c r="AD94" s="62">
        <v>44356.0</v>
      </c>
      <c r="AE94" s="335">
        <v>1100000.0</v>
      </c>
      <c r="AF94" s="62">
        <v>44367.0</v>
      </c>
      <c r="AG94" s="38">
        <v>5000000.0</v>
      </c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37"/>
      <c r="AV94" s="123"/>
      <c r="AW94" s="38"/>
      <c r="AX94" s="123"/>
      <c r="AY94" s="38"/>
      <c r="AZ94" s="123"/>
      <c r="BA94" s="137"/>
      <c r="BB94" s="404">
        <v>44866.0</v>
      </c>
      <c r="BC94" s="170">
        <v>3.0E8</v>
      </c>
      <c r="BD94" s="123"/>
      <c r="BE94" s="38"/>
      <c r="BF94" s="123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</row>
    <row r="95" ht="15.75" customHeight="1">
      <c r="A95" s="400" t="s">
        <v>593</v>
      </c>
      <c r="B95" s="115"/>
      <c r="C95" s="116" t="s">
        <v>207</v>
      </c>
      <c r="D95" s="449"/>
      <c r="E95" s="401" t="s">
        <v>594</v>
      </c>
      <c r="F95" s="708" t="s">
        <v>595</v>
      </c>
      <c r="G95" s="286"/>
      <c r="H95" s="119" t="s">
        <v>256</v>
      </c>
      <c r="I95" s="25" t="s">
        <v>257</v>
      </c>
      <c r="J95" s="287"/>
      <c r="K95" s="25">
        <v>1.0</v>
      </c>
      <c r="L95" s="25">
        <v>2017.0</v>
      </c>
      <c r="M95" s="25">
        <f t="shared" si="35"/>
        <v>8</v>
      </c>
      <c r="N95" s="26">
        <f t="shared" si="45"/>
        <v>1</v>
      </c>
      <c r="O95" s="27" t="str">
        <f t="shared" si="3"/>
        <v>#N/A</v>
      </c>
      <c r="P95" s="55"/>
      <c r="Q95" s="55"/>
      <c r="R95" s="55"/>
      <c r="S95" s="55"/>
      <c r="T95" s="55"/>
      <c r="U95" s="55"/>
      <c r="V95" s="30">
        <f t="shared" si="28"/>
        <v>300000000</v>
      </c>
      <c r="W95" s="30"/>
      <c r="X95" s="403"/>
      <c r="Y95" s="403"/>
      <c r="Z95" s="695"/>
      <c r="AA95" s="696"/>
      <c r="AB95" s="123"/>
      <c r="AC95" s="123"/>
      <c r="AD95" s="355"/>
      <c r="AE95" s="38"/>
      <c r="AF95" s="355"/>
      <c r="AG95" s="38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37"/>
      <c r="AV95" s="123"/>
      <c r="AW95" s="38"/>
      <c r="AX95" s="123"/>
      <c r="AY95" s="38"/>
      <c r="AZ95" s="404">
        <v>44893.0</v>
      </c>
      <c r="BA95" s="170">
        <v>3.0E8</v>
      </c>
      <c r="BB95" s="123"/>
      <c r="BC95" s="137"/>
      <c r="BD95" s="123"/>
      <c r="BE95" s="125"/>
      <c r="BF95" s="123"/>
      <c r="BG95" s="115"/>
      <c r="BH95" s="115"/>
      <c r="BI95" s="115"/>
      <c r="BJ95" s="115"/>
      <c r="BK95" s="115"/>
      <c r="BL95" s="115"/>
      <c r="BM95" s="115"/>
      <c r="BN95" s="115"/>
      <c r="BO95" s="115"/>
      <c r="BP95" s="115"/>
      <c r="BQ95" s="115"/>
      <c r="BR95" s="115"/>
      <c r="BS95" s="115"/>
      <c r="BT95" s="115"/>
      <c r="BU95" s="115"/>
      <c r="BV95" s="115"/>
      <c r="BW95" s="115"/>
      <c r="BX95" s="115"/>
      <c r="BY95" s="115"/>
      <c r="BZ95" s="115"/>
      <c r="CA95" s="115"/>
      <c r="CB95" s="115"/>
      <c r="CC95" s="115"/>
      <c r="CD95" s="115"/>
      <c r="CE95" s="115"/>
      <c r="CF95" s="115"/>
      <c r="CG95" s="115"/>
      <c r="CH95" s="115"/>
      <c r="CI95" s="115"/>
      <c r="CJ95" s="115"/>
      <c r="CK95" s="115"/>
      <c r="CL95" s="115"/>
      <c r="CM95" s="115"/>
      <c r="CN95" s="115"/>
      <c r="CO95" s="115"/>
      <c r="CP95" s="115"/>
    </row>
    <row r="96" ht="15.75" customHeight="1">
      <c r="A96" s="21" t="s">
        <v>596</v>
      </c>
      <c r="B96" s="17"/>
      <c r="C96" s="17" t="s">
        <v>132</v>
      </c>
      <c r="D96" s="192" t="s">
        <v>597</v>
      </c>
      <c r="E96" s="192" t="s">
        <v>598</v>
      </c>
      <c r="F96" s="118" t="s">
        <v>599</v>
      </c>
      <c r="G96" s="709" t="s">
        <v>600</v>
      </c>
      <c r="H96" s="710" t="s">
        <v>601</v>
      </c>
      <c r="I96" s="23" t="s">
        <v>129</v>
      </c>
      <c r="J96" s="711"/>
      <c r="K96" s="23"/>
      <c r="L96" s="712">
        <v>2014.0</v>
      </c>
      <c r="M96" s="25">
        <f t="shared" si="35"/>
        <v>11</v>
      </c>
      <c r="N96" s="26">
        <f t="shared" si="45"/>
        <v>4</v>
      </c>
      <c r="O96" s="27" t="str">
        <f t="shared" si="3"/>
        <v>#N/A</v>
      </c>
      <c r="P96" s="28"/>
      <c r="Q96" s="28"/>
      <c r="R96" s="28"/>
      <c r="S96" s="28"/>
      <c r="T96" s="29">
        <f t="shared" ref="T96:T97" si="68">V96/M96</f>
        <v>22477272.73</v>
      </c>
      <c r="U96" s="28"/>
      <c r="V96" s="30">
        <f t="shared" si="28"/>
        <v>247250000</v>
      </c>
      <c r="W96" s="30"/>
      <c r="X96" s="33"/>
      <c r="Y96" s="33">
        <f>(max(AE96,AG96,AI96,AK96,AM96,AO96,AQ96,AS96,AU96,AW96,AY96,BA96,BC96)/min(AE96,AG96,AI96,AK96))^(1/M96)-1</f>
        <v>0.8483005233</v>
      </c>
      <c r="Z96" s="692"/>
      <c r="AA96" s="665"/>
      <c r="AB96" s="36"/>
      <c r="AC96" s="36"/>
      <c r="AD96" s="42">
        <v>42977.0</v>
      </c>
      <c r="AE96" s="38">
        <v>250000.0</v>
      </c>
      <c r="AF96" s="225">
        <v>43449.0</v>
      </c>
      <c r="AG96" s="38"/>
      <c r="AH96" s="713"/>
      <c r="AI96" s="41"/>
      <c r="AJ96" s="42">
        <v>44249.0</v>
      </c>
      <c r="AK96" s="38">
        <v>8000000.0</v>
      </c>
      <c r="AL96" s="714">
        <v>44985.0</v>
      </c>
      <c r="AM96" s="715">
        <v>2.4E7</v>
      </c>
      <c r="AN96" s="44"/>
      <c r="AO96" s="46"/>
      <c r="AP96" s="44"/>
      <c r="AQ96" s="46"/>
      <c r="AR96" s="44"/>
      <c r="AS96" s="44"/>
      <c r="AT96" s="44"/>
      <c r="AU96" s="45"/>
      <c r="AV96" s="44"/>
      <c r="AW96" s="38"/>
      <c r="AX96" s="44"/>
      <c r="AY96" s="38"/>
      <c r="AZ96" s="44"/>
      <c r="BA96" s="45"/>
      <c r="BB96" s="75">
        <v>44985.0</v>
      </c>
      <c r="BC96" s="229">
        <v>2.15E8</v>
      </c>
      <c r="BD96" s="44"/>
      <c r="BE96" s="38"/>
      <c r="BF96" s="3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</row>
    <row r="97" ht="15.75" customHeight="1">
      <c r="A97" s="442" t="s">
        <v>602</v>
      </c>
      <c r="B97" s="68" t="s">
        <v>603</v>
      </c>
      <c r="C97" s="69" t="s">
        <v>123</v>
      </c>
      <c r="D97" s="184" t="s">
        <v>604</v>
      </c>
      <c r="E97" s="184" t="s">
        <v>605</v>
      </c>
      <c r="F97" s="177" t="s">
        <v>606</v>
      </c>
      <c r="G97" s="71" t="s">
        <v>607</v>
      </c>
      <c r="H97" s="186" t="s">
        <v>64</v>
      </c>
      <c r="I97" s="74" t="s">
        <v>65</v>
      </c>
      <c r="J97" s="72" t="s">
        <v>142</v>
      </c>
      <c r="K97" s="26">
        <v>3.0</v>
      </c>
      <c r="L97" s="26">
        <v>2014.0</v>
      </c>
      <c r="M97" s="25">
        <f t="shared" si="35"/>
        <v>11</v>
      </c>
      <c r="N97" s="26">
        <f t="shared" si="45"/>
        <v>5</v>
      </c>
      <c r="O97" s="27" t="str">
        <f t="shared" si="3"/>
        <v>#N/A</v>
      </c>
      <c r="P97" s="28">
        <f>RANK(T97,$T$2:$T$333)</f>
        <v>59</v>
      </c>
      <c r="Q97" s="28">
        <f>rank(V97,$V$2:$V$344)</f>
        <v>57</v>
      </c>
      <c r="R97" s="28"/>
      <c r="S97" s="28" t="str">
        <f>rank(Y97,$Y$8:$Y$80)</f>
        <v>#N/A</v>
      </c>
      <c r="T97" s="29">
        <f t="shared" si="68"/>
        <v>21909090.91</v>
      </c>
      <c r="U97" s="28"/>
      <c r="V97" s="30">
        <f t="shared" si="28"/>
        <v>241000000</v>
      </c>
      <c r="W97" s="30"/>
      <c r="X97" s="32">
        <f>(max(AE97,AG97,AI97,AK97,AM97,AO97,AQ97,AS97,AU97,AW97,AY97,BA97,BC97)/min(AE97,AG97,AI97,AK97,AM97,AO97,AQ97,AS97,AU97,AW97,AY97,BA97,BC97))^(1/N97)-1</f>
        <v>1.315071076</v>
      </c>
      <c r="Y97" s="33">
        <f>(max(AE97,AG97,AI97,AK97,AM97,AO97,AQ97,AS97,AU97,AW97,AY97,BA97,BC97)/min(AE97,AG97,AI97,AK97,AM97,AO97,AQ97,AS97,AU97,AW97,AY97,BA97,BC97))^(1/M97)-1</f>
        <v>0.4645731187</v>
      </c>
      <c r="Z97" s="695"/>
      <c r="AA97" s="696"/>
      <c r="AB97" s="74"/>
      <c r="AC97" s="74"/>
      <c r="AD97" s="109"/>
      <c r="AE97" s="105"/>
      <c r="AF97" s="188" t="str">
        <f>HYPERLINK("https://www.crunchbase.com/organization/juniper-square"," 1/1/2016")</f>
        <v> 1/1/2016</v>
      </c>
      <c r="AG97" s="148">
        <v>2000000.0</v>
      </c>
      <c r="AH97" s="101"/>
      <c r="AI97" s="106"/>
      <c r="AJ97" s="107" t="str">
        <f>HYPERLINK("https://www.crunchbase.com/funding_round/juniper-square-series-a--21a31229"," 1/31/2018")</f>
        <v> 1/31/2018</v>
      </c>
      <c r="AK97" s="148">
        <v>6000000.0</v>
      </c>
      <c r="AL97" s="107" t="str">
        <f>HYPERLINK("https://www.crunchbase.com/funding_round/juniper-square-series-b--fb491091"," 12/12/2018")</f>
        <v> 12/12/2018</v>
      </c>
      <c r="AM97" s="148">
        <v>2.5E7</v>
      </c>
      <c r="AN97" s="107" t="str">
        <f>HYPERLINK("https://www.crunchbase.com/funding_round/juniper-square-series-c--7555d16f"," 11/21/2019")</f>
        <v> 11/21/2019</v>
      </c>
      <c r="AO97" s="108">
        <v>7.5E7</v>
      </c>
      <c r="AP97" s="109"/>
      <c r="AQ97" s="105"/>
      <c r="AR97" s="109"/>
      <c r="AS97" s="109"/>
      <c r="AT97" s="109"/>
      <c r="AU97" s="110"/>
      <c r="AV97" s="109"/>
      <c r="AW97" s="38"/>
      <c r="AX97" s="133"/>
      <c r="AY97" s="38"/>
      <c r="AZ97" s="716">
        <v>44970.0</v>
      </c>
      <c r="BA97" s="150">
        <v>1.33E8</v>
      </c>
      <c r="BB97" s="133"/>
      <c r="BC97" s="105"/>
      <c r="BD97" s="79"/>
      <c r="BE97" s="84"/>
      <c r="BF97" s="74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</row>
    <row r="98" ht="15.75" customHeight="1">
      <c r="A98" s="400" t="s">
        <v>608</v>
      </c>
      <c r="B98" s="115"/>
      <c r="C98" s="116" t="s">
        <v>132</v>
      </c>
      <c r="D98" s="401" t="s">
        <v>609</v>
      </c>
      <c r="E98" s="401" t="s">
        <v>610</v>
      </c>
      <c r="F98" s="708" t="s">
        <v>611</v>
      </c>
      <c r="G98" s="286"/>
      <c r="H98" s="119" t="s">
        <v>128</v>
      </c>
      <c r="I98" s="25" t="s">
        <v>129</v>
      </c>
      <c r="J98" s="287"/>
      <c r="K98" s="25">
        <v>3.0</v>
      </c>
      <c r="L98" s="25">
        <v>2016.0</v>
      </c>
      <c r="M98" s="25">
        <f t="shared" si="35"/>
        <v>9</v>
      </c>
      <c r="N98" s="26">
        <f t="shared" si="45"/>
        <v>2</v>
      </c>
      <c r="O98" s="27" t="str">
        <f t="shared" si="3"/>
        <v>#N/A</v>
      </c>
      <c r="P98" s="55"/>
      <c r="Q98" s="55"/>
      <c r="R98" s="55"/>
      <c r="S98" s="55"/>
      <c r="T98" s="55"/>
      <c r="U98" s="55"/>
      <c r="V98" s="30">
        <f t="shared" si="28"/>
        <v>230000000</v>
      </c>
      <c r="W98" s="31">
        <v>1000000.0</v>
      </c>
      <c r="X98" s="403"/>
      <c r="Y98" s="403"/>
      <c r="Z98" s="692"/>
      <c r="AA98" s="665"/>
      <c r="AB98" s="123"/>
      <c r="AC98" s="123"/>
      <c r="AD98" s="717"/>
      <c r="AE98" s="123"/>
      <c r="AF98" s="62">
        <v>42814.0</v>
      </c>
      <c r="AG98" s="123"/>
      <c r="AH98" s="123"/>
      <c r="AI98" s="123"/>
      <c r="AJ98" s="404">
        <v>43314.0</v>
      </c>
      <c r="AK98" s="38">
        <v>3.0E7</v>
      </c>
      <c r="AL98" s="123"/>
      <c r="AM98" s="123"/>
      <c r="AN98" s="123"/>
      <c r="AO98" s="123"/>
      <c r="AP98" s="123"/>
      <c r="AQ98" s="123"/>
      <c r="AR98" s="123"/>
      <c r="AS98" s="123"/>
      <c r="AT98" s="123"/>
      <c r="AU98" s="137"/>
      <c r="AV98" s="123"/>
      <c r="AW98" s="38"/>
      <c r="AX98" s="123"/>
      <c r="AY98" s="38"/>
      <c r="AZ98" s="123"/>
      <c r="BA98" s="137"/>
      <c r="BB98" s="404">
        <v>44979.0</v>
      </c>
      <c r="BC98" s="170">
        <v>2.0E8</v>
      </c>
      <c r="BD98" s="123"/>
      <c r="BE98" s="125"/>
      <c r="BF98" s="123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</row>
    <row r="99" ht="15.75" customHeight="1">
      <c r="A99" s="535" t="s">
        <v>612</v>
      </c>
      <c r="B99" s="68"/>
      <c r="C99" s="69" t="s">
        <v>59</v>
      </c>
      <c r="D99" s="184"/>
      <c r="E99" s="231" t="s">
        <v>613</v>
      </c>
      <c r="F99" s="173" t="s">
        <v>614</v>
      </c>
      <c r="G99" s="48"/>
      <c r="H99" s="71" t="s">
        <v>64</v>
      </c>
      <c r="I99" s="26" t="s">
        <v>65</v>
      </c>
      <c r="J99" s="718"/>
      <c r="K99" s="26">
        <v>1.0</v>
      </c>
      <c r="L99" s="26">
        <v>2018.0</v>
      </c>
      <c r="M99" s="25">
        <f t="shared" si="35"/>
        <v>7</v>
      </c>
      <c r="N99" s="26">
        <f t="shared" si="45"/>
        <v>3</v>
      </c>
      <c r="O99" s="27" t="str">
        <f t="shared" si="3"/>
        <v>#N/A</v>
      </c>
      <c r="P99" s="28" t="str">
        <f t="shared" ref="P99:P101" si="69">RANK(T99,$T$2:$T$333)</f>
        <v>#N/A</v>
      </c>
      <c r="Q99" s="28">
        <f t="shared" ref="Q99:Q101" si="70">rank(V99,$V$2:$V$344)</f>
        <v>58</v>
      </c>
      <c r="R99" s="28"/>
      <c r="S99" s="28"/>
      <c r="T99" s="28"/>
      <c r="U99" s="28"/>
      <c r="V99" s="30">
        <f t="shared" si="28"/>
        <v>230300000</v>
      </c>
      <c r="W99" s="30"/>
      <c r="X99" s="73"/>
      <c r="Y99" s="73"/>
      <c r="Z99" s="692"/>
      <c r="AA99" s="665"/>
      <c r="AB99" s="74"/>
      <c r="AC99" s="74"/>
      <c r="AD99" s="79"/>
      <c r="AE99" s="84"/>
      <c r="AF99" s="719" t="str">
        <f>HYPERLINK("https://www.crunchbase.com/funding_round/span-io-seed--339e6511","Dec 28, 2018")</f>
        <v>Dec 28, 2018</v>
      </c>
      <c r="AG99" s="76">
        <v>3800000.0</v>
      </c>
      <c r="AH99" s="77"/>
      <c r="AI99" s="78"/>
      <c r="AJ99" s="181" t="str">
        <f>HYPERLINK("https://www.crunchbase.com/funding_round/span-io-series-a--157cc2a7","Jan 26, 2021")</f>
        <v>Jan 26, 2021</v>
      </c>
      <c r="AK99" s="76">
        <v>4.0E7</v>
      </c>
      <c r="AL99" s="75">
        <v>44988.0</v>
      </c>
      <c r="AM99" s="76">
        <v>1.865E8</v>
      </c>
      <c r="AN99" s="79"/>
      <c r="AO99" s="84"/>
      <c r="AP99" s="79"/>
      <c r="AQ99" s="84"/>
      <c r="AR99" s="79"/>
      <c r="AS99" s="79"/>
      <c r="AT99" s="79"/>
      <c r="AU99" s="80"/>
      <c r="AV99" s="79"/>
      <c r="AW99" s="38"/>
      <c r="AX99" s="79"/>
      <c r="AY99" s="38"/>
      <c r="AZ99" s="79"/>
      <c r="BA99" s="80"/>
      <c r="BB99" s="79"/>
      <c r="BC99" s="80"/>
      <c r="BD99" s="79"/>
      <c r="BE99" s="84"/>
      <c r="BF99" s="74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</row>
    <row r="100" ht="15.75" customHeight="1">
      <c r="A100" s="400" t="s">
        <v>615</v>
      </c>
      <c r="B100" s="115"/>
      <c r="C100" s="116" t="s">
        <v>132</v>
      </c>
      <c r="D100" s="161" t="s">
        <v>616</v>
      </c>
      <c r="E100" s="192" t="s">
        <v>617</v>
      </c>
      <c r="F100" s="118" t="s">
        <v>618</v>
      </c>
      <c r="G100" s="720"/>
      <c r="H100" s="119" t="s">
        <v>619</v>
      </c>
      <c r="I100" s="25" t="s">
        <v>257</v>
      </c>
      <c r="J100" s="287"/>
      <c r="K100" s="25">
        <v>3.0</v>
      </c>
      <c r="L100" s="25">
        <v>2014.0</v>
      </c>
      <c r="M100" s="25">
        <f t="shared" si="35"/>
        <v>11</v>
      </c>
      <c r="N100" s="26">
        <f t="shared" si="45"/>
        <v>4</v>
      </c>
      <c r="O100" s="27" t="str">
        <f t="shared" si="3"/>
        <v>#N/A</v>
      </c>
      <c r="P100" s="28" t="str">
        <f t="shared" si="69"/>
        <v>#N/A</v>
      </c>
      <c r="Q100" s="28">
        <f t="shared" si="70"/>
        <v>71</v>
      </c>
      <c r="R100" s="356"/>
      <c r="S100" s="356"/>
      <c r="T100" s="356"/>
      <c r="U100" s="356"/>
      <c r="V100" s="30">
        <f t="shared" si="28"/>
        <v>199600000</v>
      </c>
      <c r="W100" s="30"/>
      <c r="X100" s="597"/>
      <c r="Y100" s="597"/>
      <c r="Z100" s="692"/>
      <c r="AA100" s="665"/>
      <c r="AB100" s="123"/>
      <c r="AC100" s="123"/>
      <c r="AD100" s="124"/>
      <c r="AE100" s="125"/>
      <c r="AF100" s="721"/>
      <c r="AG100" s="127"/>
      <c r="AH100" s="123"/>
      <c r="AI100" s="128"/>
      <c r="AJ100" s="167" t="str">
        <f>HYPERLINK("https://www.crunchbase.com/funding_round/livspace-series-a--ab7d5517","Dec 17, 2014")</f>
        <v>Dec 17, 2014</v>
      </c>
      <c r="AK100" s="127">
        <v>4600000.0</v>
      </c>
      <c r="AL100" s="167" t="str">
        <f>HYPERLINK("https://www.crunchbase.com/funding_round/livspace-series-b--7827fb3d","Aug 29, 2016")</f>
        <v>Aug 29, 2016</v>
      </c>
      <c r="AM100" s="127">
        <v>1.5E7</v>
      </c>
      <c r="AN100" s="455" t="str">
        <f>HYPERLINK("https://www.crunchbase.com/funding_round/livspace-series-c--6a53d637","Sep 19, 2018")</f>
        <v>Sep 19, 2018</v>
      </c>
      <c r="AO100" s="127">
        <v>0.0</v>
      </c>
      <c r="AP100" s="55"/>
      <c r="AQ100" s="125"/>
      <c r="AR100" s="455" t="str">
        <f>HYPERLINK("https://www.crunchbase.com/funding_round/livspace-series-f--48cd6487","Feb 7, 2022")</f>
        <v>Feb 7, 2022</v>
      </c>
      <c r="AS100" s="170">
        <v>1.8E8</v>
      </c>
      <c r="AT100" s="124"/>
      <c r="AU100" s="137"/>
      <c r="AV100" s="124"/>
      <c r="AW100" s="38"/>
      <c r="AX100" s="124"/>
      <c r="AY100" s="38"/>
      <c r="AZ100" s="124"/>
      <c r="BA100" s="137"/>
      <c r="BB100" s="124"/>
      <c r="BC100" s="137"/>
      <c r="BD100" s="124"/>
      <c r="BE100" s="125"/>
      <c r="BF100" s="123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</row>
    <row r="101" ht="15.75" customHeight="1">
      <c r="A101" s="400" t="s">
        <v>620</v>
      </c>
      <c r="B101" s="115"/>
      <c r="C101" s="116" t="s">
        <v>68</v>
      </c>
      <c r="D101" s="161" t="s">
        <v>621</v>
      </c>
      <c r="E101" s="161" t="s">
        <v>622</v>
      </c>
      <c r="F101" s="402" t="s">
        <v>623</v>
      </c>
      <c r="G101" s="286"/>
      <c r="H101" s="119" t="s">
        <v>114</v>
      </c>
      <c r="I101" s="25" t="s">
        <v>115</v>
      </c>
      <c r="J101" s="287"/>
      <c r="K101" s="25">
        <v>2.0</v>
      </c>
      <c r="L101" s="25">
        <v>2018.0</v>
      </c>
      <c r="M101" s="25">
        <f t="shared" si="35"/>
        <v>7</v>
      </c>
      <c r="N101" s="26">
        <f t="shared" si="45"/>
        <v>3</v>
      </c>
      <c r="O101" s="27" t="str">
        <f t="shared" si="3"/>
        <v>#N/A</v>
      </c>
      <c r="P101" s="28" t="str">
        <f t="shared" si="69"/>
        <v>#N/A</v>
      </c>
      <c r="Q101" s="28">
        <f t="shared" si="70"/>
        <v>74</v>
      </c>
      <c r="R101" s="55"/>
      <c r="S101" s="55"/>
      <c r="T101" s="55"/>
      <c r="U101" s="55"/>
      <c r="V101" s="30">
        <f t="shared" si="28"/>
        <v>190000000</v>
      </c>
      <c r="W101" s="31">
        <v>1000000.0</v>
      </c>
      <c r="X101" s="403"/>
      <c r="Y101" s="403"/>
      <c r="Z101" s="692"/>
      <c r="AA101" s="665"/>
      <c r="AB101" s="123"/>
      <c r="AC101" s="123"/>
      <c r="AD101" s="452"/>
      <c r="AE101" s="123"/>
      <c r="AF101" s="453"/>
      <c r="AG101" s="123"/>
      <c r="AH101" s="123"/>
      <c r="AI101" s="123"/>
      <c r="AJ101" s="404">
        <v>43494.0</v>
      </c>
      <c r="AK101" s="170">
        <v>6.0E7</v>
      </c>
      <c r="AL101" s="404">
        <v>44390.0</v>
      </c>
      <c r="AM101" s="170">
        <v>3.0E7</v>
      </c>
      <c r="AN101" s="123"/>
      <c r="AO101" s="123"/>
      <c r="AP101" s="123"/>
      <c r="AQ101" s="123"/>
      <c r="AR101" s="123"/>
      <c r="AS101" s="123"/>
      <c r="AT101" s="123"/>
      <c r="AU101" s="137"/>
      <c r="AV101" s="123"/>
      <c r="AW101" s="38"/>
      <c r="AX101" s="123"/>
      <c r="AY101" s="38"/>
      <c r="AZ101" s="123"/>
      <c r="BA101" s="137"/>
      <c r="BB101" s="404">
        <v>44866.0</v>
      </c>
      <c r="BC101" s="170">
        <v>1.0E8</v>
      </c>
      <c r="BD101" s="123"/>
      <c r="BE101" s="125"/>
      <c r="BF101" s="123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</row>
    <row r="102" ht="17.25" customHeight="1">
      <c r="A102" s="47" t="s">
        <v>624</v>
      </c>
      <c r="C102" s="48" t="s">
        <v>68</v>
      </c>
      <c r="D102" s="351"/>
      <c r="E102" s="49" t="s">
        <v>625</v>
      </c>
      <c r="F102" s="352" t="s">
        <v>626</v>
      </c>
      <c r="G102" s="353"/>
      <c r="H102" s="53" t="s">
        <v>627</v>
      </c>
      <c r="I102" s="54" t="s">
        <v>358</v>
      </c>
      <c r="J102" s="55"/>
      <c r="K102" s="54">
        <v>3.0</v>
      </c>
      <c r="L102" s="56">
        <v>2012.0</v>
      </c>
      <c r="M102" s="25">
        <f t="shared" si="35"/>
        <v>13</v>
      </c>
      <c r="N102" s="26">
        <f t="shared" si="45"/>
        <v>3</v>
      </c>
      <c r="O102" s="27" t="str">
        <f t="shared" si="3"/>
        <v>#N/A</v>
      </c>
      <c r="P102" s="55"/>
      <c r="Q102" s="55"/>
      <c r="R102" s="55"/>
      <c r="S102" s="55"/>
      <c r="T102" s="55"/>
      <c r="U102" s="55"/>
      <c r="V102" s="30">
        <f t="shared" si="28"/>
        <v>190000000</v>
      </c>
      <c r="W102" s="30"/>
      <c r="X102" s="58"/>
      <c r="Y102" s="58"/>
      <c r="Z102" s="692"/>
      <c r="AA102" s="665"/>
      <c r="AB102" s="55"/>
      <c r="AC102" s="55"/>
      <c r="AD102" s="453"/>
      <c r="AE102" s="55"/>
      <c r="AF102" s="355"/>
      <c r="AG102" s="55"/>
      <c r="AH102" s="55"/>
      <c r="AI102" s="55"/>
      <c r="AJ102" s="63">
        <v>43612.0</v>
      </c>
      <c r="AK102" s="38">
        <v>2.0E7</v>
      </c>
      <c r="AL102" s="62">
        <v>44203.0</v>
      </c>
      <c r="AM102" s="38">
        <v>5.0E7</v>
      </c>
      <c r="AN102" s="62">
        <v>44953.0</v>
      </c>
      <c r="AO102" s="38">
        <v>1.2E8</v>
      </c>
      <c r="AP102" s="356"/>
      <c r="AQ102" s="356"/>
      <c r="AR102" s="55"/>
      <c r="AS102" s="55"/>
      <c r="AT102" s="55"/>
      <c r="AU102" s="722"/>
      <c r="AV102" s="55"/>
      <c r="AW102" s="38"/>
      <c r="AX102" s="55"/>
      <c r="AY102" s="38"/>
      <c r="AZ102" s="55"/>
      <c r="BA102" s="722"/>
      <c r="BB102" s="55"/>
      <c r="BC102" s="38"/>
      <c r="BD102" s="55"/>
      <c r="BE102" s="38"/>
      <c r="BF102" s="55"/>
      <c r="BG102" s="723"/>
      <c r="BH102" s="723"/>
      <c r="BI102" s="723"/>
      <c r="BJ102" s="723"/>
      <c r="BK102" s="723"/>
      <c r="BL102" s="723"/>
      <c r="BM102" s="723"/>
      <c r="BN102" s="723"/>
      <c r="BO102" s="723"/>
      <c r="BP102" s="723"/>
      <c r="BQ102" s="723"/>
      <c r="BR102" s="723"/>
      <c r="BS102" s="723"/>
      <c r="BT102" s="723"/>
      <c r="BU102" s="723"/>
      <c r="BV102" s="723"/>
      <c r="BW102" s="723"/>
      <c r="BX102" s="723"/>
      <c r="BY102" s="723"/>
      <c r="BZ102" s="723"/>
      <c r="CA102" s="723"/>
      <c r="CB102" s="723"/>
      <c r="CC102" s="723"/>
      <c r="CD102" s="723"/>
      <c r="CE102" s="723"/>
      <c r="CF102" s="723"/>
      <c r="CG102" s="723"/>
      <c r="CH102" s="723"/>
      <c r="CI102" s="723"/>
      <c r="CJ102" s="723"/>
      <c r="CK102" s="723"/>
      <c r="CL102" s="723"/>
      <c r="CM102" s="723"/>
      <c r="CN102" s="723"/>
      <c r="CO102" s="723"/>
      <c r="CP102" s="723"/>
    </row>
    <row r="103" ht="17.25" customHeight="1">
      <c r="A103" s="400" t="s">
        <v>628</v>
      </c>
      <c r="B103" s="115"/>
      <c r="C103" s="116" t="s">
        <v>629</v>
      </c>
      <c r="D103" s="401" t="s">
        <v>630</v>
      </c>
      <c r="E103" s="401" t="s">
        <v>631</v>
      </c>
      <c r="F103" s="402" t="s">
        <v>632</v>
      </c>
      <c r="G103" s="286"/>
      <c r="H103" s="119" t="s">
        <v>633</v>
      </c>
      <c r="I103" s="25" t="s">
        <v>634</v>
      </c>
      <c r="J103" s="287"/>
      <c r="K103" s="25">
        <v>2.0</v>
      </c>
      <c r="L103" s="25">
        <v>2016.0</v>
      </c>
      <c r="M103" s="25">
        <f t="shared" si="35"/>
        <v>9</v>
      </c>
      <c r="N103" s="26">
        <f t="shared" si="45"/>
        <v>5</v>
      </c>
      <c r="O103" s="27" t="str">
        <f t="shared" si="3"/>
        <v>#N/A</v>
      </c>
      <c r="P103" s="55"/>
      <c r="Q103" s="55"/>
      <c r="R103" s="55"/>
      <c r="S103" s="55"/>
      <c r="T103" s="55"/>
      <c r="U103" s="55"/>
      <c r="V103" s="30">
        <f t="shared" si="28"/>
        <v>187700000</v>
      </c>
      <c r="W103" s="31">
        <v>5100000.0</v>
      </c>
      <c r="X103" s="403"/>
      <c r="Y103" s="403"/>
      <c r="Z103" s="692"/>
      <c r="AA103" s="665"/>
      <c r="AB103" s="123"/>
      <c r="AC103" s="123"/>
      <c r="AD103" s="452"/>
      <c r="AE103" s="123"/>
      <c r="AF103" s="62">
        <v>43160.0</v>
      </c>
      <c r="AG103" s="38">
        <v>1700000.0</v>
      </c>
      <c r="AH103" s="123"/>
      <c r="AI103" s="123"/>
      <c r="AJ103" s="404">
        <v>43748.0</v>
      </c>
      <c r="AK103" s="38">
        <v>1700000.0</v>
      </c>
      <c r="AL103" s="724">
        <v>44328.0</v>
      </c>
      <c r="AM103" s="38">
        <v>1.51E7</v>
      </c>
      <c r="AN103" s="404">
        <v>44881.0</v>
      </c>
      <c r="AO103" s="38">
        <v>7.27E7</v>
      </c>
      <c r="AP103" s="123"/>
      <c r="AQ103" s="123"/>
      <c r="AR103" s="123"/>
      <c r="AS103" s="123"/>
      <c r="AT103" s="123"/>
      <c r="AU103" s="137"/>
      <c r="AV103" s="123"/>
      <c r="AW103" s="38"/>
      <c r="AX103" s="123"/>
      <c r="AY103" s="38"/>
      <c r="AZ103" s="123"/>
      <c r="BA103" s="137"/>
      <c r="BB103" s="404">
        <v>44881.0</v>
      </c>
      <c r="BC103" s="170">
        <v>9.65E7</v>
      </c>
      <c r="BD103" s="123"/>
      <c r="BE103" s="125"/>
      <c r="BF103" s="123"/>
      <c r="BG103" s="115"/>
      <c r="BH103" s="115"/>
      <c r="BI103" s="115"/>
      <c r="BJ103" s="115"/>
      <c r="BK103" s="115"/>
      <c r="BL103" s="115"/>
      <c r="BM103" s="115"/>
      <c r="BN103" s="115"/>
      <c r="BO103" s="115"/>
      <c r="BP103" s="115"/>
      <c r="BQ103" s="115"/>
      <c r="BR103" s="115"/>
      <c r="BS103" s="115"/>
      <c r="BT103" s="115"/>
      <c r="BU103" s="115"/>
      <c r="BV103" s="115"/>
      <c r="BW103" s="115"/>
      <c r="BX103" s="115"/>
      <c r="BY103" s="115"/>
      <c r="BZ103" s="115"/>
      <c r="CA103" s="115"/>
      <c r="CB103" s="115"/>
      <c r="CC103" s="115"/>
      <c r="CD103" s="115"/>
      <c r="CE103" s="115"/>
      <c r="CF103" s="115"/>
      <c r="CG103" s="115"/>
      <c r="CH103" s="115"/>
      <c r="CI103" s="115"/>
      <c r="CJ103" s="115"/>
      <c r="CK103" s="115"/>
      <c r="CL103" s="115"/>
      <c r="CM103" s="115"/>
      <c r="CN103" s="115"/>
      <c r="CO103" s="115"/>
      <c r="CP103" s="115"/>
    </row>
    <row r="104" ht="15.75" customHeight="1">
      <c r="A104" s="725" t="s">
        <v>635</v>
      </c>
      <c r="C104" s="48" t="s">
        <v>84</v>
      </c>
      <c r="D104" s="351"/>
      <c r="E104" s="49" t="s">
        <v>636</v>
      </c>
      <c r="F104" s="352" t="s">
        <v>637</v>
      </c>
      <c r="G104" s="353"/>
      <c r="H104" s="53" t="s">
        <v>638</v>
      </c>
      <c r="I104" s="54" t="s">
        <v>639</v>
      </c>
      <c r="J104" s="55"/>
      <c r="K104" s="54">
        <v>2.0</v>
      </c>
      <c r="L104" s="56">
        <v>2011.0</v>
      </c>
      <c r="M104" s="25">
        <f t="shared" si="35"/>
        <v>14</v>
      </c>
      <c r="N104" s="26">
        <f t="shared" si="45"/>
        <v>5</v>
      </c>
      <c r="O104" s="27" t="str">
        <f t="shared" si="3"/>
        <v>#N/A</v>
      </c>
      <c r="P104" s="55"/>
      <c r="Q104" s="55"/>
      <c r="R104" s="55"/>
      <c r="S104" s="55"/>
      <c r="T104" s="55"/>
      <c r="U104" s="55"/>
      <c r="V104" s="30">
        <f t="shared" si="28"/>
        <v>183500000</v>
      </c>
      <c r="W104" s="30"/>
      <c r="X104" s="58"/>
      <c r="Y104" s="58"/>
      <c r="Z104" s="695"/>
      <c r="AA104" s="696"/>
      <c r="AB104" s="55"/>
      <c r="AC104" s="55"/>
      <c r="AD104" s="453"/>
      <c r="AE104" s="38"/>
      <c r="AF104" s="62">
        <v>41760.0</v>
      </c>
      <c r="AG104" s="38">
        <v>1700000.0</v>
      </c>
      <c r="AH104" s="55"/>
      <c r="AI104" s="38"/>
      <c r="AJ104" s="62">
        <v>42324.0</v>
      </c>
      <c r="AK104" s="38">
        <v>6000000.0</v>
      </c>
      <c r="AL104" s="62">
        <v>43101.0</v>
      </c>
      <c r="AM104" s="38">
        <v>1.6E7</v>
      </c>
      <c r="AN104" s="62">
        <v>44208.0</v>
      </c>
      <c r="AO104" s="38">
        <v>5.98E7</v>
      </c>
      <c r="AP104" s="64">
        <v>44964.0</v>
      </c>
      <c r="AQ104" s="38">
        <v>1.0E8</v>
      </c>
      <c r="AR104" s="55"/>
      <c r="AS104" s="38"/>
      <c r="AT104" s="55"/>
      <c r="AU104" s="38"/>
      <c r="AV104" s="55"/>
      <c r="AW104" s="38"/>
      <c r="AX104" s="55"/>
      <c r="AY104" s="38"/>
      <c r="AZ104" s="55"/>
      <c r="BA104" s="38"/>
      <c r="BB104" s="55"/>
      <c r="BC104" s="38"/>
      <c r="BD104" s="55"/>
      <c r="BE104" s="38"/>
      <c r="BF104" s="55"/>
      <c r="BG104" s="115"/>
      <c r="BH104" s="115"/>
      <c r="BI104" s="115"/>
      <c r="BJ104" s="115"/>
      <c r="BK104" s="115"/>
      <c r="BL104" s="115"/>
      <c r="BM104" s="115"/>
      <c r="BN104" s="115"/>
      <c r="BO104" s="115"/>
      <c r="BP104" s="115"/>
      <c r="BQ104" s="115"/>
      <c r="BR104" s="115"/>
      <c r="BS104" s="115"/>
      <c r="BT104" s="115"/>
      <c r="BU104" s="115"/>
      <c r="BV104" s="115"/>
      <c r="BW104" s="115"/>
      <c r="BX104" s="115"/>
      <c r="BY104" s="115"/>
      <c r="BZ104" s="115"/>
      <c r="CA104" s="115"/>
      <c r="CB104" s="115"/>
      <c r="CC104" s="115"/>
      <c r="CD104" s="115"/>
      <c r="CE104" s="115"/>
      <c r="CF104" s="115"/>
      <c r="CG104" s="115"/>
      <c r="CH104" s="115"/>
      <c r="CI104" s="115"/>
      <c r="CJ104" s="115"/>
      <c r="CK104" s="115"/>
      <c r="CL104" s="115"/>
      <c r="CM104" s="115"/>
      <c r="CN104" s="115"/>
      <c r="CO104" s="115"/>
      <c r="CP104" s="115"/>
    </row>
    <row r="105" ht="15.75" customHeight="1">
      <c r="A105" s="21" t="s">
        <v>640</v>
      </c>
      <c r="B105" s="68"/>
      <c r="C105" s="69" t="s">
        <v>513</v>
      </c>
      <c r="D105" s="380"/>
      <c r="E105" s="231" t="s">
        <v>641</v>
      </c>
      <c r="F105" s="425" t="s">
        <v>642</v>
      </c>
      <c r="G105" s="71"/>
      <c r="H105" s="71" t="s">
        <v>64</v>
      </c>
      <c r="I105" s="26" t="s">
        <v>65</v>
      </c>
      <c r="J105" s="72"/>
      <c r="K105" s="26">
        <v>2.0</v>
      </c>
      <c r="L105" s="26">
        <v>2017.0</v>
      </c>
      <c r="M105" s="25">
        <f t="shared" si="35"/>
        <v>8</v>
      </c>
      <c r="N105" s="26">
        <f t="shared" si="45"/>
        <v>3</v>
      </c>
      <c r="O105" s="27" t="str">
        <f t="shared" si="3"/>
        <v>#N/A</v>
      </c>
      <c r="P105" s="28" t="str">
        <f t="shared" ref="P105:P106" si="71">RANK(T105,$T$2:$T$333)</f>
        <v>#N/A</v>
      </c>
      <c r="Q105" s="28">
        <f t="shared" ref="Q105:Q106" si="72">rank(V105,$V$2:$V$344)</f>
        <v>79</v>
      </c>
      <c r="R105" s="28"/>
      <c r="S105" s="28"/>
      <c r="T105" s="28"/>
      <c r="U105" s="28"/>
      <c r="V105" s="30">
        <f t="shared" si="28"/>
        <v>177000000</v>
      </c>
      <c r="W105" s="30"/>
      <c r="X105" s="73"/>
      <c r="Y105" s="73"/>
      <c r="Z105" s="692"/>
      <c r="AA105" s="665"/>
      <c r="AB105" s="74"/>
      <c r="AC105" s="74"/>
      <c r="AD105" s="44"/>
      <c r="AE105" s="46"/>
      <c r="AF105" s="726">
        <v>43145.0</v>
      </c>
      <c r="AG105" s="38"/>
      <c r="AH105" s="36"/>
      <c r="AI105" s="159"/>
      <c r="AJ105" s="75">
        <v>43649.0</v>
      </c>
      <c r="AK105" s="715">
        <v>1.1E7</v>
      </c>
      <c r="AL105" s="727">
        <v>44316.0</v>
      </c>
      <c r="AM105" s="38">
        <v>2.8E7</v>
      </c>
      <c r="AN105" s="75">
        <v>44795.0</v>
      </c>
      <c r="AO105" s="38">
        <v>1.38E8</v>
      </c>
      <c r="AP105" s="44"/>
      <c r="AQ105" s="46"/>
      <c r="AR105" s="44"/>
      <c r="AS105" s="44"/>
      <c r="AT105" s="44"/>
      <c r="AU105" s="45"/>
      <c r="AV105" s="44"/>
      <c r="AW105" s="38"/>
      <c r="AX105" s="44"/>
      <c r="AY105" s="38"/>
      <c r="AZ105" s="44"/>
      <c r="BA105" s="45"/>
      <c r="BB105" s="44"/>
      <c r="BC105" s="45"/>
      <c r="BD105" s="44"/>
      <c r="BE105" s="46"/>
      <c r="BF105" s="36"/>
      <c r="BG105" s="534"/>
      <c r="BH105" s="534"/>
      <c r="BI105" s="534"/>
      <c r="BJ105" s="534"/>
      <c r="BK105" s="534"/>
      <c r="BL105" s="534"/>
      <c r="BM105" s="534"/>
      <c r="BN105" s="534"/>
      <c r="BO105" s="534"/>
      <c r="BP105" s="534"/>
      <c r="BQ105" s="534"/>
      <c r="BR105" s="534"/>
      <c r="BS105" s="534"/>
      <c r="BT105" s="534"/>
      <c r="BU105" s="534"/>
      <c r="BV105" s="534"/>
      <c r="BW105" s="534"/>
      <c r="BX105" s="534"/>
      <c r="BY105" s="534"/>
      <c r="BZ105" s="534"/>
      <c r="CA105" s="534"/>
      <c r="CB105" s="534"/>
      <c r="CC105" s="534"/>
      <c r="CD105" s="534"/>
      <c r="CE105" s="534"/>
      <c r="CF105" s="534"/>
      <c r="CG105" s="534"/>
      <c r="CH105" s="534"/>
      <c r="CI105" s="534"/>
      <c r="CJ105" s="534"/>
      <c r="CK105" s="534"/>
      <c r="CL105" s="534"/>
      <c r="CM105" s="534"/>
      <c r="CN105" s="534"/>
      <c r="CO105" s="534"/>
      <c r="CP105" s="534"/>
    </row>
    <row r="106" ht="15.75" customHeight="1">
      <c r="A106" s="21" t="s">
        <v>643</v>
      </c>
      <c r="B106" s="16"/>
      <c r="C106" s="17" t="s">
        <v>267</v>
      </c>
      <c r="D106" s="337"/>
      <c r="E106" s="138" t="s">
        <v>644</v>
      </c>
      <c r="F106" s="173" t="s">
        <v>645</v>
      </c>
      <c r="G106" s="22"/>
      <c r="H106" s="22" t="s">
        <v>328</v>
      </c>
      <c r="I106" s="23" t="s">
        <v>329</v>
      </c>
      <c r="J106" s="24"/>
      <c r="K106" s="23">
        <v>2.0</v>
      </c>
      <c r="L106" s="23">
        <v>2009.0</v>
      </c>
      <c r="M106" s="25">
        <f t="shared" si="35"/>
        <v>16</v>
      </c>
      <c r="N106" s="26">
        <f t="shared" si="45"/>
        <v>3</v>
      </c>
      <c r="O106" s="27" t="str">
        <f t="shared" si="3"/>
        <v>#N/A</v>
      </c>
      <c r="P106" s="28" t="str">
        <f t="shared" si="71"/>
        <v>#N/A</v>
      </c>
      <c r="Q106" s="28">
        <f t="shared" si="72"/>
        <v>80</v>
      </c>
      <c r="R106" s="28"/>
      <c r="S106" s="28"/>
      <c r="T106" s="28"/>
      <c r="U106" s="28"/>
      <c r="V106" s="30">
        <f t="shared" si="28"/>
        <v>176150000</v>
      </c>
      <c r="W106" s="30"/>
      <c r="X106" s="33"/>
      <c r="Y106" s="33"/>
      <c r="Z106" s="692"/>
      <c r="AA106" s="665"/>
      <c r="AB106" s="36"/>
      <c r="AC106" s="36"/>
      <c r="AD106" s="44"/>
      <c r="AE106" s="46"/>
      <c r="AF106" s="39"/>
      <c r="AG106" s="38"/>
      <c r="AH106" s="36"/>
      <c r="AI106" s="159"/>
      <c r="AJ106" s="43" t="str">
        <f>HYPERLINK("https://www.crunchbase.com/funding_round/carbon-clean-solutions-series-a--b482d2a1","Oct 1, 2015")</f>
        <v>Oct 1, 2015</v>
      </c>
      <c r="AK106" s="38">
        <v>4150000.0</v>
      </c>
      <c r="AL106" s="43" t="str">
        <f>HYPERLINK("https://www.crunchbase.com/funding_round/carbon-clean-solutions-series-b--bfc96e2d","Jul 2, 2020")</f>
        <v>Jul 2, 2020</v>
      </c>
      <c r="AM106" s="38">
        <v>2.2E7</v>
      </c>
      <c r="AN106" s="43" t="str">
        <f>HYPERLINK("https://www.crunchbase.com/funding_round/carbon-clean-solutions-series-c--346b2d2b","May 11, 2022")</f>
        <v>May 11, 2022</v>
      </c>
      <c r="AO106" s="38">
        <v>1.5E8</v>
      </c>
      <c r="AP106" s="44"/>
      <c r="AQ106" s="46"/>
      <c r="AR106" s="44"/>
      <c r="AS106" s="44"/>
      <c r="AT106" s="44"/>
      <c r="AU106" s="45"/>
      <c r="AV106" s="44"/>
      <c r="AW106" s="38"/>
      <c r="AX106" s="44"/>
      <c r="AY106" s="38"/>
      <c r="AZ106" s="44"/>
      <c r="BA106" s="45"/>
      <c r="BB106" s="44"/>
      <c r="BC106" s="45"/>
      <c r="BD106" s="44"/>
      <c r="BE106" s="46"/>
      <c r="BF106" s="36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</row>
    <row r="107" ht="15.75" customHeight="1">
      <c r="A107" s="400" t="s">
        <v>646</v>
      </c>
      <c r="B107" s="115"/>
      <c r="C107" s="116" t="s">
        <v>513</v>
      </c>
      <c r="D107" s="161" t="s">
        <v>647</v>
      </c>
      <c r="E107" s="161" t="s">
        <v>648</v>
      </c>
      <c r="F107" s="708" t="s">
        <v>649</v>
      </c>
      <c r="G107" s="286"/>
      <c r="H107" s="119" t="s">
        <v>650</v>
      </c>
      <c r="I107" s="25" t="s">
        <v>651</v>
      </c>
      <c r="J107" s="287"/>
      <c r="K107" s="25">
        <v>1.0</v>
      </c>
      <c r="L107" s="25">
        <v>2014.0</v>
      </c>
      <c r="M107" s="25">
        <f t="shared" si="35"/>
        <v>11</v>
      </c>
      <c r="N107" s="26">
        <f t="shared" si="45"/>
        <v>5</v>
      </c>
      <c r="O107" s="27" t="str">
        <f t="shared" si="3"/>
        <v>#N/A</v>
      </c>
      <c r="P107" s="55"/>
      <c r="Q107" s="55"/>
      <c r="R107" s="55"/>
      <c r="S107" s="55"/>
      <c r="T107" s="55"/>
      <c r="U107" s="55"/>
      <c r="V107" s="30">
        <f t="shared" si="28"/>
        <v>174100000</v>
      </c>
      <c r="W107" s="31">
        <v>6.5E7</v>
      </c>
      <c r="X107" s="403"/>
      <c r="Y107" s="403"/>
      <c r="Z107" s="692"/>
      <c r="AA107" s="665"/>
      <c r="AB107" s="123"/>
      <c r="AC107" s="123"/>
      <c r="AD107" s="717"/>
      <c r="AE107" s="123"/>
      <c r="AF107" s="62">
        <v>41814.0</v>
      </c>
      <c r="AG107" s="38">
        <v>1700000.0</v>
      </c>
      <c r="AH107" s="123"/>
      <c r="AI107" s="123"/>
      <c r="AJ107" s="123"/>
      <c r="AK107" s="38"/>
      <c r="AL107" s="404">
        <v>42816.0</v>
      </c>
      <c r="AM107" s="38">
        <v>8800000.0</v>
      </c>
      <c r="AN107" s="404">
        <v>44096.0</v>
      </c>
      <c r="AO107" s="38">
        <v>3.86E7</v>
      </c>
      <c r="AP107" s="404">
        <v>44880.0</v>
      </c>
      <c r="AQ107" s="38">
        <v>9.0E7</v>
      </c>
      <c r="AR107" s="123"/>
      <c r="AS107" s="123"/>
      <c r="AT107" s="123"/>
      <c r="AU107" s="137"/>
      <c r="AV107" s="123"/>
      <c r="AW107" s="38"/>
      <c r="AX107" s="123"/>
      <c r="AY107" s="38"/>
      <c r="AZ107" s="404">
        <v>42999.0</v>
      </c>
      <c r="BA107" s="170">
        <v>3.5E7</v>
      </c>
      <c r="BB107" s="123"/>
      <c r="BC107" s="137"/>
      <c r="BD107" s="123"/>
      <c r="BE107" s="125"/>
      <c r="BF107" s="123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</row>
    <row r="108" ht="15.75" customHeight="1">
      <c r="A108" s="400" t="s">
        <v>652</v>
      </c>
      <c r="B108" s="115"/>
      <c r="C108" s="116" t="s">
        <v>190</v>
      </c>
      <c r="D108" s="401" t="s">
        <v>653</v>
      </c>
      <c r="E108" s="401" t="s">
        <v>654</v>
      </c>
      <c r="F108" s="402" t="s">
        <v>655</v>
      </c>
      <c r="G108" s="119"/>
      <c r="H108" s="119" t="s">
        <v>455</v>
      </c>
      <c r="I108" s="25" t="s">
        <v>100</v>
      </c>
      <c r="J108" s="178"/>
      <c r="K108" s="25">
        <v>3.0</v>
      </c>
      <c r="L108" s="25">
        <v>2014.0</v>
      </c>
      <c r="M108" s="25">
        <f t="shared" si="35"/>
        <v>11</v>
      </c>
      <c r="N108" s="26">
        <f t="shared" si="45"/>
        <v>5</v>
      </c>
      <c r="O108" s="27" t="str">
        <f t="shared" si="3"/>
        <v>#N/A</v>
      </c>
      <c r="P108" s="28" t="str">
        <f t="shared" ref="P108:P109" si="73">RANK(T108,$T$2:$T$333)</f>
        <v>#N/A</v>
      </c>
      <c r="Q108" s="28">
        <f t="shared" ref="Q108:Q109" si="74">rank(V108,$V$2:$V$344)</f>
        <v>82</v>
      </c>
      <c r="R108" s="55"/>
      <c r="S108" s="55"/>
      <c r="T108" s="55"/>
      <c r="U108" s="55"/>
      <c r="V108" s="30">
        <f t="shared" si="28"/>
        <v>173700000</v>
      </c>
      <c r="W108" s="30"/>
      <c r="X108" s="597"/>
      <c r="Y108" s="597"/>
      <c r="Z108" s="695"/>
      <c r="AA108" s="696"/>
      <c r="AB108" s="123"/>
      <c r="AC108" s="123"/>
      <c r="AD108" s="124"/>
      <c r="AE108" s="125"/>
      <c r="AF108" s="728">
        <v>41856.0</v>
      </c>
      <c r="AG108" s="127">
        <v>900000.0</v>
      </c>
      <c r="AH108" s="123"/>
      <c r="AI108" s="128"/>
      <c r="AJ108" s="171">
        <v>43282.0</v>
      </c>
      <c r="AK108" s="127">
        <v>5500000.0</v>
      </c>
      <c r="AL108" s="124"/>
      <c r="AM108" s="125"/>
      <c r="AN108" s="171">
        <v>44095.0</v>
      </c>
      <c r="AO108" s="127">
        <v>4.9E7</v>
      </c>
      <c r="AP108" s="171">
        <v>44328.0</v>
      </c>
      <c r="AQ108" s="127">
        <v>4.5E7</v>
      </c>
      <c r="AR108" s="171">
        <v>44853.0</v>
      </c>
      <c r="AS108" s="182">
        <v>7.33E7</v>
      </c>
      <c r="AT108" s="124"/>
      <c r="AU108" s="137"/>
      <c r="AV108" s="124"/>
      <c r="AW108" s="38"/>
      <c r="AX108" s="124"/>
      <c r="AY108" s="38"/>
      <c r="AZ108" s="124"/>
      <c r="BA108" s="137"/>
      <c r="BB108" s="124"/>
      <c r="BC108" s="137"/>
      <c r="BD108" s="124"/>
      <c r="BE108" s="125"/>
      <c r="BF108" s="123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</row>
    <row r="109" ht="15.75" customHeight="1">
      <c r="A109" s="21" t="s">
        <v>656</v>
      </c>
      <c r="B109" s="68"/>
      <c r="C109" s="69" t="s">
        <v>84</v>
      </c>
      <c r="D109" s="138" t="s">
        <v>657</v>
      </c>
      <c r="E109" s="138" t="s">
        <v>658</v>
      </c>
      <c r="F109" s="173" t="s">
        <v>659</v>
      </c>
      <c r="G109" s="71"/>
      <c r="H109" s="71" t="s">
        <v>357</v>
      </c>
      <c r="I109" s="26" t="s">
        <v>660</v>
      </c>
      <c r="J109" s="72"/>
      <c r="K109" s="26">
        <v>4.0</v>
      </c>
      <c r="L109" s="26">
        <v>2017.0</v>
      </c>
      <c r="M109" s="25">
        <f t="shared" si="35"/>
        <v>8</v>
      </c>
      <c r="N109" s="26">
        <f t="shared" si="45"/>
        <v>3</v>
      </c>
      <c r="O109" s="27" t="str">
        <f t="shared" si="3"/>
        <v>#N/A</v>
      </c>
      <c r="P109" s="28">
        <f t="shared" si="73"/>
        <v>60</v>
      </c>
      <c r="Q109" s="28">
        <f t="shared" si="74"/>
        <v>84</v>
      </c>
      <c r="R109" s="28"/>
      <c r="S109" s="28" t="str">
        <f>rank(Y109,$Y$8:$Y$80)</f>
        <v>#N/A</v>
      </c>
      <c r="T109" s="29">
        <f>V109/M109</f>
        <v>21500000</v>
      </c>
      <c r="U109" s="28"/>
      <c r="V109" s="30">
        <f t="shared" si="28"/>
        <v>172000000</v>
      </c>
      <c r="W109" s="30"/>
      <c r="X109" s="32">
        <f>(max(AE109,AG109,AI109,AK109,AM109,AO109,AQ109,AS109,AU109,AW109,AY109,BA109,BC109)/min(AE109,AG109,AI109,AK109,AM109,AO109,AQ109,AS109,AU109,AW109,AY109,BA109,BC109))^(1/N109)-1</f>
        <v>1.027400665</v>
      </c>
      <c r="Y109" s="33">
        <f>(max(AE109,AG109,AI109,AK109,AM109,AO109,AQ109,AS109,AU109,AW109,AY109,BA109,BC109)/min(AE109,AG109,AI109,AK109,AM109,AO109,AQ109,AS109,AU109,AW109,AY109,BA109,BC109))^(1/M109)-1</f>
        <v>0.3034739141</v>
      </c>
      <c r="Z109" s="692"/>
      <c r="AA109" s="665"/>
      <c r="AB109" s="74"/>
      <c r="AC109" s="74"/>
      <c r="AD109" s="109"/>
      <c r="AE109" s="105"/>
      <c r="AF109" s="394"/>
      <c r="AG109" s="105"/>
      <c r="AH109" s="101"/>
      <c r="AI109" s="106"/>
      <c r="AJ109" s="188" t="str">
        <f>HYPERLINK("https://www.crunchbase.com/funding_round/hometap-series-a--eb3816a7","Apr 20, 2018")</f>
        <v>Apr 20, 2018</v>
      </c>
      <c r="AK109" s="108">
        <v>1.2E7</v>
      </c>
      <c r="AL109" s="107" t="str">
        <f>HYPERLINK("https://www.crunchbase.com/funding_round/hometap-series-b--ca5610e8","Dec 11, 2019")</f>
        <v>Dec 11, 2019</v>
      </c>
      <c r="AM109" s="108">
        <v>1.0E8</v>
      </c>
      <c r="AN109" s="109"/>
      <c r="AO109" s="105"/>
      <c r="AP109" s="109"/>
      <c r="AQ109" s="105"/>
      <c r="AR109" s="109"/>
      <c r="AS109" s="109"/>
      <c r="AT109" s="109"/>
      <c r="AU109" s="110"/>
      <c r="AV109" s="109"/>
      <c r="AW109" s="38"/>
      <c r="AX109" s="133"/>
      <c r="AY109" s="38"/>
      <c r="AZ109" s="674">
        <v>44536.0</v>
      </c>
      <c r="BA109" s="108">
        <v>6.0E7</v>
      </c>
      <c r="BB109" s="133"/>
      <c r="BC109" s="105"/>
      <c r="BD109" s="79"/>
      <c r="BE109" s="84"/>
      <c r="BF109" s="74"/>
      <c r="BG109" s="456"/>
      <c r="BH109" s="456"/>
      <c r="BI109" s="456"/>
      <c r="BJ109" s="456"/>
      <c r="BK109" s="456"/>
      <c r="BL109" s="456"/>
      <c r="BM109" s="456"/>
      <c r="BN109" s="456"/>
      <c r="BO109" s="456"/>
      <c r="BP109" s="456"/>
      <c r="BQ109" s="456"/>
      <c r="BR109" s="456"/>
      <c r="BS109" s="456"/>
      <c r="BT109" s="456"/>
      <c r="BU109" s="456"/>
      <c r="BV109" s="456"/>
      <c r="BW109" s="456"/>
      <c r="BX109" s="456"/>
      <c r="BY109" s="456"/>
      <c r="BZ109" s="456"/>
      <c r="CA109" s="456"/>
      <c r="CB109" s="456"/>
      <c r="CC109" s="456"/>
      <c r="CD109" s="456"/>
      <c r="CE109" s="456"/>
      <c r="CF109" s="456"/>
      <c r="CG109" s="456"/>
      <c r="CH109" s="456"/>
      <c r="CI109" s="456"/>
      <c r="CJ109" s="456"/>
      <c r="CK109" s="456"/>
      <c r="CL109" s="456"/>
      <c r="CM109" s="456"/>
      <c r="CN109" s="456"/>
      <c r="CO109" s="456"/>
      <c r="CP109" s="456"/>
    </row>
    <row r="110" ht="15.75" customHeight="1">
      <c r="A110" s="47" t="s">
        <v>661</v>
      </c>
      <c r="C110" s="48" t="s">
        <v>76</v>
      </c>
      <c r="D110" s="49" t="s">
        <v>662</v>
      </c>
      <c r="E110" s="49" t="s">
        <v>663</v>
      </c>
      <c r="F110" s="352" t="s">
        <v>664</v>
      </c>
      <c r="G110" s="353"/>
      <c r="H110" s="53" t="s">
        <v>665</v>
      </c>
      <c r="I110" s="54" t="s">
        <v>666</v>
      </c>
      <c r="J110" s="55"/>
      <c r="K110" s="54">
        <v>3.0</v>
      </c>
      <c r="L110" s="56">
        <v>2020.0</v>
      </c>
      <c r="M110" s="25">
        <f t="shared" si="35"/>
        <v>5</v>
      </c>
      <c r="N110" s="26">
        <f t="shared" si="45"/>
        <v>3</v>
      </c>
      <c r="O110" s="27" t="str">
        <f t="shared" si="3"/>
        <v>#N/A</v>
      </c>
      <c r="P110" s="55"/>
      <c r="Q110" s="55"/>
      <c r="R110" s="55"/>
      <c r="S110" s="55"/>
      <c r="T110" s="55"/>
      <c r="U110" s="55"/>
      <c r="V110" s="30">
        <f t="shared" si="28"/>
        <v>170000000</v>
      </c>
      <c r="W110" s="30"/>
      <c r="X110" s="58"/>
      <c r="Y110" s="58"/>
      <c r="Z110" s="692"/>
      <c r="AA110" s="665"/>
      <c r="AB110" s="55"/>
      <c r="AC110" s="55"/>
      <c r="AD110" s="453"/>
      <c r="AE110" s="38"/>
      <c r="AF110" s="62">
        <v>44006.0</v>
      </c>
      <c r="AG110" s="38"/>
      <c r="AH110" s="55"/>
      <c r="AI110" s="38"/>
      <c r="AJ110" s="62">
        <v>44104.0</v>
      </c>
      <c r="AK110" s="38">
        <v>1.5E7</v>
      </c>
      <c r="AL110" s="62">
        <v>44363.0</v>
      </c>
      <c r="AM110" s="38">
        <v>5.0E7</v>
      </c>
      <c r="AN110" s="62">
        <v>44971.0</v>
      </c>
      <c r="AO110" s="38">
        <v>1.05E8</v>
      </c>
      <c r="AP110" s="356"/>
      <c r="AQ110" s="38"/>
      <c r="AR110" s="55"/>
      <c r="AS110" s="38"/>
      <c r="AT110" s="55"/>
      <c r="AU110" s="38"/>
      <c r="AV110" s="55"/>
      <c r="AW110" s="38"/>
      <c r="AX110" s="55"/>
      <c r="AY110" s="38"/>
      <c r="AZ110" s="55"/>
      <c r="BA110" s="38"/>
      <c r="BB110" s="55"/>
      <c r="BC110" s="38"/>
      <c r="BD110" s="55"/>
      <c r="BE110" s="38"/>
      <c r="BF110" s="55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</row>
    <row r="111" ht="15.75" customHeight="1">
      <c r="A111" s="400" t="s">
        <v>667</v>
      </c>
      <c r="B111" s="115"/>
      <c r="C111" s="116" t="s">
        <v>84</v>
      </c>
      <c r="D111" s="162"/>
      <c r="E111" s="50" t="s">
        <v>668</v>
      </c>
      <c r="F111" s="708" t="s">
        <v>669</v>
      </c>
      <c r="G111" s="119"/>
      <c r="H111" s="71" t="s">
        <v>88</v>
      </c>
      <c r="I111" s="26" t="s">
        <v>89</v>
      </c>
      <c r="J111" s="178"/>
      <c r="K111" s="25">
        <v>2.0</v>
      </c>
      <c r="L111" s="25">
        <v>2018.0</v>
      </c>
      <c r="M111" s="25">
        <f t="shared" si="35"/>
        <v>7</v>
      </c>
      <c r="N111" s="26">
        <f t="shared" si="45"/>
        <v>4</v>
      </c>
      <c r="O111" s="27" t="str">
        <f t="shared" si="3"/>
        <v>#N/A</v>
      </c>
      <c r="P111" s="28" t="str">
        <f t="shared" ref="P111:P113" si="75">RANK(T111,$T$2:$T$333)</f>
        <v>#N/A</v>
      </c>
      <c r="Q111" s="28">
        <f t="shared" ref="Q111:Q113" si="76">rank(V111,$V$2:$V$344)</f>
        <v>89</v>
      </c>
      <c r="R111" s="55"/>
      <c r="S111" s="55"/>
      <c r="T111" s="55"/>
      <c r="U111" s="55"/>
      <c r="V111" s="30">
        <f t="shared" si="28"/>
        <v>165300000</v>
      </c>
      <c r="W111" s="30"/>
      <c r="X111" s="597"/>
      <c r="Y111" s="597"/>
      <c r="Z111" s="692"/>
      <c r="AA111" s="665"/>
      <c r="AB111" s="123"/>
      <c r="AC111" s="123"/>
      <c r="AD111" s="124"/>
      <c r="AE111" s="125"/>
      <c r="AF111" s="728">
        <v>43160.0</v>
      </c>
      <c r="AG111" s="127">
        <v>1000000.0</v>
      </c>
      <c r="AH111" s="123"/>
      <c r="AI111" s="128"/>
      <c r="AJ111" s="729">
        <v>44012.0</v>
      </c>
      <c r="AK111" s="196">
        <v>4000000.0</v>
      </c>
      <c r="AL111" s="729">
        <v>44370.0</v>
      </c>
      <c r="AM111" s="196">
        <v>3.0E7</v>
      </c>
      <c r="AN111" s="729">
        <v>44826.0</v>
      </c>
      <c r="AO111" s="196">
        <v>1.303E8</v>
      </c>
      <c r="AP111" s="195"/>
      <c r="AQ111" s="730"/>
      <c r="AR111" s="195"/>
      <c r="AS111" s="197"/>
      <c r="AT111" s="124"/>
      <c r="AU111" s="137"/>
      <c r="AV111" s="124"/>
      <c r="AW111" s="38"/>
      <c r="AX111" s="124"/>
      <c r="AY111" s="38"/>
      <c r="AZ111" s="124"/>
      <c r="BA111" s="137"/>
      <c r="BB111" s="124"/>
      <c r="BC111" s="137"/>
      <c r="BD111" s="124"/>
      <c r="BE111" s="125"/>
      <c r="BF111" s="123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</row>
    <row r="112" ht="15.75" customHeight="1">
      <c r="A112" s="400" t="s">
        <v>670</v>
      </c>
      <c r="B112" s="116"/>
      <c r="C112" s="116" t="s">
        <v>59</v>
      </c>
      <c r="D112" s="731"/>
      <c r="E112" s="161" t="s">
        <v>671</v>
      </c>
      <c r="F112" s="402" t="s">
        <v>672</v>
      </c>
      <c r="G112" s="119"/>
      <c r="H112" s="119" t="s">
        <v>673</v>
      </c>
      <c r="I112" s="25" t="s">
        <v>674</v>
      </c>
      <c r="J112" s="287"/>
      <c r="K112" s="25">
        <v>2.0</v>
      </c>
      <c r="L112" s="25">
        <v>2014.0</v>
      </c>
      <c r="M112" s="25">
        <f t="shared" si="35"/>
        <v>11</v>
      </c>
      <c r="N112" s="26">
        <f t="shared" si="45"/>
        <v>4</v>
      </c>
      <c r="O112" s="27" t="str">
        <f t="shared" si="3"/>
        <v>#N/A</v>
      </c>
      <c r="P112" s="28" t="str">
        <f t="shared" si="75"/>
        <v>#N/A</v>
      </c>
      <c r="Q112" s="28">
        <f t="shared" si="76"/>
        <v>90</v>
      </c>
      <c r="R112" s="55"/>
      <c r="S112" s="55"/>
      <c r="T112" s="55"/>
      <c r="U112" s="55"/>
      <c r="V112" s="30">
        <f t="shared" si="28"/>
        <v>161188000</v>
      </c>
      <c r="W112" s="30"/>
      <c r="X112" s="597"/>
      <c r="Y112" s="597"/>
      <c r="Z112" s="692"/>
      <c r="AA112" s="665"/>
      <c r="AB112" s="123"/>
      <c r="AC112" s="123"/>
      <c r="AD112" s="322"/>
      <c r="AE112" s="323"/>
      <c r="AF112" s="324" t="str">
        <f>HYPERLINK("https://www.crunchbase.com/funding_round/deepki-seed--7cbbca8c","Sep 1, 2015")</f>
        <v>Sep 1, 2015</v>
      </c>
      <c r="AG112" s="325">
        <v>88000.0</v>
      </c>
      <c r="AH112" s="326"/>
      <c r="AI112" s="327"/>
      <c r="AJ112" s="732" t="str">
        <f>HYPERLINK("https://www.crunchbase.com/funding_round/deepki-series-a--33931ff3","Jun 23, 2016")</f>
        <v>Jun 23, 2016</v>
      </c>
      <c r="AK112" s="325">
        <v>2220000.0</v>
      </c>
      <c r="AL112" s="732" t="str">
        <f>HYPERLINK("https://www.crunchbase.com/funding_round/deepki-series-b--2231fa02","Jun 20, 2019")</f>
        <v>Jun 20, 2019</v>
      </c>
      <c r="AM112" s="733">
        <v>8880000.0</v>
      </c>
      <c r="AN112" s="732" t="str">
        <f>HYPERLINK("https://www.crunchbase.com/funding_round/deepki-series-c--fb35c5b4","Mar 30, 2022")</f>
        <v>Mar 30, 2022</v>
      </c>
      <c r="AO112" s="325">
        <v>1.5E8</v>
      </c>
      <c r="AP112" s="322"/>
      <c r="AQ112" s="323"/>
      <c r="AR112" s="322"/>
      <c r="AS112" s="322"/>
      <c r="AT112" s="322"/>
      <c r="AU112" s="335"/>
      <c r="AV112" s="322"/>
      <c r="AW112" s="38"/>
      <c r="AX112" s="322"/>
      <c r="AY112" s="38"/>
      <c r="AZ112" s="322"/>
      <c r="BA112" s="335"/>
      <c r="BB112" s="322"/>
      <c r="BC112" s="335"/>
      <c r="BD112" s="322"/>
      <c r="BE112" s="323"/>
      <c r="BF112" s="326"/>
      <c r="BG112" s="115"/>
      <c r="BH112" s="115"/>
      <c r="BI112" s="115"/>
      <c r="BJ112" s="115"/>
      <c r="BK112" s="115"/>
      <c r="BL112" s="115"/>
      <c r="BM112" s="115"/>
      <c r="BN112" s="115"/>
      <c r="BO112" s="115"/>
      <c r="BP112" s="115"/>
      <c r="BQ112" s="115"/>
      <c r="BR112" s="115"/>
      <c r="BS112" s="115"/>
      <c r="BT112" s="115"/>
      <c r="BU112" s="115"/>
      <c r="BV112" s="115"/>
      <c r="BW112" s="115"/>
      <c r="BX112" s="115"/>
      <c r="BY112" s="115"/>
      <c r="BZ112" s="115"/>
      <c r="CA112" s="115"/>
      <c r="CB112" s="115"/>
      <c r="CC112" s="115"/>
      <c r="CD112" s="115"/>
      <c r="CE112" s="115"/>
      <c r="CF112" s="115"/>
      <c r="CG112" s="115"/>
      <c r="CH112" s="115"/>
      <c r="CI112" s="115"/>
      <c r="CJ112" s="115"/>
      <c r="CK112" s="115"/>
      <c r="CL112" s="115"/>
      <c r="CM112" s="115"/>
      <c r="CN112" s="115"/>
      <c r="CO112" s="115"/>
      <c r="CP112" s="115"/>
    </row>
    <row r="113" ht="15.75" customHeight="1">
      <c r="A113" s="442" t="s">
        <v>675</v>
      </c>
      <c r="B113" s="16" t="s">
        <v>676</v>
      </c>
      <c r="C113" s="16" t="s">
        <v>59</v>
      </c>
      <c r="D113" s="337" t="s">
        <v>677</v>
      </c>
      <c r="E113" s="138" t="s">
        <v>678</v>
      </c>
      <c r="F113" s="185" t="s">
        <v>679</v>
      </c>
      <c r="G113" s="317"/>
      <c r="H113" s="317" t="s">
        <v>128</v>
      </c>
      <c r="I113" s="36" t="s">
        <v>129</v>
      </c>
      <c r="J113" s="237"/>
      <c r="K113" s="23">
        <v>4.0</v>
      </c>
      <c r="L113" s="23">
        <v>2012.0</v>
      </c>
      <c r="M113" s="25">
        <f t="shared" si="35"/>
        <v>13</v>
      </c>
      <c r="N113" s="26">
        <f t="shared" si="45"/>
        <v>3</v>
      </c>
      <c r="O113" s="27" t="str">
        <f t="shared" si="3"/>
        <v>#N/A</v>
      </c>
      <c r="P113" s="28">
        <f t="shared" si="75"/>
        <v>87</v>
      </c>
      <c r="Q113" s="28">
        <f t="shared" si="76"/>
        <v>91</v>
      </c>
      <c r="R113" s="28"/>
      <c r="S113" s="28" t="str">
        <f>rank(Y113,$Y$8:$Y$80)</f>
        <v>#N/A</v>
      </c>
      <c r="T113" s="29">
        <f>V113/M113</f>
        <v>12307692.31</v>
      </c>
      <c r="U113" s="28"/>
      <c r="V113" s="30">
        <f t="shared" si="28"/>
        <v>160000000</v>
      </c>
      <c r="W113" s="30"/>
      <c r="X113" s="32">
        <f>(max(AE113,AG113,AI113,AK113,AM113,AO113,AQ113,AS113,AU113,AW113,AY113,BA113,BC113)/min(AE113,AG113,AI113,AK113,AM113,AO113,AQ113,AS113,AU113,AW113,AY113,BA113,BC113))^(1/N113)-1</f>
        <v>0.7099759467</v>
      </c>
      <c r="Y113" s="33">
        <f>(max(AE113,AG113,AI113,AK113,AM113,AO113,AQ113,AS113,AU113,AW113,AY113,BA113,BC113)/min(AE113,AG113,AI113,AK113,AM113,AO113,AQ113,AS113,AU113,AW113,AY113,BA113,BC113))^(1/M113)-1</f>
        <v>0.1317927912</v>
      </c>
      <c r="Z113" s="692"/>
      <c r="AA113" s="665"/>
      <c r="AB113" s="36"/>
      <c r="AC113" s="36"/>
      <c r="AD113" s="734"/>
      <c r="AE113" s="735"/>
      <c r="AF113" s="736" t="str">
        <f>HYPERLINK("https://www.crunchbase.com/organization/blend-labs#section-funding-rounds"," Jun 1, 2012        
")</f>
        <v> Jun 1, 2012        
</v>
      </c>
      <c r="AG113" s="735"/>
      <c r="AH113" s="737"/>
      <c r="AI113" s="738"/>
      <c r="AJ113" s="739" t="str">
        <f>HYPERLINK("https://www.crunchbase.com/funding_round/blend-labs-series-a--6ead157e"," Dec 12, 2013")</f>
        <v> Dec 12, 2013</v>
      </c>
      <c r="AK113" s="735"/>
      <c r="AL113" s="739" t="str">
        <f>HYPERLINK("https://www.crunchbase.com/funding_round/blend-labs-series-b--0bf7dc76"," Jun 15, 2015")</f>
        <v> Jun 15, 2015</v>
      </c>
      <c r="AM113" s="740">
        <v>2.0E7</v>
      </c>
      <c r="AN113" s="739" t="str">
        <f>HYPERLINK("https://www.crunchbase.com/funding_round/blend-labs-series-c--3cd1fe38"," Jan 20, 2016")</f>
        <v> Jan 20, 2016</v>
      </c>
      <c r="AO113" s="740">
        <v>4.0E7</v>
      </c>
      <c r="AP113" s="741" t="str">
        <f>HYPERLINK("https://www.crunchbase.com/funding_round/blend-labs-series-d--b2a0d49d"," Aug 24, 2017")</f>
        <v> Aug 24, 2017</v>
      </c>
      <c r="AQ113" s="740">
        <v>1.0E8</v>
      </c>
      <c r="AR113" s="734"/>
      <c r="AS113" s="734"/>
      <c r="AT113" s="734"/>
      <c r="AU113" s="742"/>
      <c r="AV113" s="734"/>
      <c r="AW113" s="38"/>
      <c r="AX113" s="734"/>
      <c r="AY113" s="38"/>
      <c r="AZ113" s="734"/>
      <c r="BA113" s="735"/>
      <c r="BB113" s="734"/>
      <c r="BC113" s="735"/>
      <c r="BD113" s="44"/>
      <c r="BE113" s="46"/>
      <c r="BF113" s="36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</row>
    <row r="114" ht="16.5" customHeight="1">
      <c r="A114" s="47" t="s">
        <v>680</v>
      </c>
      <c r="C114" s="48" t="s">
        <v>513</v>
      </c>
      <c r="D114" s="351"/>
      <c r="E114" s="49" t="s">
        <v>681</v>
      </c>
      <c r="F114" s="352" t="s">
        <v>682</v>
      </c>
      <c r="G114" s="353"/>
      <c r="H114" s="53" t="s">
        <v>64</v>
      </c>
      <c r="I114" s="54" t="s">
        <v>65</v>
      </c>
      <c r="J114" s="55"/>
      <c r="K114" s="55"/>
      <c r="L114" s="56">
        <v>2013.0</v>
      </c>
      <c r="M114" s="25">
        <f t="shared" si="35"/>
        <v>12</v>
      </c>
      <c r="N114" s="26">
        <f t="shared" si="45"/>
        <v>1</v>
      </c>
      <c r="O114" s="27" t="str">
        <f t="shared" si="3"/>
        <v>#N/A</v>
      </c>
      <c r="P114" s="55"/>
      <c r="Q114" s="55"/>
      <c r="R114" s="55"/>
      <c r="S114" s="55"/>
      <c r="T114" s="55"/>
      <c r="U114" s="55"/>
      <c r="V114" s="30">
        <f t="shared" si="28"/>
        <v>158000000</v>
      </c>
      <c r="W114" s="30"/>
      <c r="X114" s="58"/>
      <c r="Y114" s="58"/>
      <c r="Z114" s="692"/>
      <c r="AA114" s="665"/>
      <c r="AB114" s="55"/>
      <c r="AC114" s="55"/>
      <c r="AD114" s="355"/>
      <c r="AE114" s="38"/>
      <c r="AF114" s="355"/>
      <c r="AG114" s="38"/>
      <c r="AH114" s="55"/>
      <c r="AI114" s="55"/>
      <c r="AJ114" s="55"/>
      <c r="AK114" s="55"/>
      <c r="AL114" s="55"/>
      <c r="AM114" s="55"/>
      <c r="AN114" s="55"/>
      <c r="AO114" s="55"/>
      <c r="AP114" s="356"/>
      <c r="AQ114" s="356"/>
      <c r="AR114" s="55"/>
      <c r="AS114" s="55"/>
      <c r="AT114" s="55"/>
      <c r="AU114" s="722"/>
      <c r="AV114" s="55"/>
      <c r="AW114" s="38"/>
      <c r="AX114" s="55"/>
      <c r="AY114" s="38"/>
      <c r="AZ114" s="55"/>
      <c r="BA114" s="722"/>
      <c r="BB114" s="62">
        <v>44937.0</v>
      </c>
      <c r="BC114" s="743">
        <v>1.58E8</v>
      </c>
      <c r="BD114" s="55"/>
      <c r="BE114" s="38"/>
      <c r="BF114" s="55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</row>
    <row r="115" ht="16.5" customHeight="1">
      <c r="A115" s="400" t="s">
        <v>683</v>
      </c>
      <c r="B115" s="116" t="s">
        <v>684</v>
      </c>
      <c r="C115" s="116" t="s">
        <v>132</v>
      </c>
      <c r="D115" s="540" t="s">
        <v>685</v>
      </c>
      <c r="E115" s="540" t="s">
        <v>686</v>
      </c>
      <c r="F115" s="744" t="s">
        <v>687</v>
      </c>
      <c r="G115" s="119" t="s">
        <v>688</v>
      </c>
      <c r="H115" s="119" t="s">
        <v>128</v>
      </c>
      <c r="I115" s="25" t="s">
        <v>156</v>
      </c>
      <c r="J115" s="120" t="s">
        <v>689</v>
      </c>
      <c r="K115" s="25">
        <v>3.0</v>
      </c>
      <c r="L115" s="25">
        <v>2014.0</v>
      </c>
      <c r="M115" s="25">
        <f t="shared" si="35"/>
        <v>11</v>
      </c>
      <c r="N115" s="26">
        <f t="shared" si="45"/>
        <v>3</v>
      </c>
      <c r="O115" s="27" t="str">
        <f t="shared" si="3"/>
        <v>#N/A</v>
      </c>
      <c r="P115" s="28">
        <f t="shared" ref="P115:P119" si="77">RANK(T115,$T$2:$T$333)</f>
        <v>79</v>
      </c>
      <c r="Q115" s="28">
        <f t="shared" ref="Q115:Q119" si="78">rank(V115,$V$2:$V$344)</f>
        <v>96</v>
      </c>
      <c r="R115" s="28"/>
      <c r="S115" s="28" t="str">
        <f>rank(Y115,$Y$8:$Y$80)</f>
        <v>#N/A</v>
      </c>
      <c r="T115" s="29">
        <f t="shared" ref="T115:T116" si="79">V115/M115</f>
        <v>13727272.73</v>
      </c>
      <c r="U115" s="28"/>
      <c r="V115" s="30">
        <f t="shared" si="28"/>
        <v>151000000</v>
      </c>
      <c r="W115" s="30"/>
      <c r="X115" s="32">
        <f t="shared" ref="X115:X116" si="80">(max(AE115,AG115,AI115,AK115,AM115,AO115,AQ115,AS115,AU115,AW115,AY115,BA115,BC115)/min(AE115,AG115,AI115,AK115,AM115,AO115,AQ115,AS115,AU115,AW115,AY115,BA115,BC115))^(1/N115)-1</f>
        <v>1.832581675</v>
      </c>
      <c r="Y115" s="33">
        <f t="shared" ref="Y115:Y116" si="81">(max(AE115,AG115,AI115,AK115,AM115,AO115,AQ115,AS115,AU115,AW115,AY115,BA115,BC115)/min(AE115,AG115,AI115,AK115,AM115,AO115,AQ115,AS115,AU115,AW115,AY115,BA115,BC115))^(1/M115)-1</f>
        <v>0.3283804762</v>
      </c>
      <c r="Z115" s="692"/>
      <c r="AA115" s="665"/>
      <c r="AB115" s="123"/>
      <c r="AC115" s="123"/>
      <c r="AD115" s="734"/>
      <c r="AE115" s="735"/>
      <c r="AF115" s="736" t="str">
        <f>HYPERLINK("https://www.crunchbase.com/organization/latch"," 4/29/2015")</f>
        <v> 4/29/2015</v>
      </c>
      <c r="AG115" s="745">
        <v>5500000.0</v>
      </c>
      <c r="AH115" s="737"/>
      <c r="AI115" s="738"/>
      <c r="AJ115" s="739" t="str">
        <f>HYPERLINK("https://www.crunchbase.com/funding_round/latch-series-a--4c86b306"," 5/10/2017")</f>
        <v> 5/10/2017</v>
      </c>
      <c r="AK115" s="745">
        <v>2.05E7</v>
      </c>
      <c r="AL115" s="739" t="str">
        <f>HYPERLINK("https://www.crunchbase.com/funding_round/latch-series-b--e2313768"," 8/1/2019")</f>
        <v> 8/1/2019</v>
      </c>
      <c r="AM115" s="745">
        <v>1.25E8</v>
      </c>
      <c r="AN115" s="734"/>
      <c r="AO115" s="735"/>
      <c r="AP115" s="734"/>
      <c r="AQ115" s="735"/>
      <c r="AR115" s="734"/>
      <c r="AS115" s="734"/>
      <c r="AT115" s="734"/>
      <c r="AU115" s="742"/>
      <c r="AV115" s="734"/>
      <c r="AW115" s="38"/>
      <c r="AX115" s="734"/>
      <c r="AY115" s="38"/>
      <c r="AZ115" s="734"/>
      <c r="BA115" s="735"/>
      <c r="BB115" s="734"/>
      <c r="BC115" s="735"/>
      <c r="BD115" s="124"/>
      <c r="BE115" s="125"/>
      <c r="BF115" s="123"/>
      <c r="BG115" s="115"/>
      <c r="BH115" s="115"/>
      <c r="BI115" s="115"/>
      <c r="BJ115" s="115"/>
      <c r="BK115" s="115"/>
      <c r="BL115" s="115"/>
      <c r="BM115" s="115"/>
      <c r="BN115" s="115"/>
      <c r="BO115" s="115"/>
      <c r="BP115" s="115"/>
      <c r="BQ115" s="115"/>
      <c r="BR115" s="115"/>
      <c r="BS115" s="115"/>
      <c r="BT115" s="115"/>
      <c r="BU115" s="115"/>
      <c r="BV115" s="115"/>
      <c r="BW115" s="115"/>
      <c r="BX115" s="115"/>
      <c r="BY115" s="115"/>
      <c r="BZ115" s="115"/>
      <c r="CA115" s="115"/>
      <c r="CB115" s="115"/>
      <c r="CC115" s="115"/>
      <c r="CD115" s="115"/>
      <c r="CE115" s="115"/>
      <c r="CF115" s="115"/>
      <c r="CG115" s="115"/>
      <c r="CH115" s="115"/>
      <c r="CI115" s="115"/>
      <c r="CJ115" s="115"/>
      <c r="CK115" s="115"/>
      <c r="CL115" s="115"/>
      <c r="CM115" s="115"/>
      <c r="CN115" s="115"/>
      <c r="CO115" s="115"/>
      <c r="CP115" s="115"/>
    </row>
    <row r="116" ht="16.5" customHeight="1">
      <c r="A116" s="400" t="s">
        <v>690</v>
      </c>
      <c r="B116" s="115"/>
      <c r="C116" s="116" t="s">
        <v>84</v>
      </c>
      <c r="D116" s="540" t="s">
        <v>691</v>
      </c>
      <c r="E116" s="540" t="s">
        <v>692</v>
      </c>
      <c r="F116" s="402" t="s">
        <v>693</v>
      </c>
      <c r="G116" s="54" t="s">
        <v>694</v>
      </c>
      <c r="H116" s="119" t="s">
        <v>695</v>
      </c>
      <c r="I116" s="25" t="s">
        <v>639</v>
      </c>
      <c r="J116" s="120" t="s">
        <v>219</v>
      </c>
      <c r="K116" s="25">
        <v>1.0</v>
      </c>
      <c r="L116" s="25">
        <v>2018.0</v>
      </c>
      <c r="M116" s="25">
        <f t="shared" si="35"/>
        <v>7</v>
      </c>
      <c r="N116" s="26">
        <f t="shared" si="45"/>
        <v>3</v>
      </c>
      <c r="O116" s="27" t="str">
        <f t="shared" si="3"/>
        <v>#N/A</v>
      </c>
      <c r="P116" s="28">
        <f t="shared" si="77"/>
        <v>63</v>
      </c>
      <c r="Q116" s="28">
        <f t="shared" si="78"/>
        <v>97</v>
      </c>
      <c r="R116" s="28"/>
      <c r="S116" s="28"/>
      <c r="T116" s="29">
        <f t="shared" si="79"/>
        <v>21307508.57</v>
      </c>
      <c r="U116" s="28"/>
      <c r="V116" s="30">
        <f t="shared" si="28"/>
        <v>149152560</v>
      </c>
      <c r="W116" s="30"/>
      <c r="X116" s="32">
        <f t="shared" si="80"/>
        <v>1.064733545</v>
      </c>
      <c r="Y116" s="33">
        <f t="shared" si="81"/>
        <v>0.3644000297</v>
      </c>
      <c r="Z116" s="692"/>
      <c r="AA116" s="665"/>
      <c r="AB116" s="123"/>
      <c r="AC116" s="123"/>
      <c r="AD116" s="124"/>
      <c r="AE116" s="125"/>
      <c r="AF116" s="166"/>
      <c r="AG116" s="125"/>
      <c r="AH116" s="123"/>
      <c r="AI116" s="128"/>
      <c r="AJ116" s="455" t="str">
        <f>HYPERLINK("https://www.crunchbase.com/funding_round/nesto-series-a--d2639add","Jun 2, 2020")</f>
        <v>Jun 2, 2020</v>
      </c>
      <c r="AK116" s="127">
        <v>9088620.0</v>
      </c>
      <c r="AL116" s="455" t="str">
        <f>HYPERLINK("https://www.crunchbase.com/funding_round/nesto-series-b--a99633bd","Jun 10, 2021")</f>
        <v>Jun 10, 2021</v>
      </c>
      <c r="AM116" s="127">
        <v>6.006394E7</v>
      </c>
      <c r="AN116" s="404">
        <v>44908.0</v>
      </c>
      <c r="AO116" s="127">
        <v>8.0E7</v>
      </c>
      <c r="AP116" s="124"/>
      <c r="AQ116" s="125"/>
      <c r="AR116" s="124"/>
      <c r="AS116" s="124"/>
      <c r="AT116" s="124"/>
      <c r="AU116" s="137"/>
      <c r="AV116" s="124"/>
      <c r="AW116" s="38"/>
      <c r="AX116" s="124"/>
      <c r="AY116" s="38"/>
      <c r="AZ116" s="124"/>
      <c r="BA116" s="137"/>
      <c r="BB116" s="124"/>
      <c r="BC116" s="137"/>
      <c r="BD116" s="124"/>
      <c r="BE116" s="125"/>
      <c r="BF116" s="123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</row>
    <row r="117" ht="16.5" customHeight="1">
      <c r="A117" s="47" t="s">
        <v>696</v>
      </c>
      <c r="B117" s="68"/>
      <c r="C117" s="69" t="s">
        <v>697</v>
      </c>
      <c r="D117" s="192" t="s">
        <v>698</v>
      </c>
      <c r="E117" s="192" t="s">
        <v>699</v>
      </c>
      <c r="F117" s="118" t="s">
        <v>700</v>
      </c>
      <c r="G117" s="186"/>
      <c r="H117" s="71" t="s">
        <v>526</v>
      </c>
      <c r="I117" s="746" t="s">
        <v>65</v>
      </c>
      <c r="J117" s="155"/>
      <c r="K117" s="26">
        <v>2.0</v>
      </c>
      <c r="L117" s="26">
        <v>2014.0</v>
      </c>
      <c r="M117" s="25">
        <f t="shared" si="35"/>
        <v>11</v>
      </c>
      <c r="N117" s="26">
        <f t="shared" si="45"/>
        <v>4</v>
      </c>
      <c r="O117" s="27" t="str">
        <f t="shared" si="3"/>
        <v>#N/A</v>
      </c>
      <c r="P117" s="28" t="str">
        <f t="shared" si="77"/>
        <v>#N/A</v>
      </c>
      <c r="Q117" s="28">
        <f t="shared" si="78"/>
        <v>98</v>
      </c>
      <c r="R117" s="273"/>
      <c r="S117" s="273"/>
      <c r="T117" s="273"/>
      <c r="U117" s="273"/>
      <c r="V117" s="30">
        <f t="shared" si="28"/>
        <v>148400000</v>
      </c>
      <c r="W117" s="30"/>
      <c r="X117" s="73"/>
      <c r="Y117" s="73"/>
      <c r="Z117" s="692"/>
      <c r="AA117" s="665"/>
      <c r="AB117" s="74"/>
      <c r="AC117" s="74"/>
      <c r="AD117" s="79"/>
      <c r="AE117" s="84"/>
      <c r="AF117" s="175" t="str">
        <f>HYPERLINK("https://www.crunchbase.com/funding_round/point-4-seed--637c224f","Jan 20, 2015")</f>
        <v>Jan 20, 2015</v>
      </c>
      <c r="AG117" s="76">
        <v>3000000.0</v>
      </c>
      <c r="AH117" s="434"/>
      <c r="AI117" s="435"/>
      <c r="AJ117" s="426" t="str">
        <f>HYPERLINK("https://www.crunchbase.com/funding_round/point-4-series-a--7deff385","Sep 13, 2016")</f>
        <v>Sep 13, 2016</v>
      </c>
      <c r="AK117" s="427">
        <v>8400000.0</v>
      </c>
      <c r="AL117" s="426" t="str">
        <f>HYPERLINK("https://www.crunchbase.com/funding_round/point-4-series-b--65747b8e","Mar 20, 2019")</f>
        <v>Mar 20, 2019</v>
      </c>
      <c r="AM117" s="76">
        <v>2.2E7</v>
      </c>
      <c r="AN117" s="426" t="str">
        <f>HYPERLINK("https://www.crunchbase.com/funding_round/point-4-series-c--2dc48d32","May 3, 2022")</f>
        <v>May 3, 2022</v>
      </c>
      <c r="AO117" s="427">
        <v>1.15E8</v>
      </c>
      <c r="AP117" s="79"/>
      <c r="AQ117" s="76"/>
      <c r="AR117" s="79"/>
      <c r="AS117" s="79"/>
      <c r="AT117" s="79"/>
      <c r="AU117" s="80"/>
      <c r="AV117" s="79"/>
      <c r="AW117" s="38"/>
      <c r="AX117" s="79"/>
      <c r="AY117" s="38"/>
      <c r="AZ117" s="79"/>
      <c r="BA117" s="80"/>
      <c r="BB117" s="79"/>
      <c r="BC117" s="80"/>
      <c r="BD117" s="79"/>
      <c r="BE117" s="84"/>
      <c r="BF117" s="74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</row>
    <row r="118" ht="15.75" customHeight="1">
      <c r="A118" s="400" t="s">
        <v>701</v>
      </c>
      <c r="B118" s="115"/>
      <c r="C118" s="116" t="s">
        <v>702</v>
      </c>
      <c r="D118" s="161" t="s">
        <v>703</v>
      </c>
      <c r="E118" s="161" t="s">
        <v>704</v>
      </c>
      <c r="F118" s="402" t="s">
        <v>705</v>
      </c>
      <c r="G118" s="286"/>
      <c r="H118" s="119" t="s">
        <v>695</v>
      </c>
      <c r="I118" s="25" t="s">
        <v>639</v>
      </c>
      <c r="J118" s="287"/>
      <c r="K118" s="123"/>
      <c r="L118" s="25">
        <v>2019.0</v>
      </c>
      <c r="M118" s="25">
        <f t="shared" si="35"/>
        <v>6</v>
      </c>
      <c r="N118" s="26">
        <f t="shared" si="45"/>
        <v>1</v>
      </c>
      <c r="O118" s="27" t="str">
        <f t="shared" si="3"/>
        <v>#N/A</v>
      </c>
      <c r="P118" s="28" t="str">
        <f t="shared" si="77"/>
        <v>#N/A</v>
      </c>
      <c r="Q118" s="28">
        <f t="shared" si="78"/>
        <v>99</v>
      </c>
      <c r="R118" s="55"/>
      <c r="S118" s="55"/>
      <c r="T118" s="55"/>
      <c r="U118" s="55"/>
      <c r="V118" s="30">
        <f t="shared" si="28"/>
        <v>142000000</v>
      </c>
      <c r="W118" s="30"/>
      <c r="X118" s="403"/>
      <c r="Y118" s="403"/>
      <c r="Z118" s="692"/>
      <c r="AA118" s="665"/>
      <c r="AB118" s="123"/>
      <c r="AC118" s="123"/>
      <c r="AD118" s="124"/>
      <c r="AE118" s="125"/>
      <c r="AF118" s="166"/>
      <c r="AG118" s="125"/>
      <c r="AH118" s="123"/>
      <c r="AI118" s="128"/>
      <c r="AJ118" s="124"/>
      <c r="AK118" s="125"/>
      <c r="AL118" s="455" t="str">
        <f>HYPERLINK("https://techcrunch.com/2022/02/01/construction-tech-startup-renorun-lands-142m-in-tiger-global-led-series-b/","Jan 31, 2022")</f>
        <v>Jan 31, 2022</v>
      </c>
      <c r="AM118" s="127">
        <v>1.42E8</v>
      </c>
      <c r="AN118" s="124"/>
      <c r="AO118" s="125"/>
      <c r="AP118" s="124"/>
      <c r="AQ118" s="125"/>
      <c r="AR118" s="124"/>
      <c r="AS118" s="124"/>
      <c r="AT118" s="124"/>
      <c r="AU118" s="137"/>
      <c r="AV118" s="124"/>
      <c r="AW118" s="38"/>
      <c r="AX118" s="124"/>
      <c r="AY118" s="38"/>
      <c r="AZ118" s="124"/>
      <c r="BA118" s="137"/>
      <c r="BB118" s="124"/>
      <c r="BC118" s="137"/>
      <c r="BD118" s="124"/>
      <c r="BE118" s="125"/>
      <c r="BF118" s="123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</row>
    <row r="119" ht="15.75" customHeight="1">
      <c r="A119" s="747" t="s">
        <v>706</v>
      </c>
      <c r="B119" s="68"/>
      <c r="C119" s="69" t="s">
        <v>132</v>
      </c>
      <c r="D119" s="192" t="s">
        <v>707</v>
      </c>
      <c r="E119" s="192" t="s">
        <v>708</v>
      </c>
      <c r="F119" s="118" t="s">
        <v>709</v>
      </c>
      <c r="G119" s="54" t="s">
        <v>710</v>
      </c>
      <c r="H119" s="71" t="s">
        <v>328</v>
      </c>
      <c r="I119" s="26" t="s">
        <v>329</v>
      </c>
      <c r="J119" s="72" t="s">
        <v>711</v>
      </c>
      <c r="K119" s="26">
        <v>2.0</v>
      </c>
      <c r="L119" s="26">
        <v>2013.0</v>
      </c>
      <c r="M119" s="25">
        <f t="shared" si="35"/>
        <v>12</v>
      </c>
      <c r="N119" s="26">
        <f t="shared" si="45"/>
        <v>4</v>
      </c>
      <c r="O119" s="27" t="str">
        <f t="shared" si="3"/>
        <v>#N/A</v>
      </c>
      <c r="P119" s="28">
        <f t="shared" si="77"/>
        <v>92</v>
      </c>
      <c r="Q119" s="28">
        <f t="shared" si="78"/>
        <v>100</v>
      </c>
      <c r="R119" s="28"/>
      <c r="S119" s="28" t="str">
        <f>rank(Y119,$Y$8:$Y$80)</f>
        <v>#N/A</v>
      </c>
      <c r="T119" s="29">
        <f>V119/M119</f>
        <v>11766666.67</v>
      </c>
      <c r="U119" s="28"/>
      <c r="V119" s="30">
        <f t="shared" si="28"/>
        <v>141200000</v>
      </c>
      <c r="W119" s="30"/>
      <c r="X119" s="32">
        <f>(max(AE119,AG119,AI119,AK119,AM119,AO119,AQ119,AS119,AU119,AW119,AY119,BA119,BC119)/min(AE119,AG119,AI119,AK119,AM119,AO119,AQ119,AS119,AU119,AW119,AY119,BA119,BC119))^(1/N119)-1</f>
        <v>1.813111426</v>
      </c>
      <c r="Y119" s="33">
        <f>(max(AE119,AG119,AI119,AK119,AM119,AO119,AQ119,AS119,AU119,AW119,AY119,BA119,BC119)/min(AE119,AG119,AI119,AK119,AM119,AO119,AQ119,AS119,AU119,AW119,AY119,BA119,BC119))^(1/M119)-1</f>
        <v>0.4116563246</v>
      </c>
      <c r="Z119" s="692"/>
      <c r="AA119" s="665"/>
      <c r="AB119" s="74"/>
      <c r="AC119" s="74"/>
      <c r="AD119" s="109"/>
      <c r="AE119" s="105"/>
      <c r="AF119" s="188" t="str">
        <f>HYPERLINK("https://www.crunchbase.com/funding_round/plentific-seed--99b5b0c7","Mar 1, 2015")</f>
        <v>Mar 1, 2015</v>
      </c>
      <c r="AG119" s="108">
        <v>1600000.0</v>
      </c>
      <c r="AH119" s="101"/>
      <c r="AI119" s="106"/>
      <c r="AJ119" s="107" t="str">
        <f>HYPERLINK("https://www.crunchbase.com/funding_round/plentific-series-a--d620806a","Jun 5, 2018")</f>
        <v>Jun 5, 2018</v>
      </c>
      <c r="AK119" s="748">
        <v>7400000.0</v>
      </c>
      <c r="AL119" s="107" t="str">
        <f>HYPERLINK("https://www.crunchbase.com/funding_round/plentific-series-b--7256f316","Nov 14, 2019")</f>
        <v>Nov 14, 2019</v>
      </c>
      <c r="AM119" s="108">
        <v>3.2E7</v>
      </c>
      <c r="AN119" s="107" t="str">
        <f>HYPERLINK("https://www.crunchbase.com/funding_round/plentific-series-c--a3675b56","Aug 24, 2021")</f>
        <v>Aug 24, 2021</v>
      </c>
      <c r="AO119" s="108">
        <v>1.002E8</v>
      </c>
      <c r="AP119" s="109"/>
      <c r="AQ119" s="105"/>
      <c r="AR119" s="109"/>
      <c r="AS119" s="109"/>
      <c r="AT119" s="109"/>
      <c r="AU119" s="110"/>
      <c r="AV119" s="109"/>
      <c r="AW119" s="38"/>
      <c r="AX119" s="133"/>
      <c r="AY119" s="38"/>
      <c r="AZ119" s="133"/>
      <c r="BA119" s="105"/>
      <c r="BB119" s="133"/>
      <c r="BC119" s="105"/>
      <c r="BD119" s="79"/>
      <c r="BE119" s="84"/>
      <c r="BF119" s="74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</row>
    <row r="120" ht="15.75" customHeight="1">
      <c r="A120" s="47" t="s">
        <v>712</v>
      </c>
      <c r="C120" s="48" t="s">
        <v>713</v>
      </c>
      <c r="D120" s="351"/>
      <c r="E120" s="49" t="s">
        <v>714</v>
      </c>
      <c r="F120" s="749" t="s">
        <v>715</v>
      </c>
      <c r="G120" s="353"/>
      <c r="H120" s="53" t="s">
        <v>716</v>
      </c>
      <c r="I120" s="54" t="s">
        <v>717</v>
      </c>
      <c r="J120" s="55"/>
      <c r="K120" s="54">
        <v>4.0</v>
      </c>
      <c r="L120" s="56">
        <v>2019.0</v>
      </c>
      <c r="M120" s="25">
        <f t="shared" si="35"/>
        <v>6</v>
      </c>
      <c r="N120" s="26">
        <f t="shared" si="45"/>
        <v>2</v>
      </c>
      <c r="O120" s="27" t="str">
        <f t="shared" si="3"/>
        <v>#N/A</v>
      </c>
      <c r="P120" s="55"/>
      <c r="Q120" s="55"/>
      <c r="R120" s="55"/>
      <c r="S120" s="55"/>
      <c r="T120" s="55"/>
      <c r="U120" s="55"/>
      <c r="V120" s="30">
        <f t="shared" si="28"/>
        <v>140800000</v>
      </c>
      <c r="W120" s="30"/>
      <c r="X120" s="58"/>
      <c r="Y120" s="58"/>
      <c r="Z120" s="695"/>
      <c r="AA120" s="696"/>
      <c r="AB120" s="55"/>
      <c r="AC120" s="55"/>
      <c r="AD120" s="453"/>
      <c r="AE120" s="55"/>
      <c r="AF120" s="355"/>
      <c r="AG120" s="55"/>
      <c r="AH120" s="55"/>
      <c r="AI120" s="55"/>
      <c r="AJ120" s="55"/>
      <c r="AK120" s="55"/>
      <c r="AL120" s="62">
        <v>44950.0</v>
      </c>
      <c r="AM120" s="38">
        <v>1.089E8</v>
      </c>
      <c r="AN120" s="55"/>
      <c r="AO120" s="55"/>
      <c r="AP120" s="356"/>
      <c r="AQ120" s="38"/>
      <c r="AR120" s="55"/>
      <c r="AS120" s="55"/>
      <c r="AT120" s="55"/>
      <c r="AU120" s="722"/>
      <c r="AV120" s="55"/>
      <c r="AW120" s="38"/>
      <c r="AX120" s="55"/>
      <c r="AY120" s="38"/>
      <c r="AZ120" s="63">
        <v>44685.0</v>
      </c>
      <c r="BA120" s="743">
        <v>3.19E7</v>
      </c>
      <c r="BB120" s="55"/>
      <c r="BC120" s="38"/>
      <c r="BD120" s="55"/>
      <c r="BE120" s="38"/>
      <c r="BF120" s="55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</row>
    <row r="121" ht="15.75" customHeight="1">
      <c r="A121" s="442" t="s">
        <v>718</v>
      </c>
      <c r="B121" s="16" t="s">
        <v>719</v>
      </c>
      <c r="C121" s="16" t="s">
        <v>207</v>
      </c>
      <c r="D121" s="231" t="s">
        <v>720</v>
      </c>
      <c r="E121" s="492" t="s">
        <v>721</v>
      </c>
      <c r="F121" s="185" t="s">
        <v>722</v>
      </c>
      <c r="G121" s="317"/>
      <c r="H121" s="317" t="s">
        <v>401</v>
      </c>
      <c r="I121" s="36" t="s">
        <v>65</v>
      </c>
      <c r="J121" s="237"/>
      <c r="K121" s="74" t="s">
        <v>723</v>
      </c>
      <c r="L121" s="23">
        <v>2016.0</v>
      </c>
      <c r="M121" s="25">
        <f t="shared" si="35"/>
        <v>9</v>
      </c>
      <c r="N121" s="26">
        <f t="shared" si="45"/>
        <v>1</v>
      </c>
      <c r="O121" s="27" t="str">
        <f t="shared" si="3"/>
        <v>#N/A</v>
      </c>
      <c r="P121" s="28">
        <f t="shared" ref="P121:P127" si="82">RANK(T121,$T$2:$T$333)</f>
        <v>72</v>
      </c>
      <c r="Q121" s="28">
        <f t="shared" ref="Q121:Q127" si="83">rank(V121,$V$2:$V$344)</f>
        <v>102</v>
      </c>
      <c r="R121" s="28"/>
      <c r="S121" s="28">
        <f>rank(Y121,$Y$8:$Y$80)</f>
        <v>51</v>
      </c>
      <c r="T121" s="29">
        <f>V121/M121</f>
        <v>15555555.56</v>
      </c>
      <c r="U121" s="28"/>
      <c r="V121" s="30">
        <f t="shared" si="28"/>
        <v>140000000</v>
      </c>
      <c r="W121" s="30"/>
      <c r="X121" s="32">
        <f>(max(AE121,AG121,AI121,AK121,AM121,AO121,AQ121,AS121,AU121,AW121,AY121,BA121,BC121)/min(AE121,AG121,AI121,AK121,AM121,AO121,AQ121,AS121,AU121,AW121,AY121,BA121,BC121))^(1/N121)-1</f>
        <v>0</v>
      </c>
      <c r="Y121" s="33">
        <f>(max(AE121,AG121,AI121,AK121,AM121,AO121,AQ121,AS121,AU121,AW121,AY121,BA121,BC121)/min(AE121,AG121,AI121,AK121,AM121,AO121,AQ121,AS121,AU121,AW121,AY121,BA121,BC121))^(1/M121)-1</f>
        <v>0</v>
      </c>
      <c r="Z121" s="692"/>
      <c r="AA121" s="665"/>
      <c r="AB121" s="36"/>
      <c r="AC121" s="36"/>
      <c r="AD121" s="109"/>
      <c r="AE121" s="105"/>
      <c r="AF121" s="104"/>
      <c r="AG121" s="105"/>
      <c r="AH121" s="101"/>
      <c r="AI121" s="106"/>
      <c r="AJ121" s="107" t="str">
        <f>HYPERLINK("https://www.crunchbase.com/organization/commongrounds-workspace#section-funding-rounds"," Sep 13, 2019")</f>
        <v> Sep 13, 2019</v>
      </c>
      <c r="AK121" s="148">
        <v>1.4E8</v>
      </c>
      <c r="AL121" s="109"/>
      <c r="AM121" s="105"/>
      <c r="AN121" s="109"/>
      <c r="AO121" s="105"/>
      <c r="AP121" s="109"/>
      <c r="AQ121" s="105"/>
      <c r="AR121" s="109"/>
      <c r="AS121" s="109"/>
      <c r="AT121" s="109"/>
      <c r="AU121" s="110"/>
      <c r="AV121" s="109"/>
      <c r="AW121" s="38"/>
      <c r="AX121" s="133"/>
      <c r="AY121" s="38"/>
      <c r="AZ121" s="133"/>
      <c r="BA121" s="105"/>
      <c r="BB121" s="133"/>
      <c r="BC121" s="105"/>
      <c r="BD121" s="44"/>
      <c r="BE121" s="46"/>
      <c r="BF121" s="36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</row>
    <row r="122" ht="15.75" customHeight="1">
      <c r="A122" s="21" t="s">
        <v>724</v>
      </c>
      <c r="B122" s="68"/>
      <c r="C122" s="69" t="s">
        <v>84</v>
      </c>
      <c r="D122" s="270" t="s">
        <v>725</v>
      </c>
      <c r="E122" s="750" t="s">
        <v>726</v>
      </c>
      <c r="F122" s="177" t="s">
        <v>727</v>
      </c>
      <c r="G122" s="751"/>
      <c r="H122" s="71" t="s">
        <v>357</v>
      </c>
      <c r="I122" s="26" t="s">
        <v>358</v>
      </c>
      <c r="J122" s="72"/>
      <c r="K122" s="26">
        <v>2.0</v>
      </c>
      <c r="L122" s="26">
        <v>2017.0</v>
      </c>
      <c r="M122" s="25">
        <f t="shared" si="35"/>
        <v>8</v>
      </c>
      <c r="N122" s="26">
        <f t="shared" si="45"/>
        <v>4</v>
      </c>
      <c r="O122" s="27" t="str">
        <f t="shared" si="3"/>
        <v>#N/A</v>
      </c>
      <c r="P122" s="28" t="str">
        <f t="shared" si="82"/>
        <v>#N/A</v>
      </c>
      <c r="Q122" s="28">
        <f t="shared" si="83"/>
        <v>103</v>
      </c>
      <c r="R122" s="28"/>
      <c r="S122" s="28"/>
      <c r="T122" s="28"/>
      <c r="U122" s="28"/>
      <c r="V122" s="30">
        <f t="shared" si="28"/>
        <v>137700000</v>
      </c>
      <c r="W122" s="30"/>
      <c r="X122" s="73"/>
      <c r="Y122" s="73"/>
      <c r="Z122" s="752"/>
      <c r="AA122" s="753"/>
      <c r="AB122" s="74"/>
      <c r="AC122" s="74"/>
      <c r="AD122" s="79"/>
      <c r="AE122" s="84"/>
      <c r="AF122" s="175" t="str">
        <f>HYPERLINK("https://www.crunchbase.com/funding_round/openly-inc-seed--a0ad3356","Nov 26, 2019")</f>
        <v>Nov 26, 2019</v>
      </c>
      <c r="AG122" s="76">
        <v>7700000.0</v>
      </c>
      <c r="AH122" s="74"/>
      <c r="AI122" s="78"/>
      <c r="AJ122" s="181" t="str">
        <f>HYPERLINK("https://www.crunchbase.com/funding_round/openly-inc-series-a--5fe7f5e4","Jun 24, 2020")</f>
        <v>Jun 24, 2020</v>
      </c>
      <c r="AK122" s="76">
        <v>1.5E7</v>
      </c>
      <c r="AL122" s="181" t="str">
        <f>HYPERLINK("https://www.crunchbase.com/funding_round/openly-inc-series-b--2f34d973","Dec 17, 2020")</f>
        <v>Dec 17, 2020</v>
      </c>
      <c r="AM122" s="76">
        <v>4.0E7</v>
      </c>
      <c r="AN122" s="181" t="str">
        <f>HYPERLINK("https://www.crunchbase.com/funding_round/openly-inc-series-c--d75a3f5b","Jun 21, 2022")</f>
        <v>Jun 21, 2022</v>
      </c>
      <c r="AO122" s="76">
        <v>7.5E7</v>
      </c>
      <c r="AP122" s="79"/>
      <c r="AQ122" s="84"/>
      <c r="AR122" s="79"/>
      <c r="AS122" s="79"/>
      <c r="AT122" s="79"/>
      <c r="AU122" s="80"/>
      <c r="AV122" s="79"/>
      <c r="AW122" s="38"/>
      <c r="AX122" s="79"/>
      <c r="AY122" s="38"/>
      <c r="AZ122" s="79"/>
      <c r="BA122" s="80"/>
      <c r="BB122" s="79"/>
      <c r="BC122" s="80"/>
      <c r="BD122" s="79"/>
      <c r="BE122" s="84"/>
      <c r="BF122" s="74"/>
      <c r="BG122" s="115"/>
      <c r="BH122" s="115"/>
      <c r="BI122" s="115"/>
      <c r="BJ122" s="115"/>
      <c r="BK122" s="115"/>
      <c r="BL122" s="115"/>
      <c r="BM122" s="115"/>
      <c r="BN122" s="115"/>
      <c r="BO122" s="115"/>
      <c r="BP122" s="115"/>
      <c r="BQ122" s="115"/>
      <c r="BR122" s="115"/>
      <c r="BS122" s="115"/>
      <c r="BT122" s="115"/>
      <c r="BU122" s="115"/>
      <c r="BV122" s="115"/>
      <c r="BW122" s="115"/>
      <c r="BX122" s="115"/>
      <c r="BY122" s="115"/>
      <c r="BZ122" s="115"/>
      <c r="CA122" s="115"/>
      <c r="CB122" s="115"/>
      <c r="CC122" s="115"/>
      <c r="CD122" s="115"/>
      <c r="CE122" s="115"/>
      <c r="CF122" s="115"/>
      <c r="CG122" s="115"/>
      <c r="CH122" s="115"/>
      <c r="CI122" s="115"/>
      <c r="CJ122" s="115"/>
      <c r="CK122" s="115"/>
      <c r="CL122" s="115"/>
      <c r="CM122" s="115"/>
      <c r="CN122" s="115"/>
      <c r="CO122" s="115"/>
      <c r="CP122" s="115"/>
    </row>
    <row r="123" ht="15.75" customHeight="1">
      <c r="A123" s="48" t="s">
        <v>728</v>
      </c>
      <c r="B123" s="68"/>
      <c r="C123" s="69" t="s">
        <v>84</v>
      </c>
      <c r="D123" s="192" t="s">
        <v>729</v>
      </c>
      <c r="E123" s="192" t="s">
        <v>730</v>
      </c>
      <c r="F123" s="192" t="s">
        <v>731</v>
      </c>
      <c r="G123" s="140"/>
      <c r="H123" s="71" t="s">
        <v>108</v>
      </c>
      <c r="I123" s="26" t="s">
        <v>109</v>
      </c>
      <c r="J123" s="155"/>
      <c r="K123" s="26">
        <v>3.0</v>
      </c>
      <c r="L123" s="26">
        <v>2018.0</v>
      </c>
      <c r="M123" s="25">
        <f t="shared" si="35"/>
        <v>7</v>
      </c>
      <c r="N123" s="26">
        <f t="shared" si="45"/>
        <v>1</v>
      </c>
      <c r="O123" s="27" t="str">
        <f t="shared" si="3"/>
        <v>#N/A</v>
      </c>
      <c r="P123" s="28" t="str">
        <f t="shared" si="82"/>
        <v>#N/A</v>
      </c>
      <c r="Q123" s="28">
        <f t="shared" si="83"/>
        <v>104</v>
      </c>
      <c r="R123" s="28"/>
      <c r="S123" s="28"/>
      <c r="T123" s="28"/>
      <c r="U123" s="28"/>
      <c r="V123" s="30">
        <f t="shared" si="28"/>
        <v>136000000</v>
      </c>
      <c r="W123" s="30"/>
      <c r="X123" s="73"/>
      <c r="Y123" s="73"/>
      <c r="Z123" s="692"/>
      <c r="AA123" s="665"/>
      <c r="AB123" s="74"/>
      <c r="AC123" s="74"/>
      <c r="AD123" s="44"/>
      <c r="AE123" s="46"/>
      <c r="AF123" s="754"/>
      <c r="AG123" s="38"/>
      <c r="AH123" s="36"/>
      <c r="AI123" s="159"/>
      <c r="AJ123" s="37"/>
      <c r="AK123" s="38"/>
      <c r="AL123" s="755" t="str">
        <f>HYPERLINK("https://www.crunchbase.com/funding_round/stoa-fund-series-b--fd011c59","Nov 18, 2021")</f>
        <v>Nov 18, 2021</v>
      </c>
      <c r="AM123" s="38">
        <v>1.36E8</v>
      </c>
      <c r="AN123" s="473"/>
      <c r="AO123" s="46"/>
      <c r="AP123" s="44"/>
      <c r="AQ123" s="46"/>
      <c r="AR123" s="44"/>
      <c r="AS123" s="44"/>
      <c r="AT123" s="44"/>
      <c r="AU123" s="45"/>
      <c r="AV123" s="44"/>
      <c r="AW123" s="38"/>
      <c r="AX123" s="44"/>
      <c r="AY123" s="38"/>
      <c r="AZ123" s="44"/>
      <c r="BA123" s="45"/>
      <c r="BB123" s="44"/>
      <c r="BC123" s="45"/>
      <c r="BD123" s="44"/>
      <c r="BE123" s="46"/>
      <c r="BF123" s="36"/>
      <c r="BG123" s="115"/>
      <c r="BH123" s="115"/>
      <c r="BI123" s="115"/>
      <c r="BJ123" s="115"/>
      <c r="BK123" s="115"/>
      <c r="BL123" s="115"/>
      <c r="BM123" s="115"/>
      <c r="BN123" s="115"/>
      <c r="BO123" s="115"/>
      <c r="BP123" s="115"/>
      <c r="BQ123" s="115"/>
      <c r="BR123" s="115"/>
      <c r="BS123" s="115"/>
      <c r="BT123" s="115"/>
      <c r="BU123" s="115"/>
      <c r="BV123" s="115"/>
      <c r="BW123" s="115"/>
      <c r="BX123" s="115"/>
      <c r="BY123" s="115"/>
      <c r="BZ123" s="115"/>
      <c r="CA123" s="115"/>
      <c r="CB123" s="115"/>
      <c r="CC123" s="115"/>
      <c r="CD123" s="115"/>
      <c r="CE123" s="115"/>
      <c r="CF123" s="115"/>
      <c r="CG123" s="115"/>
      <c r="CH123" s="115"/>
      <c r="CI123" s="115"/>
      <c r="CJ123" s="115"/>
      <c r="CK123" s="115"/>
      <c r="CL123" s="115"/>
      <c r="CM123" s="115"/>
      <c r="CN123" s="115"/>
      <c r="CO123" s="115"/>
      <c r="CP123" s="115"/>
    </row>
    <row r="124" ht="15.75" customHeight="1">
      <c r="A124" s="747" t="s">
        <v>732</v>
      </c>
      <c r="B124" s="115"/>
      <c r="C124" s="116" t="s">
        <v>84</v>
      </c>
      <c r="D124" s="192" t="s">
        <v>733</v>
      </c>
      <c r="E124" s="192" t="s">
        <v>734</v>
      </c>
      <c r="F124" s="756" t="s">
        <v>735</v>
      </c>
      <c r="G124" s="286"/>
      <c r="H124" s="119" t="s">
        <v>736</v>
      </c>
      <c r="I124" s="25" t="s">
        <v>358</v>
      </c>
      <c r="J124" s="287"/>
      <c r="K124" s="25">
        <v>3.0</v>
      </c>
      <c r="L124" s="25">
        <v>2013.0</v>
      </c>
      <c r="M124" s="25">
        <f t="shared" si="35"/>
        <v>12</v>
      </c>
      <c r="N124" s="25"/>
      <c r="O124" s="27" t="str">
        <f t="shared" si="3"/>
        <v>#N/A</v>
      </c>
      <c r="P124" s="28" t="str">
        <f t="shared" si="82"/>
        <v>#N/A</v>
      </c>
      <c r="Q124" s="28">
        <f t="shared" si="83"/>
        <v>105</v>
      </c>
      <c r="R124" s="356"/>
      <c r="S124" s="356"/>
      <c r="T124" s="356"/>
      <c r="U124" s="356"/>
      <c r="V124" s="30">
        <f t="shared" si="28"/>
        <v>134000000</v>
      </c>
      <c r="W124" s="30"/>
      <c r="X124" s="597"/>
      <c r="Y124" s="597"/>
      <c r="Z124" s="695"/>
      <c r="AA124" s="696"/>
      <c r="AB124" s="123"/>
      <c r="AC124" s="123"/>
      <c r="AD124" s="124"/>
      <c r="AE124" s="125"/>
      <c r="AF124" s="320" t="str">
        <f>HYPERLINK("https://www.crunchbase.com/funding_round/sense-seed--790c5a25","Jan 2, 2014")</f>
        <v>Jan 2, 2014</v>
      </c>
      <c r="AG124" s="127">
        <v>4000000.0</v>
      </c>
      <c r="AH124" s="123"/>
      <c r="AI124" s="128"/>
      <c r="AJ124" s="455" t="str">
        <f>HYPERLINK("https://www.crunchbase.com/funding_round/sense-series-a--dd0f0e65","Sep 1, 2016")</f>
        <v>Sep 1, 2016</v>
      </c>
      <c r="AK124" s="127">
        <v>1.5E7</v>
      </c>
      <c r="AL124" s="455" t="str">
        <f>HYPERLINK("https://www.crunchbase.com/funding_round/sense-series-b--e52aef87","Jul 29, 2019")</f>
        <v>Jul 29, 2019</v>
      </c>
      <c r="AM124" s="127">
        <v>1.0E7</v>
      </c>
      <c r="AN124" s="455" t="str">
        <f>HYPERLINK("https://www.crunchbase.com/funding_round/sense-series-c--5ea7b231","Apr 27, 2022")</f>
        <v>Apr 27, 2022</v>
      </c>
      <c r="AO124" s="127">
        <v>1.05E8</v>
      </c>
      <c r="AP124" s="124"/>
      <c r="AQ124" s="125"/>
      <c r="AR124" s="124"/>
      <c r="AS124" s="124"/>
      <c r="AT124" s="124"/>
      <c r="AU124" s="137"/>
      <c r="AV124" s="124"/>
      <c r="AW124" s="38"/>
      <c r="AX124" s="124"/>
      <c r="AY124" s="38"/>
      <c r="AZ124" s="124"/>
      <c r="BA124" s="137"/>
      <c r="BB124" s="124"/>
      <c r="BC124" s="137"/>
      <c r="BD124" s="124"/>
      <c r="BE124" s="125"/>
      <c r="BF124" s="123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</row>
    <row r="125" ht="15.75" customHeight="1">
      <c r="A125" s="21" t="s">
        <v>737</v>
      </c>
      <c r="B125" s="68"/>
      <c r="C125" s="69" t="s">
        <v>84</v>
      </c>
      <c r="D125" s="269"/>
      <c r="E125" s="270" t="s">
        <v>738</v>
      </c>
      <c r="F125" s="757" t="s">
        <v>739</v>
      </c>
      <c r="G125" s="71"/>
      <c r="H125" s="71" t="s">
        <v>114</v>
      </c>
      <c r="I125" s="26" t="s">
        <v>115</v>
      </c>
      <c r="J125" s="72"/>
      <c r="K125" s="26">
        <v>1.0</v>
      </c>
      <c r="L125" s="26">
        <v>2021.0</v>
      </c>
      <c r="M125" s="25">
        <f t="shared" si="35"/>
        <v>4</v>
      </c>
      <c r="N125" s="26">
        <f>counta(AE125,AG125,AI125,AK125,AM125,AO125,AQ125,AS125,AU125,AW125,AY125,BA125,#REF!)</f>
        <v>4</v>
      </c>
      <c r="O125" s="27" t="str">
        <f t="shared" si="3"/>
        <v>#N/A</v>
      </c>
      <c r="P125" s="28">
        <f t="shared" si="82"/>
        <v>41</v>
      </c>
      <c r="Q125" s="28">
        <f t="shared" si="83"/>
        <v>108</v>
      </c>
      <c r="R125" s="28"/>
      <c r="S125" s="28"/>
      <c r="T125" s="29">
        <f>V125/M125</f>
        <v>33075000</v>
      </c>
      <c r="U125" s="28"/>
      <c r="V125" s="30">
        <f t="shared" si="28"/>
        <v>132300000</v>
      </c>
      <c r="W125" s="30"/>
      <c r="X125" s="32" t="str">
        <f>(max(AE125,AG125,AI125,AK125,AM125,AO125,AQ125,AS125,AU125,AW125,AY125,BA125,#REF!)/min(AE125,AG125,AI125,AK125,AM125,AO125,AQ125,AS125,AU125,AW125,AY125,BA125,#REF!))^(1/N125)-1</f>
        <v>#REF!</v>
      </c>
      <c r="Y125" s="33" t="str">
        <f>(max(AE125,AG125,AI125,AK125,AM125,AO125,AQ125,AS125,AU125,AW125,AY125,BA125,#REF!)/min(AE125,AG125,AI125,AK125,AM125,AO125,AQ125,AS125,AU125,AW125,AY125,BA125,#REF!))^(1/M125)-1</f>
        <v>#REF!</v>
      </c>
      <c r="Z125" s="692"/>
      <c r="AA125" s="665"/>
      <c r="AB125" s="74"/>
      <c r="AC125" s="74"/>
      <c r="AD125" s="181" t="str">
        <f>HYPERLINK("https://www.crunchbase.com/funding_round/wander-6a24-pre-seed--adaada40","Jul 23, 2021")</f>
        <v>Jul 23, 2021</v>
      </c>
      <c r="AE125" s="76">
        <v>7300000.0</v>
      </c>
      <c r="AF125" s="338"/>
      <c r="AG125" s="76"/>
      <c r="AH125" s="74"/>
      <c r="AI125" s="78"/>
      <c r="AJ125" s="181" t="str">
        <f>HYPERLINK("https://www.crunchbase.com/funding_round/wander-6a24-series-a--0eb332a1","Feb 9, 2022")</f>
        <v>Feb 9, 2022</v>
      </c>
      <c r="AK125" s="76">
        <v>2.0E7</v>
      </c>
      <c r="AL125" s="79"/>
      <c r="AM125" s="84"/>
      <c r="AN125" s="79"/>
      <c r="AO125" s="84"/>
      <c r="AP125" s="79"/>
      <c r="AQ125" s="84"/>
      <c r="AR125" s="79"/>
      <c r="AS125" s="79"/>
      <c r="AT125" s="79"/>
      <c r="AU125" s="80"/>
      <c r="AV125" s="79"/>
      <c r="AW125" s="38"/>
      <c r="AX125" s="79"/>
      <c r="AY125" s="38"/>
      <c r="AZ125" s="75">
        <v>44706.0</v>
      </c>
      <c r="BA125" s="83">
        <v>5000000.0</v>
      </c>
      <c r="BB125" s="404">
        <v>44896.0</v>
      </c>
      <c r="BC125" s="170">
        <v>1.0E8</v>
      </c>
      <c r="BD125" s="79"/>
      <c r="BE125" s="84"/>
      <c r="BF125" s="74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</row>
    <row r="126" ht="15.75" customHeight="1">
      <c r="A126" s="48" t="s">
        <v>740</v>
      </c>
      <c r="B126" s="68"/>
      <c r="C126" s="69" t="s">
        <v>59</v>
      </c>
      <c r="D126" s="192" t="s">
        <v>741</v>
      </c>
      <c r="E126" s="50" t="s">
        <v>742</v>
      </c>
      <c r="F126" s="118" t="s">
        <v>743</v>
      </c>
      <c r="G126" s="186"/>
      <c r="H126" s="71" t="s">
        <v>128</v>
      </c>
      <c r="I126" s="26" t="s">
        <v>129</v>
      </c>
      <c r="J126" s="155"/>
      <c r="K126" s="74"/>
      <c r="L126" s="142"/>
      <c r="M126" s="123"/>
      <c r="N126" s="74"/>
      <c r="O126" s="27" t="str">
        <f t="shared" si="3"/>
        <v>#N/A</v>
      </c>
      <c r="P126" s="28" t="str">
        <f t="shared" si="82"/>
        <v>#N/A</v>
      </c>
      <c r="Q126" s="28">
        <f t="shared" si="83"/>
        <v>108</v>
      </c>
      <c r="R126" s="273"/>
      <c r="S126" s="273"/>
      <c r="T126" s="273"/>
      <c r="U126" s="273"/>
      <c r="V126" s="30">
        <f t="shared" si="28"/>
        <v>132300000</v>
      </c>
      <c r="W126" s="30"/>
      <c r="X126" s="32"/>
      <c r="Y126" s="32"/>
      <c r="Z126" s="692"/>
      <c r="AA126" s="665"/>
      <c r="AB126" s="74"/>
      <c r="AC126" s="74"/>
      <c r="AD126" s="44"/>
      <c r="AE126" s="46"/>
      <c r="AF126" s="158" t="str">
        <f>HYPERLINK("https://www.globenewswire.com/news-release/2020/08/26/2084212/0/en/Esusu-Lands-Major-Investment-from-Jeff-Weiner-s-Next-Play-Ventures.html","Aug 26, 2020")</f>
        <v>Aug 26, 2020</v>
      </c>
      <c r="AG126" s="38">
        <v>2300000.0</v>
      </c>
      <c r="AH126" s="36"/>
      <c r="AI126" s="159"/>
      <c r="AJ126" s="44"/>
      <c r="AK126" s="46"/>
      <c r="AL126" s="43" t="str">
        <f>HYPERLINK("https://techcrunch.com/2022/01/27/esusu-becomes-unicorn-with-softbank-vision-fund-2-led-130m-funding/?tpcc=tcplustwitter","Jan 27, 2022")</f>
        <v>Jan 27, 2022</v>
      </c>
      <c r="AM126" s="38">
        <v>1.3E8</v>
      </c>
      <c r="AN126" s="44"/>
      <c r="AO126" s="46"/>
      <c r="AP126" s="44"/>
      <c r="AQ126" s="46"/>
      <c r="AR126" s="44"/>
      <c r="AS126" s="44"/>
      <c r="AT126" s="44"/>
      <c r="AU126" s="45"/>
      <c r="AV126" s="44"/>
      <c r="AW126" s="38"/>
      <c r="AX126" s="44"/>
      <c r="AY126" s="38"/>
      <c r="AZ126" s="44"/>
      <c r="BA126" s="45"/>
      <c r="BB126" s="44"/>
      <c r="BC126" s="45"/>
      <c r="BD126" s="44"/>
      <c r="BE126" s="46"/>
      <c r="BF126" s="36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</row>
    <row r="127" ht="15.75" customHeight="1">
      <c r="A127" s="400" t="s">
        <v>744</v>
      </c>
      <c r="B127" s="115"/>
      <c r="C127" s="116" t="s">
        <v>84</v>
      </c>
      <c r="D127" s="731"/>
      <c r="E127" s="161" t="s">
        <v>745</v>
      </c>
      <c r="F127" s="402" t="s">
        <v>746</v>
      </c>
      <c r="G127" s="286"/>
      <c r="H127" s="119" t="s">
        <v>747</v>
      </c>
      <c r="I127" s="25" t="s">
        <v>748</v>
      </c>
      <c r="J127" s="287"/>
      <c r="K127" s="25">
        <v>2.0</v>
      </c>
      <c r="L127" s="25">
        <v>2016.0</v>
      </c>
      <c r="M127" s="25"/>
      <c r="N127" s="25"/>
      <c r="O127" s="27" t="str">
        <f t="shared" si="3"/>
        <v>#N/A</v>
      </c>
      <c r="P127" s="28" t="str">
        <f t="shared" si="82"/>
        <v>#N/A</v>
      </c>
      <c r="Q127" s="28">
        <f t="shared" si="83"/>
        <v>110</v>
      </c>
      <c r="R127" s="356"/>
      <c r="S127" s="356"/>
      <c r="T127" s="356"/>
      <c r="U127" s="356"/>
      <c r="V127" s="30">
        <f t="shared" si="28"/>
        <v>132000000</v>
      </c>
      <c r="W127" s="30"/>
      <c r="X127" s="597"/>
      <c r="Y127" s="597"/>
      <c r="Z127" s="692"/>
      <c r="AA127" s="665"/>
      <c r="AB127" s="123"/>
      <c r="AC127" s="123"/>
      <c r="AD127" s="124"/>
      <c r="AE127" s="125"/>
      <c r="AF127" s="758"/>
      <c r="AG127" s="127"/>
      <c r="AH127" s="123"/>
      <c r="AI127" s="759"/>
      <c r="AJ127" s="455" t="str">
        <f>HYPERLINK("https://www.crunchbase.com/funding_round/tibber-series-a--2d9793d8","Mar 19, 2019")</f>
        <v>Mar 19, 2019</v>
      </c>
      <c r="AK127" s="127">
        <v>1.2E7</v>
      </c>
      <c r="AL127" s="455" t="str">
        <f>HYPERLINK("https://www.crunchbase.com/funding_round/tibber-series-b--6f95a44e","Nov 17, 2020")</f>
        <v>Nov 17, 2020</v>
      </c>
      <c r="AM127" s="127">
        <v>3.0E7</v>
      </c>
      <c r="AN127" s="455" t="str">
        <f>HYPERLINK("https://www.crunchbase.com/funding_round/tibber-series-c--88594d02","Mar 9, 2022")</f>
        <v>Mar 9, 2022</v>
      </c>
      <c r="AO127" s="127">
        <v>9.0E7</v>
      </c>
      <c r="AP127" s="124"/>
      <c r="AQ127" s="125"/>
      <c r="AR127" s="124"/>
      <c r="AS127" s="124"/>
      <c r="AT127" s="124"/>
      <c r="AU127" s="137"/>
      <c r="AV127" s="124"/>
      <c r="AW127" s="38"/>
      <c r="AX127" s="124"/>
      <c r="AY127" s="38"/>
      <c r="AZ127" s="124"/>
      <c r="BA127" s="137"/>
      <c r="BB127" s="124"/>
      <c r="BC127" s="137"/>
      <c r="BD127" s="124"/>
      <c r="BE127" s="125"/>
      <c r="BF127" s="123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</row>
    <row r="128" ht="15.75" customHeight="1">
      <c r="A128" s="47" t="s">
        <v>749</v>
      </c>
      <c r="C128" s="48" t="s">
        <v>84</v>
      </c>
      <c r="D128" s="351"/>
      <c r="E128" s="617" t="s">
        <v>750</v>
      </c>
      <c r="F128" s="749" t="s">
        <v>751</v>
      </c>
      <c r="G128" s="353"/>
      <c r="H128" s="53" t="s">
        <v>752</v>
      </c>
      <c r="I128" s="54" t="s">
        <v>753</v>
      </c>
      <c r="J128" s="55"/>
      <c r="K128" s="54">
        <v>2.0</v>
      </c>
      <c r="L128" s="56">
        <v>2017.0</v>
      </c>
      <c r="M128" s="55"/>
      <c r="N128" s="55"/>
      <c r="O128" s="27" t="str">
        <f t="shared" si="3"/>
        <v>#N/A</v>
      </c>
      <c r="P128" s="55"/>
      <c r="Q128" s="55"/>
      <c r="R128" s="55"/>
      <c r="S128" s="55"/>
      <c r="T128" s="55"/>
      <c r="U128" s="55"/>
      <c r="V128" s="30">
        <f t="shared" si="28"/>
        <v>131800000</v>
      </c>
      <c r="W128" s="30"/>
      <c r="X128" s="58"/>
      <c r="Y128" s="58"/>
      <c r="Z128" s="695"/>
      <c r="AA128" s="696"/>
      <c r="AB128" s="55"/>
      <c r="AC128" s="55"/>
      <c r="AD128" s="355"/>
      <c r="AE128" s="55"/>
      <c r="AF128" s="355"/>
      <c r="AG128" s="38"/>
      <c r="AH128" s="55"/>
      <c r="AI128" s="55"/>
      <c r="AJ128" s="55"/>
      <c r="AK128" s="55"/>
      <c r="AL128" s="55"/>
      <c r="AM128" s="55"/>
      <c r="AN128" s="55"/>
      <c r="AO128" s="55"/>
      <c r="AP128" s="356"/>
      <c r="AQ128" s="356"/>
      <c r="AR128" s="55"/>
      <c r="AS128" s="55"/>
      <c r="AT128" s="55"/>
      <c r="AU128" s="722"/>
      <c r="AV128" s="55"/>
      <c r="AW128" s="38"/>
      <c r="AX128" s="55"/>
      <c r="AY128" s="38"/>
      <c r="AZ128" s="62">
        <v>44907.0</v>
      </c>
      <c r="BA128" s="743">
        <v>4.22E7</v>
      </c>
      <c r="BB128" s="62">
        <v>44907.0</v>
      </c>
      <c r="BC128" s="743">
        <v>8.96E7</v>
      </c>
      <c r="BD128" s="55"/>
      <c r="BE128" s="38"/>
      <c r="BF128" s="55"/>
      <c r="BG128" s="760"/>
      <c r="BH128" s="760"/>
      <c r="BI128" s="760"/>
      <c r="BJ128" s="760"/>
      <c r="BK128" s="760"/>
      <c r="BL128" s="760"/>
      <c r="BM128" s="760"/>
      <c r="BN128" s="760"/>
      <c r="BO128" s="760"/>
      <c r="BP128" s="760"/>
      <c r="BQ128" s="760"/>
      <c r="BR128" s="760"/>
      <c r="BS128" s="760"/>
      <c r="BT128" s="760"/>
      <c r="BU128" s="760"/>
      <c r="BV128" s="760"/>
      <c r="BW128" s="760"/>
      <c r="BX128" s="760"/>
      <c r="BY128" s="760"/>
      <c r="BZ128" s="760"/>
      <c r="CA128" s="760"/>
      <c r="CB128" s="760"/>
      <c r="CC128" s="760"/>
      <c r="CD128" s="760"/>
      <c r="CE128" s="760"/>
      <c r="CF128" s="760"/>
      <c r="CG128" s="760"/>
      <c r="CH128" s="760"/>
      <c r="CI128" s="760"/>
      <c r="CJ128" s="760"/>
      <c r="CK128" s="760"/>
      <c r="CL128" s="760"/>
      <c r="CM128" s="760"/>
      <c r="CN128" s="760"/>
      <c r="CO128" s="760"/>
      <c r="CP128" s="760"/>
    </row>
    <row r="129" ht="15.75" customHeight="1">
      <c r="A129" s="442" t="s">
        <v>754</v>
      </c>
      <c r="B129" s="16" t="s">
        <v>719</v>
      </c>
      <c r="C129" s="16" t="s">
        <v>755</v>
      </c>
      <c r="D129" s="184" t="s">
        <v>756</v>
      </c>
      <c r="E129" s="184" t="s">
        <v>757</v>
      </c>
      <c r="F129" s="185" t="s">
        <v>758</v>
      </c>
      <c r="G129" s="317"/>
      <c r="H129" s="317" t="s">
        <v>695</v>
      </c>
      <c r="I129" s="23" t="s">
        <v>639</v>
      </c>
      <c r="J129" s="237"/>
      <c r="K129" s="36">
        <v>2.0</v>
      </c>
      <c r="L129" s="23">
        <v>2012.0</v>
      </c>
      <c r="M129" s="25">
        <f>year(now()) -L129</f>
        <v>13</v>
      </c>
      <c r="N129" s="26">
        <f>counta(AE129,AG129,AI129,AK129,AM129,AO129,AQ129,AS129,AU129,AW129,AY129,BA129,BC129)</f>
        <v>4</v>
      </c>
      <c r="O129" s="27" t="str">
        <f t="shared" si="3"/>
        <v>#N/A</v>
      </c>
      <c r="P129" s="28">
        <f t="shared" ref="P129:P143" si="84">RANK(T129,$T$2:$T$333)</f>
        <v>103</v>
      </c>
      <c r="Q129" s="28">
        <f t="shared" ref="Q129:Q143" si="85">rank(V129,$V$2:$V$344)</f>
        <v>112</v>
      </c>
      <c r="R129" s="28"/>
      <c r="S129" s="28" t="str">
        <f>rank(Y129,$Y$8:$Y$80)</f>
        <v>#N/A</v>
      </c>
      <c r="T129" s="29">
        <f>V129/M129</f>
        <v>10115384.62</v>
      </c>
      <c r="U129" s="28"/>
      <c r="V129" s="30">
        <f t="shared" si="28"/>
        <v>131500000</v>
      </c>
      <c r="W129" s="30"/>
      <c r="X129" s="32">
        <f>(max(AE129,AG129,AI129,AK129,AM129,AO129,AQ129,AS129,AU129,AW129,AY129,BA129,BC129)/min(AE129,AG129,AI129,AK129,AM129,AO129,AQ129,AS129,AU129,AW129,AY129,BA129,BC129))^(1/N129)-1</f>
        <v>1.850269883</v>
      </c>
      <c r="Y129" s="33">
        <f>(max(AE129,AG129,AI129,AK129,AM129,AO129,AQ129,AS129,AU129,AW129,AY129,BA129,BC129)/min(AE129,AG129,AI129,AK129,AM129,AO129,AQ129,AS129,AU129,AW129,AY129,BA129,BC129))^(1/M129)-1</f>
        <v>0.380272763</v>
      </c>
      <c r="Z129" s="692"/>
      <c r="AA129" s="665"/>
      <c r="AB129" s="36"/>
      <c r="AC129" s="36"/>
      <c r="AD129" s="109"/>
      <c r="AE129" s="105"/>
      <c r="AF129" s="188" t="str">
        <f>HYPERLINK("https://www.crunchbase.com/funding_round/breather-seed--d9492c31","Jun 5, 2013")</f>
        <v>Jun 5, 2013</v>
      </c>
      <c r="AG129" s="148">
        <v>1500000.0</v>
      </c>
      <c r="AH129" s="101"/>
      <c r="AI129" s="106"/>
      <c r="AJ129" s="107" t="str">
        <f>HYPERLINK("https://www.crunchbase.com/funding_round/breather-series-a--de60ead8"," Jul 11, 2014")</f>
        <v> Jul 11, 2014</v>
      </c>
      <c r="AK129" s="148">
        <v>6000000.0</v>
      </c>
      <c r="AL129" s="107" t="str">
        <f>HYPERLINK("https://www.crunchbase.com/funding_round/breather-series-b--959a05c4"," Sep 17, 2015")</f>
        <v> Sep 17, 2015</v>
      </c>
      <c r="AM129" s="148">
        <v>2.5E7</v>
      </c>
      <c r="AN129" s="107" t="str">
        <f>HYPERLINK("https://www.crunchbase.com/funding_round/breather-series-c--08ffb1ce"," Jun 11, 2018")</f>
        <v> Jun 11, 2018</v>
      </c>
      <c r="AO129" s="148">
        <v>9.9E7</v>
      </c>
      <c r="AP129" s="147">
        <v>43818.0</v>
      </c>
      <c r="AQ129" s="105"/>
      <c r="AR129" s="109"/>
      <c r="AS129" s="109"/>
      <c r="AT129" s="109"/>
      <c r="AU129" s="110"/>
      <c r="AV129" s="109"/>
      <c r="AW129" s="38"/>
      <c r="AX129" s="133"/>
      <c r="AY129" s="38"/>
      <c r="AZ129" s="133"/>
      <c r="BA129" s="105"/>
      <c r="BB129" s="133"/>
      <c r="BC129" s="105"/>
      <c r="BD129" s="44"/>
      <c r="BE129" s="46"/>
      <c r="BF129" s="36"/>
      <c r="BG129" s="115"/>
      <c r="BH129" s="115"/>
      <c r="BI129" s="115"/>
      <c r="BJ129" s="115"/>
      <c r="BK129" s="115"/>
      <c r="BL129" s="115"/>
      <c r="BM129" s="115"/>
      <c r="BN129" s="115"/>
      <c r="BO129" s="115"/>
      <c r="BP129" s="115"/>
      <c r="BQ129" s="115"/>
      <c r="BR129" s="115"/>
      <c r="BS129" s="115"/>
      <c r="BT129" s="115"/>
      <c r="BU129" s="115"/>
      <c r="BV129" s="115"/>
      <c r="BW129" s="115"/>
      <c r="BX129" s="115"/>
      <c r="BY129" s="115"/>
      <c r="BZ129" s="115"/>
      <c r="CA129" s="115"/>
      <c r="CB129" s="115"/>
      <c r="CC129" s="115"/>
      <c r="CD129" s="115"/>
      <c r="CE129" s="115"/>
      <c r="CF129" s="115"/>
      <c r="CG129" s="115"/>
      <c r="CH129" s="115"/>
      <c r="CI129" s="115"/>
      <c r="CJ129" s="115"/>
      <c r="CK129" s="115"/>
      <c r="CL129" s="115"/>
      <c r="CM129" s="115"/>
      <c r="CN129" s="115"/>
      <c r="CO129" s="115"/>
      <c r="CP129" s="115"/>
    </row>
    <row r="130" ht="15.75" customHeight="1">
      <c r="A130" s="21" t="s">
        <v>759</v>
      </c>
      <c r="B130" s="68"/>
      <c r="C130" s="69" t="s">
        <v>59</v>
      </c>
      <c r="D130" s="138" t="s">
        <v>760</v>
      </c>
      <c r="E130" s="200" t="s">
        <v>761</v>
      </c>
      <c r="F130" s="177" t="s">
        <v>762</v>
      </c>
      <c r="G130" s="186"/>
      <c r="H130" s="71" t="s">
        <v>64</v>
      </c>
      <c r="I130" s="26" t="s">
        <v>65</v>
      </c>
      <c r="J130" s="155"/>
      <c r="K130" s="26">
        <v>2.0</v>
      </c>
      <c r="L130" s="142">
        <v>2013.0</v>
      </c>
      <c r="M130" s="25"/>
      <c r="N130" s="26"/>
      <c r="O130" s="27" t="str">
        <f t="shared" si="3"/>
        <v>#N/A</v>
      </c>
      <c r="P130" s="28" t="str">
        <f t="shared" si="84"/>
        <v>#N/A</v>
      </c>
      <c r="Q130" s="28">
        <f t="shared" si="85"/>
        <v>114</v>
      </c>
      <c r="R130" s="28"/>
      <c r="S130" s="28"/>
      <c r="T130" s="28"/>
      <c r="U130" s="28"/>
      <c r="V130" s="30">
        <f t="shared" si="28"/>
        <v>129000000</v>
      </c>
      <c r="W130" s="30"/>
      <c r="X130" s="73"/>
      <c r="Y130" s="73"/>
      <c r="Z130" s="692"/>
      <c r="AA130" s="665"/>
      <c r="AB130" s="74"/>
      <c r="AC130" s="74"/>
      <c r="AD130" s="79"/>
      <c r="AE130" s="84"/>
      <c r="AF130" s="726">
        <v>42026.0</v>
      </c>
      <c r="AG130" s="76"/>
      <c r="AH130" s="77"/>
      <c r="AI130" s="78"/>
      <c r="AJ130" s="426" t="str">
        <f>HYPERLINK("https://www.crunchbase.com/funding_round/housecanary-series-a--2b56dac1","Jan 12, 2017")</f>
        <v>Jan 12, 2017</v>
      </c>
      <c r="AK130" s="76">
        <v>3.3E7</v>
      </c>
      <c r="AL130" s="181" t="str">
        <f>HYPERLINK("https://www.crunchbase.com/funding_round/housecanary-series-b--b9f84617","Sep 14, 2017")</f>
        <v>Sep 14, 2017</v>
      </c>
      <c r="AM130" s="76">
        <v>3.1E7</v>
      </c>
      <c r="AN130" s="181" t="str">
        <f>HYPERLINK("https://www.crunchbase.com/funding_round/housecanary-series-c--5bb38d71","Feb 6, 2020")</f>
        <v>Feb 6, 2020</v>
      </c>
      <c r="AO130" s="76">
        <v>6.5E7</v>
      </c>
      <c r="AP130" s="79"/>
      <c r="AQ130" s="84"/>
      <c r="AR130" s="79"/>
      <c r="AS130" s="79"/>
      <c r="AT130" s="79"/>
      <c r="AU130" s="80"/>
      <c r="AV130" s="79"/>
      <c r="AW130" s="38"/>
      <c r="AX130" s="79"/>
      <c r="AY130" s="38"/>
      <c r="AZ130" s="75">
        <v>43101.0</v>
      </c>
      <c r="BA130" s="80"/>
      <c r="BB130" s="79"/>
      <c r="BC130" s="80"/>
      <c r="BD130" s="79"/>
      <c r="BE130" s="84"/>
      <c r="BF130" s="74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</row>
    <row r="131" ht="15.75" customHeight="1">
      <c r="A131" s="21" t="s">
        <v>763</v>
      </c>
      <c r="B131" s="69"/>
      <c r="C131" s="69" t="s">
        <v>84</v>
      </c>
      <c r="D131" s="200" t="s">
        <v>764</v>
      </c>
      <c r="E131" s="200" t="s">
        <v>765</v>
      </c>
      <c r="F131" s="154" t="s">
        <v>766</v>
      </c>
      <c r="G131" s="140"/>
      <c r="H131" s="562" t="s">
        <v>767</v>
      </c>
      <c r="I131" s="26" t="s">
        <v>65</v>
      </c>
      <c r="J131" s="761"/>
      <c r="K131" s="26">
        <v>3.0</v>
      </c>
      <c r="L131" s="26">
        <v>2018.0</v>
      </c>
      <c r="M131" s="25"/>
      <c r="N131" s="26"/>
      <c r="O131" s="27" t="str">
        <f t="shared" si="3"/>
        <v>#N/A</v>
      </c>
      <c r="P131" s="28" t="str">
        <f t="shared" si="84"/>
        <v>#N/A</v>
      </c>
      <c r="Q131" s="28">
        <f t="shared" si="85"/>
        <v>116</v>
      </c>
      <c r="R131" s="273"/>
      <c r="S131" s="273"/>
      <c r="T131" s="273"/>
      <c r="U131" s="273"/>
      <c r="V131" s="30">
        <f t="shared" si="28"/>
        <v>128000000</v>
      </c>
      <c r="W131" s="30"/>
      <c r="X131" s="73"/>
      <c r="Y131" s="73"/>
      <c r="Z131" s="692"/>
      <c r="AA131" s="665"/>
      <c r="AB131" s="74"/>
      <c r="AC131" s="74"/>
      <c r="AD131" s="79"/>
      <c r="AE131" s="84"/>
      <c r="AF131" s="338"/>
      <c r="AG131" s="76"/>
      <c r="AH131" s="74"/>
      <c r="AI131" s="78"/>
      <c r="AJ131" s="181" t="str">
        <f>HYPERLINK("https://www.crunchbase.com/funding_round/homebound-series-a--df35008a","Dec 1, 2018")</f>
        <v>Dec 1, 2018</v>
      </c>
      <c r="AK131" s="76">
        <v>1.8E7</v>
      </c>
      <c r="AL131" s="181" t="str">
        <f>HYPERLINK("https://www.crunchbase.com/funding_round/homebound-series-b--477ee74a","Aug 17, 2019")</f>
        <v>Aug 17, 2019</v>
      </c>
      <c r="AM131" s="76">
        <v>3.5E7</v>
      </c>
      <c r="AN131" s="181" t="str">
        <f>HYPERLINK("https://www.crunchbase.com/funding_round/homebound-series-c--0cf4eaad","Feb 15, 2022")</f>
        <v>Feb 15, 2022</v>
      </c>
      <c r="AO131" s="76">
        <v>7.5E7</v>
      </c>
      <c r="AP131" s="79"/>
      <c r="AQ131" s="84"/>
      <c r="AR131" s="79"/>
      <c r="AS131" s="79"/>
      <c r="AT131" s="79"/>
      <c r="AU131" s="80"/>
      <c r="AV131" s="79"/>
      <c r="AW131" s="38"/>
      <c r="AX131" s="79"/>
      <c r="AY131" s="38"/>
      <c r="AZ131" s="79"/>
      <c r="BA131" s="80"/>
      <c r="BB131" s="79"/>
      <c r="BC131" s="80"/>
      <c r="BD131" s="79"/>
      <c r="BE131" s="84"/>
      <c r="BF131" s="74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</row>
    <row r="132" ht="15.75" customHeight="1">
      <c r="A132" s="21" t="s">
        <v>768</v>
      </c>
      <c r="B132" s="68"/>
      <c r="C132" s="69" t="s">
        <v>190</v>
      </c>
      <c r="D132" s="337"/>
      <c r="E132" s="138" t="s">
        <v>769</v>
      </c>
      <c r="F132" s="173" t="s">
        <v>770</v>
      </c>
      <c r="G132" s="186"/>
      <c r="H132" s="71" t="s">
        <v>771</v>
      </c>
      <c r="I132" s="26" t="s">
        <v>772</v>
      </c>
      <c r="J132" s="155"/>
      <c r="K132" s="26">
        <v>2.0</v>
      </c>
      <c r="L132" s="26">
        <v>2011.0</v>
      </c>
      <c r="M132" s="25"/>
      <c r="N132" s="26"/>
      <c r="O132" s="27" t="str">
        <f t="shared" si="3"/>
        <v>#N/A</v>
      </c>
      <c r="P132" s="28" t="str">
        <f t="shared" si="84"/>
        <v>#N/A</v>
      </c>
      <c r="Q132" s="28">
        <f t="shared" si="85"/>
        <v>118</v>
      </c>
      <c r="R132" s="273"/>
      <c r="S132" s="273"/>
      <c r="T132" s="273"/>
      <c r="U132" s="273"/>
      <c r="V132" s="30">
        <f t="shared" si="28"/>
        <v>124200000</v>
      </c>
      <c r="W132" s="30"/>
      <c r="X132" s="73"/>
      <c r="Y132" s="73"/>
      <c r="Z132" s="692"/>
      <c r="AA132" s="665"/>
      <c r="AB132" s="74"/>
      <c r="AC132" s="74"/>
      <c r="AD132" s="44"/>
      <c r="AE132" s="46"/>
      <c r="AF132" s="39"/>
      <c r="AG132" s="46"/>
      <c r="AH132" s="36"/>
      <c r="AI132" s="159"/>
      <c r="AJ132" s="43" t="str">
        <f>HYPERLINK("https://www.crunchbase.com/funding_round/evolve-vacation-rental-network-series-a--2983ef8d","Apr 18, 2013")</f>
        <v>Apr 18, 2013</v>
      </c>
      <c r="AK132" s="38">
        <v>2700000.0</v>
      </c>
      <c r="AL132" s="43" t="str">
        <f>HYPERLINK("https://www.crunchbase.com/funding_round/evolve-vacation-rental-network-series-b--68f1716f","Jun 9, 2016")</f>
        <v>Jun 9, 2016</v>
      </c>
      <c r="AM132" s="38">
        <v>5500000.0</v>
      </c>
      <c r="AN132" s="43" t="str">
        <f>HYPERLINK("https://www.crunchbase.com/funding_round/evolve-vacation-rental-network-series-c--ad9db0d7","Jun 1, 2017")</f>
        <v>Jun 1, 2017</v>
      </c>
      <c r="AO132" s="38">
        <v>1.1E7</v>
      </c>
      <c r="AP132" s="43" t="str">
        <f>HYPERLINK("https://www.crunchbase.com/funding_round/evolve-vacation-rental-network-series-d--f97032cb","Aug 23, 2018")</f>
        <v>Aug 23, 2018</v>
      </c>
      <c r="AQ132" s="38">
        <v>8.0E7</v>
      </c>
      <c r="AR132" s="43" t="str">
        <f>HYPERLINK("https://www.crunchbase.com/funding_round/evolve-vacation-rental-network-series-e--747f7c1d","May 29, 2020")</f>
        <v>May 29, 2020</v>
      </c>
      <c r="AS132" s="229">
        <v>2.5E7</v>
      </c>
      <c r="AT132" s="44"/>
      <c r="AU132" s="45"/>
      <c r="AV132" s="44"/>
      <c r="AW132" s="38"/>
      <c r="AX132" s="44"/>
      <c r="AY132" s="38"/>
      <c r="AZ132" s="44"/>
      <c r="BA132" s="45"/>
      <c r="BB132" s="44"/>
      <c r="BC132" s="45"/>
      <c r="BD132" s="44"/>
      <c r="BE132" s="46"/>
      <c r="BF132" s="3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</row>
    <row r="133" ht="15.75" customHeight="1">
      <c r="A133" s="442" t="s">
        <v>773</v>
      </c>
      <c r="B133" s="68" t="s">
        <v>719</v>
      </c>
      <c r="C133" s="68" t="s">
        <v>207</v>
      </c>
      <c r="D133" s="337" t="s">
        <v>774</v>
      </c>
      <c r="E133" s="337" t="s">
        <v>775</v>
      </c>
      <c r="F133" s="417" t="s">
        <v>776</v>
      </c>
      <c r="G133" s="54" t="s">
        <v>777</v>
      </c>
      <c r="H133" s="186" t="s">
        <v>665</v>
      </c>
      <c r="I133" s="74" t="s">
        <v>778</v>
      </c>
      <c r="J133" s="72" t="s">
        <v>779</v>
      </c>
      <c r="K133" s="74">
        <v>3.0</v>
      </c>
      <c r="L133" s="26">
        <v>2012.0</v>
      </c>
      <c r="M133" s="25">
        <f t="shared" ref="M133:M138" si="86">year(now()) -L133</f>
        <v>13</v>
      </c>
      <c r="N133" s="26">
        <f t="shared" ref="N133:N138" si="87">counta(AE133,AG133,AI133,AK133,AM133,AO133,AQ133,AS133,AU133,AW133,AY133,BA133,BC133)</f>
        <v>3</v>
      </c>
      <c r="O133" s="27" t="str">
        <f t="shared" si="3"/>
        <v>#N/A</v>
      </c>
      <c r="P133" s="28">
        <f t="shared" si="84"/>
        <v>110</v>
      </c>
      <c r="Q133" s="28">
        <f t="shared" si="85"/>
        <v>120</v>
      </c>
      <c r="R133" s="28"/>
      <c r="S133" s="28" t="str">
        <f t="shared" ref="S133:S138" si="88">rank(Y133,$Y$8:$Y$80)</f>
        <v>#N/A</v>
      </c>
      <c r="T133" s="29">
        <f t="shared" ref="T133:T138" si="89">V133/M133</f>
        <v>9346153.846</v>
      </c>
      <c r="U133" s="28"/>
      <c r="V133" s="30">
        <f t="shared" si="28"/>
        <v>121500000</v>
      </c>
      <c r="W133" s="30"/>
      <c r="X133" s="32"/>
      <c r="Y133" s="33">
        <f t="shared" ref="Y133:Y138" si="90">(max(AE133,AG133,AI133,AK133,AM133,AO133,AQ133,AS133,AU133,AW133,AY133,BA133,BC133)/min(AE133,AG133,AI133,AK133,AM133,AO133,AQ133,AS133,AU133,AW133,AY133,BA133,BC133))^(1/M133)-1</f>
        <v>0.184140595</v>
      </c>
      <c r="Z133" s="692"/>
      <c r="AA133" s="665"/>
      <c r="AB133" s="74"/>
      <c r="AC133" s="74"/>
      <c r="AD133" s="734"/>
      <c r="AE133" s="735"/>
      <c r="AF133" s="736" t="str">
        <f>HYPERLINK("https://www.crunchbase.com/organization/eventboard#section-funding-rounds2","Sep 30, 2014")</f>
        <v>Sep 30, 2014</v>
      </c>
      <c r="AG133" s="740">
        <v>1500000.0</v>
      </c>
      <c r="AH133" s="737"/>
      <c r="AI133" s="738"/>
      <c r="AJ133" s="739" t="str">
        <f>HYPERLINK("https://www.crunchbase.com/funding_round/eventboard-series-a--4b0bfa30","Nov 11, 2015")</f>
        <v>Nov 11, 2015</v>
      </c>
      <c r="AK133" s="740">
        <v>6500000.0</v>
      </c>
      <c r="AL133" s="739" t="str">
        <f>HYPERLINK("https://www.crunchbase.com/funding_round/eventboard-series-b--368c6332","Aug 17, 2016")</f>
        <v>Aug 17, 2016</v>
      </c>
      <c r="AM133" s="740">
        <v>1.35E7</v>
      </c>
      <c r="AN133" s="734"/>
      <c r="AO133" s="735"/>
      <c r="AP133" s="734"/>
      <c r="AQ133" s="735"/>
      <c r="AR133" s="734"/>
      <c r="AS133" s="734"/>
      <c r="AT133" s="734"/>
      <c r="AU133" s="742"/>
      <c r="AV133" s="734"/>
      <c r="AW133" s="38"/>
      <c r="AX133" s="734"/>
      <c r="AY133" s="38"/>
      <c r="AZ133" s="734"/>
      <c r="BA133" s="735"/>
      <c r="BB133" s="734"/>
      <c r="BC133" s="735"/>
      <c r="BD133" s="79">
        <v>43355.0</v>
      </c>
      <c r="BE133" s="84">
        <v>1.0E8</v>
      </c>
      <c r="BF133" s="74" t="s">
        <v>780</v>
      </c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</row>
    <row r="134" ht="15.75" customHeight="1">
      <c r="A134" s="21" t="s">
        <v>781</v>
      </c>
      <c r="B134" s="68"/>
      <c r="C134" s="69" t="s">
        <v>190</v>
      </c>
      <c r="D134" s="192" t="s">
        <v>782</v>
      </c>
      <c r="E134" s="192" t="s">
        <v>783</v>
      </c>
      <c r="F134" s="173" t="s">
        <v>784</v>
      </c>
      <c r="G134" s="71"/>
      <c r="H134" s="71" t="s">
        <v>114</v>
      </c>
      <c r="I134" s="26" t="s">
        <v>115</v>
      </c>
      <c r="J134" s="72"/>
      <c r="K134" s="26"/>
      <c r="L134" s="26">
        <v>2012.0</v>
      </c>
      <c r="M134" s="25">
        <f t="shared" si="86"/>
        <v>13</v>
      </c>
      <c r="N134" s="26">
        <f t="shared" si="87"/>
        <v>6</v>
      </c>
      <c r="O134" s="27" t="str">
        <f t="shared" si="3"/>
        <v>#N/A</v>
      </c>
      <c r="P134" s="28">
        <f t="shared" si="84"/>
        <v>113</v>
      </c>
      <c r="Q134" s="28">
        <f t="shared" si="85"/>
        <v>122</v>
      </c>
      <c r="R134" s="28"/>
      <c r="S134" s="28" t="str">
        <f t="shared" si="88"/>
        <v>#N/A</v>
      </c>
      <c r="T134" s="29">
        <f t="shared" si="89"/>
        <v>9076923.077</v>
      </c>
      <c r="U134" s="28"/>
      <c r="V134" s="30">
        <f t="shared" si="28"/>
        <v>118000000</v>
      </c>
      <c r="W134" s="30"/>
      <c r="X134" s="32">
        <f t="shared" ref="X134:X138" si="91">(max(AE134,AG134,AI134,AK134,AM134,AO134,AQ134,AS134,AU134,AW134,AY134,BA134,BC134)/min(AE134,AG134,AI134,AK134,AM134,AO134,AQ134,AS134,AU134,AW134,AY134,BA134,BC134))^(1/N134)-1</f>
        <v>0.587401052</v>
      </c>
      <c r="Y134" s="33">
        <f t="shared" si="90"/>
        <v>0.2377262853</v>
      </c>
      <c r="Z134" s="692"/>
      <c r="AA134" s="665"/>
      <c r="AB134" s="74"/>
      <c r="AC134" s="74"/>
      <c r="AD134" s="734"/>
      <c r="AE134" s="735"/>
      <c r="AF134" s="762">
        <v>41800.0</v>
      </c>
      <c r="AG134" s="745">
        <v>3000000.0</v>
      </c>
      <c r="AH134" s="763"/>
      <c r="AI134" s="738"/>
      <c r="AJ134" s="764">
        <v>41988.0</v>
      </c>
      <c r="AK134" s="745">
        <v>5000000.0</v>
      </c>
      <c r="AL134" s="764">
        <v>42439.0</v>
      </c>
      <c r="AM134" s="745">
        <v>1.0E7</v>
      </c>
      <c r="AN134" s="764">
        <v>42803.0</v>
      </c>
      <c r="AO134" s="745">
        <v>2.1E7</v>
      </c>
      <c r="AP134" s="764">
        <v>43171.0</v>
      </c>
      <c r="AQ134" s="745">
        <v>3.1E7</v>
      </c>
      <c r="AR134" s="764">
        <v>43669.0</v>
      </c>
      <c r="AS134" s="745">
        <v>4.8E7</v>
      </c>
      <c r="AT134" s="734"/>
      <c r="AU134" s="742"/>
      <c r="AV134" s="734"/>
      <c r="AW134" s="38"/>
      <c r="AX134" s="734"/>
      <c r="AY134" s="38"/>
      <c r="AZ134" s="734"/>
      <c r="BA134" s="735"/>
      <c r="BB134" s="734"/>
      <c r="BC134" s="735"/>
      <c r="BD134" s="79"/>
      <c r="BE134" s="84"/>
      <c r="BF134" s="74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</row>
    <row r="135" ht="15.75" customHeight="1">
      <c r="A135" s="765" t="s">
        <v>785</v>
      </c>
      <c r="B135" s="766" t="s">
        <v>786</v>
      </c>
      <c r="C135" s="766" t="s">
        <v>59</v>
      </c>
      <c r="D135" s="767" t="s">
        <v>787</v>
      </c>
      <c r="E135" s="767" t="s">
        <v>788</v>
      </c>
      <c r="F135" s="768" t="s">
        <v>789</v>
      </c>
      <c r="G135" s="769" t="s">
        <v>790</v>
      </c>
      <c r="H135" s="770" t="s">
        <v>791</v>
      </c>
      <c r="I135" s="771" t="s">
        <v>792</v>
      </c>
      <c r="J135" s="772"/>
      <c r="K135" s="771">
        <v>3.0</v>
      </c>
      <c r="L135" s="771">
        <v>2009.0</v>
      </c>
      <c r="M135" s="25">
        <f t="shared" si="86"/>
        <v>16</v>
      </c>
      <c r="N135" s="26">
        <f t="shared" si="87"/>
        <v>4</v>
      </c>
      <c r="O135" s="27" t="str">
        <f t="shared" si="3"/>
        <v>#N/A</v>
      </c>
      <c r="P135" s="28">
        <f t="shared" si="84"/>
        <v>135</v>
      </c>
      <c r="Q135" s="28">
        <f t="shared" si="85"/>
        <v>123</v>
      </c>
      <c r="R135" s="28"/>
      <c r="S135" s="28" t="str">
        <f t="shared" si="88"/>
        <v>#N/A</v>
      </c>
      <c r="T135" s="29">
        <f t="shared" si="89"/>
        <v>7350332.313</v>
      </c>
      <c r="U135" s="28"/>
      <c r="V135" s="30">
        <f t="shared" si="28"/>
        <v>117605317</v>
      </c>
      <c r="W135" s="30"/>
      <c r="X135" s="32">
        <f t="shared" si="91"/>
        <v>4.249861871</v>
      </c>
      <c r="Y135" s="33">
        <f t="shared" si="90"/>
        <v>0.5136900955</v>
      </c>
      <c r="Z135" s="692"/>
      <c r="AA135" s="665"/>
      <c r="AB135" s="773"/>
      <c r="AC135" s="773"/>
      <c r="AD135" s="774"/>
      <c r="AE135" s="775"/>
      <c r="AF135" s="776" t="str">
        <f>HYPERLINK("https://www.crunchbase.com/funding_round/scandit-seed--290239a7","Mar 3, 2010")</f>
        <v>Mar 3, 2010</v>
      </c>
      <c r="AG135" s="777">
        <v>105317.0</v>
      </c>
      <c r="AH135" s="778"/>
      <c r="AI135" s="779"/>
      <c r="AJ135" s="780" t="str">
        <f>HYPERLINK("https://www.crunchbase.com/funding_round/scandit-series-a--b0c0120e","Jan 10, 2017")</f>
        <v>Jan 10, 2017</v>
      </c>
      <c r="AK135" s="781">
        <v>7500000.0</v>
      </c>
      <c r="AL135" s="782" t="str">
        <f>HYPERLINK("https://www.crunchbase.com/funding_round/scandit-series-b--d53adc0b","Jul 25, 2018")</f>
        <v>Jul 25, 2018</v>
      </c>
      <c r="AM135" s="781">
        <v>3.0E7</v>
      </c>
      <c r="AN135" s="782" t="str">
        <f>HYPERLINK("https://www.crunchbase.com/funding_round/scandit-series-c--2a39cd19","May 26, 2020")</f>
        <v>May 26, 2020</v>
      </c>
      <c r="AO135" s="781">
        <v>8.0E7</v>
      </c>
      <c r="AP135" s="774"/>
      <c r="AQ135" s="775"/>
      <c r="AR135" s="774"/>
      <c r="AS135" s="774"/>
      <c r="AT135" s="774"/>
      <c r="AU135" s="783"/>
      <c r="AV135" s="774"/>
      <c r="AW135" s="38"/>
      <c r="AX135" s="133"/>
      <c r="AY135" s="38"/>
      <c r="AZ135" s="133"/>
      <c r="BA135" s="105"/>
      <c r="BB135" s="133"/>
      <c r="BC135" s="105"/>
      <c r="BD135" s="784"/>
      <c r="BE135" s="785"/>
      <c r="BF135" s="773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</row>
    <row r="136" ht="15.75" customHeight="1">
      <c r="A136" s="666" t="s">
        <v>793</v>
      </c>
      <c r="B136" s="115" t="s">
        <v>719</v>
      </c>
      <c r="C136" s="115" t="s">
        <v>207</v>
      </c>
      <c r="D136" s="449" t="s">
        <v>794</v>
      </c>
      <c r="E136" s="449" t="s">
        <v>795</v>
      </c>
      <c r="F136" s="668" t="s">
        <v>796</v>
      </c>
      <c r="G136" s="54" t="s">
        <v>797</v>
      </c>
      <c r="H136" s="286" t="s">
        <v>128</v>
      </c>
      <c r="I136" s="123" t="s">
        <v>129</v>
      </c>
      <c r="J136" s="178" t="s">
        <v>798</v>
      </c>
      <c r="K136" s="123">
        <v>2.0</v>
      </c>
      <c r="L136" s="25">
        <v>2016.0</v>
      </c>
      <c r="M136" s="25">
        <f t="shared" si="86"/>
        <v>9</v>
      </c>
      <c r="N136" s="26">
        <f t="shared" si="87"/>
        <v>4</v>
      </c>
      <c r="O136" s="27" t="str">
        <f t="shared" si="3"/>
        <v>#N/A</v>
      </c>
      <c r="P136" s="28">
        <f t="shared" si="84"/>
        <v>80</v>
      </c>
      <c r="Q136" s="28">
        <f t="shared" si="85"/>
        <v>124</v>
      </c>
      <c r="R136" s="28"/>
      <c r="S136" s="28" t="str">
        <f t="shared" si="88"/>
        <v>#N/A</v>
      </c>
      <c r="T136" s="29">
        <f t="shared" si="89"/>
        <v>13055555.56</v>
      </c>
      <c r="U136" s="28"/>
      <c r="V136" s="30">
        <f t="shared" si="28"/>
        <v>117500000</v>
      </c>
      <c r="W136" s="30"/>
      <c r="X136" s="32">
        <f t="shared" si="91"/>
        <v>1.340347319</v>
      </c>
      <c r="Y136" s="33">
        <f t="shared" si="90"/>
        <v>0.459232803</v>
      </c>
      <c r="Z136" s="692"/>
      <c r="AA136" s="665"/>
      <c r="AB136" s="123"/>
      <c r="AC136" s="123"/>
      <c r="AD136" s="734"/>
      <c r="AE136" s="735"/>
      <c r="AF136" s="736" t="str">
        <f>HYPERLINK("https://www.crunchbase.com/organization/the-wing#section-funding-rounds"," Sep 16, 2015")</f>
        <v> Sep 16, 2015</v>
      </c>
      <c r="AG136" s="740">
        <v>2500000.0</v>
      </c>
      <c r="AH136" s="737"/>
      <c r="AI136" s="738"/>
      <c r="AJ136" s="739" t="str">
        <f>HYPERLINK("https://www.crunchbase.com/funding_round/the-wing-series-a--27f95a45","Apr 5, 2017")</f>
        <v>Apr 5, 2017</v>
      </c>
      <c r="AK136" s="740">
        <v>8000000.0</v>
      </c>
      <c r="AL136" s="739" t="str">
        <f>HYPERLINK("https://www.crunchbase.com/funding_round/the-wing-series-b--5cdd3eff","Nov 21, 2017")</f>
        <v>Nov 21, 2017</v>
      </c>
      <c r="AM136" s="740">
        <v>3.2E7</v>
      </c>
      <c r="AN136" s="739" t="str">
        <f>HYPERLINK("https://www.crunchbase.com/funding_round/the-wing-series-c--b62f10b1","Dec 19, 2018")</f>
        <v>Dec 19, 2018</v>
      </c>
      <c r="AO136" s="740">
        <v>7.5E7</v>
      </c>
      <c r="AP136" s="734"/>
      <c r="AQ136" s="735"/>
      <c r="AR136" s="734"/>
      <c r="AS136" s="734"/>
      <c r="AT136" s="734"/>
      <c r="AU136" s="742"/>
      <c r="AV136" s="734"/>
      <c r="AW136" s="38"/>
      <c r="AX136" s="734"/>
      <c r="AY136" s="38"/>
      <c r="AZ136" s="734"/>
      <c r="BA136" s="735"/>
      <c r="BB136" s="734"/>
      <c r="BC136" s="735"/>
      <c r="BD136" s="124"/>
      <c r="BE136" s="125"/>
      <c r="BF136" s="123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</row>
    <row r="137" ht="15.75" customHeight="1">
      <c r="A137" s="47" t="s">
        <v>799</v>
      </c>
      <c r="B137" s="115"/>
      <c r="C137" s="116"/>
      <c r="D137" s="161" t="s">
        <v>800</v>
      </c>
      <c r="E137" s="161" t="s">
        <v>801</v>
      </c>
      <c r="F137" s="118" t="s">
        <v>802</v>
      </c>
      <c r="G137" s="55"/>
      <c r="H137" s="54" t="s">
        <v>80</v>
      </c>
      <c r="I137" s="25" t="s">
        <v>65</v>
      </c>
      <c r="J137" s="178"/>
      <c r="K137" s="25">
        <v>2.0</v>
      </c>
      <c r="L137" s="25">
        <v>2016.0</v>
      </c>
      <c r="M137" s="25">
        <f t="shared" si="86"/>
        <v>9</v>
      </c>
      <c r="N137" s="26">
        <f t="shared" si="87"/>
        <v>3</v>
      </c>
      <c r="O137" s="27" t="str">
        <f t="shared" si="3"/>
        <v>#N/A</v>
      </c>
      <c r="P137" s="28">
        <f t="shared" si="84"/>
        <v>81</v>
      </c>
      <c r="Q137" s="28">
        <f t="shared" si="85"/>
        <v>125</v>
      </c>
      <c r="R137" s="28"/>
      <c r="S137" s="28" t="str">
        <f t="shared" si="88"/>
        <v>#N/A</v>
      </c>
      <c r="T137" s="29">
        <f t="shared" si="89"/>
        <v>13033333.33</v>
      </c>
      <c r="U137" s="28"/>
      <c r="V137" s="30">
        <f t="shared" si="28"/>
        <v>117300000</v>
      </c>
      <c r="W137" s="30"/>
      <c r="X137" s="32">
        <f t="shared" si="91"/>
        <v>3.460560702</v>
      </c>
      <c r="Y137" s="33">
        <f t="shared" si="90"/>
        <v>0.6461262911</v>
      </c>
      <c r="Z137" s="695"/>
      <c r="AA137" s="696"/>
      <c r="AB137" s="123"/>
      <c r="AC137" s="123"/>
      <c r="AD137" s="734"/>
      <c r="AE137" s="735"/>
      <c r="AF137" s="736" t="str">
        <f>HYPERLINK("https://www.crunchbase.com/funding_round/reali-seed--0f6ba453","Oct 20, 2016")</f>
        <v>Oct 20, 2016</v>
      </c>
      <c r="AG137" s="740">
        <v>1200000.0</v>
      </c>
      <c r="AH137" s="786"/>
      <c r="AI137" s="787"/>
      <c r="AJ137" s="739" t="str">
        <f>HYPERLINK("https://www.crunchbase.com/funding_round/reali-series-a--281ebb21","Dec 31, 2017")</f>
        <v>Dec 31, 2017</v>
      </c>
      <c r="AK137" s="740">
        <v>9600000.0</v>
      </c>
      <c r="AL137" s="739" t="str">
        <f>HYPERLINK("https://www.crunchbase.com/funding_round/reali-series-b--0b6c36d7","Aug 18, 2021")</f>
        <v>Aug 18, 2021</v>
      </c>
      <c r="AM137" s="740">
        <v>1.065E8</v>
      </c>
      <c r="AN137" s="734"/>
      <c r="AO137" s="735"/>
      <c r="AP137" s="734"/>
      <c r="AQ137" s="735"/>
      <c r="AR137" s="734"/>
      <c r="AS137" s="734"/>
      <c r="AT137" s="734"/>
      <c r="AU137" s="742"/>
      <c r="AV137" s="734"/>
      <c r="AW137" s="38"/>
      <c r="AX137" s="734"/>
      <c r="AY137" s="38"/>
      <c r="AZ137" s="734"/>
      <c r="BA137" s="735"/>
      <c r="BB137" s="734"/>
      <c r="BC137" s="735"/>
      <c r="BD137" s="124"/>
      <c r="BE137" s="125"/>
      <c r="BF137" s="123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</row>
    <row r="138" ht="15.75" customHeight="1">
      <c r="A138" s="666" t="s">
        <v>803</v>
      </c>
      <c r="B138" s="115" t="s">
        <v>122</v>
      </c>
      <c r="C138" s="116" t="s">
        <v>132</v>
      </c>
      <c r="D138" s="667" t="s">
        <v>804</v>
      </c>
      <c r="E138" s="401" t="s">
        <v>805</v>
      </c>
      <c r="F138" s="667" t="s">
        <v>806</v>
      </c>
      <c r="G138" s="286"/>
      <c r="H138" s="286" t="s">
        <v>128</v>
      </c>
      <c r="I138" s="123" t="s">
        <v>129</v>
      </c>
      <c r="J138" s="287"/>
      <c r="K138" s="123">
        <v>2.0</v>
      </c>
      <c r="L138" s="25">
        <v>2016.0</v>
      </c>
      <c r="M138" s="25">
        <f t="shared" si="86"/>
        <v>9</v>
      </c>
      <c r="N138" s="26">
        <f t="shared" si="87"/>
        <v>4</v>
      </c>
      <c r="O138" s="27" t="str">
        <f t="shared" si="3"/>
        <v>#N/A</v>
      </c>
      <c r="P138" s="28">
        <f t="shared" si="84"/>
        <v>83</v>
      </c>
      <c r="Q138" s="28">
        <f t="shared" si="85"/>
        <v>126</v>
      </c>
      <c r="R138" s="28"/>
      <c r="S138" s="28" t="str">
        <f t="shared" si="88"/>
        <v>#N/A</v>
      </c>
      <c r="T138" s="29">
        <f t="shared" si="89"/>
        <v>12888888.89</v>
      </c>
      <c r="U138" s="28"/>
      <c r="V138" s="30">
        <f t="shared" si="28"/>
        <v>116000000</v>
      </c>
      <c r="W138" s="30"/>
      <c r="X138" s="32">
        <f t="shared" si="91"/>
        <v>0.8803015465</v>
      </c>
      <c r="Y138" s="33">
        <f t="shared" si="90"/>
        <v>0.3239722738</v>
      </c>
      <c r="Z138" s="692"/>
      <c r="AA138" s="665"/>
      <c r="AB138" s="123"/>
      <c r="AC138" s="123"/>
      <c r="AD138" s="133"/>
      <c r="AE138" s="392"/>
      <c r="AF138" s="788">
        <v>42975.0</v>
      </c>
      <c r="AG138" s="789">
        <v>4000000.0</v>
      </c>
      <c r="AH138" s="548"/>
      <c r="AI138" s="790"/>
      <c r="AJ138" s="132" t="str">
        <f>HYPERLINK("https://www.crunchbase.com/funding_round/domio-inc-series-a--51f2f6a8"," Oct 19, 2018        
")</f>
        <v> Oct 19, 2018        
</v>
      </c>
      <c r="AK138" s="130">
        <v>1.2E7</v>
      </c>
      <c r="AL138" s="132" t="str">
        <f>HYPERLINK("https://www.crunchbase.com/funding_round/domio-inc-series-b--6949dc0b"," 12/18/2019")</f>
        <v> 12/18/2019</v>
      </c>
      <c r="AM138" s="789">
        <v>5.0E7</v>
      </c>
      <c r="AN138" s="133"/>
      <c r="AO138" s="392"/>
      <c r="AP138" s="133"/>
      <c r="AQ138" s="392"/>
      <c r="AR138" s="133"/>
      <c r="AS138" s="133"/>
      <c r="AT138" s="133"/>
      <c r="AU138" s="134"/>
      <c r="AV138" s="133"/>
      <c r="AW138" s="38"/>
      <c r="AX138" s="133"/>
      <c r="AY138" s="38"/>
      <c r="AZ138" s="135">
        <v>43312.0</v>
      </c>
      <c r="BA138" s="134"/>
      <c r="BB138" s="132" t="str">
        <f>HYPERLINK("https://www.crunchbase.com/funding_round/domio-inc-series-b--6949dc0b"," 12/18/2019")</f>
        <v> 12/18/2019</v>
      </c>
      <c r="BC138" s="108">
        <v>5.0E7</v>
      </c>
      <c r="BD138" s="133"/>
      <c r="BE138" s="323"/>
      <c r="BF138" s="326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</row>
    <row r="139" ht="15.75" customHeight="1">
      <c r="A139" s="21" t="s">
        <v>807</v>
      </c>
      <c r="B139" s="69"/>
      <c r="C139" s="69" t="s">
        <v>84</v>
      </c>
      <c r="D139" s="48"/>
      <c r="E139" s="192" t="s">
        <v>808</v>
      </c>
      <c r="F139" s="791" t="s">
        <v>809</v>
      </c>
      <c r="G139" s="71"/>
      <c r="H139" s="71" t="s">
        <v>99</v>
      </c>
      <c r="I139" s="26" t="s">
        <v>100</v>
      </c>
      <c r="J139" s="72"/>
      <c r="K139" s="26">
        <v>2.0</v>
      </c>
      <c r="L139" s="26">
        <v>2016.0</v>
      </c>
      <c r="M139" s="25"/>
      <c r="N139" s="26"/>
      <c r="O139" s="27" t="str">
        <f t="shared" si="3"/>
        <v>#N/A</v>
      </c>
      <c r="P139" s="28" t="str">
        <f t="shared" si="84"/>
        <v>#N/A</v>
      </c>
      <c r="Q139" s="28">
        <f t="shared" si="85"/>
        <v>127</v>
      </c>
      <c r="R139" s="273"/>
      <c r="S139" s="273"/>
      <c r="T139" s="273"/>
      <c r="U139" s="273"/>
      <c r="V139" s="30">
        <f t="shared" si="28"/>
        <v>114000000</v>
      </c>
      <c r="W139" s="30"/>
      <c r="X139" s="73"/>
      <c r="Y139" s="73"/>
      <c r="Z139" s="692"/>
      <c r="AA139" s="665"/>
      <c r="AB139" s="74"/>
      <c r="AC139" s="74"/>
      <c r="AD139" s="79"/>
      <c r="AE139" s="84"/>
      <c r="AF139" s="792"/>
      <c r="AG139" s="84"/>
      <c r="AH139" s="74"/>
      <c r="AI139" s="78"/>
      <c r="AJ139" s="181" t="str">
        <f>HYPERLINK("https://www.crunchbase.com/funding_round/zolar-series-a--fb95ebe9","Nov 16, 2017")</f>
        <v>Nov 16, 2017</v>
      </c>
      <c r="AK139" s="793">
        <v>4000000.0</v>
      </c>
      <c r="AL139" s="426" t="str">
        <f>HYPERLINK("https://www.crunchbase.com/funding_round/zolar-series-b--514de4e3","Mar 16, 2021")</f>
        <v>Mar 16, 2021</v>
      </c>
      <c r="AM139" s="794">
        <v>1.0E7</v>
      </c>
      <c r="AN139" s="181" t="str">
        <f>HYPERLINK("https://www.crunchbase.com/funding_round/zolar-series-c--0b218044","May 19, 2022")</f>
        <v>May 19, 2022</v>
      </c>
      <c r="AO139" s="795">
        <v>1.0E8</v>
      </c>
      <c r="AP139" s="79"/>
      <c r="AQ139" s="84"/>
      <c r="AR139" s="79"/>
      <c r="AS139" s="79"/>
      <c r="AT139" s="79"/>
      <c r="AU139" s="80"/>
      <c r="AV139" s="79"/>
      <c r="AW139" s="38"/>
      <c r="AX139" s="79"/>
      <c r="AY139" s="38"/>
      <c r="AZ139" s="79"/>
      <c r="BA139" s="80"/>
      <c r="BB139" s="79"/>
      <c r="BC139" s="80"/>
      <c r="BD139" s="79"/>
      <c r="BE139" s="84"/>
      <c r="BF139" s="74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</row>
    <row r="140" ht="15.75" customHeight="1">
      <c r="A140" s="21" t="s">
        <v>810</v>
      </c>
      <c r="B140" s="69"/>
      <c r="C140" s="69" t="s">
        <v>513</v>
      </c>
      <c r="D140" s="796" t="s">
        <v>811</v>
      </c>
      <c r="E140" s="200" t="s">
        <v>812</v>
      </c>
      <c r="F140" s="154" t="s">
        <v>813</v>
      </c>
      <c r="G140" s="23"/>
      <c r="H140" s="71" t="s">
        <v>814</v>
      </c>
      <c r="I140" s="26" t="s">
        <v>65</v>
      </c>
      <c r="J140" s="72"/>
      <c r="K140" s="26">
        <v>4.0</v>
      </c>
      <c r="L140" s="26">
        <v>2020.0</v>
      </c>
      <c r="M140" s="25"/>
      <c r="N140" s="26"/>
      <c r="O140" s="27" t="str">
        <f t="shared" si="3"/>
        <v>#N/A</v>
      </c>
      <c r="P140" s="28" t="str">
        <f t="shared" si="84"/>
        <v>#N/A</v>
      </c>
      <c r="Q140" s="28">
        <f t="shared" si="85"/>
        <v>129</v>
      </c>
      <c r="R140" s="273"/>
      <c r="S140" s="273"/>
      <c r="T140" s="273"/>
      <c r="U140" s="273"/>
      <c r="V140" s="30">
        <f t="shared" si="28"/>
        <v>113225000</v>
      </c>
      <c r="W140" s="30"/>
      <c r="X140" s="73"/>
      <c r="Y140" s="73"/>
      <c r="Z140" s="692"/>
      <c r="AA140" s="665"/>
      <c r="AB140" s="74"/>
      <c r="AC140" s="74"/>
      <c r="AD140" s="75">
        <v>43834.0</v>
      </c>
      <c r="AE140" s="76">
        <v>800000.0</v>
      </c>
      <c r="AF140" s="726">
        <v>44200.0</v>
      </c>
      <c r="AG140" s="76">
        <v>2425000.0</v>
      </c>
      <c r="AH140" s="74"/>
      <c r="AI140" s="78"/>
      <c r="AJ140" s="75">
        <v>44335.0</v>
      </c>
      <c r="AK140" s="76">
        <v>1.0E7</v>
      </c>
      <c r="AL140" s="75">
        <v>44832.0</v>
      </c>
      <c r="AM140" s="76">
        <v>1.0E8</v>
      </c>
      <c r="AN140" s="79"/>
      <c r="AO140" s="84"/>
      <c r="AP140" s="79"/>
      <c r="AQ140" s="84"/>
      <c r="AR140" s="79"/>
      <c r="AS140" s="79"/>
      <c r="AT140" s="79"/>
      <c r="AU140" s="80"/>
      <c r="AV140" s="79"/>
      <c r="AW140" s="38"/>
      <c r="AX140" s="79"/>
      <c r="AY140" s="38"/>
      <c r="AZ140" s="79"/>
      <c r="BA140" s="80"/>
      <c r="BB140" s="79"/>
      <c r="BC140" s="80"/>
      <c r="BD140" s="79"/>
      <c r="BE140" s="84"/>
      <c r="BF140" s="74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</row>
    <row r="141" ht="15.75" customHeight="1">
      <c r="A141" s="462" t="s">
        <v>815</v>
      </c>
      <c r="B141" s="16"/>
      <c r="C141" s="17" t="s">
        <v>702</v>
      </c>
      <c r="D141" s="236" t="s">
        <v>816</v>
      </c>
      <c r="E141" s="236" t="s">
        <v>817</v>
      </c>
      <c r="F141" s="316" t="s">
        <v>818</v>
      </c>
      <c r="G141" s="22"/>
      <c r="H141" s="22" t="s">
        <v>64</v>
      </c>
      <c r="I141" s="23" t="s">
        <v>65</v>
      </c>
      <c r="J141" s="237"/>
      <c r="K141" s="23">
        <v>2.0</v>
      </c>
      <c r="L141" s="23">
        <v>2016.0</v>
      </c>
      <c r="M141" s="222"/>
      <c r="N141" s="23"/>
      <c r="O141" s="27" t="str">
        <f t="shared" si="3"/>
        <v>#N/A</v>
      </c>
      <c r="P141" s="28" t="str">
        <f t="shared" si="84"/>
        <v>#N/A</v>
      </c>
      <c r="Q141" s="28">
        <f t="shared" si="85"/>
        <v>130</v>
      </c>
      <c r="R141" s="464"/>
      <c r="S141" s="464"/>
      <c r="T141" s="464"/>
      <c r="U141" s="464"/>
      <c r="V141" s="30">
        <f t="shared" si="28"/>
        <v>112000000</v>
      </c>
      <c r="W141" s="31">
        <v>1000000.0</v>
      </c>
      <c r="X141" s="33"/>
      <c r="Y141" s="33"/>
      <c r="Z141" s="692"/>
      <c r="AA141" s="665"/>
      <c r="AB141" s="36"/>
      <c r="AC141" s="36"/>
      <c r="AD141" s="44"/>
      <c r="AE141" s="46"/>
      <c r="AF141" s="320"/>
      <c r="AG141" s="38"/>
      <c r="AH141" s="46"/>
      <c r="AI141" s="159"/>
      <c r="AJ141" s="43" t="str">
        <f>HYPERLINK("https://www.crunchbase.com/funding_round/built-robotics-series-a--74fb461c","Oct 19, 2017")</f>
        <v>Oct 19, 2017</v>
      </c>
      <c r="AK141" s="38">
        <v>1.5E7</v>
      </c>
      <c r="AL141" s="43" t="str">
        <f>HYPERLINK("https://www.crunchbase.com/funding_round/built-robotics-series-b--26c76696","Sep 19, 2019")</f>
        <v>Sep 19, 2019</v>
      </c>
      <c r="AM141" s="38">
        <v>3.3E7</v>
      </c>
      <c r="AN141" s="43" t="str">
        <f>HYPERLINK("https://www.crunchbase.com/funding_round/built-robotics-series-c--0b7ca4b3","Apr 7, 2022")</f>
        <v>Apr 7, 2022</v>
      </c>
      <c r="AO141" s="38">
        <v>6.4E7</v>
      </c>
      <c r="AP141" s="44"/>
      <c r="AQ141" s="38"/>
      <c r="AR141" s="44"/>
      <c r="AS141" s="44"/>
      <c r="AT141" s="44"/>
      <c r="AU141" s="45"/>
      <c r="AV141" s="44"/>
      <c r="AW141" s="38"/>
      <c r="AX141" s="44"/>
      <c r="AY141" s="38"/>
      <c r="AZ141" s="44"/>
      <c r="BA141" s="45"/>
      <c r="BB141" s="44"/>
      <c r="BC141" s="45"/>
      <c r="BD141" s="44"/>
      <c r="BE141" s="46"/>
      <c r="BF141" s="46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</row>
    <row r="142" ht="15.75" customHeight="1">
      <c r="A142" s="21" t="s">
        <v>819</v>
      </c>
      <c r="B142" s="69" t="s">
        <v>820</v>
      </c>
      <c r="C142" s="69" t="s">
        <v>59</v>
      </c>
      <c r="D142" s="138" t="s">
        <v>821</v>
      </c>
      <c r="E142" s="200" t="s">
        <v>822</v>
      </c>
      <c r="F142" s="173" t="s">
        <v>823</v>
      </c>
      <c r="G142" s="407" t="s">
        <v>824</v>
      </c>
      <c r="H142" s="71" t="s">
        <v>825</v>
      </c>
      <c r="I142" s="26" t="s">
        <v>826</v>
      </c>
      <c r="J142" s="718" t="s">
        <v>827</v>
      </c>
      <c r="K142" s="26">
        <v>3.0</v>
      </c>
      <c r="L142" s="26">
        <v>2005.0</v>
      </c>
      <c r="M142" s="25">
        <f t="shared" ref="M142:M143" si="92">year(now()) -L142</f>
        <v>20</v>
      </c>
      <c r="N142" s="26">
        <f t="shared" ref="N142:N143" si="93">counta(AE142,AG142,AI142,AK142,AM142,AO142,AQ142,AS142,AU142,AW142,AY142,BA142,BC142)</f>
        <v>4</v>
      </c>
      <c r="O142" s="27" t="str">
        <f t="shared" si="3"/>
        <v>#N/A</v>
      </c>
      <c r="P142" s="28">
        <f t="shared" si="84"/>
        <v>169</v>
      </c>
      <c r="Q142" s="28">
        <f t="shared" si="85"/>
        <v>132</v>
      </c>
      <c r="R142" s="28"/>
      <c r="S142" s="28" t="str">
        <f t="shared" ref="S142:S143" si="94">rank(Y142,$Y$8:$Y$80)</f>
        <v>#N/A</v>
      </c>
      <c r="T142" s="29">
        <f t="shared" ref="T142:T143" si="95">V142/M142</f>
        <v>5550000</v>
      </c>
      <c r="U142" s="28"/>
      <c r="V142" s="30">
        <f t="shared" si="28"/>
        <v>111000000</v>
      </c>
      <c r="W142" s="30"/>
      <c r="X142" s="32">
        <f t="shared" ref="X142:X143" si="96">(max(AE142,AG142,AI142,AK142,AM142,AO142,AQ142,AS142,AU142,AW142,AY142,BA142,BC142)/min(AE142,AG142,AI142,AK142,AM142,AO142,AQ142,AS142,AU142,AW142,AY142,BA142,BC142))^(1/N142)-1</f>
        <v>0.9679896713</v>
      </c>
      <c r="Y142" s="33">
        <f t="shared" ref="Y142:Y143" si="97">(max(AE142,AG142,AI142,AK142,AM142,AO142,AQ142,AS142,AU142,AW142,AY142,BA142,BC142)/min(AE142,AG142,AI142,AK142,AM142,AO142,AQ142,AS142,AU142,AW142,AY142,BA142,BC142))^(1/M142)-1</f>
        <v>0.1449975646</v>
      </c>
      <c r="Z142" s="692"/>
      <c r="AA142" s="665"/>
      <c r="AB142" s="74"/>
      <c r="AC142" s="74"/>
      <c r="AD142" s="734"/>
      <c r="AE142" s="735"/>
      <c r="AF142" s="797"/>
      <c r="AG142" s="735"/>
      <c r="AH142" s="737"/>
      <c r="AI142" s="738"/>
      <c r="AJ142" s="739" t="str">
        <f>HYPERLINK("https://www.crunchbase.com/organization/soundhound#section-funding-rounds"," May 31, 2006")</f>
        <v> May 31, 2006</v>
      </c>
      <c r="AK142" s="745">
        <v>5000000.0</v>
      </c>
      <c r="AL142" s="739" t="str">
        <f>HYPERLINK("https://www.crunchbase.com/funding_round/soundhound-series-b--64d6ab1c","May 1, 2008")</f>
        <v>May 1, 2008</v>
      </c>
      <c r="AM142" s="745">
        <v>7000000.0</v>
      </c>
      <c r="AN142" s="739" t="str">
        <f>HYPERLINK("https://www.crunchbase.com/funding_round/soundhound-series-c--28327752","Oct 12, 2011")</f>
        <v>Oct 12, 2011</v>
      </c>
      <c r="AO142" s="745">
        <v>2.4E7</v>
      </c>
      <c r="AP142" s="739" t="str">
        <f>HYPERLINK("https://www.crunchbase.com/funding_round/soundhound-series-d--97b57662","Jan 31, 2017")</f>
        <v>Jan 31, 2017</v>
      </c>
      <c r="AQ142" s="745">
        <v>7.5E7</v>
      </c>
      <c r="AR142" s="734"/>
      <c r="AS142" s="734"/>
      <c r="AT142" s="734"/>
      <c r="AU142" s="742"/>
      <c r="AV142" s="734"/>
      <c r="AW142" s="38"/>
      <c r="AX142" s="734"/>
      <c r="AY142" s="38"/>
      <c r="AZ142" s="734"/>
      <c r="BA142" s="735"/>
      <c r="BB142" s="734"/>
      <c r="BC142" s="735"/>
      <c r="BD142" s="79"/>
      <c r="BE142" s="84"/>
      <c r="BF142" s="74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</row>
    <row r="143" ht="15.75" customHeight="1">
      <c r="A143" s="747" t="s">
        <v>828</v>
      </c>
      <c r="B143" s="116" t="s">
        <v>829</v>
      </c>
      <c r="C143" s="116" t="s">
        <v>830</v>
      </c>
      <c r="D143" s="48"/>
      <c r="E143" s="192" t="s">
        <v>831</v>
      </c>
      <c r="F143" s="118" t="s">
        <v>832</v>
      </c>
      <c r="G143" s="119" t="s">
        <v>833</v>
      </c>
      <c r="H143" s="119" t="s">
        <v>834</v>
      </c>
      <c r="I143" s="25" t="s">
        <v>65</v>
      </c>
      <c r="J143" s="120" t="s">
        <v>281</v>
      </c>
      <c r="K143" s="25">
        <v>4.0</v>
      </c>
      <c r="L143" s="25">
        <v>2016.0</v>
      </c>
      <c r="M143" s="25">
        <f t="shared" si="92"/>
        <v>9</v>
      </c>
      <c r="N143" s="26">
        <f t="shared" si="93"/>
        <v>3</v>
      </c>
      <c r="O143" s="27" t="str">
        <f t="shared" si="3"/>
        <v>#N/A</v>
      </c>
      <c r="P143" s="28">
        <f t="shared" si="84"/>
        <v>90</v>
      </c>
      <c r="Q143" s="28">
        <f t="shared" si="85"/>
        <v>134</v>
      </c>
      <c r="R143" s="28"/>
      <c r="S143" s="28" t="str">
        <f t="shared" si="94"/>
        <v>#N/A</v>
      </c>
      <c r="T143" s="29">
        <f t="shared" si="95"/>
        <v>12055555.56</v>
      </c>
      <c r="U143" s="28"/>
      <c r="V143" s="30">
        <f t="shared" si="28"/>
        <v>108500000</v>
      </c>
      <c r="W143" s="30"/>
      <c r="X143" s="32">
        <f t="shared" si="96"/>
        <v>1.111334384</v>
      </c>
      <c r="Y143" s="33">
        <f t="shared" si="97"/>
        <v>0.2828789333</v>
      </c>
      <c r="Z143" s="695"/>
      <c r="AA143" s="696"/>
      <c r="AB143" s="123"/>
      <c r="AC143" s="123"/>
      <c r="AD143" s="133"/>
      <c r="AE143" s="392"/>
      <c r="AF143" s="798" t="str">
        <f>HYPERLINK("https://www.crunchbase.com/funding_round/versatile-natures-seed--dd605806","Aug 21, 2019")</f>
        <v>Aug 21, 2019</v>
      </c>
      <c r="AG143" s="789">
        <v>8500000.0</v>
      </c>
      <c r="AH143" s="648"/>
      <c r="AI143" s="395"/>
      <c r="AJ143" s="132" t="str">
        <f>HYPERLINK("https://www.crunchbase.com/funding_round/versatile-natures-series-a--deef3737","Dec 3, 2020")</f>
        <v>Dec 3, 2020</v>
      </c>
      <c r="AK143" s="789">
        <v>2.0E7</v>
      </c>
      <c r="AL143" s="132" t="str">
        <f>HYPERLINK("https://www.crunchbase.com/funding_round/versatile-natures-series-b--56421822","Sep 14, 2021")</f>
        <v>Sep 14, 2021</v>
      </c>
      <c r="AM143" s="789">
        <v>8.0E7</v>
      </c>
      <c r="AN143" s="133"/>
      <c r="AO143" s="392"/>
      <c r="AP143" s="133"/>
      <c r="AQ143" s="392"/>
      <c r="AR143" s="133"/>
      <c r="AS143" s="133"/>
      <c r="AT143" s="133"/>
      <c r="AU143" s="134"/>
      <c r="AV143" s="133"/>
      <c r="AW143" s="38"/>
      <c r="AX143" s="133"/>
      <c r="AY143" s="38"/>
      <c r="AZ143" s="133"/>
      <c r="BA143" s="105"/>
      <c r="BB143" s="133"/>
      <c r="BC143" s="105"/>
      <c r="BD143" s="124"/>
      <c r="BE143" s="125"/>
      <c r="BF143" s="123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</row>
    <row r="144" ht="15.75" customHeight="1">
      <c r="A144" s="400" t="s">
        <v>835</v>
      </c>
      <c r="B144" s="115"/>
      <c r="C144" s="116" t="s">
        <v>68</v>
      </c>
      <c r="D144" s="401" t="s">
        <v>836</v>
      </c>
      <c r="E144" s="401" t="s">
        <v>837</v>
      </c>
      <c r="F144" s="708" t="s">
        <v>838</v>
      </c>
      <c r="G144" s="286"/>
      <c r="H144" s="119" t="s">
        <v>839</v>
      </c>
      <c r="I144" s="25" t="s">
        <v>115</v>
      </c>
      <c r="J144" s="287"/>
      <c r="K144" s="25">
        <v>3.0</v>
      </c>
      <c r="L144" s="25">
        <v>2017.0</v>
      </c>
      <c r="M144" s="123"/>
      <c r="N144" s="123"/>
      <c r="O144" s="27" t="str">
        <f t="shared" si="3"/>
        <v>#N/A</v>
      </c>
      <c r="P144" s="55"/>
      <c r="Q144" s="55"/>
      <c r="R144" s="55"/>
      <c r="S144" s="55"/>
      <c r="T144" s="55"/>
      <c r="U144" s="55"/>
      <c r="V144" s="30">
        <f t="shared" si="28"/>
        <v>108300000</v>
      </c>
      <c r="W144" s="31">
        <v>2000000.0</v>
      </c>
      <c r="X144" s="403"/>
      <c r="Y144" s="403"/>
      <c r="Z144" s="692"/>
      <c r="AA144" s="665"/>
      <c r="AB144" s="123"/>
      <c r="AC144" s="123"/>
      <c r="AD144" s="355"/>
      <c r="AE144" s="38"/>
      <c r="AF144" s="62">
        <v>43326.0</v>
      </c>
      <c r="AG144" s="38">
        <v>2300000.0</v>
      </c>
      <c r="AH144" s="123"/>
      <c r="AI144" s="799"/>
      <c r="AJ144" s="404">
        <v>43522.0</v>
      </c>
      <c r="AK144" s="38">
        <v>8000000.0</v>
      </c>
      <c r="AL144" s="404">
        <v>43789.0</v>
      </c>
      <c r="AM144" s="38">
        <v>2.5E7</v>
      </c>
      <c r="AN144" s="404">
        <v>44090.0</v>
      </c>
      <c r="AO144" s="38">
        <v>2.5E7</v>
      </c>
      <c r="AP144" s="123"/>
      <c r="AQ144" s="123"/>
      <c r="AR144" s="123"/>
      <c r="AS144" s="123"/>
      <c r="AT144" s="123"/>
      <c r="AU144" s="137"/>
      <c r="AV144" s="123"/>
      <c r="AW144" s="38"/>
      <c r="AX144" s="123"/>
      <c r="AY144" s="38"/>
      <c r="AZ144" s="404">
        <v>44888.0</v>
      </c>
      <c r="BA144" s="170">
        <v>3.3E7</v>
      </c>
      <c r="BB144" s="724">
        <v>43952.0</v>
      </c>
      <c r="BC144" s="170">
        <v>1.5E7</v>
      </c>
      <c r="BD144" s="123"/>
      <c r="BE144" s="125"/>
      <c r="BF144" s="123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</row>
    <row r="145" ht="15.75" customHeight="1">
      <c r="A145" s="442" t="s">
        <v>840</v>
      </c>
      <c r="B145" s="68" t="s">
        <v>275</v>
      </c>
      <c r="C145" s="69" t="s">
        <v>123</v>
      </c>
      <c r="D145" s="184" t="s">
        <v>841</v>
      </c>
      <c r="E145" s="184" t="s">
        <v>842</v>
      </c>
      <c r="F145" s="185" t="s">
        <v>843</v>
      </c>
      <c r="G145" s="54" t="s">
        <v>844</v>
      </c>
      <c r="H145" s="186" t="s">
        <v>128</v>
      </c>
      <c r="I145" s="74" t="s">
        <v>129</v>
      </c>
      <c r="J145" s="178" t="s">
        <v>157</v>
      </c>
      <c r="K145" s="26">
        <v>4.0</v>
      </c>
      <c r="L145" s="26">
        <v>2013.0</v>
      </c>
      <c r="M145" s="25">
        <f t="shared" ref="M145:M146" si="98">year(now()) -L145</f>
        <v>12</v>
      </c>
      <c r="N145" s="26">
        <f t="shared" ref="N145:N146" si="99">counta(AE145,AG145,AI145,AK145,AM145,AO145,AQ145,AS145,AU145,AW145,AY145,BA145,BC145)</f>
        <v>5</v>
      </c>
      <c r="O145" s="27" t="str">
        <f t="shared" si="3"/>
        <v>#N/A</v>
      </c>
      <c r="P145" s="28">
        <f t="shared" ref="P145:P146" si="100">RANK(T145,$T$2:$T$333)</f>
        <v>115</v>
      </c>
      <c r="Q145" s="28">
        <f t="shared" ref="Q145:Q146" si="101">rank(V145,$V$2:$V$344)</f>
        <v>136</v>
      </c>
      <c r="R145" s="28"/>
      <c r="S145" s="28" t="str">
        <f t="shared" ref="S145:S146" si="102">rank(Y145,$Y$8:$Y$80)</f>
        <v>#N/A</v>
      </c>
      <c r="T145" s="29">
        <f t="shared" ref="T145:T146" si="103">V145/M145</f>
        <v>8987500</v>
      </c>
      <c r="U145" s="28"/>
      <c r="V145" s="30">
        <f t="shared" si="28"/>
        <v>107850000</v>
      </c>
      <c r="W145" s="30"/>
      <c r="X145" s="32">
        <f t="shared" ref="X145:X146" si="104">(max(AE145,AG145,AI145,AK145,AM145,AO145,AQ145,AS145,AU145,AW145,AY145,BA145,BC145)/min(AE145,AG145,AI145,AK145,AM145,AO145,AQ145,AS145,AU145,AW145,AY145,BA145,BC145))^(1/N145)-1</f>
        <v>1.205416818</v>
      </c>
      <c r="Y145" s="33">
        <f t="shared" ref="Y145:Y146" si="105">(max(AE145,AG145,AI145,AK145,AM145,AO145,AQ145,AS145,AU145,AW145,AY145,BA145,BC145)/min(AE145,AG145,AI145,AK145,AM145,AO145,AQ145,AS145,AU145,AW145,AY145,BA145,BC145))^(1/M145)-1</f>
        <v>0.3903403199</v>
      </c>
      <c r="Z145" s="692"/>
      <c r="AA145" s="665"/>
      <c r="AB145" s="74"/>
      <c r="AC145" s="74"/>
      <c r="AD145" s="734"/>
      <c r="AE145" s="735"/>
      <c r="AF145" s="736" t="str">
        <f>HYPERLINK("https://www.crunchbase.com/organization/reonomy#section-funding-rounds"," Mar 1, 2013")</f>
        <v> Mar 1, 2013</v>
      </c>
      <c r="AG145" s="740">
        <v>1150000.0</v>
      </c>
      <c r="AH145" s="737"/>
      <c r="AI145" s="738"/>
      <c r="AJ145" s="739" t="str">
        <f>HYPERLINK("https://www.crunchbase.com/funding_round/reonomy-series-a--7f80ca69","Mar 18, 2014")</f>
        <v>Mar 18, 2014</v>
      </c>
      <c r="AK145" s="740">
        <v>3700000.0</v>
      </c>
      <c r="AL145" s="739" t="str">
        <f>HYPERLINK("https://www.crunchbase.com/funding_round/reonomy-series-b--5c169c7d","Jan 5, 2015")</f>
        <v>Jan 5, 2015</v>
      </c>
      <c r="AM145" s="740">
        <v>1.3E7</v>
      </c>
      <c r="AN145" s="739" t="str">
        <f>HYPERLINK("https://www.crunchbase.com/funding_round/reonomy-series-c--d395ccb7","Jun 11, 2018")</f>
        <v>Jun 11, 2018</v>
      </c>
      <c r="AO145" s="745">
        <v>3.0E7</v>
      </c>
      <c r="AP145" s="739" t="str">
        <f>HYPERLINK("https://www.crunchbase.com/funding_round/reonomy-series-d--1e255538","Nov 7, 2019")</f>
        <v>Nov 7, 2019</v>
      </c>
      <c r="AQ145" s="745">
        <v>6.0E7</v>
      </c>
      <c r="AR145" s="734"/>
      <c r="AS145" s="734"/>
      <c r="AT145" s="734"/>
      <c r="AU145" s="742"/>
      <c r="AV145" s="734"/>
      <c r="AW145" s="38"/>
      <c r="AX145" s="734"/>
      <c r="AY145" s="38"/>
      <c r="AZ145" s="734"/>
      <c r="BA145" s="735"/>
      <c r="BB145" s="734"/>
      <c r="BC145" s="735"/>
      <c r="BD145" s="79"/>
      <c r="BE145" s="84"/>
      <c r="BF145" s="74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</row>
    <row r="146" ht="15.75" customHeight="1">
      <c r="A146" s="666" t="s">
        <v>845</v>
      </c>
      <c r="B146" s="115" t="s">
        <v>846</v>
      </c>
      <c r="C146" s="115" t="s">
        <v>207</v>
      </c>
      <c r="D146" s="667" t="s">
        <v>847</v>
      </c>
      <c r="E146" s="667" t="s">
        <v>848</v>
      </c>
      <c r="F146" s="668" t="s">
        <v>849</v>
      </c>
      <c r="G146" s="286" t="s">
        <v>850</v>
      </c>
      <c r="H146" s="286" t="s">
        <v>357</v>
      </c>
      <c r="I146" s="123" t="s">
        <v>660</v>
      </c>
      <c r="J146" s="287" t="s">
        <v>851</v>
      </c>
      <c r="K146" s="123">
        <v>4.0</v>
      </c>
      <c r="L146" s="25">
        <v>2018.0</v>
      </c>
      <c r="M146" s="25">
        <f t="shared" si="98"/>
        <v>7</v>
      </c>
      <c r="N146" s="26">
        <f t="shared" si="99"/>
        <v>5</v>
      </c>
      <c r="O146" s="27" t="str">
        <f t="shared" si="3"/>
        <v>#N/A</v>
      </c>
      <c r="P146" s="28">
        <f t="shared" si="100"/>
        <v>55</v>
      </c>
      <c r="Q146" s="28">
        <f t="shared" si="101"/>
        <v>94</v>
      </c>
      <c r="R146" s="28"/>
      <c r="S146" s="28" t="str">
        <f t="shared" si="102"/>
        <v>#N/A</v>
      </c>
      <c r="T146" s="29">
        <f t="shared" si="103"/>
        <v>22414285.71</v>
      </c>
      <c r="U146" s="28"/>
      <c r="V146" s="30">
        <f t="shared" si="28"/>
        <v>156900000</v>
      </c>
      <c r="W146" s="30"/>
      <c r="X146" s="32">
        <f t="shared" si="104"/>
        <v>0.5848931925</v>
      </c>
      <c r="Y146" s="33">
        <f t="shared" si="105"/>
        <v>0.3894954944</v>
      </c>
      <c r="Z146" s="695"/>
      <c r="AA146" s="696"/>
      <c r="AB146" s="123"/>
      <c r="AC146" s="123"/>
      <c r="AD146" s="133"/>
      <c r="AE146" s="392"/>
      <c r="AF146" s="798" t="str">
        <f>HYPERLINK("https://www.crunchbase.com/funding_round/hqo-seed--3bbcba30"," Sep 27, 2018        
")</f>
        <v> Sep 27, 2018        
</v>
      </c>
      <c r="AG146" s="789">
        <v>6600000.0</v>
      </c>
      <c r="AH146" s="648"/>
      <c r="AI146" s="395"/>
      <c r="AJ146" s="133"/>
      <c r="AK146" s="392"/>
      <c r="AL146" s="132" t="str">
        <f>HYPERLINK("https://www.crunchbase.com/funding_round/hqo-series-b--3db9bb8e","Dec 17, 2019")</f>
        <v>Dec 17, 2019</v>
      </c>
      <c r="AM146" s="130">
        <v>3.43E7</v>
      </c>
      <c r="AN146" s="132" t="str">
        <f>HYPERLINK("https://www.crunchbase.com/funding_round/hqo-series-c--4409ff80","Apr 14, 2021")</f>
        <v>Apr 14, 2021</v>
      </c>
      <c r="AO146" s="130">
        <v>6.0E7</v>
      </c>
      <c r="AP146" s="716">
        <v>45217.0</v>
      </c>
      <c r="AQ146" s="800">
        <v>5.0E7</v>
      </c>
      <c r="AR146" s="133"/>
      <c r="AS146" s="133"/>
      <c r="AT146" s="133"/>
      <c r="AU146" s="134"/>
      <c r="AV146" s="133"/>
      <c r="AW146" s="38"/>
      <c r="AX146" s="133"/>
      <c r="AY146" s="38"/>
      <c r="AZ146" s="674">
        <v>43636.0</v>
      </c>
      <c r="BA146" s="136">
        <v>6000000.0</v>
      </c>
      <c r="BB146" s="133"/>
      <c r="BC146" s="105"/>
      <c r="BD146" s="133"/>
      <c r="BE146" s="125"/>
      <c r="BF146" s="123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</row>
    <row r="147" ht="15.75" customHeight="1">
      <c r="A147" s="47" t="s">
        <v>852</v>
      </c>
      <c r="C147" s="48" t="s">
        <v>513</v>
      </c>
      <c r="D147" s="351"/>
      <c r="E147" s="617" t="s">
        <v>853</v>
      </c>
      <c r="F147" s="352" t="s">
        <v>854</v>
      </c>
      <c r="G147" s="353"/>
      <c r="H147" s="53" t="s">
        <v>587</v>
      </c>
      <c r="I147" s="54" t="s">
        <v>65</v>
      </c>
      <c r="J147" s="55"/>
      <c r="K147" s="54">
        <v>2.0</v>
      </c>
      <c r="L147" s="56">
        <v>2014.0</v>
      </c>
      <c r="M147" s="55"/>
      <c r="N147" s="55"/>
      <c r="O147" s="27" t="str">
        <f t="shared" si="3"/>
        <v>#N/A</v>
      </c>
      <c r="P147" s="55"/>
      <c r="Q147" s="55"/>
      <c r="R147" s="55"/>
      <c r="S147" s="55"/>
      <c r="T147" s="55"/>
      <c r="U147" s="55"/>
      <c r="V147" s="30">
        <f t="shared" si="28"/>
        <v>106420000</v>
      </c>
      <c r="W147" s="30"/>
      <c r="X147" s="58"/>
      <c r="Y147" s="58"/>
      <c r="Z147" s="692"/>
      <c r="AA147" s="665"/>
      <c r="AB147" s="55"/>
      <c r="AC147" s="55"/>
      <c r="AD147" s="453"/>
      <c r="AE147" s="38"/>
      <c r="AF147" s="62">
        <v>42102.0</v>
      </c>
      <c r="AG147" s="38">
        <v>120000.0</v>
      </c>
      <c r="AH147" s="55"/>
      <c r="AI147" s="38"/>
      <c r="AJ147" s="62">
        <v>42534.0</v>
      </c>
      <c r="AK147" s="38">
        <v>6800000.0</v>
      </c>
      <c r="AL147" s="62">
        <v>43146.0</v>
      </c>
      <c r="AM147" s="38">
        <v>1.2E7</v>
      </c>
      <c r="AN147" s="62">
        <v>44362.0</v>
      </c>
      <c r="AO147" s="38">
        <v>1.25E7</v>
      </c>
      <c r="AP147" s="64">
        <v>44495.0</v>
      </c>
      <c r="AQ147" s="38">
        <v>2.0E7</v>
      </c>
      <c r="AR147" s="70" t="s">
        <v>855</v>
      </c>
      <c r="AS147" s="38">
        <v>5.5E7</v>
      </c>
      <c r="AT147" s="55"/>
      <c r="AU147" s="38"/>
      <c r="AV147" s="55"/>
      <c r="AW147" s="38"/>
      <c r="AX147" s="55"/>
      <c r="AY147" s="38"/>
      <c r="AZ147" s="62">
        <v>43565.0</v>
      </c>
      <c r="BA147" s="38"/>
      <c r="BB147" s="55"/>
      <c r="BC147" s="38"/>
      <c r="BD147" s="55"/>
      <c r="BE147" s="38"/>
      <c r="BF147" s="55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</row>
    <row r="148" ht="15.75" customHeight="1">
      <c r="A148" s="21" t="s">
        <v>856</v>
      </c>
      <c r="B148" s="69" t="s">
        <v>857</v>
      </c>
      <c r="C148" s="69" t="s">
        <v>123</v>
      </c>
      <c r="D148" s="138" t="s">
        <v>858</v>
      </c>
      <c r="E148" s="138" t="s">
        <v>859</v>
      </c>
      <c r="F148" s="177" t="s">
        <v>860</v>
      </c>
      <c r="G148" s="71" t="s">
        <v>861</v>
      </c>
      <c r="H148" s="71" t="s">
        <v>64</v>
      </c>
      <c r="I148" s="26" t="s">
        <v>65</v>
      </c>
      <c r="J148" s="72" t="s">
        <v>862</v>
      </c>
      <c r="K148" s="26">
        <v>3.0</v>
      </c>
      <c r="L148" s="142">
        <v>2011.0</v>
      </c>
      <c r="M148" s="25">
        <f>year(now()) -L148</f>
        <v>14</v>
      </c>
      <c r="N148" s="26">
        <f>counta(AE148,AG148,AI148,AK148,AM148,AO148,AQ148,AS148,AU148,AW148,AY148,BA148,BC148)</f>
        <v>5</v>
      </c>
      <c r="O148" s="27" t="str">
        <f t="shared" si="3"/>
        <v>#N/A</v>
      </c>
      <c r="P148" s="28">
        <f t="shared" ref="P148:P149" si="106">RANK(T148,$T$2:$T$333)</f>
        <v>131</v>
      </c>
      <c r="Q148" s="28">
        <f t="shared" ref="Q148:Q149" si="107">rank(V148,$V$2:$V$344)</f>
        <v>138</v>
      </c>
      <c r="R148" s="28"/>
      <c r="S148" s="28" t="str">
        <f>rank(Y148,$Y$8:$Y$80)</f>
        <v>#N/A</v>
      </c>
      <c r="T148" s="29">
        <f>V148/M148</f>
        <v>7585714.286</v>
      </c>
      <c r="U148" s="28"/>
      <c r="V148" s="30">
        <f t="shared" si="28"/>
        <v>106200000</v>
      </c>
      <c r="W148" s="30"/>
      <c r="X148" s="32">
        <f>(max(AE148,AG148,AI148,AK148,AM148,AO148,AQ148,AS148,AU148,AW148,AY148,BA148,BC148)/min(AE148,AG148,AI148,AK148,AM148,AO148,AQ148,AS148,AU148,AW148,AY148,BA148,BC148))^(1/N148)-1</f>
        <v>0.9743504858</v>
      </c>
      <c r="Y148" s="33">
        <f>(max(AE148,AG148,AI148,AK148,AM148,AO148,AQ148,AS148,AU148,AW148,AY148,BA148,BC148)/min(AE148,AG148,AI148,AK148,AM148,AO148,AQ148,AS148,AU148,AW148,AY148,BA148,BC148))^(1/M148)-1</f>
        <v>0.2749955267</v>
      </c>
      <c r="Z148" s="692"/>
      <c r="AA148" s="665"/>
      <c r="AB148" s="74"/>
      <c r="AC148" s="74"/>
      <c r="AD148" s="734"/>
      <c r="AE148" s="735"/>
      <c r="AF148" s="736" t="str">
        <f>HYPERLINK("https://www.crunchbase.com/funding_round/matterport-seed--0caca7b7", "01/01/2012")</f>
        <v>01/01/2012</v>
      </c>
      <c r="AG148" s="745">
        <v>1600000.0</v>
      </c>
      <c r="AH148" s="763"/>
      <c r="AI148" s="738"/>
      <c r="AJ148" s="801" t="str">
        <f>HYPERLINK("https://www.crunchbase.com/funding_round/matterport-series-a--91d59de8"," 3/7/2013")</f>
        <v> 3/7/2013</v>
      </c>
      <c r="AK148" s="802">
        <v>5600000.0</v>
      </c>
      <c r="AL148" s="739" t="str">
        <f>HYPERLINK("https://www.crunchbase.com/funding_round/matterport-series-b--94c74e8e"," Jul 7, 2014")        
</f>
        <v> Jul 7, 2014</v>
      </c>
      <c r="AM148" s="745">
        <v>1.6E7</v>
      </c>
      <c r="AN148" s="739" t="str">
        <f>HYPERLINK("https://www.crunchbase.com/funding_round/matterport-series-c--af69c992"," Jun 25, 2015        
")</f>
        <v> Jun 25, 2015        
</v>
      </c>
      <c r="AO148" s="745">
        <v>3.5E7</v>
      </c>
      <c r="AP148" s="739" t="str">
        <f>HYPERLINK("https://www.crunchbase.com/funding_round/matterport-series-d--da7b23a8","Mar 5, 2019")        
</f>
        <v>Mar 5, 2019</v>
      </c>
      <c r="AQ148" s="745">
        <v>4.8E7</v>
      </c>
      <c r="AR148" s="734"/>
      <c r="AS148" s="734"/>
      <c r="AT148" s="734"/>
      <c r="AU148" s="742"/>
      <c r="AV148" s="734"/>
      <c r="AW148" s="38"/>
      <c r="AX148" s="734"/>
      <c r="AY148" s="38"/>
      <c r="AZ148" s="734"/>
      <c r="BA148" s="735"/>
      <c r="BB148" s="734"/>
      <c r="BC148" s="735"/>
      <c r="BD148" s="79"/>
      <c r="BE148" s="84"/>
      <c r="BF148" s="74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</row>
    <row r="149" ht="15.75" customHeight="1">
      <c r="A149" s="245" t="s">
        <v>863</v>
      </c>
      <c r="B149" s="17"/>
      <c r="C149" s="17" t="s">
        <v>68</v>
      </c>
      <c r="D149" s="245"/>
      <c r="E149" s="236" t="s">
        <v>864</v>
      </c>
      <c r="F149" s="803" t="s">
        <v>865</v>
      </c>
      <c r="G149" s="317"/>
      <c r="H149" s="22" t="s">
        <v>371</v>
      </c>
      <c r="I149" s="23" t="s">
        <v>372</v>
      </c>
      <c r="J149" s="237"/>
      <c r="K149" s="23">
        <v>3.0</v>
      </c>
      <c r="L149" s="23">
        <v>2018.0</v>
      </c>
      <c r="M149" s="222"/>
      <c r="N149" s="23"/>
      <c r="O149" s="27" t="str">
        <f t="shared" si="3"/>
        <v>#N/A</v>
      </c>
      <c r="P149" s="28" t="str">
        <f t="shared" si="106"/>
        <v>#N/A</v>
      </c>
      <c r="Q149" s="28">
        <f t="shared" si="107"/>
        <v>139</v>
      </c>
      <c r="R149" s="464"/>
      <c r="S149" s="464"/>
      <c r="T149" s="464"/>
      <c r="U149" s="464"/>
      <c r="V149" s="30">
        <f t="shared" si="28"/>
        <v>106000000</v>
      </c>
      <c r="W149" s="30"/>
      <c r="X149" s="33"/>
      <c r="Y149" s="33"/>
      <c r="Z149" s="692"/>
      <c r="AA149" s="665"/>
      <c r="AB149" s="36"/>
      <c r="AC149" s="36"/>
      <c r="AD149" s="44"/>
      <c r="AE149" s="38"/>
      <c r="AF149" s="320" t="str">
        <f>HYPERLINK("https://www.crunchbase.com/funding_round/buildots-seed--5677070b","Jan 1, 2019")</f>
        <v>Jan 1, 2019</v>
      </c>
      <c r="AG149" s="38">
        <v>3000000.0</v>
      </c>
      <c r="AH149" s="36"/>
      <c r="AI149" s="159"/>
      <c r="AJ149" s="227" t="str">
        <f>HYPERLINK("https://www.crunchbase.com/funding_round/buildots-series-a--f99f28b3","Jul 30, 2020")</f>
        <v>Jul 30, 2020</v>
      </c>
      <c r="AK149" s="38">
        <v>1.3E7</v>
      </c>
      <c r="AL149" s="804" t="str">
        <f>HYPERLINK("https://www.crunchbase.com/funding_round/buildots-series-b--78404993","Aug 4, 2021")</f>
        <v>Aug 4, 2021</v>
      </c>
      <c r="AM149" s="805">
        <v>3.0E7</v>
      </c>
      <c r="AN149" s="806" t="str">
        <f>HYPERLINK("https://www.crunchbase.com/funding_round/buildots-series-c--7564453b","May 17, 2022")</f>
        <v>May 17, 2022</v>
      </c>
      <c r="AO149" s="805">
        <v>6.0E7</v>
      </c>
      <c r="AP149" s="44"/>
      <c r="AQ149" s="46"/>
      <c r="AR149" s="44"/>
      <c r="AS149" s="44"/>
      <c r="AT149" s="44"/>
      <c r="AU149" s="45"/>
      <c r="AV149" s="44"/>
      <c r="AW149" s="38"/>
      <c r="AX149" s="44"/>
      <c r="AY149" s="38"/>
      <c r="AZ149" s="44"/>
      <c r="BA149" s="45"/>
      <c r="BB149" s="44"/>
      <c r="BC149" s="45"/>
      <c r="BD149" s="44"/>
      <c r="BE149" s="46"/>
      <c r="BF149" s="36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</row>
    <row r="150" ht="15.75" customHeight="1">
      <c r="A150" s="400" t="s">
        <v>866</v>
      </c>
      <c r="B150" s="115"/>
      <c r="C150" s="116" t="s">
        <v>59</v>
      </c>
      <c r="D150" s="161" t="s">
        <v>867</v>
      </c>
      <c r="E150" s="161" t="s">
        <v>868</v>
      </c>
      <c r="F150" s="402" t="s">
        <v>869</v>
      </c>
      <c r="G150" s="119" t="s">
        <v>870</v>
      </c>
      <c r="H150" s="119" t="s">
        <v>328</v>
      </c>
      <c r="I150" s="25" t="s">
        <v>329</v>
      </c>
      <c r="J150" s="287"/>
      <c r="K150" s="25">
        <v>1.0</v>
      </c>
      <c r="L150" s="25">
        <v>2018.0</v>
      </c>
      <c r="M150" s="25">
        <f>year(now()) -L150</f>
        <v>7</v>
      </c>
      <c r="N150" s="26">
        <f>counta(AE150,AG150,AI150,AK150,AM150,AO150,AQ150,AS150,AU150,AW150,AY150,BA150,BC150)</f>
        <v>2</v>
      </c>
      <c r="O150" s="27" t="str">
        <f t="shared" si="3"/>
        <v>#N/A</v>
      </c>
      <c r="P150" s="28">
        <f>RANK(T150,$T$8:$T$333)</f>
        <v>67</v>
      </c>
      <c r="Q150" s="28">
        <f>rank(V150,$V$8:$V$344)</f>
        <v>134</v>
      </c>
      <c r="R150" s="28"/>
      <c r="S150" s="28"/>
      <c r="T150" s="29">
        <f>V150/M150</f>
        <v>15071428.57</v>
      </c>
      <c r="U150" s="28"/>
      <c r="V150" s="30">
        <f t="shared" si="28"/>
        <v>105500000</v>
      </c>
      <c r="W150" s="30"/>
      <c r="X150" s="32">
        <f>(max(AE150,AG150,AI150,AK150,AM150,AO150,AQ150,AS150,AU150,AW150,AY150,BA150,BC150)/min(AE150,AG150,AI150,AK150,AM150,AO150,AQ150,AS150,AU150,AW150,AY150,BA150,BC150))^(1/N150)-1</f>
        <v>1.409657987</v>
      </c>
      <c r="Y150" s="33">
        <f>(max(AE150,AG150,AI150,AK150,AM150,AO150,AQ150,AS150,AU150,AW150,AY150,BA150,BC150)/min(AE150,AG150,AI150,AK150,AM150,AO150,AQ150,AS150,AU150,AW150,AY150,BA150,BC150))^(1/M150)-1</f>
        <v>0.2856717933</v>
      </c>
      <c r="Z150" s="692"/>
      <c r="AA150" s="665"/>
      <c r="AB150" s="123"/>
      <c r="AC150" s="123"/>
      <c r="AD150" s="124"/>
      <c r="AE150" s="807"/>
      <c r="AF150" s="166"/>
      <c r="AG150" s="127"/>
      <c r="AH150" s="123"/>
      <c r="AI150" s="128"/>
      <c r="AJ150" s="455" t="str">
        <f>HYPERLINK("https://www.crunchbase.com/funding_round/infogrid-d81e-series-a--35d99a7f","Nov 30, 2020")</f>
        <v>Nov 30, 2020</v>
      </c>
      <c r="AK150" s="127">
        <v>1.55E7</v>
      </c>
      <c r="AL150" s="171">
        <v>45027.0</v>
      </c>
      <c r="AM150" s="127">
        <v>9.0E7</v>
      </c>
      <c r="AN150" s="124"/>
      <c r="AO150" s="125"/>
      <c r="AP150" s="124"/>
      <c r="AQ150" s="807"/>
      <c r="AR150" s="808"/>
      <c r="AS150" s="808"/>
      <c r="AT150" s="808"/>
      <c r="AU150" s="809"/>
      <c r="AV150" s="808"/>
      <c r="AW150" s="38"/>
      <c r="AX150" s="808"/>
      <c r="AY150" s="38"/>
      <c r="AZ150" s="808"/>
      <c r="BA150" s="809"/>
      <c r="BB150" s="808"/>
      <c r="BC150" s="809"/>
      <c r="BD150" s="808"/>
      <c r="BE150" s="38"/>
      <c r="BF150" s="123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</row>
    <row r="151" ht="15.75" customHeight="1">
      <c r="A151" s="21" t="s">
        <v>871</v>
      </c>
      <c r="B151" s="16"/>
      <c r="C151" s="17" t="s">
        <v>84</v>
      </c>
      <c r="D151" s="385"/>
      <c r="E151" s="138" t="s">
        <v>872</v>
      </c>
      <c r="F151" s="20" t="s">
        <v>873</v>
      </c>
      <c r="G151" s="810"/>
      <c r="H151" s="22" t="s">
        <v>80</v>
      </c>
      <c r="I151" s="23" t="s">
        <v>65</v>
      </c>
      <c r="J151" s="24"/>
      <c r="K151" s="26">
        <v>4.0</v>
      </c>
      <c r="L151" s="23">
        <v>2019.0</v>
      </c>
      <c r="M151" s="25"/>
      <c r="N151" s="26"/>
      <c r="O151" s="27" t="str">
        <f t="shared" si="3"/>
        <v>#N/A</v>
      </c>
      <c r="P151" s="28" t="str">
        <f t="shared" ref="P151:P158" si="108">RANK(T151,$T$2:$T$333)</f>
        <v>#N/A</v>
      </c>
      <c r="Q151" s="28">
        <f t="shared" ref="Q151:Q158" si="109">rank(V151,$V$2:$V$344)</f>
        <v>141</v>
      </c>
      <c r="R151" s="464"/>
      <c r="S151" s="464"/>
      <c r="T151" s="464"/>
      <c r="U151" s="464"/>
      <c r="V151" s="30">
        <f t="shared" si="28"/>
        <v>105000000</v>
      </c>
      <c r="W151" s="30"/>
      <c r="X151" s="73"/>
      <c r="Y151" s="73"/>
      <c r="Z151" s="695"/>
      <c r="AA151" s="696"/>
      <c r="AB151" s="36"/>
      <c r="AC151" s="36"/>
      <c r="AD151" s="44"/>
      <c r="AE151" s="46"/>
      <c r="AF151" s="320" t="str">
        <f>HYPERLINK("https://www.crunchbase.com/funding_round/belong-336d-seed--bbef6881","May 1, 2018")</f>
        <v>May 1, 2018</v>
      </c>
      <c r="AG151" s="811">
        <v>5000000.0</v>
      </c>
      <c r="AH151" s="36"/>
      <c r="AI151" s="159"/>
      <c r="AJ151" s="43" t="str">
        <f>HYPERLINK("https://www.crunchbase.com/funding_round/belong-336d-series-a--367a81a1","Jun 28, 2019")</f>
        <v>Jun 28, 2019</v>
      </c>
      <c r="AK151" s="38">
        <v>1.0E7</v>
      </c>
      <c r="AL151" s="43" t="str">
        <f>HYPERLINK("https://www.crunchbase.com/funding_round/belong-336d-series-b--9a575d62","Mar 9, 2021")</f>
        <v>Mar 9, 2021</v>
      </c>
      <c r="AM151" s="38">
        <v>4.0E7</v>
      </c>
      <c r="AN151" s="43" t="str">
        <f>HYPERLINK("https://www.crunchbase.com/funding_round/belong-336d-series-c--d545e1c8","May 20, 2022")</f>
        <v>May 20, 2022</v>
      </c>
      <c r="AO151" s="38">
        <v>5.0E7</v>
      </c>
      <c r="AP151" s="44"/>
      <c r="AQ151" s="46"/>
      <c r="AR151" s="44"/>
      <c r="AS151" s="44"/>
      <c r="AT151" s="44"/>
      <c r="AU151" s="45"/>
      <c r="AV151" s="44"/>
      <c r="AW151" s="38"/>
      <c r="AX151" s="44"/>
      <c r="AY151" s="38"/>
      <c r="AZ151" s="44"/>
      <c r="BA151" s="45"/>
      <c r="BB151" s="44"/>
      <c r="BC151" s="45"/>
      <c r="BD151" s="44"/>
      <c r="BE151" s="46"/>
      <c r="BF151" s="36"/>
      <c r="BG151" s="115"/>
      <c r="BH151" s="115"/>
      <c r="BI151" s="115"/>
      <c r="BJ151" s="115"/>
      <c r="BK151" s="115"/>
      <c r="BL151" s="115"/>
      <c r="BM151" s="115"/>
      <c r="BN151" s="115"/>
      <c r="BO151" s="115"/>
      <c r="BP151" s="115"/>
      <c r="BQ151" s="115"/>
      <c r="BR151" s="115"/>
      <c r="BS151" s="115"/>
      <c r="BT151" s="115"/>
      <c r="BU151" s="115"/>
      <c r="BV151" s="115"/>
      <c r="BW151" s="115"/>
      <c r="BX151" s="115"/>
      <c r="BY151" s="115"/>
      <c r="BZ151" s="115"/>
      <c r="CA151" s="115"/>
      <c r="CB151" s="115"/>
      <c r="CC151" s="115"/>
      <c r="CD151" s="115"/>
      <c r="CE151" s="115"/>
      <c r="CF151" s="115"/>
      <c r="CG151" s="115"/>
      <c r="CH151" s="115"/>
      <c r="CI151" s="115"/>
      <c r="CJ151" s="115"/>
      <c r="CK151" s="115"/>
      <c r="CL151" s="115"/>
      <c r="CM151" s="115"/>
      <c r="CN151" s="115"/>
      <c r="CO151" s="115"/>
      <c r="CP151" s="115"/>
    </row>
    <row r="152" ht="15.75" customHeight="1">
      <c r="A152" s="22" t="s">
        <v>874</v>
      </c>
      <c r="B152" s="23"/>
      <c r="C152" s="23" t="s">
        <v>132</v>
      </c>
      <c r="D152" s="118" t="s">
        <v>875</v>
      </c>
      <c r="E152" s="118" t="s">
        <v>876</v>
      </c>
      <c r="F152" s="812" t="s">
        <v>877</v>
      </c>
      <c r="G152" s="709"/>
      <c r="H152" s="710" t="s">
        <v>601</v>
      </c>
      <c r="I152" s="23" t="s">
        <v>129</v>
      </c>
      <c r="J152" s="711"/>
      <c r="K152" s="23">
        <v>2.0</v>
      </c>
      <c r="L152" s="712">
        <v>2017.0</v>
      </c>
      <c r="M152" s="25">
        <f t="shared" ref="M152:M158" si="110">year(now()) -L152</f>
        <v>8</v>
      </c>
      <c r="N152" s="26">
        <f t="shared" ref="N152:N158" si="111">counta(AE152,AG152,AI152,AK152,AM152,AO152,AQ152,AS152,AU152,AW152,AY152,BA152,BC152)</f>
        <v>4</v>
      </c>
      <c r="O152" s="27" t="str">
        <f t="shared" si="3"/>
        <v>#N/A</v>
      </c>
      <c r="P152" s="28">
        <f t="shared" si="108"/>
        <v>82</v>
      </c>
      <c r="Q152" s="28">
        <f t="shared" si="109"/>
        <v>142</v>
      </c>
      <c r="R152" s="28"/>
      <c r="S152" s="28" t="str">
        <f t="shared" ref="S152:S156" si="112">rank(Y152,$Y$8:$Y$80)</f>
        <v>#N/A</v>
      </c>
      <c r="T152" s="29">
        <f t="shared" ref="T152:T158" si="113">V152/M152</f>
        <v>13000000</v>
      </c>
      <c r="U152" s="28"/>
      <c r="V152" s="30">
        <f t="shared" si="28"/>
        <v>104000000</v>
      </c>
      <c r="W152" s="30"/>
      <c r="X152" s="32">
        <f t="shared" ref="X152:X158" si="114">(max(AE152,AG152,AI152,AK152,AM152,AO152,AQ152,AS152,AU152,AW152,AY152,BA152,BC152)/min(AE152,AG152,AI152,AK152,AM152,AO152,AQ152,AS152,AU152,AW152,AY152,BA152,BC152))^(1/N152)-1</f>
        <v>0.8257418584</v>
      </c>
      <c r="Y152" s="33">
        <f t="shared" ref="Y152:Y158" si="115">(max(AE152,AG152,AI152,AK152,AM152,AO152,AQ152,AS152,AU152,AW152,AY152,BA152,BC152)/min(AE152,AG152,AI152,AK152,AM152,AO152,AQ152,AS152,AU152,AW152,AY152,BA152,BC152))^(1/M152)-1</f>
        <v>0.3512001548</v>
      </c>
      <c r="Z152" s="692"/>
      <c r="AA152" s="665"/>
      <c r="AB152" s="36"/>
      <c r="AC152" s="36"/>
      <c r="AD152" s="109"/>
      <c r="AE152" s="105"/>
      <c r="AF152" s="813" t="str">
        <f>HYPERLINK("https://www.crunchbase.com/funding_round/block-renovation-seed--e484ddf8","May 1, 2018")</f>
        <v>May 1, 2018</v>
      </c>
      <c r="AG152" s="148">
        <v>4500000.0</v>
      </c>
      <c r="AH152" s="676"/>
      <c r="AI152" s="106"/>
      <c r="AJ152" s="814" t="str">
        <f>HYPERLINK("https://www.crunchbase.com/funding_round/block-renovation-series-a--e0eec4b6","May 30, 2019")</f>
        <v>May 30, 2019</v>
      </c>
      <c r="AK152" s="148">
        <v>1.0E7</v>
      </c>
      <c r="AL152" s="129" t="str">
        <f>HYPERLINK("https://www.crunchbase.com/funding_round/block-renovation-series-b--a5018ba8","Jul 19, 2021")</f>
        <v>Jul 19, 2021</v>
      </c>
      <c r="AM152" s="108">
        <v>3.95E7</v>
      </c>
      <c r="AN152" s="107" t="str">
        <f>HYPERLINK("https://www.crunchbase.com/funding_round/block-renovation-series-c--9b70d4c2","Nov 9, 2021")</f>
        <v>Nov 9, 2021</v>
      </c>
      <c r="AO152" s="148">
        <v>5.0E7</v>
      </c>
      <c r="AP152" s="109"/>
      <c r="AQ152" s="105"/>
      <c r="AR152" s="109"/>
      <c r="AS152" s="109"/>
      <c r="AT152" s="109"/>
      <c r="AU152" s="110"/>
      <c r="AV152" s="109"/>
      <c r="AW152" s="38"/>
      <c r="AX152" s="133"/>
      <c r="AY152" s="38"/>
      <c r="AZ152" s="133"/>
      <c r="BA152" s="105"/>
      <c r="BB152" s="133"/>
      <c r="BC152" s="105"/>
      <c r="BD152" s="44"/>
      <c r="BE152" s="46"/>
      <c r="BF152" s="3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</row>
    <row r="153" ht="15.75" customHeight="1">
      <c r="A153" s="679" t="s">
        <v>878</v>
      </c>
      <c r="B153" s="74"/>
      <c r="C153" s="26" t="s">
        <v>123</v>
      </c>
      <c r="D153" s="815" t="s">
        <v>879</v>
      </c>
      <c r="E153" s="816" t="s">
        <v>880</v>
      </c>
      <c r="F153" s="817" t="s">
        <v>881</v>
      </c>
      <c r="G153" s="71" t="s">
        <v>882</v>
      </c>
      <c r="H153" s="71" t="s">
        <v>241</v>
      </c>
      <c r="I153" s="74" t="s">
        <v>65</v>
      </c>
      <c r="J153" s="178" t="s">
        <v>883</v>
      </c>
      <c r="K153" s="26">
        <v>5.0</v>
      </c>
      <c r="L153" s="26">
        <v>2013.0</v>
      </c>
      <c r="M153" s="25">
        <f t="shared" si="110"/>
        <v>12</v>
      </c>
      <c r="N153" s="26">
        <f t="shared" si="111"/>
        <v>3</v>
      </c>
      <c r="O153" s="27" t="str">
        <f t="shared" si="3"/>
        <v>#N/A</v>
      </c>
      <c r="P153" s="28">
        <f t="shared" si="108"/>
        <v>120</v>
      </c>
      <c r="Q153" s="28">
        <f t="shared" si="109"/>
        <v>143</v>
      </c>
      <c r="R153" s="28"/>
      <c r="S153" s="28" t="str">
        <f t="shared" si="112"/>
        <v>#N/A</v>
      </c>
      <c r="T153" s="29">
        <f t="shared" si="113"/>
        <v>8641827.333</v>
      </c>
      <c r="U153" s="28"/>
      <c r="V153" s="30">
        <f t="shared" si="28"/>
        <v>103701928</v>
      </c>
      <c r="W153" s="30"/>
      <c r="X153" s="32">
        <f t="shared" si="114"/>
        <v>2.779829532</v>
      </c>
      <c r="Y153" s="33">
        <f t="shared" si="115"/>
        <v>0.3943379681</v>
      </c>
      <c r="Z153" s="692"/>
      <c r="AA153" s="665"/>
      <c r="AB153" s="74"/>
      <c r="AC153" s="74"/>
      <c r="AD153" s="109"/>
      <c r="AE153" s="105"/>
      <c r="AF153" s="188" t="str">
        <f>HYPERLINK("https://www.crunchbase.com/funding_round/defectradar-seed--5c799fbe"," Jun 26, 2017")</f>
        <v> Jun 26, 2017</v>
      </c>
      <c r="AG153" s="108">
        <v>1296228.0</v>
      </c>
      <c r="AH153" s="101"/>
      <c r="AI153" s="106"/>
      <c r="AJ153" s="107" t="str">
        <f>HYPERLINK("https://www.crunchbase.com/funding_round/defectradar-series-a--4d194345"," Mar 6, 2020")</f>
        <v> Mar 6, 2020</v>
      </c>
      <c r="AK153" s="108">
        <v>3.24057E7</v>
      </c>
      <c r="AL153" s="107" t="str">
        <f>HYPERLINK("https://techcrunch.com/2022/01/20/austrias-planradar-which-digitizes-construction-and-real-estate-docs-raises-70m-series-b/","Jan 20, 2022")</f>
        <v>Jan 20, 2022</v>
      </c>
      <c r="AM153" s="108">
        <v>7.0E7</v>
      </c>
      <c r="AN153" s="109"/>
      <c r="AO153" s="105"/>
      <c r="AP153" s="109"/>
      <c r="AQ153" s="105"/>
      <c r="AR153" s="109"/>
      <c r="AS153" s="109"/>
      <c r="AT153" s="109"/>
      <c r="AU153" s="110"/>
      <c r="AV153" s="109"/>
      <c r="AW153" s="38"/>
      <c r="AX153" s="133"/>
      <c r="AY153" s="38"/>
      <c r="AZ153" s="133"/>
      <c r="BA153" s="105"/>
      <c r="BB153" s="133"/>
      <c r="BC153" s="105"/>
      <c r="BD153" s="79"/>
      <c r="BE153" s="84"/>
      <c r="BF153" s="74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</row>
    <row r="154" ht="15.75" customHeight="1">
      <c r="A154" s="22" t="s">
        <v>884</v>
      </c>
      <c r="B154" s="74"/>
      <c r="C154" s="26" t="s">
        <v>885</v>
      </c>
      <c r="D154" s="173" t="s">
        <v>886</v>
      </c>
      <c r="E154" s="177" t="s">
        <v>887</v>
      </c>
      <c r="F154" s="818" t="s">
        <v>888</v>
      </c>
      <c r="G154" s="54" t="s">
        <v>889</v>
      </c>
      <c r="H154" s="71" t="s">
        <v>128</v>
      </c>
      <c r="I154" s="26" t="s">
        <v>156</v>
      </c>
      <c r="J154" s="178" t="s">
        <v>890</v>
      </c>
      <c r="K154" s="26">
        <v>3.0</v>
      </c>
      <c r="L154" s="26">
        <v>2013.0</v>
      </c>
      <c r="M154" s="25">
        <f t="shared" si="110"/>
        <v>12</v>
      </c>
      <c r="N154" s="26">
        <f t="shared" si="111"/>
        <v>5</v>
      </c>
      <c r="O154" s="27" t="str">
        <f t="shared" si="3"/>
        <v>#N/A</v>
      </c>
      <c r="P154" s="28">
        <f t="shared" si="108"/>
        <v>121</v>
      </c>
      <c r="Q154" s="28">
        <f t="shared" si="109"/>
        <v>144</v>
      </c>
      <c r="R154" s="28"/>
      <c r="S154" s="28" t="str">
        <f t="shared" si="112"/>
        <v>#N/A</v>
      </c>
      <c r="T154" s="29">
        <f t="shared" si="113"/>
        <v>8550000</v>
      </c>
      <c r="U154" s="28"/>
      <c r="V154" s="30">
        <f t="shared" si="28"/>
        <v>102600000</v>
      </c>
      <c r="W154" s="30"/>
      <c r="X154" s="32">
        <f t="shared" si="114"/>
        <v>0.8458595117</v>
      </c>
      <c r="Y154" s="33">
        <f t="shared" si="115"/>
        <v>0.2909698558</v>
      </c>
      <c r="Z154" s="819"/>
      <c r="AA154" s="665"/>
      <c r="AB154" s="74"/>
      <c r="AC154" s="74"/>
      <c r="AD154" s="734"/>
      <c r="AE154" s="735"/>
      <c r="AF154" s="736" t="str">
        <f>HYPERLINK("https://www.crunchbase.com/funding_round/makespace-seed--9abb3d91", "09/26/2013")</f>
        <v>09/26/2013</v>
      </c>
      <c r="AG154" s="745">
        <v>2100000.0</v>
      </c>
      <c r="AH154" s="737"/>
      <c r="AI154" s="738"/>
      <c r="AJ154" s="739" t="str">
        <f>HYPERLINK("https://www.crunchbase.com/funding_round/makespace-series-a--4889579f#section-overview", "04/30/2014")</f>
        <v>04/30/2014</v>
      </c>
      <c r="AK154" s="745">
        <v>8000000.0</v>
      </c>
      <c r="AL154" s="739" t="str">
        <f>HYPERLINK("https://www.crunchbase.com/funding_round/makespace-series-b--40d3df61", "02/24/2016")</f>
        <v>02/24/2016</v>
      </c>
      <c r="AM154" s="745">
        <v>1.75E7</v>
      </c>
      <c r="AN154" s="739" t="str">
        <f>HYPERLINK("https://www.crunchbase.com/funding_round/makespace-series-c--92ef01d2", "04/20/2017")</f>
        <v>04/20/2017</v>
      </c>
      <c r="AO154" s="745">
        <v>3.0E7</v>
      </c>
      <c r="AP154" s="734"/>
      <c r="AQ154" s="735"/>
      <c r="AR154" s="739" t="str">
        <f>HYPERLINK("https://www.crunchbase.com/funding_round/makespace-series-e--c00e04a8", "05/21/2020")</f>
        <v>05/21/2020</v>
      </c>
      <c r="AS154" s="820">
        <v>4.5E7</v>
      </c>
      <c r="AT154" s="734"/>
      <c r="AU154" s="742"/>
      <c r="AV154" s="734"/>
      <c r="AW154" s="38"/>
      <c r="AX154" s="734"/>
      <c r="AY154" s="38"/>
      <c r="AZ154" s="734"/>
      <c r="BA154" s="735"/>
      <c r="BB154" s="734"/>
      <c r="BC154" s="735"/>
      <c r="BD154" s="79"/>
      <c r="BE154" s="84"/>
      <c r="BF154" s="74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</row>
    <row r="155" ht="15.75" customHeight="1">
      <c r="A155" s="690" t="s">
        <v>891</v>
      </c>
      <c r="B155" s="123" t="s">
        <v>892</v>
      </c>
      <c r="C155" s="25" t="s">
        <v>84</v>
      </c>
      <c r="D155" s="668" t="s">
        <v>893</v>
      </c>
      <c r="E155" s="668" t="s">
        <v>894</v>
      </c>
      <c r="F155" s="821" t="s">
        <v>895</v>
      </c>
      <c r="G155" s="54" t="s">
        <v>896</v>
      </c>
      <c r="H155" s="119" t="s">
        <v>108</v>
      </c>
      <c r="I155" s="123" t="s">
        <v>109</v>
      </c>
      <c r="J155" s="120" t="s">
        <v>897</v>
      </c>
      <c r="K155" s="123">
        <v>1.0</v>
      </c>
      <c r="L155" s="25">
        <v>2017.0</v>
      </c>
      <c r="M155" s="25">
        <f t="shared" si="110"/>
        <v>8</v>
      </c>
      <c r="N155" s="26">
        <f t="shared" si="111"/>
        <v>5</v>
      </c>
      <c r="O155" s="27" t="str">
        <f t="shared" si="3"/>
        <v>#N/A</v>
      </c>
      <c r="P155" s="28">
        <f t="shared" si="108"/>
        <v>84</v>
      </c>
      <c r="Q155" s="28">
        <f t="shared" si="109"/>
        <v>145</v>
      </c>
      <c r="R155" s="28"/>
      <c r="S155" s="28" t="str">
        <f t="shared" si="112"/>
        <v>#N/A</v>
      </c>
      <c r="T155" s="29">
        <f t="shared" si="113"/>
        <v>12687500</v>
      </c>
      <c r="U155" s="28"/>
      <c r="V155" s="30">
        <f t="shared" si="28"/>
        <v>101500000</v>
      </c>
      <c r="W155" s="30"/>
      <c r="X155" s="32">
        <f t="shared" si="114"/>
        <v>1.091279105</v>
      </c>
      <c r="Y155" s="33">
        <f t="shared" si="115"/>
        <v>0.5858331751</v>
      </c>
      <c r="Z155" s="692"/>
      <c r="AA155" s="665"/>
      <c r="AB155" s="123"/>
      <c r="AC155" s="123"/>
      <c r="AD155" s="124"/>
      <c r="AE155" s="125"/>
      <c r="AF155" s="126" t="str">
        <f>HYPERLINK("https://www.crunchbase.com/organization/smartrent#section-overview"," Jun 1, 2018")</f>
        <v> Jun 1, 2018</v>
      </c>
      <c r="AG155" s="125">
        <v>1500000.0</v>
      </c>
      <c r="AH155" s="822" t="str">
        <f>HYPERLINK("https://www.crunchbase.com/funding_round/smartrent-seed--99cf4a04","Sep 21, 2018")</f>
        <v>Sep 21, 2018</v>
      </c>
      <c r="AI155" s="759">
        <v>3000000.0</v>
      </c>
      <c r="AJ155" s="455" t="str">
        <f>HYPERLINK("https://www.crunchbase.com/funding_round/smartrent-series-a--664a4774"," Nov 13, 2018")</f>
        <v> Nov 13, 2018</v>
      </c>
      <c r="AK155" s="125">
        <v>5000000.0</v>
      </c>
      <c r="AL155" s="167" t="str">
        <f>HYPERLINK("https://www.crunchbase.com/funding_round/smartrent-series-b--3f028069"," Jun 19, 2019")</f>
        <v> Jun 19, 2019</v>
      </c>
      <c r="AM155" s="127">
        <v>3.2E7</v>
      </c>
      <c r="AN155" s="455" t="str">
        <f>HYPERLINK("https://www.crunchbase.com/funding_round/smartrent-series-c--1bf83751"," May 27, 2020")</f>
        <v> May 27, 2020</v>
      </c>
      <c r="AO155" s="127">
        <v>6.0E7</v>
      </c>
      <c r="AP155" s="124"/>
      <c r="AQ155" s="125"/>
      <c r="AR155" s="124"/>
      <c r="AS155" s="124"/>
      <c r="AT155" s="124"/>
      <c r="AU155" s="137"/>
      <c r="AV155" s="124"/>
      <c r="AW155" s="38"/>
      <c r="AX155" s="124"/>
      <c r="AY155" s="38"/>
      <c r="AZ155" s="124"/>
      <c r="BA155" s="137"/>
      <c r="BB155" s="124"/>
      <c r="BC155" s="137"/>
      <c r="BD155" s="124"/>
      <c r="BE155" s="125"/>
      <c r="BF155" s="123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</row>
    <row r="156" ht="15.75" customHeight="1">
      <c r="A156" s="21" t="s">
        <v>898</v>
      </c>
      <c r="B156" s="68"/>
      <c r="C156" s="69" t="s">
        <v>84</v>
      </c>
      <c r="D156" s="380"/>
      <c r="E156" s="200" t="s">
        <v>899</v>
      </c>
      <c r="F156" s="173" t="s">
        <v>900</v>
      </c>
      <c r="G156" s="140"/>
      <c r="H156" s="71" t="s">
        <v>901</v>
      </c>
      <c r="I156" s="26" t="s">
        <v>149</v>
      </c>
      <c r="J156" s="178" t="s">
        <v>902</v>
      </c>
      <c r="K156" s="26">
        <v>5.0</v>
      </c>
      <c r="L156" s="26">
        <v>2014.0</v>
      </c>
      <c r="M156" s="25">
        <f t="shared" si="110"/>
        <v>11</v>
      </c>
      <c r="N156" s="26">
        <f t="shared" si="111"/>
        <v>1</v>
      </c>
      <c r="O156" s="27" t="str">
        <f t="shared" si="3"/>
        <v>#N/A</v>
      </c>
      <c r="P156" s="28">
        <f t="shared" si="108"/>
        <v>112</v>
      </c>
      <c r="Q156" s="28">
        <f t="shared" si="109"/>
        <v>147</v>
      </c>
      <c r="R156" s="28"/>
      <c r="S156" s="28">
        <f t="shared" si="112"/>
        <v>51</v>
      </c>
      <c r="T156" s="29">
        <f t="shared" si="113"/>
        <v>9090909.091</v>
      </c>
      <c r="U156" s="28"/>
      <c r="V156" s="30">
        <f t="shared" si="28"/>
        <v>100000000</v>
      </c>
      <c r="W156" s="30"/>
      <c r="X156" s="32">
        <f t="shared" si="114"/>
        <v>0</v>
      </c>
      <c r="Y156" s="33">
        <f t="shared" si="115"/>
        <v>0</v>
      </c>
      <c r="Z156" s="692"/>
      <c r="AA156" s="665"/>
      <c r="AB156" s="74"/>
      <c r="AC156" s="74"/>
      <c r="AD156" s="109"/>
      <c r="AE156" s="105"/>
      <c r="AF156" s="104"/>
      <c r="AG156" s="105"/>
      <c r="AH156" s="101"/>
      <c r="AI156" s="106"/>
      <c r="AJ156" s="107" t="str">
        <f>HYPERLINK("https://www.crunchbase.com/funding_round/lower-series-a--2f13681e","Jun 23, 2021")</f>
        <v>Jun 23, 2021</v>
      </c>
      <c r="AK156" s="108">
        <v>1.0E8</v>
      </c>
      <c r="AL156" s="109"/>
      <c r="AM156" s="105"/>
      <c r="AN156" s="109"/>
      <c r="AO156" s="105"/>
      <c r="AP156" s="109"/>
      <c r="AQ156" s="105"/>
      <c r="AR156" s="109"/>
      <c r="AS156" s="109"/>
      <c r="AT156" s="109"/>
      <c r="AU156" s="110"/>
      <c r="AV156" s="109"/>
      <c r="AW156" s="38"/>
      <c r="AX156" s="109"/>
      <c r="AY156" s="38"/>
      <c r="AZ156" s="109"/>
      <c r="BA156" s="110"/>
      <c r="BB156" s="133"/>
      <c r="BC156" s="105"/>
      <c r="BD156" s="133"/>
      <c r="BE156" s="84"/>
      <c r="BF156" s="74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</row>
    <row r="157" ht="15.75" customHeight="1">
      <c r="A157" s="21" t="s">
        <v>903</v>
      </c>
      <c r="B157" s="69" t="s">
        <v>904</v>
      </c>
      <c r="C157" s="69" t="s">
        <v>267</v>
      </c>
      <c r="D157" s="380"/>
      <c r="E157" s="192" t="s">
        <v>905</v>
      </c>
      <c r="F157" s="118" t="s">
        <v>906</v>
      </c>
      <c r="G157" s="71" t="s">
        <v>907</v>
      </c>
      <c r="H157" s="71" t="s">
        <v>908</v>
      </c>
      <c r="I157" s="26" t="s">
        <v>358</v>
      </c>
      <c r="J157" s="155"/>
      <c r="K157" s="26"/>
      <c r="L157" s="26">
        <v>2014.0</v>
      </c>
      <c r="M157" s="25">
        <f t="shared" si="110"/>
        <v>11</v>
      </c>
      <c r="N157" s="26">
        <f t="shared" si="111"/>
        <v>4</v>
      </c>
      <c r="O157" s="27" t="str">
        <f t="shared" si="3"/>
        <v>#N/A</v>
      </c>
      <c r="P157" s="28">
        <f t="shared" si="108"/>
        <v>114</v>
      </c>
      <c r="Q157" s="28">
        <f t="shared" si="109"/>
        <v>151</v>
      </c>
      <c r="R157" s="28"/>
      <c r="S157" s="28"/>
      <c r="T157" s="29">
        <f t="shared" si="113"/>
        <v>9000000</v>
      </c>
      <c r="U157" s="28"/>
      <c r="V157" s="30">
        <f t="shared" si="28"/>
        <v>99000000</v>
      </c>
      <c r="W157" s="30"/>
      <c r="X157" s="32">
        <f t="shared" si="114"/>
        <v>0.4953487812</v>
      </c>
      <c r="Y157" s="33">
        <f t="shared" si="115"/>
        <v>0.1575579118</v>
      </c>
      <c r="Z157" s="692"/>
      <c r="AA157" s="665"/>
      <c r="AB157" s="74"/>
      <c r="AC157" s="74"/>
      <c r="AD157" s="79"/>
      <c r="AE157" s="84"/>
      <c r="AF157" s="338"/>
      <c r="AG157" s="76"/>
      <c r="AH157" s="74"/>
      <c r="AI157" s="78"/>
      <c r="AJ157" s="391">
        <v>42516.0</v>
      </c>
      <c r="AK157" s="76">
        <v>8000000.0</v>
      </c>
      <c r="AL157" s="42">
        <v>43059.0</v>
      </c>
      <c r="AM157" s="76">
        <v>2.5E7</v>
      </c>
      <c r="AN157" s="42">
        <v>43577.0</v>
      </c>
      <c r="AO157" s="76">
        <v>2.6E7</v>
      </c>
      <c r="AP157" s="42">
        <v>43984.0</v>
      </c>
      <c r="AQ157" s="76">
        <v>4.0E7</v>
      </c>
      <c r="AR157" s="79"/>
      <c r="AS157" s="79"/>
      <c r="AT157" s="79"/>
      <c r="AU157" s="80"/>
      <c r="AV157" s="79"/>
      <c r="AW157" s="38"/>
      <c r="AX157" s="79"/>
      <c r="AY157" s="38"/>
      <c r="AZ157" s="79"/>
      <c r="BA157" s="80"/>
      <c r="BB157" s="79"/>
      <c r="BC157" s="80"/>
      <c r="BD157" s="79"/>
      <c r="BE157" s="84"/>
      <c r="BF157" s="74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</row>
    <row r="158" ht="15.75" customHeight="1">
      <c r="A158" s="823" t="s">
        <v>909</v>
      </c>
      <c r="B158" s="760"/>
      <c r="C158" s="824" t="s">
        <v>267</v>
      </c>
      <c r="D158" s="825" t="s">
        <v>910</v>
      </c>
      <c r="E158" s="825" t="s">
        <v>911</v>
      </c>
      <c r="F158" s="826" t="s">
        <v>912</v>
      </c>
      <c r="G158" s="827"/>
      <c r="H158" s="827"/>
      <c r="I158" s="828"/>
      <c r="J158" s="829"/>
      <c r="K158" s="830"/>
      <c r="L158" s="830">
        <v>2016.0</v>
      </c>
      <c r="M158" s="25">
        <f t="shared" si="110"/>
        <v>9</v>
      </c>
      <c r="N158" s="26">
        <f t="shared" si="111"/>
        <v>2</v>
      </c>
      <c r="O158" s="27" t="str">
        <f t="shared" si="3"/>
        <v>#N/A</v>
      </c>
      <c r="P158" s="28">
        <f t="shared" si="108"/>
        <v>96</v>
      </c>
      <c r="Q158" s="28">
        <f t="shared" si="109"/>
        <v>153</v>
      </c>
      <c r="R158" s="28"/>
      <c r="S158" s="28"/>
      <c r="T158" s="29">
        <f t="shared" si="113"/>
        <v>10788888.89</v>
      </c>
      <c r="U158" s="28"/>
      <c r="V158" s="30">
        <f t="shared" si="28"/>
        <v>97100000</v>
      </c>
      <c r="W158" s="30"/>
      <c r="X158" s="32">
        <f t="shared" si="114"/>
        <v>1.162952282</v>
      </c>
      <c r="Y158" s="33">
        <f t="shared" si="115"/>
        <v>0.1870113597</v>
      </c>
      <c r="Z158" s="692"/>
      <c r="AA158" s="665"/>
      <c r="AB158" s="831"/>
      <c r="AC158" s="831"/>
      <c r="AD158" s="832"/>
      <c r="AE158" s="833"/>
      <c r="AF158" s="834"/>
      <c r="AG158" s="833"/>
      <c r="AH158" s="831"/>
      <c r="AI158" s="835"/>
      <c r="AJ158" s="836">
        <v>43133.0</v>
      </c>
      <c r="AK158" s="837">
        <v>1.71E7</v>
      </c>
      <c r="AL158" s="836">
        <v>43647.0</v>
      </c>
      <c r="AM158" s="837">
        <v>8.0E7</v>
      </c>
      <c r="AN158" s="832"/>
      <c r="AO158" s="833"/>
      <c r="AP158" s="832"/>
      <c r="AQ158" s="833"/>
      <c r="AR158" s="832"/>
      <c r="AS158" s="832"/>
      <c r="AT158" s="832"/>
      <c r="AU158" s="838"/>
      <c r="AV158" s="832"/>
      <c r="AW158" s="38"/>
      <c r="AX158" s="832"/>
      <c r="AY158" s="38"/>
      <c r="AZ158" s="832"/>
      <c r="BA158" s="838"/>
      <c r="BB158" s="832"/>
      <c r="BC158" s="838"/>
      <c r="BD158" s="832"/>
      <c r="BE158" s="833"/>
      <c r="BF158" s="831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</row>
    <row r="159" ht="15.75" customHeight="1">
      <c r="A159" s="47" t="s">
        <v>913</v>
      </c>
      <c r="C159" s="48" t="s">
        <v>914</v>
      </c>
      <c r="D159" s="351"/>
      <c r="E159" s="49" t="s">
        <v>915</v>
      </c>
      <c r="F159" s="749" t="s">
        <v>916</v>
      </c>
      <c r="G159" s="353"/>
      <c r="H159" s="53" t="s">
        <v>917</v>
      </c>
      <c r="I159" s="54" t="s">
        <v>329</v>
      </c>
      <c r="J159" s="55"/>
      <c r="K159" s="54">
        <v>1.0</v>
      </c>
      <c r="L159" s="56">
        <v>2015.0</v>
      </c>
      <c r="M159" s="55"/>
      <c r="N159" s="55"/>
      <c r="O159" s="27" t="str">
        <f t="shared" si="3"/>
        <v>#N/A</v>
      </c>
      <c r="P159" s="55"/>
      <c r="Q159" s="55"/>
      <c r="R159" s="55"/>
      <c r="S159" s="55"/>
      <c r="T159" s="55"/>
      <c r="U159" s="55"/>
      <c r="V159" s="30">
        <f t="shared" si="28"/>
        <v>97100000</v>
      </c>
      <c r="W159" s="30"/>
      <c r="X159" s="58"/>
      <c r="Y159" s="58"/>
      <c r="Z159" s="692"/>
      <c r="AA159" s="665"/>
      <c r="AB159" s="55"/>
      <c r="AC159" s="55"/>
      <c r="AD159" s="453"/>
      <c r="AE159" s="38"/>
      <c r="AF159" s="355"/>
      <c r="AG159" s="38"/>
      <c r="AH159" s="55"/>
      <c r="AI159" s="38"/>
      <c r="AJ159" s="55"/>
      <c r="AK159" s="38"/>
      <c r="AL159" s="55"/>
      <c r="AM159" s="38"/>
      <c r="AN159" s="55"/>
      <c r="AO159" s="38"/>
      <c r="AP159" s="356"/>
      <c r="AQ159" s="38"/>
      <c r="AR159" s="55"/>
      <c r="AS159" s="38"/>
      <c r="AT159" s="55"/>
      <c r="AU159" s="38"/>
      <c r="AV159" s="55"/>
      <c r="AW159" s="38"/>
      <c r="AX159" s="55"/>
      <c r="AY159" s="38"/>
      <c r="AZ159" s="62">
        <v>44978.0</v>
      </c>
      <c r="BA159" s="38">
        <v>9.71E7</v>
      </c>
      <c r="BB159" s="55"/>
      <c r="BC159" s="38"/>
      <c r="BD159" s="55"/>
      <c r="BE159" s="38"/>
      <c r="BF159" s="55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</row>
    <row r="160" ht="15.75" customHeight="1">
      <c r="A160" s="21" t="s">
        <v>918</v>
      </c>
      <c r="B160" s="68"/>
      <c r="C160" s="69" t="s">
        <v>84</v>
      </c>
      <c r="D160" s="231" t="s">
        <v>919</v>
      </c>
      <c r="E160" s="138" t="s">
        <v>920</v>
      </c>
      <c r="F160" s="565" t="s">
        <v>921</v>
      </c>
      <c r="G160" s="186"/>
      <c r="H160" s="71" t="s">
        <v>64</v>
      </c>
      <c r="I160" s="26" t="s">
        <v>65</v>
      </c>
      <c r="J160" s="155"/>
      <c r="K160" s="26">
        <v>3.0</v>
      </c>
      <c r="L160" s="26">
        <v>2017.0</v>
      </c>
      <c r="M160" s="25"/>
      <c r="N160" s="26"/>
      <c r="O160" s="27" t="str">
        <f t="shared" si="3"/>
        <v>#N/A</v>
      </c>
      <c r="P160" s="28" t="str">
        <f t="shared" ref="P160:P193" si="116">RANK(T160,$T$2:$T$333)</f>
        <v>#N/A</v>
      </c>
      <c r="Q160" s="28">
        <f t="shared" ref="Q160:Q193" si="117">rank(V160,$V$2:$V$344)</f>
        <v>155</v>
      </c>
      <c r="R160" s="273"/>
      <c r="S160" s="273"/>
      <c r="T160" s="273"/>
      <c r="U160" s="273"/>
      <c r="V160" s="30">
        <f t="shared" si="28"/>
        <v>94900000</v>
      </c>
      <c r="W160" s="30"/>
      <c r="X160" s="73"/>
      <c r="Y160" s="73"/>
      <c r="Z160" s="692"/>
      <c r="AA160" s="665"/>
      <c r="AB160" s="74"/>
      <c r="AC160" s="74"/>
      <c r="AD160" s="79"/>
      <c r="AE160" s="84"/>
      <c r="AF160" s="726">
        <v>43201.0</v>
      </c>
      <c r="AG160" s="76">
        <v>2900000.0</v>
      </c>
      <c r="AH160" s="77"/>
      <c r="AI160" s="78"/>
      <c r="AJ160" s="75">
        <v>43676.0</v>
      </c>
      <c r="AK160" s="76">
        <v>1.2E7</v>
      </c>
      <c r="AL160" s="75">
        <v>44180.0</v>
      </c>
      <c r="AM160" s="76">
        <v>3.0E7</v>
      </c>
      <c r="AN160" s="75">
        <v>44782.0</v>
      </c>
      <c r="AO160" s="76">
        <v>5.0E7</v>
      </c>
      <c r="AP160" s="79"/>
      <c r="AQ160" s="84"/>
      <c r="AR160" s="79"/>
      <c r="AS160" s="79"/>
      <c r="AT160" s="79"/>
      <c r="AU160" s="80"/>
      <c r="AV160" s="79"/>
      <c r="AW160" s="38"/>
      <c r="AX160" s="79"/>
      <c r="AY160" s="38"/>
      <c r="AZ160" s="79"/>
      <c r="BA160" s="80"/>
      <c r="BB160" s="79"/>
      <c r="BC160" s="80"/>
      <c r="BD160" s="79"/>
      <c r="BE160" s="84"/>
      <c r="BF160" s="74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</row>
    <row r="161" ht="15.75" customHeight="1">
      <c r="A161" s="21" t="s">
        <v>922</v>
      </c>
      <c r="B161" s="68"/>
      <c r="C161" s="69" t="s">
        <v>84</v>
      </c>
      <c r="D161" s="492" t="s">
        <v>923</v>
      </c>
      <c r="E161" s="200" t="s">
        <v>924</v>
      </c>
      <c r="F161" s="154" t="s">
        <v>925</v>
      </c>
      <c r="G161" s="140"/>
      <c r="H161" s="71" t="s">
        <v>128</v>
      </c>
      <c r="I161" s="26" t="s">
        <v>129</v>
      </c>
      <c r="J161" s="72"/>
      <c r="K161" s="26">
        <v>2.0</v>
      </c>
      <c r="L161" s="26">
        <v>2016.0</v>
      </c>
      <c r="M161" s="25"/>
      <c r="N161" s="26"/>
      <c r="O161" s="27" t="str">
        <f t="shared" si="3"/>
        <v>#N/A</v>
      </c>
      <c r="P161" s="28" t="str">
        <f t="shared" si="116"/>
        <v>#N/A</v>
      </c>
      <c r="Q161" s="28">
        <f t="shared" si="117"/>
        <v>156</v>
      </c>
      <c r="R161" s="273"/>
      <c r="S161" s="273"/>
      <c r="T161" s="273"/>
      <c r="U161" s="273"/>
      <c r="V161" s="30">
        <f t="shared" si="28"/>
        <v>92700000</v>
      </c>
      <c r="W161" s="30"/>
      <c r="X161" s="73"/>
      <c r="Y161" s="73"/>
      <c r="Z161" s="692"/>
      <c r="AA161" s="665"/>
      <c r="AB161" s="74"/>
      <c r="AC161" s="74"/>
      <c r="AD161" s="44"/>
      <c r="AE161" s="46"/>
      <c r="AF161" s="839" t="str">
        <f>HYPERLINK("https://www.crunchbase.com/funding_round/easyknock-seed--7b523a1c","Sep 19, 2018")</f>
        <v>Sep 19, 2018</v>
      </c>
      <c r="AG161" s="38">
        <v>3500000.0</v>
      </c>
      <c r="AH161" s="36"/>
      <c r="AI161" s="159"/>
      <c r="AJ161" s="43" t="str">
        <f>HYPERLINK("https://www.crunchbase.com/funding_round/easyknock-series-a--7413d9c0","May 9, 2019")</f>
        <v>May 9, 2019</v>
      </c>
      <c r="AK161" s="38">
        <v>1.2E7</v>
      </c>
      <c r="AL161" s="43" t="str">
        <f>HYPERLINK("https://www.crunchbase.com/funding_round/easyknock-series-b--20dcc790","Jun 16, 2020")</f>
        <v>Jun 16, 2020</v>
      </c>
      <c r="AM161" s="38">
        <v>2.0E7</v>
      </c>
      <c r="AN161" s="43" t="str">
        <f>HYPERLINK("https://www.userwalls.com/n/easyknock-completes-57-million-series-funding-round-homeowners-achieve-financial-goals-2797185/","Feb 9, 2022")</f>
        <v>Feb 9, 2022</v>
      </c>
      <c r="AO161" s="38">
        <v>5.72E7</v>
      </c>
      <c r="AP161" s="44"/>
      <c r="AQ161" s="46"/>
      <c r="AR161" s="44"/>
      <c r="AS161" s="44"/>
      <c r="AT161" s="44"/>
      <c r="AU161" s="45"/>
      <c r="AV161" s="44"/>
      <c r="AW161" s="38"/>
      <c r="AX161" s="44"/>
      <c r="AY161" s="38"/>
      <c r="AZ161" s="44"/>
      <c r="BA161" s="45"/>
      <c r="BB161" s="44"/>
      <c r="BC161" s="45"/>
      <c r="BD161" s="44"/>
      <c r="BE161" s="46"/>
      <c r="BF161" s="36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</row>
    <row r="162" ht="15.75" customHeight="1">
      <c r="A162" s="442" t="s">
        <v>926</v>
      </c>
      <c r="B162" s="68"/>
      <c r="C162" s="69" t="s">
        <v>123</v>
      </c>
      <c r="D162" s="337"/>
      <c r="E162" s="138" t="s">
        <v>927</v>
      </c>
      <c r="F162" s="652" t="s">
        <v>928</v>
      </c>
      <c r="G162" s="71" t="s">
        <v>929</v>
      </c>
      <c r="H162" s="71" t="s">
        <v>826</v>
      </c>
      <c r="I162" s="26" t="s">
        <v>65</v>
      </c>
      <c r="J162" s="72" t="s">
        <v>930</v>
      </c>
      <c r="K162" s="26">
        <v>2.0</v>
      </c>
      <c r="L162" s="26">
        <v>2003.0</v>
      </c>
      <c r="M162" s="25">
        <f t="shared" ref="M162:M165" si="118">year(now()) -L162</f>
        <v>22</v>
      </c>
      <c r="N162" s="26">
        <f t="shared" ref="N162:N165" si="119">counta(AE162,AG162,AI162,AK162,AM162,AO162,AQ162,AS162,AU162,AW162,AY162,BA162,BC162)</f>
        <v>4</v>
      </c>
      <c r="O162" s="27" t="str">
        <f t="shared" si="3"/>
        <v>#N/A</v>
      </c>
      <c r="P162" s="28">
        <f t="shared" si="116"/>
        <v>188</v>
      </c>
      <c r="Q162" s="28">
        <f t="shared" si="117"/>
        <v>157</v>
      </c>
      <c r="R162" s="28"/>
      <c r="S162" s="28"/>
      <c r="T162" s="29">
        <f t="shared" ref="T162:T165" si="120">V162/M162</f>
        <v>4181818.182</v>
      </c>
      <c r="U162" s="28"/>
      <c r="V162" s="30">
        <f t="shared" si="28"/>
        <v>92000000</v>
      </c>
      <c r="W162" s="30"/>
      <c r="X162" s="32">
        <f t="shared" ref="X162:X163" si="121">(max(AE162,AG162,AI162,AK162,AM162,AO162,AQ162,AS162,AU162,AW162,AY162,BA162,BC162)/min(AE162,AG162,AI162,AK162,AM162,AO162,AQ162,AS162,AU162,AW162,AY162,BA162,BC162))^(1/N162)-1</f>
        <v>0.3478094125</v>
      </c>
      <c r="Y162" s="33">
        <f t="shared" ref="Y162:Y163" si="122">(max(AE162,AG162,AI162,AK162,AM162,AO162,AQ162,AS162,AU162,AW162,AY162,BA162,BC162)/min(AE162,AG162,AI162,AK162,AM162,AO162,AQ162,AS162,AU162,AW162,AY162,BA162,BC162))^(1/M162)-1</f>
        <v>0.05576878014</v>
      </c>
      <c r="Z162" s="692"/>
      <c r="AA162" s="665"/>
      <c r="AB162" s="74"/>
      <c r="AC162" s="74"/>
      <c r="AD162" s="79"/>
      <c r="AE162" s="84"/>
      <c r="AF162" s="175" t="str">
        <f>HYPERLINK("https://www.crunchbase.com/organization/ice-energy-inc#section-funding-rounds"," Jan 1, 2006")</f>
        <v> Jan 1, 2006</v>
      </c>
      <c r="AG162" s="76">
        <v>1.0E7</v>
      </c>
      <c r="AH162" s="74"/>
      <c r="AI162" s="78"/>
      <c r="AJ162" s="426" t="str">
        <f>HYPERLINK("https://www.crunchbase.com/funding_round/ice-energy-inc-series-a--69e7e03f"," 1/1/2007")</f>
        <v> 1/1/2007</v>
      </c>
      <c r="AK162" s="76">
        <v>2.5E7</v>
      </c>
      <c r="AL162" s="426" t="str">
        <f>HYPERLINK("https://www.crunchbase.com/funding_round/ice-energy-inc-series-b--7ba6f055"," Oct 28, 2008        
")</f>
        <v> Oct 28, 2008        
</v>
      </c>
      <c r="AM162" s="76">
        <v>3.3E7</v>
      </c>
      <c r="AN162" s="426" t="str">
        <f>HYPERLINK("https://www.crunchbase.com/funding_round/ice-energy-inc-series-c--12fc851c"," 10/18/2010")</f>
        <v> 10/18/2010</v>
      </c>
      <c r="AO162" s="76">
        <v>2.4E7</v>
      </c>
      <c r="AP162" s="79"/>
      <c r="AQ162" s="84"/>
      <c r="AR162" s="79"/>
      <c r="AS162" s="79"/>
      <c r="AT162" s="79"/>
      <c r="AU162" s="80"/>
      <c r="AV162" s="79"/>
      <c r="AW162" s="38"/>
      <c r="AX162" s="79"/>
      <c r="AY162" s="38"/>
      <c r="AZ162" s="79"/>
      <c r="BA162" s="80"/>
      <c r="BB162" s="79"/>
      <c r="BC162" s="80"/>
      <c r="BD162" s="79"/>
      <c r="BE162" s="84"/>
      <c r="BF162" s="74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</row>
    <row r="163" ht="15.75" customHeight="1">
      <c r="A163" s="840" t="s">
        <v>931</v>
      </c>
      <c r="B163" s="68"/>
      <c r="C163" s="69" t="s">
        <v>932</v>
      </c>
      <c r="D163" s="200" t="s">
        <v>933</v>
      </c>
      <c r="E163" s="200" t="s">
        <v>934</v>
      </c>
      <c r="F163" s="841" t="s">
        <v>935</v>
      </c>
      <c r="G163" s="71" t="s">
        <v>936</v>
      </c>
      <c r="H163" s="140" t="s">
        <v>937</v>
      </c>
      <c r="I163" s="74" t="s">
        <v>65</v>
      </c>
      <c r="J163" s="72" t="s">
        <v>938</v>
      </c>
      <c r="K163" s="26">
        <v>3.0</v>
      </c>
      <c r="L163" s="26">
        <v>1990.0</v>
      </c>
      <c r="M163" s="25">
        <f t="shared" si="118"/>
        <v>35</v>
      </c>
      <c r="N163" s="26">
        <f t="shared" si="119"/>
        <v>2</v>
      </c>
      <c r="O163" s="27" t="str">
        <f t="shared" si="3"/>
        <v>#N/A</v>
      </c>
      <c r="P163" s="28">
        <f t="shared" si="116"/>
        <v>212</v>
      </c>
      <c r="Q163" s="28">
        <f t="shared" si="117"/>
        <v>158</v>
      </c>
      <c r="R163" s="28"/>
      <c r="S163" s="28"/>
      <c r="T163" s="29">
        <f t="shared" si="120"/>
        <v>2621428.571</v>
      </c>
      <c r="U163" s="28"/>
      <c r="V163" s="30">
        <f t="shared" si="28"/>
        <v>91750000</v>
      </c>
      <c r="W163" s="30"/>
      <c r="X163" s="32">
        <f t="shared" si="121"/>
        <v>41.82522621</v>
      </c>
      <c r="Y163" s="33">
        <f t="shared" si="122"/>
        <v>0.2394813055</v>
      </c>
      <c r="Z163" s="692"/>
      <c r="AA163" s="665"/>
      <c r="AB163" s="74"/>
      <c r="AC163" s="74"/>
      <c r="AD163" s="79"/>
      <c r="AE163" s="84"/>
      <c r="AF163" s="175" t="str">
        <f>HYPERLINK("https://www.crunchbase.com/organization/ten-x#section-funding-rounds"," Aug 17, 2012")</f>
        <v> Aug 17, 2012</v>
      </c>
      <c r="AG163" s="76">
        <v>50000.0</v>
      </c>
      <c r="AH163" s="842" t="str">
        <f>HYPERLINK("https://www.crunchbase.com/funding_round/ten-x-series-unknown--a176afa8","Jan 9, 2013")</f>
        <v>Jan 9, 2013</v>
      </c>
      <c r="AI163" s="435">
        <v>9.17E7</v>
      </c>
      <c r="AJ163" s="279"/>
      <c r="AK163" s="76"/>
      <c r="AL163" s="279"/>
      <c r="AM163" s="76"/>
      <c r="AN163" s="79"/>
      <c r="AO163" s="84"/>
      <c r="AP163" s="79"/>
      <c r="AQ163" s="84"/>
      <c r="AR163" s="79"/>
      <c r="AS163" s="79"/>
      <c r="AT163" s="79"/>
      <c r="AU163" s="80"/>
      <c r="AV163" s="79"/>
      <c r="AW163" s="38"/>
      <c r="AX163" s="79"/>
      <c r="AY163" s="38"/>
      <c r="AZ163" s="79"/>
      <c r="BA163" s="80"/>
      <c r="BB163" s="79"/>
      <c r="BC163" s="80"/>
      <c r="BD163" s="79"/>
      <c r="BE163" s="84"/>
      <c r="BF163" s="74"/>
      <c r="BG163" s="534"/>
      <c r="BH163" s="534"/>
      <c r="BI163" s="534"/>
      <c r="BJ163" s="534"/>
      <c r="BK163" s="534"/>
      <c r="BL163" s="534"/>
      <c r="BM163" s="534"/>
      <c r="BN163" s="534"/>
      <c r="BO163" s="534"/>
      <c r="BP163" s="534"/>
      <c r="BQ163" s="534"/>
      <c r="BR163" s="534"/>
      <c r="BS163" s="534"/>
      <c r="BT163" s="534"/>
      <c r="BU163" s="534"/>
      <c r="BV163" s="534"/>
      <c r="BW163" s="534"/>
      <c r="BX163" s="534"/>
      <c r="BY163" s="534"/>
      <c r="BZ163" s="534"/>
      <c r="CA163" s="534"/>
      <c r="CB163" s="534"/>
      <c r="CC163" s="534"/>
      <c r="CD163" s="534"/>
      <c r="CE163" s="534"/>
      <c r="CF163" s="534"/>
      <c r="CG163" s="534"/>
      <c r="CH163" s="534"/>
      <c r="CI163" s="534"/>
      <c r="CJ163" s="534"/>
      <c r="CK163" s="534"/>
      <c r="CL163" s="534"/>
      <c r="CM163" s="534"/>
      <c r="CN163" s="534"/>
      <c r="CO163" s="534"/>
      <c r="CP163" s="534"/>
    </row>
    <row r="164" ht="15.75" customHeight="1">
      <c r="A164" s="400" t="s">
        <v>939</v>
      </c>
      <c r="B164" s="115"/>
      <c r="C164" s="116" t="s">
        <v>190</v>
      </c>
      <c r="D164" s="161" t="s">
        <v>940</v>
      </c>
      <c r="E164" s="161" t="s">
        <v>941</v>
      </c>
      <c r="F164" s="386" t="s">
        <v>942</v>
      </c>
      <c r="G164" s="119"/>
      <c r="H164" s="119" t="s">
        <v>455</v>
      </c>
      <c r="I164" s="25" t="s">
        <v>100</v>
      </c>
      <c r="J164" s="120"/>
      <c r="K164" s="25">
        <v>2.0</v>
      </c>
      <c r="L164" s="25">
        <v>2018.0</v>
      </c>
      <c r="M164" s="25">
        <f t="shared" si="118"/>
        <v>7</v>
      </c>
      <c r="N164" s="26">
        <f t="shared" si="119"/>
        <v>3</v>
      </c>
      <c r="O164" s="27" t="str">
        <f t="shared" si="3"/>
        <v>#N/A</v>
      </c>
      <c r="P164" s="28">
        <f t="shared" si="116"/>
        <v>86</v>
      </c>
      <c r="Q164" s="28">
        <f t="shared" si="117"/>
        <v>159</v>
      </c>
      <c r="R164" s="28"/>
      <c r="S164" s="28"/>
      <c r="T164" s="29">
        <f t="shared" si="120"/>
        <v>12514285.71</v>
      </c>
      <c r="U164" s="28"/>
      <c r="V164" s="30">
        <f t="shared" si="28"/>
        <v>87600000</v>
      </c>
      <c r="W164" s="30"/>
      <c r="X164" s="597"/>
      <c r="Y164" s="33">
        <f>(max(AE164,AG164,AI164,AK164,AM164,AO164,AQ164,AS164,AU164,AW164,AY164,BA164,BC164)/min(AE164,AG164,AI164,AK164))^(1/M164)-1</f>
        <v>0.3446316677</v>
      </c>
      <c r="Z164" s="692"/>
      <c r="AA164" s="665"/>
      <c r="AB164" s="123"/>
      <c r="AC164" s="123"/>
      <c r="AD164" s="171">
        <v>43282.0</v>
      </c>
      <c r="AE164" s="125"/>
      <c r="AF164" s="194" t="str">
        <f>HYPERLINK("https://www.crunchbase.com/funding_round/limehome-seed--2a3e1d27"," 2/1/2019")</f>
        <v> 2/1/2019</v>
      </c>
      <c r="AG164" s="127">
        <v>5700000.0</v>
      </c>
      <c r="AH164" s="123"/>
      <c r="AI164" s="128"/>
      <c r="AJ164" s="843">
        <v>44126.0</v>
      </c>
      <c r="AK164" s="127">
        <v>3.66E7</v>
      </c>
      <c r="AL164" s="171">
        <v>44873.0</v>
      </c>
      <c r="AM164" s="127">
        <v>4.53E7</v>
      </c>
      <c r="AN164" s="124"/>
      <c r="AO164" s="125"/>
      <c r="AP164" s="124"/>
      <c r="AQ164" s="125"/>
      <c r="AR164" s="124"/>
      <c r="AS164" s="124"/>
      <c r="AT164" s="124"/>
      <c r="AU164" s="137"/>
      <c r="AV164" s="124"/>
      <c r="AW164" s="38"/>
      <c r="AX164" s="124"/>
      <c r="AY164" s="38"/>
      <c r="AZ164" s="404">
        <v>44523.0</v>
      </c>
      <c r="BA164" s="137"/>
      <c r="BB164" s="124"/>
      <c r="BC164" s="137"/>
      <c r="BD164" s="124"/>
      <c r="BE164" s="125"/>
      <c r="BF164" s="123"/>
      <c r="BG164" s="534"/>
      <c r="BH164" s="534"/>
      <c r="BI164" s="534"/>
      <c r="BJ164" s="534"/>
      <c r="BK164" s="534"/>
      <c r="BL164" s="534"/>
      <c r="BM164" s="534"/>
      <c r="BN164" s="534"/>
      <c r="BO164" s="534"/>
      <c r="BP164" s="534"/>
      <c r="BQ164" s="534"/>
      <c r="BR164" s="534"/>
      <c r="BS164" s="534"/>
      <c r="BT164" s="534"/>
      <c r="BU164" s="534"/>
      <c r="BV164" s="534"/>
      <c r="BW164" s="534"/>
      <c r="BX164" s="534"/>
      <c r="BY164" s="534"/>
      <c r="BZ164" s="534"/>
      <c r="CA164" s="534"/>
      <c r="CB164" s="534"/>
      <c r="CC164" s="534"/>
      <c r="CD164" s="534"/>
      <c r="CE164" s="534"/>
      <c r="CF164" s="534"/>
      <c r="CG164" s="534"/>
      <c r="CH164" s="534"/>
      <c r="CI164" s="534"/>
      <c r="CJ164" s="534"/>
      <c r="CK164" s="534"/>
      <c r="CL164" s="534"/>
      <c r="CM164" s="534"/>
      <c r="CN164" s="534"/>
      <c r="CO164" s="534"/>
      <c r="CP164" s="534"/>
    </row>
    <row r="165" ht="15.75" customHeight="1">
      <c r="A165" s="442" t="s">
        <v>943</v>
      </c>
      <c r="B165" s="16" t="s">
        <v>944</v>
      </c>
      <c r="C165" s="17" t="s">
        <v>123</v>
      </c>
      <c r="D165" s="138" t="s">
        <v>945</v>
      </c>
      <c r="E165" s="138" t="s">
        <v>946</v>
      </c>
      <c r="F165" s="173" t="s">
        <v>947</v>
      </c>
      <c r="G165" s="22" t="s">
        <v>948</v>
      </c>
      <c r="H165" s="22" t="s">
        <v>163</v>
      </c>
      <c r="I165" s="23" t="s">
        <v>949</v>
      </c>
      <c r="J165" s="24" t="s">
        <v>950</v>
      </c>
      <c r="K165" s="23">
        <v>1.0</v>
      </c>
      <c r="L165" s="23">
        <v>2012.0</v>
      </c>
      <c r="M165" s="25">
        <f t="shared" si="118"/>
        <v>13</v>
      </c>
      <c r="N165" s="26">
        <f t="shared" si="119"/>
        <v>5</v>
      </c>
      <c r="O165" s="27" t="str">
        <f t="shared" si="3"/>
        <v>#N/A</v>
      </c>
      <c r="P165" s="28">
        <f t="shared" si="116"/>
        <v>141</v>
      </c>
      <c r="Q165" s="28">
        <f t="shared" si="117"/>
        <v>160</v>
      </c>
      <c r="R165" s="28"/>
      <c r="S165" s="28"/>
      <c r="T165" s="29">
        <f t="shared" si="120"/>
        <v>6728653.846</v>
      </c>
      <c r="U165" s="28"/>
      <c r="V165" s="30">
        <f t="shared" si="28"/>
        <v>87472500</v>
      </c>
      <c r="W165" s="30"/>
      <c r="X165" s="32">
        <f>(max(AE165,AG165,AI165,AK165,AM165,AO165,AQ165,AS165,AU165,AW165,AY165,BA165,BC165)/min(AE165,AG165,AI165,AK165,AM165,AO165,AQ165,AS165,AU165,AW165,AY165,BA165,BC165))^(1/N165)-1</f>
        <v>2.613783849</v>
      </c>
      <c r="Y165" s="33">
        <f>(max(AE165,AG165,AI165,AK165,AM165,AO165,AQ165,AS165,AU165,AW165,AY165,BA165,BC165)/min(AE165,AG165,AI165,AK165,AM165,AO165,AQ165,AS165,AU165,AW165,AY165,BA165,BC165))^(1/M165)-1</f>
        <v>0.6390825835</v>
      </c>
      <c r="Z165" s="692"/>
      <c r="AA165" s="665"/>
      <c r="AB165" s="36"/>
      <c r="AC165" s="36"/>
      <c r="AD165" s="228" t="str">
        <f>HYPERLINK("https://www.crunchbase.com/funding_round/aquicore-series-unknown--b420a0a1"," Oct 13, 2013")</f>
        <v> Oct 13, 2013</v>
      </c>
      <c r="AE165" s="38">
        <v>850000.0</v>
      </c>
      <c r="AF165" s="158" t="str">
        <f>HYPERLINK("https://www.crunchbase.com/funding_round/aquicore-seed--14f521c1"," Jan 1, 2014")</f>
        <v> Jan 1, 2014</v>
      </c>
      <c r="AG165" s="38">
        <v>2000000.0</v>
      </c>
      <c r="AH165" s="844" t="str">
        <f>HYPERLINK("https://www.crunchbase.com/funding_round/aquicore-grant--e5e7e009"," Oct 8, 2014")</f>
        <v> Oct 8, 2014</v>
      </c>
      <c r="AI165" s="38">
        <v>122500.0</v>
      </c>
      <c r="AJ165" s="228" t="str">
        <f>HYPERLINK("https://www.crunchbase.com/funding_round/aquicore-series-a--1dc9e8f2"," Jun 8, 2016")</f>
        <v> Jun 8, 2016</v>
      </c>
      <c r="AK165" s="38">
        <v>9000000.0</v>
      </c>
      <c r="AL165" s="228" t="str">
        <f>HYPERLINK("https://www.crunchbase.com/funding_round/aquicore-series-unknown--40e54c5e"," May 22, 2019")</f>
        <v> May 22, 2019</v>
      </c>
      <c r="AM165" s="38">
        <v>7.55E7</v>
      </c>
      <c r="AN165" s="44"/>
      <c r="AO165" s="46"/>
      <c r="AP165" s="44"/>
      <c r="AQ165" s="46"/>
      <c r="AR165" s="44"/>
      <c r="AS165" s="44"/>
      <c r="AT165" s="44"/>
      <c r="AU165" s="45"/>
      <c r="AV165" s="44"/>
      <c r="AW165" s="38"/>
      <c r="AX165" s="44"/>
      <c r="AY165" s="38"/>
      <c r="AZ165" s="44"/>
      <c r="BA165" s="45"/>
      <c r="BB165" s="44"/>
      <c r="BC165" s="45"/>
      <c r="BD165" s="44"/>
      <c r="BE165" s="46"/>
      <c r="BF165" s="36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</row>
    <row r="166" ht="15.75" customHeight="1">
      <c r="A166" s="21" t="s">
        <v>951</v>
      </c>
      <c r="B166" s="69"/>
      <c r="C166" s="69" t="s">
        <v>59</v>
      </c>
      <c r="D166" s="192" t="s">
        <v>952</v>
      </c>
      <c r="E166" s="192" t="s">
        <v>953</v>
      </c>
      <c r="F166" s="845" t="s">
        <v>953</v>
      </c>
      <c r="G166" s="71"/>
      <c r="H166" s="71" t="s">
        <v>271</v>
      </c>
      <c r="I166" s="26" t="s">
        <v>272</v>
      </c>
      <c r="J166" s="72"/>
      <c r="K166" s="26">
        <v>3.0</v>
      </c>
      <c r="L166" s="26">
        <v>2005.0</v>
      </c>
      <c r="M166" s="25"/>
      <c r="N166" s="26"/>
      <c r="O166" s="27" t="str">
        <f t="shared" si="3"/>
        <v>#N/A</v>
      </c>
      <c r="P166" s="28" t="str">
        <f t="shared" si="116"/>
        <v>#N/A</v>
      </c>
      <c r="Q166" s="28">
        <f t="shared" si="117"/>
        <v>161</v>
      </c>
      <c r="R166" s="273"/>
      <c r="S166" s="273"/>
      <c r="T166" s="273"/>
      <c r="U166" s="273"/>
      <c r="V166" s="30">
        <f t="shared" si="28"/>
        <v>87000000</v>
      </c>
      <c r="W166" s="30"/>
      <c r="X166" s="73"/>
      <c r="Y166" s="73"/>
      <c r="Z166" s="692"/>
      <c r="AA166" s="665"/>
      <c r="AB166" s="74"/>
      <c r="AC166" s="74"/>
      <c r="AD166" s="79"/>
      <c r="AE166" s="84"/>
      <c r="AF166" s="320"/>
      <c r="AG166" s="76"/>
      <c r="AH166" s="74"/>
      <c r="AI166" s="78"/>
      <c r="AJ166" s="181" t="str">
        <f>HYPERLINK("https://www.crunchbase.com/funding_round/zillow-series-a--00fcfc5a","Oct 1, 2005")</f>
        <v>Oct 1, 2005</v>
      </c>
      <c r="AK166" s="76">
        <v>3.2E7</v>
      </c>
      <c r="AL166" s="426" t="str">
        <f>HYPERLINK("https://www.crunchbase.com/funding_round/zillow-series-b--a9e2b26c","Jul 1, 2006")</f>
        <v>Jul 1, 2006</v>
      </c>
      <c r="AM166" s="846">
        <v>2.5E7</v>
      </c>
      <c r="AN166" s="181" t="str">
        <f>HYPERLINK("https://www.crunchbase.com/funding_round/zillow-series-c--b2dc53a4","Sep 1, 2007")</f>
        <v>Sep 1, 2007</v>
      </c>
      <c r="AO166" s="76">
        <v>3.0E7</v>
      </c>
      <c r="AP166" s="79"/>
      <c r="AQ166" s="84"/>
      <c r="AR166" s="79"/>
      <c r="AS166" s="79"/>
      <c r="AT166" s="79"/>
      <c r="AU166" s="80"/>
      <c r="AV166" s="79"/>
      <c r="AW166" s="38"/>
      <c r="AX166" s="79"/>
      <c r="AY166" s="38"/>
      <c r="AZ166" s="79"/>
      <c r="BA166" s="80"/>
      <c r="BB166" s="79"/>
      <c r="BC166" s="80"/>
      <c r="BD166" s="79"/>
      <c r="BE166" s="84"/>
      <c r="BF166" s="74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</row>
    <row r="167" ht="15.75" customHeight="1">
      <c r="A167" s="442" t="s">
        <v>954</v>
      </c>
      <c r="B167" s="16" t="s">
        <v>944</v>
      </c>
      <c r="C167" s="16" t="s">
        <v>59</v>
      </c>
      <c r="D167" s="337" t="s">
        <v>955</v>
      </c>
      <c r="E167" s="184" t="s">
        <v>956</v>
      </c>
      <c r="F167" s="185" t="s">
        <v>957</v>
      </c>
      <c r="G167" s="317"/>
      <c r="H167" s="317" t="s">
        <v>958</v>
      </c>
      <c r="I167" s="36" t="s">
        <v>959</v>
      </c>
      <c r="J167" s="237"/>
      <c r="K167" s="36">
        <v>2.0</v>
      </c>
      <c r="L167" s="23">
        <v>2012.0</v>
      </c>
      <c r="M167" s="25">
        <f>year(now()) -L167</f>
        <v>13</v>
      </c>
      <c r="N167" s="26">
        <f>counta(AE167,AG167,AI167,AK167,AM167,AO167,AQ167,AS167,AU167,AW167,AY167,BA167,BC167)</f>
        <v>3</v>
      </c>
      <c r="O167" s="27" t="str">
        <f t="shared" si="3"/>
        <v>#N/A</v>
      </c>
      <c r="P167" s="28">
        <f t="shared" si="116"/>
        <v>143</v>
      </c>
      <c r="Q167" s="28">
        <f t="shared" si="117"/>
        <v>162</v>
      </c>
      <c r="R167" s="28"/>
      <c r="S167" s="28"/>
      <c r="T167" s="29">
        <f>V167/M167</f>
        <v>6646153.846</v>
      </c>
      <c r="U167" s="28"/>
      <c r="V167" s="30">
        <f t="shared" si="28"/>
        <v>86400000</v>
      </c>
      <c r="W167" s="30"/>
      <c r="X167" s="847"/>
      <c r="Y167" s="33">
        <f>(max(AE167,AG167,AI167,AK167,AM167,AO167,AQ167,AS167,AU167,AW167,AY167,BA167,BC167)/min(AE167,AG167,AI167,AK167,AM167,AO167,AQ167,AS167,AU167,AW167,AY167,BA167,BC167))^(1/M167)-1</f>
        <v>0.1427422433</v>
      </c>
      <c r="Z167" s="692"/>
      <c r="AA167" s="665"/>
      <c r="AB167" s="36"/>
      <c r="AC167" s="36"/>
      <c r="AD167" s="44"/>
      <c r="AE167" s="46"/>
      <c r="AF167" s="158" t="str">
        <f>HYPERLINK("https://www.crunchbase.com/funding_round/cozy-seed--977267b5"," Oct 4, 2012        
")</f>
        <v> Oct 4, 2012        
</v>
      </c>
      <c r="AG167" s="46">
        <v>1500000.0</v>
      </c>
      <c r="AH167" s="848"/>
      <c r="AI167" s="41"/>
      <c r="AJ167" s="228" t="str">
        <f>HYPERLINK("https://www.crunchbase.com/organization/cozy#section-funding-rounds2"," Aug 21, 2015")</f>
        <v> Aug 21, 2015</v>
      </c>
      <c r="AK167" s="41">
        <v>8400000.0</v>
      </c>
      <c r="AL167" s="43" t="str">
        <f>HYPERLINK("https://www.crunchbase.com/funding_round/cozy-series-b--68de24cf2"," Aug 30, 2016")</f>
        <v> Aug 30, 2016</v>
      </c>
      <c r="AM167" s="46">
        <v>8500000.0</v>
      </c>
      <c r="AN167" s="44"/>
      <c r="AO167" s="46"/>
      <c r="AP167" s="44"/>
      <c r="AQ167" s="46"/>
      <c r="AR167" s="44"/>
      <c r="AS167" s="44"/>
      <c r="AT167" s="44"/>
      <c r="AU167" s="45"/>
      <c r="AV167" s="44"/>
      <c r="AW167" s="38"/>
      <c r="AX167" s="44"/>
      <c r="AY167" s="38"/>
      <c r="AZ167" s="44"/>
      <c r="BA167" s="45"/>
      <c r="BB167" s="44"/>
      <c r="BC167" s="45"/>
      <c r="BD167" s="44">
        <v>43412.0</v>
      </c>
      <c r="BE167" s="46">
        <v>6.8E7</v>
      </c>
      <c r="BF167" s="36" t="s">
        <v>960</v>
      </c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</row>
    <row r="168" ht="15.75" customHeight="1">
      <c r="A168" s="21" t="s">
        <v>961</v>
      </c>
      <c r="B168" s="68"/>
      <c r="C168" s="69" t="s">
        <v>276</v>
      </c>
      <c r="D168" s="200" t="s">
        <v>962</v>
      </c>
      <c r="E168" s="200" t="s">
        <v>963</v>
      </c>
      <c r="F168" s="173" t="s">
        <v>964</v>
      </c>
      <c r="G168" s="71"/>
      <c r="H168" s="71" t="s">
        <v>601</v>
      </c>
      <c r="I168" s="26" t="s">
        <v>129</v>
      </c>
      <c r="J168" s="72"/>
      <c r="K168" s="26">
        <v>2.0</v>
      </c>
      <c r="L168" s="142">
        <v>2016.0</v>
      </c>
      <c r="M168" s="25"/>
      <c r="N168" s="26"/>
      <c r="O168" s="27" t="str">
        <f t="shared" si="3"/>
        <v>#N/A</v>
      </c>
      <c r="P168" s="28" t="str">
        <f t="shared" si="116"/>
        <v>#N/A</v>
      </c>
      <c r="Q168" s="28">
        <f t="shared" si="117"/>
        <v>163</v>
      </c>
      <c r="R168" s="28"/>
      <c r="S168" s="28"/>
      <c r="T168" s="28"/>
      <c r="U168" s="28"/>
      <c r="V168" s="30">
        <f t="shared" si="28"/>
        <v>85000000</v>
      </c>
      <c r="W168" s="30"/>
      <c r="X168" s="73"/>
      <c r="Y168" s="73"/>
      <c r="Z168" s="692"/>
      <c r="AA168" s="665"/>
      <c r="AB168" s="74"/>
      <c r="AC168" s="74"/>
      <c r="AD168" s="79"/>
      <c r="AE168" s="84"/>
      <c r="AF168" s="175" t="str">
        <f>HYPERLINK("https://www.crunchbase.com/funding_round/radar-3-seed--dd985dbc","Oct 4, 2017")</f>
        <v>Oct 4, 2017</v>
      </c>
      <c r="AG168" s="76">
        <v>2000000.0</v>
      </c>
      <c r="AH168" s="434"/>
      <c r="AI168" s="435"/>
      <c r="AJ168" s="181" t="str">
        <f>HYPERLINK("https://www.crunchbase.com/funding_round/radar-3-series-a--89c3ef56","Apr 11, 2019")</f>
        <v>Apr 11, 2019</v>
      </c>
      <c r="AK168" s="76">
        <v>8000000.0</v>
      </c>
      <c r="AL168" s="181" t="str">
        <f>HYPERLINK("https://www.crunchbase.com/funding_round/radar-3-series-b--e7b59509","Feb 12, 2020")</f>
        <v>Feb 12, 2020</v>
      </c>
      <c r="AM168" s="76">
        <v>2.0E7</v>
      </c>
      <c r="AN168" s="181" t="str">
        <f>HYPERLINK("https://www.crunchbase.com/funding_round/radar-3-series-c--b029f1db","Feb 8, 2022")</f>
        <v>Feb 8, 2022</v>
      </c>
      <c r="AO168" s="76">
        <v>5.5E7</v>
      </c>
      <c r="AP168" s="79"/>
      <c r="AQ168" s="84"/>
      <c r="AR168" s="79"/>
      <c r="AS168" s="79"/>
      <c r="AT168" s="79"/>
      <c r="AU168" s="80"/>
      <c r="AV168" s="79"/>
      <c r="AW168" s="38"/>
      <c r="AX168" s="79"/>
      <c r="AY168" s="38"/>
      <c r="AZ168" s="79"/>
      <c r="BA168" s="80"/>
      <c r="BB168" s="79"/>
      <c r="BC168" s="80"/>
      <c r="BD168" s="79"/>
      <c r="BE168" s="84"/>
      <c r="BF168" s="74"/>
      <c r="BG168" s="115"/>
      <c r="BH168" s="115"/>
      <c r="BI168" s="115"/>
      <c r="BJ168" s="115"/>
      <c r="BK168" s="115"/>
      <c r="BL168" s="115"/>
      <c r="BM168" s="115"/>
      <c r="BN168" s="115"/>
      <c r="BO168" s="115"/>
      <c r="BP168" s="115"/>
      <c r="BQ168" s="115"/>
      <c r="BR168" s="115"/>
      <c r="BS168" s="115"/>
      <c r="BT168" s="115"/>
      <c r="BU168" s="115"/>
      <c r="BV168" s="115"/>
      <c r="BW168" s="115"/>
      <c r="BX168" s="115"/>
      <c r="BY168" s="115"/>
      <c r="BZ168" s="115"/>
      <c r="CA168" s="115"/>
      <c r="CB168" s="115"/>
      <c r="CC168" s="115"/>
      <c r="CD168" s="115"/>
      <c r="CE168" s="115"/>
      <c r="CF168" s="115"/>
      <c r="CG168" s="115"/>
      <c r="CH168" s="115"/>
      <c r="CI168" s="115"/>
      <c r="CJ168" s="115"/>
      <c r="CK168" s="115"/>
      <c r="CL168" s="115"/>
      <c r="CM168" s="115"/>
      <c r="CN168" s="115"/>
      <c r="CO168" s="115"/>
      <c r="CP168" s="115"/>
    </row>
    <row r="169" ht="15.75" customHeight="1">
      <c r="A169" s="21" t="s">
        <v>965</v>
      </c>
      <c r="B169" s="69"/>
      <c r="C169" s="69" t="s">
        <v>84</v>
      </c>
      <c r="D169" s="200" t="s">
        <v>966</v>
      </c>
      <c r="E169" s="200" t="s">
        <v>967</v>
      </c>
      <c r="F169" s="154" t="s">
        <v>968</v>
      </c>
      <c r="G169" s="54"/>
      <c r="H169" s="71" t="s">
        <v>328</v>
      </c>
      <c r="I169" s="26" t="s">
        <v>329</v>
      </c>
      <c r="J169" s="72"/>
      <c r="K169" s="26">
        <v>1.0</v>
      </c>
      <c r="L169" s="26">
        <v>2015.0</v>
      </c>
      <c r="M169" s="25"/>
      <c r="N169" s="26"/>
      <c r="O169" s="27" t="str">
        <f t="shared" si="3"/>
        <v>#N/A</v>
      </c>
      <c r="P169" s="28" t="str">
        <f t="shared" si="116"/>
        <v>#N/A</v>
      </c>
      <c r="Q169" s="28">
        <f t="shared" si="117"/>
        <v>164</v>
      </c>
      <c r="R169" s="28"/>
      <c r="S169" s="28"/>
      <c r="T169" s="28"/>
      <c r="U169" s="28"/>
      <c r="V169" s="30">
        <f t="shared" si="28"/>
        <v>84214000</v>
      </c>
      <c r="W169" s="30"/>
      <c r="X169" s="73"/>
      <c r="Y169" s="73"/>
      <c r="Z169" s="692"/>
      <c r="AA169" s="665"/>
      <c r="AB169" s="74"/>
      <c r="AC169" s="74"/>
      <c r="AD169" s="79"/>
      <c r="AE169" s="76"/>
      <c r="AF169" s="338"/>
      <c r="AG169" s="427"/>
      <c r="AH169" s="74"/>
      <c r="AI169" s="78"/>
      <c r="AJ169" s="75">
        <v>42948.0</v>
      </c>
      <c r="AK169" s="76">
        <f>1.4*5500000</f>
        <v>7700000</v>
      </c>
      <c r="AL169" s="75">
        <v>42989.0</v>
      </c>
      <c r="AM169" s="84">
        <f>1.34*18500000</f>
        <v>24790000</v>
      </c>
      <c r="AN169" s="75">
        <v>44055.0</v>
      </c>
      <c r="AO169" s="84">
        <f>1.34*38600000</f>
        <v>51724000</v>
      </c>
      <c r="AP169" s="79"/>
      <c r="AQ169" s="84"/>
      <c r="AR169" s="79"/>
      <c r="AS169" s="79"/>
      <c r="AT169" s="79"/>
      <c r="AU169" s="80"/>
      <c r="AV169" s="79"/>
      <c r="AW169" s="38"/>
      <c r="AX169" s="79"/>
      <c r="AY169" s="38"/>
      <c r="AZ169" s="79"/>
      <c r="BA169" s="80"/>
      <c r="BB169" s="79"/>
      <c r="BC169" s="80"/>
      <c r="BD169" s="79"/>
      <c r="BE169" s="84"/>
      <c r="BF169" s="74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</row>
    <row r="170" ht="15.75" customHeight="1">
      <c r="A170" s="462" t="s">
        <v>969</v>
      </c>
      <c r="B170" s="16"/>
      <c r="C170" s="17" t="s">
        <v>68</v>
      </c>
      <c r="D170" s="50" t="s">
        <v>970</v>
      </c>
      <c r="E170" s="192" t="s">
        <v>971</v>
      </c>
      <c r="F170" s="70" t="s">
        <v>972</v>
      </c>
      <c r="G170" s="810"/>
      <c r="H170" s="810" t="s">
        <v>64</v>
      </c>
      <c r="I170" s="23" t="s">
        <v>65</v>
      </c>
      <c r="J170" s="24"/>
      <c r="K170" s="23">
        <v>2.0</v>
      </c>
      <c r="L170" s="712">
        <v>2018.0</v>
      </c>
      <c r="M170" s="25">
        <f>year(now()) -L170</f>
        <v>7</v>
      </c>
      <c r="N170" s="26">
        <f>counta(AE170,AG170,AI170,AK170,AM170,AO170,AQ170,AS170,AU170,AW170,AY170,BA170,BC170)</f>
        <v>4</v>
      </c>
      <c r="O170" s="27" t="str">
        <f t="shared" si="3"/>
        <v>#N/A</v>
      </c>
      <c r="P170" s="28">
        <f t="shared" si="116"/>
        <v>91</v>
      </c>
      <c r="Q170" s="28">
        <f t="shared" si="117"/>
        <v>165</v>
      </c>
      <c r="R170" s="28"/>
      <c r="S170" s="28"/>
      <c r="T170" s="29">
        <f>V170/M170</f>
        <v>11957142.86</v>
      </c>
      <c r="U170" s="28"/>
      <c r="V170" s="30">
        <f t="shared" si="28"/>
        <v>83700000</v>
      </c>
      <c r="W170" s="30"/>
      <c r="X170" s="32">
        <f>(max(AE170,AG170,AI170,AK170,AM170,AO170,AQ170,AS170,AU170,AW170,AY170,BA170,BC170)/min(AE170,AG170,AI170,AK170,AM170,AO170,AQ170,AS170,AU170,AW170,AY170,BA170,BC170))^(1/N170)-1</f>
        <v>0.7456365604</v>
      </c>
      <c r="Y170" s="33">
        <f>(max(AE170,AG170,AI170,AK170,AM170,AO170,AQ170,AS170,AU170,AW170,AY170,BA170,BC170)/min(AE170,AG170,AI170,AK170,AM170,AO170,AQ170,AS170,AU170,AW170,AY170,BA170,BC170))^(1/M170)-1</f>
        <v>0.3748627039</v>
      </c>
      <c r="Z170" s="692"/>
      <c r="AA170" s="665"/>
      <c r="AB170" s="36"/>
      <c r="AC170" s="36"/>
      <c r="AD170" s="109"/>
      <c r="AE170" s="105"/>
      <c r="AF170" s="675">
        <v>43385.0</v>
      </c>
      <c r="AG170" s="148">
        <v>4200000.0</v>
      </c>
      <c r="AH170" s="101"/>
      <c r="AI170" s="105"/>
      <c r="AJ170" s="677">
        <v>44134.0</v>
      </c>
      <c r="AK170" s="148">
        <v>7200000.0</v>
      </c>
      <c r="AL170" s="107" t="str">
        <f>HYPERLINK("https://www.crunchbase.com/funding_round/agora-systems-series-b--3a134464","Aug 12, 2021")</f>
        <v>Aug 12, 2021</v>
      </c>
      <c r="AM170" s="148">
        <v>3.33E7</v>
      </c>
      <c r="AN170" s="191">
        <v>44818.0</v>
      </c>
      <c r="AO170" s="148">
        <v>3.9E7</v>
      </c>
      <c r="AP170" s="109"/>
      <c r="AQ170" s="105"/>
      <c r="AR170" s="109"/>
      <c r="AS170" s="105"/>
      <c r="AT170" s="109"/>
      <c r="AU170" s="110"/>
      <c r="AV170" s="109"/>
      <c r="AW170" s="38"/>
      <c r="AX170" s="109"/>
      <c r="AY170" s="38"/>
      <c r="AZ170" s="109"/>
      <c r="BA170" s="110"/>
      <c r="BB170" s="109"/>
      <c r="BC170" s="110"/>
      <c r="BD170" s="44"/>
      <c r="BE170" s="46"/>
      <c r="BF170" s="3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</row>
    <row r="171" ht="15.75" customHeight="1">
      <c r="A171" s="162" t="s">
        <v>973</v>
      </c>
      <c r="B171" s="534"/>
      <c r="C171" s="849" t="s">
        <v>59</v>
      </c>
      <c r="D171" s="162" t="s">
        <v>974</v>
      </c>
      <c r="E171" s="162" t="s">
        <v>975</v>
      </c>
      <c r="F171" s="163" t="s">
        <v>976</v>
      </c>
      <c r="G171" s="850"/>
      <c r="H171" s="850" t="s">
        <v>450</v>
      </c>
      <c r="I171" s="850" t="s">
        <v>450</v>
      </c>
      <c r="J171" s="691"/>
      <c r="K171" s="222">
        <v>6.0</v>
      </c>
      <c r="L171" s="222">
        <v>2014.0</v>
      </c>
      <c r="M171" s="222"/>
      <c r="N171" s="222"/>
      <c r="O171" s="27" t="str">
        <f t="shared" si="3"/>
        <v>#N/A</v>
      </c>
      <c r="P171" s="28" t="str">
        <f t="shared" si="116"/>
        <v>#N/A</v>
      </c>
      <c r="Q171" s="28">
        <f t="shared" si="117"/>
        <v>167</v>
      </c>
      <c r="R171" s="851"/>
      <c r="S171" s="851"/>
      <c r="T171" s="851"/>
      <c r="U171" s="851"/>
      <c r="V171" s="30">
        <f t="shared" si="28"/>
        <v>81060000</v>
      </c>
      <c r="W171" s="30"/>
      <c r="X171" s="852"/>
      <c r="Y171" s="852"/>
      <c r="Z171" s="692"/>
      <c r="AA171" s="665"/>
      <c r="AB171" s="326"/>
      <c r="AC171" s="326"/>
      <c r="AD171" s="853"/>
      <c r="AE171" s="325"/>
      <c r="AF171" s="854">
        <v>42033.0</v>
      </c>
      <c r="AG171" s="325">
        <v>2160000.0</v>
      </c>
      <c r="AH171" s="326"/>
      <c r="AI171" s="323"/>
      <c r="AJ171" s="855">
        <v>42831.0</v>
      </c>
      <c r="AK171" s="325">
        <v>7900000.0</v>
      </c>
      <c r="AL171" s="855">
        <v>43693.0</v>
      </c>
      <c r="AM171" s="325">
        <v>1.5E7</v>
      </c>
      <c r="AN171" s="171">
        <v>44994.0</v>
      </c>
      <c r="AO171" s="325">
        <v>5.6E7</v>
      </c>
      <c r="AP171" s="322"/>
      <c r="AQ171" s="323"/>
      <c r="AR171" s="322"/>
      <c r="AS171" s="322"/>
      <c r="AT171" s="322"/>
      <c r="AU171" s="335"/>
      <c r="AV171" s="322"/>
      <c r="AW171" s="38"/>
      <c r="AX171" s="322"/>
      <c r="AY171" s="38"/>
      <c r="AZ171" s="322"/>
      <c r="BA171" s="335"/>
      <c r="BB171" s="322"/>
      <c r="BC171" s="335"/>
      <c r="BD171" s="322"/>
      <c r="BE171" s="323"/>
      <c r="BF171" s="32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</row>
    <row r="172" ht="15.75" customHeight="1">
      <c r="A172" s="21" t="s">
        <v>977</v>
      </c>
      <c r="B172" s="68"/>
      <c r="C172" s="69" t="s">
        <v>190</v>
      </c>
      <c r="D172" s="138" t="s">
        <v>978</v>
      </c>
      <c r="E172" s="200" t="s">
        <v>979</v>
      </c>
      <c r="F172" s="173" t="s">
        <v>980</v>
      </c>
      <c r="G172" s="186"/>
      <c r="H172" s="71" t="s">
        <v>771</v>
      </c>
      <c r="I172" s="26" t="s">
        <v>772</v>
      </c>
      <c r="J172" s="155"/>
      <c r="K172" s="26">
        <v>1.0</v>
      </c>
      <c r="L172" s="142">
        <v>2015.0</v>
      </c>
      <c r="M172" s="25">
        <f t="shared" ref="M172:M176" si="123">year(now()) -L172</f>
        <v>10</v>
      </c>
      <c r="N172" s="26">
        <f t="shared" ref="N172:N176" si="124">counta(AE172,AG172,AI172,AK172,AM172,AO172,AQ172,AS172,AU172,AW172,AY172,BA172,BC172)</f>
        <v>2</v>
      </c>
      <c r="O172" s="27" t="str">
        <f t="shared" si="3"/>
        <v>#N/A</v>
      </c>
      <c r="P172" s="28">
        <f t="shared" si="116"/>
        <v>125</v>
      </c>
      <c r="Q172" s="28">
        <f t="shared" si="117"/>
        <v>168</v>
      </c>
      <c r="R172" s="28"/>
      <c r="S172" s="28"/>
      <c r="T172" s="29">
        <f t="shared" ref="T172:T176" si="125">V172/M172</f>
        <v>8100000</v>
      </c>
      <c r="U172" s="28"/>
      <c r="V172" s="30">
        <f t="shared" si="28"/>
        <v>81000000</v>
      </c>
      <c r="W172" s="30"/>
      <c r="X172" s="32">
        <f t="shared" ref="X172:X176" si="126">(max(AE172,AG172,AI172,AK172,AM172,AO172,AQ172,AS172,AU172,AW172,AY172,BA172,BC172)/min(AE172,AG172,AI172,AK172,AM172,AO172,AQ172,AS172,AU172,AW172,AY172,BA172,BC172))^(1/N172)-1</f>
        <v>1.015564437</v>
      </c>
      <c r="Y172" s="33">
        <f t="shared" ref="Y172:Y176" si="127">(max(AE172,AG172,AI172,AK172,AM172,AO172,AQ172,AS172,AU172,AW172,AY172,BA172,BC172)/min(AE172,AG172,AI172,AK172,AM172,AO172,AQ172,AS172,AU172,AW172,AY172,BA172,BC172))^(1/M172)-1</f>
        <v>0.1504806997</v>
      </c>
      <c r="Z172" s="692"/>
      <c r="AA172" s="665"/>
      <c r="AB172" s="74"/>
      <c r="AC172" s="74"/>
      <c r="AD172" s="79"/>
      <c r="AE172" s="84"/>
      <c r="AF172" s="338"/>
      <c r="AG172" s="84"/>
      <c r="AH172" s="77"/>
      <c r="AI172" s="78"/>
      <c r="AJ172" s="426" t="str">
        <f>HYPERLINK("https://www.crunchbase.com/funding_round/hotel-engine-series-a--220a8d8d","Sep 5, 2019")</f>
        <v>Sep 5, 2019</v>
      </c>
      <c r="AK172" s="76">
        <v>1.6E7</v>
      </c>
      <c r="AL172" s="181" t="str">
        <f>HYPERLINK("https://www.crunchbase.com/funding_round/hotel-engine-series-b--8e9010d2","Dec 2, 2021")</f>
        <v>Dec 2, 2021</v>
      </c>
      <c r="AM172" s="76">
        <v>6.5E7</v>
      </c>
      <c r="AN172" s="79"/>
      <c r="AO172" s="76"/>
      <c r="AP172" s="79"/>
      <c r="AQ172" s="84"/>
      <c r="AR172" s="79"/>
      <c r="AS172" s="79"/>
      <c r="AT172" s="79"/>
      <c r="AU172" s="80"/>
      <c r="AV172" s="79"/>
      <c r="AW172" s="38"/>
      <c r="AX172" s="79"/>
      <c r="AY172" s="38"/>
      <c r="AZ172" s="79"/>
      <c r="BA172" s="80"/>
      <c r="BB172" s="79"/>
      <c r="BC172" s="80"/>
      <c r="BD172" s="79"/>
      <c r="BE172" s="84"/>
      <c r="BF172" s="74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</row>
    <row r="173" ht="15.75" customHeight="1">
      <c r="A173" s="747" t="s">
        <v>981</v>
      </c>
      <c r="B173" s="68"/>
      <c r="C173" s="69" t="s">
        <v>132</v>
      </c>
      <c r="D173" s="192" t="s">
        <v>982</v>
      </c>
      <c r="E173" s="192" t="s">
        <v>983</v>
      </c>
      <c r="F173" s="118" t="s">
        <v>984</v>
      </c>
      <c r="G173" s="71"/>
      <c r="H173" s="71" t="s">
        <v>985</v>
      </c>
      <c r="I173" s="26" t="s">
        <v>65</v>
      </c>
      <c r="J173" s="72"/>
      <c r="K173" s="26">
        <v>1.0</v>
      </c>
      <c r="L173" s="26">
        <v>2016.0</v>
      </c>
      <c r="M173" s="25">
        <f t="shared" si="123"/>
        <v>9</v>
      </c>
      <c r="N173" s="26">
        <f t="shared" si="124"/>
        <v>5</v>
      </c>
      <c r="O173" s="27" t="str">
        <f t="shared" si="3"/>
        <v>#N/A</v>
      </c>
      <c r="P173" s="28">
        <f t="shared" si="116"/>
        <v>116</v>
      </c>
      <c r="Q173" s="28">
        <f t="shared" si="117"/>
        <v>170</v>
      </c>
      <c r="R173" s="28"/>
      <c r="S173" s="28"/>
      <c r="T173" s="29">
        <f t="shared" si="125"/>
        <v>8955555.556</v>
      </c>
      <c r="U173" s="28"/>
      <c r="V173" s="30">
        <f t="shared" si="28"/>
        <v>80600000</v>
      </c>
      <c r="W173" s="30"/>
      <c r="X173" s="32">
        <f t="shared" si="126"/>
        <v>0.5367762569</v>
      </c>
      <c r="Y173" s="33">
        <f t="shared" si="127"/>
        <v>0.2696165615</v>
      </c>
      <c r="Z173" s="695"/>
      <c r="AA173" s="696"/>
      <c r="AB173" s="74"/>
      <c r="AC173" s="74"/>
      <c r="AD173" s="79"/>
      <c r="AE173" s="84"/>
      <c r="AF173" s="175" t="str">
        <f>HYPERLINK("https://www.crunchbase.com/funding_round/plant-prefab-seed--85180b60","Mar 15, 2021")</f>
        <v>Mar 15, 2021</v>
      </c>
      <c r="AG173" s="76">
        <v>3500000.0</v>
      </c>
      <c r="AH173" s="74"/>
      <c r="AI173" s="78"/>
      <c r="AJ173" s="181" t="str">
        <f>HYPERLINK("https://www.crunchbase.com/funding_round/plant-prefab-series-a--f2b08619","Sep 25, 2018")</f>
        <v>Sep 25, 2018</v>
      </c>
      <c r="AK173" s="76">
        <v>5100000.0</v>
      </c>
      <c r="AL173" s="181" t="str">
        <f>HYPERLINK("https://www.crunchbase.com/funding_round/plant-prefab-series-b--d4884790","Aug 3, 2021")</f>
        <v>Aug 3, 2021</v>
      </c>
      <c r="AM173" s="76">
        <v>3.0E7</v>
      </c>
      <c r="AN173" s="75">
        <v>44898.0</v>
      </c>
      <c r="AO173" s="76">
        <v>3.0E7</v>
      </c>
      <c r="AP173" s="79"/>
      <c r="AQ173" s="84"/>
      <c r="AR173" s="79"/>
      <c r="AS173" s="79"/>
      <c r="AT173" s="79"/>
      <c r="AU173" s="80"/>
      <c r="AV173" s="79"/>
      <c r="AW173" s="38"/>
      <c r="AX173" s="79"/>
      <c r="AY173" s="38"/>
      <c r="AZ173" s="79"/>
      <c r="BA173" s="80"/>
      <c r="BB173" s="75">
        <v>44898.0</v>
      </c>
      <c r="BC173" s="83">
        <v>1.2E7</v>
      </c>
      <c r="BD173" s="79"/>
      <c r="BE173" s="84"/>
      <c r="BF173" s="74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</row>
    <row r="174" ht="15.75" customHeight="1">
      <c r="A174" s="442" t="s">
        <v>986</v>
      </c>
      <c r="B174" s="16" t="s">
        <v>987</v>
      </c>
      <c r="C174" s="16" t="s">
        <v>276</v>
      </c>
      <c r="D174" s="184" t="s">
        <v>988</v>
      </c>
      <c r="E174" s="184" t="s">
        <v>989</v>
      </c>
      <c r="F174" s="185" t="s">
        <v>990</v>
      </c>
      <c r="G174" s="317"/>
      <c r="H174" s="317" t="s">
        <v>64</v>
      </c>
      <c r="I174" s="36" t="s">
        <v>65</v>
      </c>
      <c r="J174" s="237"/>
      <c r="K174" s="36">
        <v>4.0</v>
      </c>
      <c r="L174" s="23">
        <v>2015.0</v>
      </c>
      <c r="M174" s="25">
        <f t="shared" si="123"/>
        <v>10</v>
      </c>
      <c r="N174" s="26">
        <f t="shared" si="124"/>
        <v>4</v>
      </c>
      <c r="O174" s="27" t="str">
        <f t="shared" si="3"/>
        <v>#N/A</v>
      </c>
      <c r="P174" s="28">
        <f t="shared" si="116"/>
        <v>126</v>
      </c>
      <c r="Q174" s="28">
        <f t="shared" si="117"/>
        <v>171</v>
      </c>
      <c r="R174" s="28"/>
      <c r="S174" s="28"/>
      <c r="T174" s="29">
        <f t="shared" si="125"/>
        <v>8050000</v>
      </c>
      <c r="U174" s="28"/>
      <c r="V174" s="30">
        <f t="shared" si="28"/>
        <v>80500000</v>
      </c>
      <c r="W174" s="30"/>
      <c r="X174" s="32">
        <f t="shared" si="126"/>
        <v>0.8257418584</v>
      </c>
      <c r="Y174" s="33">
        <f t="shared" si="127"/>
        <v>0.2722596365</v>
      </c>
      <c r="Z174" s="692"/>
      <c r="AA174" s="665"/>
      <c r="AB174" s="36"/>
      <c r="AC174" s="36"/>
      <c r="AD174" s="44"/>
      <c r="AE174" s="46"/>
      <c r="AF174" s="158" t="str">
        <f>HYPERLINK("https://www.crunchbase.com/funding_round/b8ta-seed--d9c0dac6"," Dec 2, 2015        
")</f>
        <v> Dec 2, 2015        
</v>
      </c>
      <c r="AG174" s="46">
        <v>4500000.0</v>
      </c>
      <c r="AH174" s="36"/>
      <c r="AI174" s="159"/>
      <c r="AJ174" s="43" t="str">
        <f>HYPERLINK("https://www.crunchbase.com/funding_round/b8ta-series-a--fa2a9dc7"," Sep 28, 2016")</f>
        <v> Sep 28, 2016</v>
      </c>
      <c r="AK174" s="46">
        <v>7000000.0</v>
      </c>
      <c r="AL174" s="43" t="str">
        <f>HYPERLINK("https://www.crunchbase.com/funding_round/b8ta-series-b--3834830c"," Jun 26, 2018")</f>
        <v> Jun 26, 2018</v>
      </c>
      <c r="AM174" s="46">
        <v>1.9E7</v>
      </c>
      <c r="AN174" s="228" t="str">
        <f>HYPERLINK("https://www.crunchbase.com/funding_round/b8ta-series-c--7113ac9a"," Oct 31, 2019")</f>
        <v> Oct 31, 2019</v>
      </c>
      <c r="AO174" s="38">
        <v>5.0E7</v>
      </c>
      <c r="AP174" s="44"/>
      <c r="AQ174" s="46"/>
      <c r="AR174" s="44"/>
      <c r="AS174" s="44"/>
      <c r="AT174" s="44"/>
      <c r="AU174" s="45"/>
      <c r="AV174" s="44"/>
      <c r="AW174" s="38"/>
      <c r="AX174" s="44"/>
      <c r="AY174" s="38"/>
      <c r="AZ174" s="44"/>
      <c r="BA174" s="45"/>
      <c r="BB174" s="44"/>
      <c r="BC174" s="45"/>
      <c r="BD174" s="44"/>
      <c r="BE174" s="46"/>
      <c r="BF174" s="36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</row>
    <row r="175" ht="15.75" customHeight="1">
      <c r="A175" s="442" t="s">
        <v>991</v>
      </c>
      <c r="B175" s="68" t="s">
        <v>992</v>
      </c>
      <c r="C175" s="68" t="s">
        <v>276</v>
      </c>
      <c r="D175" s="184" t="s">
        <v>993</v>
      </c>
      <c r="E175" s="231" t="s">
        <v>994</v>
      </c>
      <c r="F175" s="185" t="s">
        <v>995</v>
      </c>
      <c r="G175" s="54" t="s">
        <v>996</v>
      </c>
      <c r="H175" s="186" t="s">
        <v>64</v>
      </c>
      <c r="I175" s="74" t="s">
        <v>65</v>
      </c>
      <c r="J175" s="72" t="s">
        <v>566</v>
      </c>
      <c r="K175" s="74">
        <v>7.0</v>
      </c>
      <c r="L175" s="26">
        <v>2017.0</v>
      </c>
      <c r="M175" s="25">
        <f t="shared" si="123"/>
        <v>8</v>
      </c>
      <c r="N175" s="26">
        <f t="shared" si="124"/>
        <v>3</v>
      </c>
      <c r="O175" s="27" t="str">
        <f t="shared" si="3"/>
        <v>#N/A</v>
      </c>
      <c r="P175" s="28">
        <f t="shared" si="116"/>
        <v>104</v>
      </c>
      <c r="Q175" s="28">
        <f t="shared" si="117"/>
        <v>171</v>
      </c>
      <c r="R175" s="28"/>
      <c r="S175" s="28"/>
      <c r="T175" s="29">
        <f t="shared" si="125"/>
        <v>10062500</v>
      </c>
      <c r="U175" s="28"/>
      <c r="V175" s="30">
        <f t="shared" si="28"/>
        <v>80500000</v>
      </c>
      <c r="W175" s="30"/>
      <c r="X175" s="32">
        <f t="shared" si="126"/>
        <v>0.9374586123</v>
      </c>
      <c r="Y175" s="33">
        <f t="shared" si="127"/>
        <v>0.2814809742</v>
      </c>
      <c r="Z175" s="692"/>
      <c r="AA175" s="665"/>
      <c r="AB175" s="74" t="s">
        <v>997</v>
      </c>
      <c r="AC175" s="74"/>
      <c r="AD175" s="79"/>
      <c r="AE175" s="84"/>
      <c r="AF175" s="719" t="str">
        <f>HYPERLINK("https://www.crunchbase.com/funding_round/standard-cognition-seed--df174289","Oct 10, 2017")</f>
        <v>Oct 10, 2017</v>
      </c>
      <c r="AG175" s="76">
        <v>5500000.0</v>
      </c>
      <c r="AH175" s="77"/>
      <c r="AI175" s="78"/>
      <c r="AJ175" s="181" t="str">
        <f>HYPERLINK("https://www.crunchbase.com/funding_round/standard-cognition-series-a--134b782b","Nov 15, 2018")</f>
        <v>Nov 15, 2018</v>
      </c>
      <c r="AK175" s="84">
        <v>4.0E7</v>
      </c>
      <c r="AL175" s="426" t="str">
        <f>HYPERLINK("https://www.crunchbase.com/funding_round/standard-cognition-series-b--bf4b097e","Jul 25, 2019")</f>
        <v>Jul 25, 2019</v>
      </c>
      <c r="AM175" s="76">
        <v>3.5E7</v>
      </c>
      <c r="AN175" s="79"/>
      <c r="AO175" s="84"/>
      <c r="AP175" s="79"/>
      <c r="AQ175" s="84"/>
      <c r="AR175" s="79"/>
      <c r="AS175" s="79"/>
      <c r="AT175" s="79"/>
      <c r="AU175" s="80"/>
      <c r="AV175" s="79"/>
      <c r="AW175" s="38"/>
      <c r="AX175" s="79"/>
      <c r="AY175" s="38"/>
      <c r="AZ175" s="79"/>
      <c r="BA175" s="80"/>
      <c r="BB175" s="79"/>
      <c r="BC175" s="80"/>
      <c r="BD175" s="79"/>
      <c r="BE175" s="84"/>
      <c r="BF175" s="74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</row>
    <row r="176" ht="15.75" customHeight="1">
      <c r="A176" s="21" t="s">
        <v>998</v>
      </c>
      <c r="B176" s="68"/>
      <c r="C176" s="69" t="s">
        <v>84</v>
      </c>
      <c r="D176" s="270" t="s">
        <v>999</v>
      </c>
      <c r="E176" s="270" t="s">
        <v>1000</v>
      </c>
      <c r="F176" s="271" t="s">
        <v>1001</v>
      </c>
      <c r="G176" s="272"/>
      <c r="H176" s="71" t="s">
        <v>64</v>
      </c>
      <c r="I176" s="26" t="s">
        <v>65</v>
      </c>
      <c r="J176" s="155"/>
      <c r="K176" s="26">
        <v>3.0</v>
      </c>
      <c r="L176" s="142">
        <v>2015.0</v>
      </c>
      <c r="M176" s="25">
        <f t="shared" si="123"/>
        <v>10</v>
      </c>
      <c r="N176" s="26">
        <f t="shared" si="124"/>
        <v>4</v>
      </c>
      <c r="O176" s="27" t="str">
        <f t="shared" si="3"/>
        <v>#N/A</v>
      </c>
      <c r="P176" s="28">
        <f t="shared" si="116"/>
        <v>130</v>
      </c>
      <c r="Q176" s="28">
        <f t="shared" si="117"/>
        <v>173</v>
      </c>
      <c r="R176" s="28"/>
      <c r="S176" s="28"/>
      <c r="T176" s="29">
        <f t="shared" si="125"/>
        <v>7960000</v>
      </c>
      <c r="U176" s="28"/>
      <c r="V176" s="30">
        <f t="shared" si="28"/>
        <v>79600000</v>
      </c>
      <c r="W176" s="30"/>
      <c r="X176" s="32">
        <f t="shared" si="126"/>
        <v>0.9304869755</v>
      </c>
      <c r="Y176" s="33">
        <f t="shared" si="127"/>
        <v>0.3009684075</v>
      </c>
      <c r="Z176" s="692"/>
      <c r="AA176" s="665"/>
      <c r="AB176" s="74"/>
      <c r="AC176" s="74"/>
      <c r="AD176" s="79"/>
      <c r="AE176" s="84"/>
      <c r="AF176" s="856" t="str">
        <f>HYPERLINK("https://www.crunchbase.com/funding_round/super-a0d5-seed--122590e82","Jan 2, 2015")</f>
        <v>Jan 2, 2015</v>
      </c>
      <c r="AG176" s="76">
        <v>3600000.0</v>
      </c>
      <c r="AH176" s="74"/>
      <c r="AI176" s="78"/>
      <c r="AJ176" s="426" t="str">
        <f>HYPERLINK("https://www.crunchbase.com/funding_round/super-a0d5-series-a--bb18aa5e","Dec 1, 2016")</f>
        <v>Dec 1, 2016</v>
      </c>
      <c r="AK176" s="76">
        <v>6000000.0</v>
      </c>
      <c r="AL176" s="857" t="str">
        <f>HYPERLINK("https://www.crunchbase.com/funding_round/super-a0d5-series-b--b1148f53","Apr 17, 2019")</f>
        <v>Apr 17, 2019</v>
      </c>
      <c r="AM176" s="76">
        <v>2.0E7</v>
      </c>
      <c r="AN176" s="181" t="str">
        <f>HYPERLINK("https://www.crunchbase.com/funding_round/super-a0d5-series-c--b826b2ef","May 19, 2021")</f>
        <v>May 19, 2021</v>
      </c>
      <c r="AO176" s="76">
        <v>5.0E7</v>
      </c>
      <c r="AP176" s="79"/>
      <c r="AQ176" s="84"/>
      <c r="AR176" s="79"/>
      <c r="AS176" s="79"/>
      <c r="AT176" s="79"/>
      <c r="AU176" s="80"/>
      <c r="AV176" s="79"/>
      <c r="AW176" s="38"/>
      <c r="AX176" s="79"/>
      <c r="AY176" s="38"/>
      <c r="AZ176" s="79"/>
      <c r="BA176" s="80"/>
      <c r="BB176" s="79"/>
      <c r="BC176" s="80"/>
      <c r="BD176" s="79"/>
      <c r="BE176" s="84"/>
      <c r="BF176" s="74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</row>
    <row r="177" ht="15.75" customHeight="1">
      <c r="A177" s="21" t="s">
        <v>1002</v>
      </c>
      <c r="B177" s="69"/>
      <c r="C177" s="69" t="s">
        <v>84</v>
      </c>
      <c r="D177" s="138" t="s">
        <v>1003</v>
      </c>
      <c r="E177" s="138" t="s">
        <v>1004</v>
      </c>
      <c r="F177" s="173" t="s">
        <v>1005</v>
      </c>
      <c r="G177" s="186"/>
      <c r="H177" s="71" t="s">
        <v>328</v>
      </c>
      <c r="I177" s="26" t="s">
        <v>329</v>
      </c>
      <c r="J177" s="155"/>
      <c r="K177" s="26">
        <v>4.0</v>
      </c>
      <c r="L177" s="26">
        <v>2017.0</v>
      </c>
      <c r="M177" s="25"/>
      <c r="N177" s="26"/>
      <c r="O177" s="27" t="str">
        <f t="shared" si="3"/>
        <v>#N/A</v>
      </c>
      <c r="P177" s="28" t="str">
        <f t="shared" si="116"/>
        <v>#N/A</v>
      </c>
      <c r="Q177" s="28">
        <f t="shared" si="117"/>
        <v>174</v>
      </c>
      <c r="R177" s="273"/>
      <c r="S177" s="273"/>
      <c r="T177" s="273"/>
      <c r="U177" s="273"/>
      <c r="V177" s="30">
        <f t="shared" si="28"/>
        <v>78570000</v>
      </c>
      <c r="W177" s="30"/>
      <c r="X177" s="73"/>
      <c r="Y177" s="73"/>
      <c r="Z177" s="692"/>
      <c r="AA177" s="665"/>
      <c r="AB177" s="74"/>
      <c r="AC177" s="74"/>
      <c r="AD177" s="79"/>
      <c r="AE177" s="84"/>
      <c r="AF177" s="175" t="str">
        <f>HYPERLINK("https://www.crunchbase.com/funding_round/immo-capital-series-a--7f38de6f","Aug 20, 2020")</f>
        <v>Aug 20, 2020</v>
      </c>
      <c r="AG177" s="76">
        <v>3570000.0</v>
      </c>
      <c r="AH177" s="74"/>
      <c r="AI177" s="78"/>
      <c r="AJ177" s="79"/>
      <c r="AK177" s="84"/>
      <c r="AL177" s="181" t="str">
        <f>HYPERLINK("https://www.crunchbase.com/funding_round/immo-capital-series-b--d4b42665","Apr 11, 2022")</f>
        <v>Apr 11, 2022</v>
      </c>
      <c r="AM177" s="76">
        <v>7.5E7</v>
      </c>
      <c r="AN177" s="79"/>
      <c r="AO177" s="84"/>
      <c r="AP177" s="79"/>
      <c r="AQ177" s="84"/>
      <c r="AR177" s="79"/>
      <c r="AS177" s="79"/>
      <c r="AT177" s="79"/>
      <c r="AU177" s="80"/>
      <c r="AV177" s="79"/>
      <c r="AW177" s="38"/>
      <c r="AX177" s="79"/>
      <c r="AY177" s="38"/>
      <c r="AZ177" s="79"/>
      <c r="BA177" s="80"/>
      <c r="BB177" s="79"/>
      <c r="BC177" s="80"/>
      <c r="BD177" s="79"/>
      <c r="BE177" s="84"/>
      <c r="BF177" s="74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</row>
    <row r="178" ht="15.75" customHeight="1">
      <c r="A178" s="442" t="s">
        <v>1006</v>
      </c>
      <c r="B178" s="68" t="s">
        <v>944</v>
      </c>
      <c r="C178" s="858" t="s">
        <v>1007</v>
      </c>
      <c r="D178" s="337" t="s">
        <v>1008</v>
      </c>
      <c r="E178" s="337" t="s">
        <v>1009</v>
      </c>
      <c r="F178" s="185" t="s">
        <v>1010</v>
      </c>
      <c r="G178" s="54" t="s">
        <v>1011</v>
      </c>
      <c r="H178" s="186" t="s">
        <v>64</v>
      </c>
      <c r="I178" s="74" t="s">
        <v>65</v>
      </c>
      <c r="J178" s="72" t="s">
        <v>566</v>
      </c>
      <c r="K178" s="74">
        <v>2.0</v>
      </c>
      <c r="L178" s="26">
        <v>2013.0</v>
      </c>
      <c r="M178" s="25">
        <f t="shared" ref="M178:M182" si="128">year(now()) -L178</f>
        <v>12</v>
      </c>
      <c r="N178" s="26">
        <f t="shared" ref="N178:N182" si="129">counta(AE178,AG178,AI178,AK178,AM178,AO178,AQ178,AS178,AU178,AW178,AY178,BA178,BC178)</f>
        <v>3</v>
      </c>
      <c r="O178" s="27" t="str">
        <f t="shared" si="3"/>
        <v>#N/A</v>
      </c>
      <c r="P178" s="28">
        <f t="shared" si="116"/>
        <v>145</v>
      </c>
      <c r="Q178" s="28">
        <f t="shared" si="117"/>
        <v>175</v>
      </c>
      <c r="R178" s="28"/>
      <c r="S178" s="28"/>
      <c r="T178" s="29">
        <f t="shared" ref="T178:T182" si="130">V178/M178</f>
        <v>6475000</v>
      </c>
      <c r="U178" s="28"/>
      <c r="V178" s="30">
        <f t="shared" si="28"/>
        <v>77700000</v>
      </c>
      <c r="W178" s="30"/>
      <c r="X178" s="32"/>
      <c r="Y178" s="33">
        <f t="shared" ref="Y178:Y182" si="131">(max(AE178,AG178,AI178,AK178,AM178,AO178,AQ178,AS178,AU178,AW178,AY178,BA178,BC178)/min(AE178,AG178,AI178,AK178,AM178,AO178,AQ178,AS178,AU178,AW178,AY178,BA178,BC178))^(1/M178)-1</f>
        <v>0.07856316688</v>
      </c>
      <c r="Z178" s="692"/>
      <c r="AA178" s="665"/>
      <c r="AB178" s="74"/>
      <c r="AC178" s="74"/>
      <c r="AD178" s="79"/>
      <c r="AE178" s="84"/>
      <c r="AF178" s="175" t="str">
        <f>HYPERLINK("https://www.crunchbase.com/organization/rentlytics#section-overview"," Apr 17, 2014")</f>
        <v> Apr 17, 2014</v>
      </c>
      <c r="AG178" s="84">
        <v>4700000.0</v>
      </c>
      <c r="AH178" s="859" t="str">
        <f>HYPERLINK("https://www.crunchbase.com/funding_round/rentlytics-seed--d79a841c","Nov 24, 2014")</f>
        <v>Nov 24, 2014</v>
      </c>
      <c r="AI178" s="78">
        <v>4600000.0</v>
      </c>
      <c r="AJ178" s="181" t="str">
        <f>HYPERLINK("https://www.crunchbase.com/funding_round/rentlytics-series-a--32bc6c76","Jan 14, 2016")</f>
        <v>Jan 14, 2016</v>
      </c>
      <c r="AK178" s="84">
        <v>1.14E7</v>
      </c>
      <c r="AL178" s="79"/>
      <c r="AM178" s="84"/>
      <c r="AN178" s="79"/>
      <c r="AO178" s="84"/>
      <c r="AP178" s="79"/>
      <c r="AQ178" s="84"/>
      <c r="AR178" s="79"/>
      <c r="AS178" s="79"/>
      <c r="AT178" s="79"/>
      <c r="AU178" s="80"/>
      <c r="AV178" s="79"/>
      <c r="AW178" s="38"/>
      <c r="AX178" s="79"/>
      <c r="AY178" s="38"/>
      <c r="AZ178" s="79"/>
      <c r="BA178" s="80"/>
      <c r="BB178" s="79"/>
      <c r="BC178" s="80"/>
      <c r="BD178" s="79">
        <v>43385.0</v>
      </c>
      <c r="BE178" s="84">
        <v>5.7E7</v>
      </c>
      <c r="BF178" s="74" t="s">
        <v>1012</v>
      </c>
      <c r="BG178" s="534"/>
      <c r="BH178" s="534"/>
      <c r="BI178" s="534"/>
      <c r="BJ178" s="534"/>
      <c r="BK178" s="534"/>
      <c r="BL178" s="534"/>
      <c r="BM178" s="534"/>
      <c r="BN178" s="534"/>
      <c r="BO178" s="534"/>
      <c r="BP178" s="534"/>
      <c r="BQ178" s="534"/>
      <c r="BR178" s="534"/>
      <c r="BS178" s="534"/>
      <c r="BT178" s="534"/>
      <c r="BU178" s="534"/>
      <c r="BV178" s="534"/>
      <c r="BW178" s="534"/>
      <c r="BX178" s="534"/>
      <c r="BY178" s="534"/>
      <c r="BZ178" s="534"/>
      <c r="CA178" s="534"/>
      <c r="CB178" s="534"/>
      <c r="CC178" s="534"/>
      <c r="CD178" s="534"/>
      <c r="CE178" s="534"/>
      <c r="CF178" s="534"/>
      <c r="CG178" s="534"/>
      <c r="CH178" s="534"/>
      <c r="CI178" s="534"/>
      <c r="CJ178" s="534"/>
      <c r="CK178" s="534"/>
      <c r="CL178" s="534"/>
      <c r="CM178" s="534"/>
      <c r="CN178" s="534"/>
      <c r="CO178" s="534"/>
      <c r="CP178" s="534"/>
    </row>
    <row r="179" ht="15.75" customHeight="1">
      <c r="A179" s="21" t="s">
        <v>1013</v>
      </c>
      <c r="B179" s="69"/>
      <c r="C179" s="69" t="s">
        <v>59</v>
      </c>
      <c r="D179" s="200" t="s">
        <v>1014</v>
      </c>
      <c r="E179" s="192" t="s">
        <v>1015</v>
      </c>
      <c r="F179" s="118" t="s">
        <v>1016</v>
      </c>
      <c r="G179" s="71" t="s">
        <v>1017</v>
      </c>
      <c r="H179" s="71" t="s">
        <v>187</v>
      </c>
      <c r="I179" s="26" t="s">
        <v>188</v>
      </c>
      <c r="J179" s="72" t="s">
        <v>1018</v>
      </c>
      <c r="K179" s="26">
        <v>2.0</v>
      </c>
      <c r="L179" s="26">
        <v>2014.0</v>
      </c>
      <c r="M179" s="25">
        <f t="shared" si="128"/>
        <v>11</v>
      </c>
      <c r="N179" s="26">
        <f t="shared" si="129"/>
        <v>3</v>
      </c>
      <c r="O179" s="27" t="str">
        <f t="shared" si="3"/>
        <v>#N/A</v>
      </c>
      <c r="P179" s="28">
        <f t="shared" si="116"/>
        <v>137</v>
      </c>
      <c r="Q179" s="28">
        <f t="shared" si="117"/>
        <v>176</v>
      </c>
      <c r="R179" s="28"/>
      <c r="S179" s="28"/>
      <c r="T179" s="29">
        <f t="shared" si="130"/>
        <v>7036363.636</v>
      </c>
      <c r="U179" s="28"/>
      <c r="V179" s="30">
        <f t="shared" si="28"/>
        <v>77400000</v>
      </c>
      <c r="W179" s="30"/>
      <c r="X179" s="32">
        <f t="shared" ref="X179:X182" si="132">(max(AE179,AG179,AI179,AK179,AM179,AO179,AQ179,AS179,AU179,AW179,AY179,BA179,BC179)/min(AE179,AG179,AI179,AK179,AM179,AO179,AQ179,AS179,AU179,AW179,AY179,BA179,BC179))^(1/N179)-1</f>
        <v>1.339214191</v>
      </c>
      <c r="Y179" s="33">
        <f t="shared" si="131"/>
        <v>0.2608268587</v>
      </c>
      <c r="Z179" s="692"/>
      <c r="AA179" s="665"/>
      <c r="AB179" s="74"/>
      <c r="AC179" s="74"/>
      <c r="AD179" s="181" t="str">
        <f>HYPERLINK("https://www.crunchbase.com/funding_round/nortecview-pre-seed--279821a1","Mar 28, 2018")</f>
        <v>Mar 28, 2018</v>
      </c>
      <c r="AE179" s="76">
        <v>5000000.0</v>
      </c>
      <c r="AF179" s="175" t="str">
        <f>HYPERLINK("https://www.crunchbase.com/funding_round/nortecview-seed--f24387d2","May 29, 2019")</f>
        <v>May 29, 2019</v>
      </c>
      <c r="AG179" s="76">
        <v>8400000.0</v>
      </c>
      <c r="AH179" s="74"/>
      <c r="AI179" s="78"/>
      <c r="AJ179" s="391" t="str">
        <f>HYPERLINK("https://www.crunchbase.com/funding_round/nortecview-series-a--29aa3490","Apr 28, 2021")</f>
        <v>Apr 28, 2021</v>
      </c>
      <c r="AK179" s="76">
        <v>6.4E7</v>
      </c>
      <c r="AL179" s="42"/>
      <c r="AM179" s="76"/>
      <c r="AN179" s="42"/>
      <c r="AO179" s="76"/>
      <c r="AP179" s="42"/>
      <c r="AQ179" s="76"/>
      <c r="AR179" s="79"/>
      <c r="AS179" s="79"/>
      <c r="AT179" s="79"/>
      <c r="AU179" s="80"/>
      <c r="AV179" s="79"/>
      <c r="AW179" s="38"/>
      <c r="AX179" s="79"/>
      <c r="AY179" s="38"/>
      <c r="AZ179" s="79"/>
      <c r="BA179" s="80"/>
      <c r="BB179" s="79"/>
      <c r="BC179" s="80"/>
      <c r="BD179" s="79"/>
      <c r="BE179" s="84"/>
      <c r="BF179" s="74"/>
      <c r="BG179" s="115"/>
      <c r="BH179" s="115"/>
      <c r="BI179" s="115"/>
      <c r="BJ179" s="115"/>
      <c r="BK179" s="115"/>
      <c r="BL179" s="115"/>
      <c r="BM179" s="115"/>
      <c r="BN179" s="115"/>
      <c r="BO179" s="115"/>
      <c r="BP179" s="115"/>
      <c r="BQ179" s="115"/>
      <c r="BR179" s="115"/>
      <c r="BS179" s="115"/>
      <c r="BT179" s="115"/>
      <c r="BU179" s="115"/>
      <c r="BV179" s="115"/>
      <c r="BW179" s="115"/>
      <c r="BX179" s="115"/>
      <c r="BY179" s="115"/>
      <c r="BZ179" s="115"/>
      <c r="CA179" s="115"/>
      <c r="CB179" s="115"/>
      <c r="CC179" s="115"/>
      <c r="CD179" s="115"/>
      <c r="CE179" s="115"/>
      <c r="CF179" s="115"/>
      <c r="CG179" s="115"/>
      <c r="CH179" s="115"/>
      <c r="CI179" s="115"/>
      <c r="CJ179" s="115"/>
      <c r="CK179" s="115"/>
      <c r="CL179" s="115"/>
      <c r="CM179" s="115"/>
      <c r="CN179" s="115"/>
      <c r="CO179" s="115"/>
      <c r="CP179" s="115"/>
    </row>
    <row r="180" ht="15.75" customHeight="1">
      <c r="A180" s="860" t="s">
        <v>1019</v>
      </c>
      <c r="B180" s="115"/>
      <c r="C180" s="116" t="s">
        <v>84</v>
      </c>
      <c r="D180" s="192" t="s">
        <v>1020</v>
      </c>
      <c r="E180" s="192" t="s">
        <v>1021</v>
      </c>
      <c r="F180" s="118" t="s">
        <v>1022</v>
      </c>
      <c r="G180" s="54"/>
      <c r="H180" s="119" t="s">
        <v>129</v>
      </c>
      <c r="I180" s="25" t="s">
        <v>129</v>
      </c>
      <c r="J180" s="178"/>
      <c r="K180" s="123"/>
      <c r="L180" s="25">
        <v>2015.0</v>
      </c>
      <c r="M180" s="25">
        <f t="shared" si="128"/>
        <v>10</v>
      </c>
      <c r="N180" s="26">
        <f t="shared" si="129"/>
        <v>4</v>
      </c>
      <c r="O180" s="27" t="str">
        <f t="shared" si="3"/>
        <v>#N/A</v>
      </c>
      <c r="P180" s="28">
        <f t="shared" si="116"/>
        <v>94</v>
      </c>
      <c r="Q180" s="28">
        <f t="shared" si="117"/>
        <v>131</v>
      </c>
      <c r="R180" s="28"/>
      <c r="S180" s="28"/>
      <c r="T180" s="29">
        <f t="shared" si="130"/>
        <v>11170000</v>
      </c>
      <c r="U180" s="28"/>
      <c r="V180" s="30">
        <f t="shared" si="28"/>
        <v>111700000</v>
      </c>
      <c r="W180" s="30"/>
      <c r="X180" s="32">
        <f t="shared" si="132"/>
        <v>0.43779191</v>
      </c>
      <c r="Y180" s="33">
        <f t="shared" si="131"/>
        <v>0.1563210035</v>
      </c>
      <c r="Z180" s="692"/>
      <c r="AA180" s="665"/>
      <c r="AB180" s="123"/>
      <c r="AC180" s="123"/>
      <c r="AD180" s="124"/>
      <c r="AE180" s="125"/>
      <c r="AF180" s="166"/>
      <c r="AG180" s="125"/>
      <c r="AH180" s="123"/>
      <c r="AI180" s="128"/>
      <c r="AJ180" s="227">
        <v>42978.0</v>
      </c>
      <c r="AK180" s="127">
        <v>1.17E7</v>
      </c>
      <c r="AL180" s="227">
        <v>43521.0</v>
      </c>
      <c r="AM180" s="127">
        <v>1.5E7</v>
      </c>
      <c r="AN180" s="167" t="str">
        <f>HYPERLINK("https://www.crunchbase.com/funding_round/the-guarantors-series-c--720ed5f2","Apr 25, 2022")</f>
        <v>Apr 25, 2022</v>
      </c>
      <c r="AO180" s="127">
        <v>5.0E7</v>
      </c>
      <c r="AP180" s="124"/>
      <c r="AQ180" s="125"/>
      <c r="AR180" s="124"/>
      <c r="AS180" s="124"/>
      <c r="AT180" s="124"/>
      <c r="AU180" s="137"/>
      <c r="AV180" s="124"/>
      <c r="AW180" s="38"/>
      <c r="AX180" s="124"/>
      <c r="AY180" s="38"/>
      <c r="AZ180" s="124"/>
      <c r="BA180" s="137"/>
      <c r="BB180" s="171">
        <v>45042.0</v>
      </c>
      <c r="BC180" s="170">
        <v>3.5E7</v>
      </c>
      <c r="BD180" s="124"/>
      <c r="BE180" s="125"/>
      <c r="BF180" s="123"/>
      <c r="BG180" s="115"/>
      <c r="BH180" s="115"/>
      <c r="BI180" s="115"/>
      <c r="BJ180" s="115"/>
      <c r="BK180" s="115"/>
      <c r="BL180" s="115"/>
      <c r="BM180" s="115"/>
      <c r="BN180" s="115"/>
      <c r="BO180" s="115"/>
      <c r="BP180" s="115"/>
      <c r="BQ180" s="115"/>
      <c r="BR180" s="115"/>
      <c r="BS180" s="115"/>
      <c r="BT180" s="115"/>
      <c r="BU180" s="115"/>
      <c r="BV180" s="115"/>
      <c r="BW180" s="115"/>
      <c r="BX180" s="115"/>
      <c r="BY180" s="115"/>
      <c r="BZ180" s="115"/>
      <c r="CA180" s="115"/>
      <c r="CB180" s="115"/>
      <c r="CC180" s="115"/>
      <c r="CD180" s="115"/>
      <c r="CE180" s="115"/>
      <c r="CF180" s="115"/>
      <c r="CG180" s="115"/>
      <c r="CH180" s="115"/>
      <c r="CI180" s="115"/>
      <c r="CJ180" s="115"/>
      <c r="CK180" s="115"/>
      <c r="CL180" s="115"/>
      <c r="CM180" s="115"/>
      <c r="CN180" s="115"/>
      <c r="CO180" s="115"/>
      <c r="CP180" s="115"/>
    </row>
    <row r="181" ht="15.75" customHeight="1">
      <c r="A181" s="21" t="s">
        <v>1023</v>
      </c>
      <c r="B181" s="68"/>
      <c r="C181" s="69" t="s">
        <v>84</v>
      </c>
      <c r="D181" s="138" t="s">
        <v>1024</v>
      </c>
      <c r="E181" s="492" t="s">
        <v>1025</v>
      </c>
      <c r="F181" s="154" t="s">
        <v>1026</v>
      </c>
      <c r="G181" s="861" t="s">
        <v>1027</v>
      </c>
      <c r="H181" s="71" t="s">
        <v>1028</v>
      </c>
      <c r="I181" s="26" t="s">
        <v>1029</v>
      </c>
      <c r="J181" s="72" t="s">
        <v>1030</v>
      </c>
      <c r="K181" s="26">
        <v>1.0</v>
      </c>
      <c r="L181" s="26">
        <v>2017.0</v>
      </c>
      <c r="M181" s="25">
        <f t="shared" si="128"/>
        <v>8</v>
      </c>
      <c r="N181" s="26">
        <f t="shared" si="129"/>
        <v>3</v>
      </c>
      <c r="O181" s="27" t="str">
        <f t="shared" si="3"/>
        <v>#N/A</v>
      </c>
      <c r="P181" s="28">
        <f t="shared" si="116"/>
        <v>108</v>
      </c>
      <c r="Q181" s="28">
        <f t="shared" si="117"/>
        <v>177</v>
      </c>
      <c r="R181" s="28"/>
      <c r="S181" s="28"/>
      <c r="T181" s="29">
        <f t="shared" si="130"/>
        <v>9500000</v>
      </c>
      <c r="U181" s="28"/>
      <c r="V181" s="30">
        <f t="shared" si="28"/>
        <v>76000000</v>
      </c>
      <c r="W181" s="30"/>
      <c r="X181" s="32">
        <f t="shared" si="132"/>
        <v>1.53289851</v>
      </c>
      <c r="Y181" s="33">
        <f t="shared" si="131"/>
        <v>0.4169569988</v>
      </c>
      <c r="Z181" s="692"/>
      <c r="AA181" s="665"/>
      <c r="AB181" s="74"/>
      <c r="AC181" s="74"/>
      <c r="AD181" s="44"/>
      <c r="AE181" s="46"/>
      <c r="AF181" s="158" t="str">
        <f>HYPERLINK("https://www.crunchbase.com/organization/curbio#section-funding-rounds","Nov 12, 2018")</f>
        <v>Nov 12, 2018</v>
      </c>
      <c r="AG181" s="38">
        <v>4000000.0</v>
      </c>
      <c r="AH181" s="36"/>
      <c r="AI181" s="159"/>
      <c r="AJ181" s="862" t="str">
        <f>HYPERLINK("https://www.axios.com/newsletters/axios-pro-rata-4f786f29-ed99-400b-af0c-dc917f7da8d6.html","Aug 9, 2019")</f>
        <v>Aug 9, 2019</v>
      </c>
      <c r="AK181" s="715">
        <v>7000000.0</v>
      </c>
      <c r="AL181" s="43" t="str">
        <f>HYPERLINK("https://www.prnewswire.com/news-releases/curbio-raises-65m-to-expand-national-fix-first-pay-at-closing-home-improvement-solution-for-brokerages-and-realtors-301462809.html","Jan 18, 2022")</f>
        <v>Jan 18, 2022</v>
      </c>
      <c r="AM181" s="38">
        <v>6.5E7</v>
      </c>
      <c r="AN181" s="44"/>
      <c r="AO181" s="46"/>
      <c r="AP181" s="44"/>
      <c r="AQ181" s="46"/>
      <c r="AR181" s="44"/>
      <c r="AS181" s="44"/>
      <c r="AT181" s="44"/>
      <c r="AU181" s="45"/>
      <c r="AV181" s="44"/>
      <c r="AW181" s="38"/>
      <c r="AX181" s="44"/>
      <c r="AY181" s="38"/>
      <c r="AZ181" s="44"/>
      <c r="BA181" s="45"/>
      <c r="BB181" s="44"/>
      <c r="BC181" s="45"/>
      <c r="BD181" s="44"/>
      <c r="BE181" s="46"/>
      <c r="BF181" s="36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</row>
    <row r="182" ht="15.75" customHeight="1">
      <c r="A182" s="442" t="s">
        <v>1031</v>
      </c>
      <c r="B182" s="17" t="s">
        <v>1032</v>
      </c>
      <c r="C182" s="17" t="s">
        <v>513</v>
      </c>
      <c r="D182" s="184" t="s">
        <v>1033</v>
      </c>
      <c r="E182" s="184" t="s">
        <v>1034</v>
      </c>
      <c r="F182" s="185" t="s">
        <v>1035</v>
      </c>
      <c r="G182" s="317"/>
      <c r="H182" s="317" t="s">
        <v>64</v>
      </c>
      <c r="I182" s="36" t="s">
        <v>287</v>
      </c>
      <c r="J182" s="237" t="s">
        <v>862</v>
      </c>
      <c r="K182" s="36">
        <v>2.0</v>
      </c>
      <c r="L182" s="23">
        <v>2013.0</v>
      </c>
      <c r="M182" s="25">
        <f t="shared" si="128"/>
        <v>12</v>
      </c>
      <c r="N182" s="26">
        <f t="shared" si="129"/>
        <v>3</v>
      </c>
      <c r="O182" s="27" t="str">
        <f t="shared" si="3"/>
        <v>#N/A</v>
      </c>
      <c r="P182" s="28">
        <f t="shared" si="116"/>
        <v>148</v>
      </c>
      <c r="Q182" s="28">
        <f t="shared" si="117"/>
        <v>178</v>
      </c>
      <c r="R182" s="28"/>
      <c r="S182" s="28"/>
      <c r="T182" s="29">
        <f t="shared" si="130"/>
        <v>6291666.667</v>
      </c>
      <c r="U182" s="28"/>
      <c r="V182" s="30">
        <f t="shared" si="28"/>
        <v>75500000</v>
      </c>
      <c r="W182" s="30"/>
      <c r="X182" s="32">
        <f t="shared" si="132"/>
        <v>1.087064022</v>
      </c>
      <c r="Y182" s="33">
        <f t="shared" si="131"/>
        <v>0.2019431948</v>
      </c>
      <c r="Z182" s="819"/>
      <c r="AA182" s="863"/>
      <c r="AB182" s="568"/>
      <c r="AC182" s="568"/>
      <c r="AD182" s="471"/>
      <c r="AE182" s="466"/>
      <c r="AF182" s="530" t="str">
        <f>HYPERLINK("https://www.crunchbase.com/organization/luxe-valet#section-funding-rounds"," Oct 23, 2014")</f>
        <v> Oct 23, 2014</v>
      </c>
      <c r="AG182" s="468">
        <v>5500000.0</v>
      </c>
      <c r="AH182" s="568"/>
      <c r="AI182" s="469"/>
      <c r="AJ182" s="524" t="str">
        <f>HYPERLINK("https://www.crunchbase.com/funding_round/luxe-valet-series-a--c8481f0a"," Feb 25, 2015")</f>
        <v> Feb 25, 2015</v>
      </c>
      <c r="AK182" s="468">
        <v>2.0E7</v>
      </c>
      <c r="AL182" s="524" t="str">
        <f>HYPERLINK("https://www.crunchbase.com/funding_round/luxe-valet-series-b--4f4a5712"," Apr 7, 2016")</f>
        <v> Apr 7, 2016</v>
      </c>
      <c r="AM182" s="468">
        <v>5.0E7</v>
      </c>
      <c r="AN182" s="471"/>
      <c r="AO182" s="466"/>
      <c r="AP182" s="471"/>
      <c r="AQ182" s="466"/>
      <c r="AR182" s="471"/>
      <c r="AS182" s="471"/>
      <c r="AT182" s="471"/>
      <c r="AU182" s="472"/>
      <c r="AV182" s="471"/>
      <c r="AW182" s="38"/>
      <c r="AX182" s="471"/>
      <c r="AY182" s="38"/>
      <c r="AZ182" s="471"/>
      <c r="BA182" s="472"/>
      <c r="BB182" s="44"/>
      <c r="BC182" s="45"/>
      <c r="BD182" s="44"/>
      <c r="BE182" s="46"/>
      <c r="BF182" s="36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</row>
    <row r="183" ht="15.75" customHeight="1">
      <c r="A183" s="47" t="s">
        <v>1036</v>
      </c>
      <c r="B183" s="68"/>
      <c r="C183" s="69" t="s">
        <v>84</v>
      </c>
      <c r="D183" s="47"/>
      <c r="E183" s="864" t="s">
        <v>1037</v>
      </c>
      <c r="F183" s="118" t="s">
        <v>1038</v>
      </c>
      <c r="G183" s="71"/>
      <c r="H183" s="71" t="s">
        <v>1039</v>
      </c>
      <c r="I183" s="26" t="s">
        <v>1040</v>
      </c>
      <c r="J183" s="155"/>
      <c r="K183" s="26">
        <v>2.0</v>
      </c>
      <c r="L183" s="26">
        <v>2020.0</v>
      </c>
      <c r="M183" s="25"/>
      <c r="N183" s="26"/>
      <c r="O183" s="27" t="str">
        <f t="shared" si="3"/>
        <v>#N/A</v>
      </c>
      <c r="P183" s="28" t="str">
        <f t="shared" si="116"/>
        <v>#N/A</v>
      </c>
      <c r="Q183" s="28">
        <f t="shared" si="117"/>
        <v>178</v>
      </c>
      <c r="R183" s="28"/>
      <c r="S183" s="28"/>
      <c r="T183" s="28"/>
      <c r="U183" s="28"/>
      <c r="V183" s="30">
        <f t="shared" si="28"/>
        <v>75500000</v>
      </c>
      <c r="W183" s="30"/>
      <c r="X183" s="73"/>
      <c r="Y183" s="73"/>
      <c r="Z183" s="692"/>
      <c r="AA183" s="665"/>
      <c r="AB183" s="76"/>
      <c r="AC183" s="74"/>
      <c r="AD183" s="338"/>
      <c r="AE183" s="76"/>
      <c r="AF183" s="55"/>
      <c r="AG183" s="55"/>
      <c r="AH183" s="77"/>
      <c r="AI183" s="78"/>
      <c r="AJ183" s="426" t="str">
        <f>HYPERLINK("https://www.crunchbase.com/funding_round/pinhome-series-a--43e7c4a9","Jul 23, 2021")</f>
        <v>Jul 23, 2021</v>
      </c>
      <c r="AK183" s="865">
        <v>2.55E7</v>
      </c>
      <c r="AL183" s="181" t="str">
        <f>HYPERLINK("https://www.crunchbase.com/funding_round/pinhome-series-b--6e53d91c","Apr 22, 2022")</f>
        <v>Apr 22, 2022</v>
      </c>
      <c r="AM183" s="76">
        <v>5.0E7</v>
      </c>
      <c r="AN183" s="79"/>
      <c r="AO183" s="84"/>
      <c r="AP183" s="79"/>
      <c r="AQ183" s="84"/>
      <c r="AR183" s="79"/>
      <c r="AS183" s="79"/>
      <c r="AT183" s="79"/>
      <c r="AU183" s="80"/>
      <c r="AV183" s="79"/>
      <c r="AW183" s="38"/>
      <c r="AX183" s="79"/>
      <c r="AY183" s="38"/>
      <c r="AZ183" s="79"/>
      <c r="BA183" s="80"/>
      <c r="BB183" s="79"/>
      <c r="BC183" s="80"/>
      <c r="BD183" s="79"/>
      <c r="BE183" s="84"/>
      <c r="BF183" s="74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</row>
    <row r="184" ht="15.75" customHeight="1">
      <c r="A184" s="21" t="s">
        <v>1041</v>
      </c>
      <c r="B184" s="68"/>
      <c r="C184" s="69" t="s">
        <v>84</v>
      </c>
      <c r="D184" s="192" t="s">
        <v>1042</v>
      </c>
      <c r="E184" s="192" t="s">
        <v>1043</v>
      </c>
      <c r="F184" s="386" t="s">
        <v>1044</v>
      </c>
      <c r="G184" s="186"/>
      <c r="H184" s="186" t="s">
        <v>64</v>
      </c>
      <c r="I184" s="74" t="s">
        <v>65</v>
      </c>
      <c r="J184" s="155"/>
      <c r="K184" s="26"/>
      <c r="L184" s="26">
        <v>2011.0</v>
      </c>
      <c r="M184" s="25">
        <f t="shared" ref="M184:M187" si="133">year(now()) -L184</f>
        <v>14</v>
      </c>
      <c r="N184" s="26">
        <f t="shared" ref="N184:N187" si="134">counta(AE184,AG184,AI184,AK184,AM184,AO184,AQ184,AS184,AU184,AW184,AY184,BA184,BC184)</f>
        <v>3</v>
      </c>
      <c r="O184" s="27" t="str">
        <f t="shared" si="3"/>
        <v>#N/A</v>
      </c>
      <c r="P184" s="28">
        <f t="shared" si="116"/>
        <v>174</v>
      </c>
      <c r="Q184" s="28">
        <f t="shared" si="117"/>
        <v>181</v>
      </c>
      <c r="R184" s="28"/>
      <c r="S184" s="28"/>
      <c r="T184" s="29">
        <f t="shared" ref="T184:T187" si="135">V184/M184</f>
        <v>5287178.571</v>
      </c>
      <c r="U184" s="28"/>
      <c r="V184" s="30">
        <f t="shared" si="28"/>
        <v>74020500</v>
      </c>
      <c r="W184" s="30"/>
      <c r="X184" s="32">
        <f t="shared" ref="X184:X187" si="136">(max(AE184,AG184,AI184,AK184,AM184,AO184,AQ184,AS184,AU184,AW184,AY184,BA184,BC184)/min(AE184,AG184,AI184,AK184,AM184,AO184,AQ184,AS184,AU184,AW184,AY184,BA184,BC184))^(1/N184)-1</f>
        <v>2.837012231</v>
      </c>
      <c r="Y184" s="33">
        <f t="shared" ref="Y184:Y187" si="137">(max(AE184,AG184,AI184,AK184,AM184,AO184,AQ184,AS184,AU184,AW184,AY184,BA184,BC184)/min(AE184,AG184,AI184,AK184,AM184,AO184,AQ184,AS184,AU184,AW184,AY184,BA184,BC184))^(1/M184)-1</f>
        <v>0.3339556673</v>
      </c>
      <c r="Z184" s="692"/>
      <c r="AA184" s="665"/>
      <c r="AB184" s="74"/>
      <c r="AC184" s="74"/>
      <c r="AD184" s="79"/>
      <c r="AE184" s="84"/>
      <c r="AF184" s="320">
        <v>41108.0</v>
      </c>
      <c r="AG184" s="76">
        <v>920500.0</v>
      </c>
      <c r="AH184" s="74"/>
      <c r="AI184" s="78"/>
      <c r="AJ184" s="227">
        <v>43185.0</v>
      </c>
      <c r="AK184" s="76">
        <v>2.11E7</v>
      </c>
      <c r="AL184" s="79"/>
      <c r="AM184" s="84"/>
      <c r="AN184" s="79"/>
      <c r="AO184" s="84"/>
      <c r="AP184" s="79"/>
      <c r="AQ184" s="84"/>
      <c r="AR184" s="79"/>
      <c r="AS184" s="79"/>
      <c r="AT184" s="79"/>
      <c r="AU184" s="80"/>
      <c r="AV184" s="79"/>
      <c r="AW184" s="38"/>
      <c r="AX184" s="390"/>
      <c r="AY184" s="38"/>
      <c r="AZ184" s="75">
        <v>44580.0</v>
      </c>
      <c r="BA184" s="83">
        <v>5.2E7</v>
      </c>
      <c r="BB184" s="79"/>
      <c r="BC184" s="80"/>
      <c r="BD184" s="79"/>
      <c r="BE184" s="84"/>
      <c r="BF184" s="74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</row>
    <row r="185" ht="15.75" customHeight="1">
      <c r="A185" s="866" t="s">
        <v>1045</v>
      </c>
      <c r="B185" s="16"/>
      <c r="C185" s="17" t="s">
        <v>1046</v>
      </c>
      <c r="D185" s="236" t="s">
        <v>1047</v>
      </c>
      <c r="E185" s="236" t="s">
        <v>1048</v>
      </c>
      <c r="F185" s="803" t="s">
        <v>1049</v>
      </c>
      <c r="G185" s="317"/>
      <c r="H185" s="22" t="s">
        <v>64</v>
      </c>
      <c r="I185" s="23" t="s">
        <v>65</v>
      </c>
      <c r="J185" s="237"/>
      <c r="K185" s="36"/>
      <c r="L185" s="23">
        <v>2012.0</v>
      </c>
      <c r="M185" s="25">
        <f t="shared" si="133"/>
        <v>13</v>
      </c>
      <c r="N185" s="26">
        <f t="shared" si="134"/>
        <v>4</v>
      </c>
      <c r="O185" s="27" t="str">
        <f t="shared" si="3"/>
        <v>#N/A</v>
      </c>
      <c r="P185" s="28">
        <f t="shared" si="116"/>
        <v>164</v>
      </c>
      <c r="Q185" s="28">
        <f t="shared" si="117"/>
        <v>182</v>
      </c>
      <c r="R185" s="28"/>
      <c r="S185" s="28"/>
      <c r="T185" s="29">
        <f t="shared" si="135"/>
        <v>5615384.615</v>
      </c>
      <c r="U185" s="28"/>
      <c r="V185" s="30">
        <f t="shared" si="28"/>
        <v>73000000</v>
      </c>
      <c r="W185" s="30"/>
      <c r="X185" s="32">
        <f t="shared" si="136"/>
        <v>1.08779763</v>
      </c>
      <c r="Y185" s="33">
        <f t="shared" si="137"/>
        <v>0.2541967227</v>
      </c>
      <c r="Z185" s="692"/>
      <c r="AA185" s="665"/>
      <c r="AB185" s="36"/>
      <c r="AC185" s="36"/>
      <c r="AD185" s="37"/>
      <c r="AE185" s="38"/>
      <c r="AF185" s="225">
        <v>41334.0</v>
      </c>
      <c r="AG185" s="38">
        <v>2000000.0</v>
      </c>
      <c r="AH185" s="40"/>
      <c r="AI185" s="41"/>
      <c r="AJ185" s="227">
        <v>41597.0</v>
      </c>
      <c r="AK185" s="38">
        <v>8000000.0</v>
      </c>
      <c r="AL185" s="227">
        <v>42088.0</v>
      </c>
      <c r="AM185" s="38">
        <v>3.8E7</v>
      </c>
      <c r="AN185" s="42">
        <v>42942.0</v>
      </c>
      <c r="AO185" s="38">
        <v>2.5E7</v>
      </c>
      <c r="AP185" s="44"/>
      <c r="AQ185" s="46"/>
      <c r="AR185" s="44"/>
      <c r="AS185" s="44"/>
      <c r="AT185" s="44"/>
      <c r="AU185" s="45"/>
      <c r="AV185" s="44"/>
      <c r="AW185" s="38"/>
      <c r="AX185" s="44"/>
      <c r="AY185" s="38"/>
      <c r="AZ185" s="44"/>
      <c r="BA185" s="45"/>
      <c r="BB185" s="44"/>
      <c r="BC185" s="45"/>
      <c r="BD185" s="44"/>
      <c r="BE185" s="46"/>
      <c r="BF185" s="36"/>
      <c r="BG185" s="115"/>
      <c r="BH185" s="115"/>
      <c r="BI185" s="115"/>
      <c r="BJ185" s="115"/>
      <c r="BK185" s="115"/>
      <c r="BL185" s="115"/>
      <c r="BM185" s="115"/>
      <c r="BN185" s="115"/>
      <c r="BO185" s="115"/>
      <c r="BP185" s="115"/>
      <c r="BQ185" s="115"/>
      <c r="BR185" s="115"/>
      <c r="BS185" s="115"/>
      <c r="BT185" s="115"/>
      <c r="BU185" s="115"/>
      <c r="BV185" s="115"/>
      <c r="BW185" s="115"/>
      <c r="BX185" s="115"/>
      <c r="BY185" s="115"/>
      <c r="BZ185" s="115"/>
      <c r="CA185" s="115"/>
      <c r="CB185" s="115"/>
      <c r="CC185" s="115"/>
      <c r="CD185" s="115"/>
      <c r="CE185" s="115"/>
      <c r="CF185" s="115"/>
      <c r="CG185" s="115"/>
      <c r="CH185" s="115"/>
      <c r="CI185" s="115"/>
      <c r="CJ185" s="115"/>
      <c r="CK185" s="115"/>
      <c r="CL185" s="115"/>
      <c r="CM185" s="115"/>
      <c r="CN185" s="115"/>
      <c r="CO185" s="115"/>
      <c r="CP185" s="115"/>
    </row>
    <row r="186" ht="15.75" customHeight="1">
      <c r="A186" s="245" t="s">
        <v>1050</v>
      </c>
      <c r="B186" s="17"/>
      <c r="C186" s="17" t="s">
        <v>84</v>
      </c>
      <c r="D186" s="236" t="s">
        <v>1051</v>
      </c>
      <c r="E186" s="192" t="s">
        <v>1052</v>
      </c>
      <c r="F186" s="118" t="s">
        <v>1053</v>
      </c>
      <c r="G186" s="22"/>
      <c r="H186" s="22" t="s">
        <v>1054</v>
      </c>
      <c r="I186" s="23" t="s">
        <v>65</v>
      </c>
      <c r="J186" s="24"/>
      <c r="K186" s="23">
        <v>2.0</v>
      </c>
      <c r="L186" s="23">
        <v>2014.0</v>
      </c>
      <c r="M186" s="25">
        <f t="shared" si="133"/>
        <v>11</v>
      </c>
      <c r="N186" s="26">
        <f t="shared" si="134"/>
        <v>3</v>
      </c>
      <c r="O186" s="27" t="str">
        <f t="shared" si="3"/>
        <v>#N/A</v>
      </c>
      <c r="P186" s="28">
        <f t="shared" si="116"/>
        <v>144</v>
      </c>
      <c r="Q186" s="28">
        <f t="shared" si="117"/>
        <v>183</v>
      </c>
      <c r="R186" s="28"/>
      <c r="S186" s="28"/>
      <c r="T186" s="29">
        <f t="shared" si="135"/>
        <v>6518181.818</v>
      </c>
      <c r="U186" s="28"/>
      <c r="V186" s="30">
        <f t="shared" si="28"/>
        <v>71700000</v>
      </c>
      <c r="W186" s="30"/>
      <c r="X186" s="32">
        <f t="shared" si="136"/>
        <v>2.280203414</v>
      </c>
      <c r="Y186" s="33">
        <f t="shared" si="137"/>
        <v>0.3826116493</v>
      </c>
      <c r="Z186" s="692"/>
      <c r="AA186" s="665"/>
      <c r="AB186" s="36"/>
      <c r="AC186" s="36"/>
      <c r="AD186" s="227"/>
      <c r="AE186" s="38"/>
      <c r="AF186" s="225" t="str">
        <f>HYPERLINK("https://www.crunchbase.com/funding_round/cover-technologies-inc-seed--a12ffa6f","Apr 19, 2019")</f>
        <v>Apr 19, 2019</v>
      </c>
      <c r="AG186" s="38">
        <v>1700000.0</v>
      </c>
      <c r="AH186" s="36"/>
      <c r="AI186" s="159"/>
      <c r="AJ186" s="42" t="str">
        <f>HYPERLINK("https://www.crunchbase.com/funding_round/cover-technologies-inc-series-a--04877238","Jul 28, 2020")</f>
        <v>Jul 28, 2020</v>
      </c>
      <c r="AK186" s="38">
        <v>1.0E7</v>
      </c>
      <c r="AL186" s="43" t="str">
        <f>HYPERLINK("https://www.crunchbase.com/funding_round/cover-technologies-inc-series-b--38358f74","Oct 28, 2021")</f>
        <v>Oct 28, 2021</v>
      </c>
      <c r="AM186" s="38">
        <v>6.0E7</v>
      </c>
      <c r="AN186" s="44"/>
      <c r="AO186" s="46"/>
      <c r="AP186" s="44"/>
      <c r="AQ186" s="46"/>
      <c r="AR186" s="44"/>
      <c r="AS186" s="44"/>
      <c r="AT186" s="44"/>
      <c r="AU186" s="45"/>
      <c r="AV186" s="44"/>
      <c r="AW186" s="38"/>
      <c r="AX186" s="44"/>
      <c r="AY186" s="38"/>
      <c r="AZ186" s="44"/>
      <c r="BA186" s="45"/>
      <c r="BB186" s="44"/>
      <c r="BC186" s="45"/>
      <c r="BD186" s="44"/>
      <c r="BE186" s="46"/>
      <c r="BF186" s="36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</row>
    <row r="187" ht="15.75" customHeight="1">
      <c r="A187" s="442" t="s">
        <v>1055</v>
      </c>
      <c r="B187" s="68" t="s">
        <v>1056</v>
      </c>
      <c r="C187" s="68" t="s">
        <v>207</v>
      </c>
      <c r="D187" s="184" t="s">
        <v>1057</v>
      </c>
      <c r="E187" s="184" t="s">
        <v>1058</v>
      </c>
      <c r="F187" s="185" t="s">
        <v>1059</v>
      </c>
      <c r="G187" s="186" t="s">
        <v>1060</v>
      </c>
      <c r="H187" s="186" t="s">
        <v>128</v>
      </c>
      <c r="I187" s="74" t="s">
        <v>156</v>
      </c>
      <c r="J187" s="155" t="s">
        <v>798</v>
      </c>
      <c r="K187" s="74">
        <v>2.0</v>
      </c>
      <c r="L187" s="26">
        <v>2013.0</v>
      </c>
      <c r="M187" s="25">
        <f t="shared" si="133"/>
        <v>12</v>
      </c>
      <c r="N187" s="26">
        <f t="shared" si="134"/>
        <v>4</v>
      </c>
      <c r="O187" s="27" t="str">
        <f t="shared" si="3"/>
        <v>#N/A</v>
      </c>
      <c r="P187" s="28">
        <f t="shared" si="116"/>
        <v>156</v>
      </c>
      <c r="Q187" s="28">
        <f t="shared" si="117"/>
        <v>183</v>
      </c>
      <c r="R187" s="28"/>
      <c r="S187" s="28"/>
      <c r="T187" s="29">
        <f t="shared" si="135"/>
        <v>5975000</v>
      </c>
      <c r="U187" s="28"/>
      <c r="V187" s="30">
        <f t="shared" si="28"/>
        <v>71700000</v>
      </c>
      <c r="W187" s="30"/>
      <c r="X187" s="32">
        <f t="shared" si="136"/>
        <v>1.049595143</v>
      </c>
      <c r="Y187" s="33">
        <f t="shared" si="137"/>
        <v>0.2702504608</v>
      </c>
      <c r="Z187" s="692"/>
      <c r="AA187" s="665"/>
      <c r="AB187" s="74"/>
      <c r="AC187" s="74"/>
      <c r="AD187" s="79"/>
      <c r="AE187" s="84"/>
      <c r="AF187" s="175" t="str">
        <f>HYPERLINK("https://www.crunchbase.com/funding_round/managed-by-q-seed--ef06eac8"," Nov 19, 2014        
")</f>
        <v> Nov 19, 2014        
</v>
      </c>
      <c r="AG187" s="84">
        <v>1700000.0</v>
      </c>
      <c r="AH187" s="74"/>
      <c r="AI187" s="78"/>
      <c r="AJ187" s="181" t="str">
        <f>HYPERLINK("https://www.crunchbase.com/funding_round/managed-by-q-series-a--f661465b"," 6/18/2015")</f>
        <v> 6/18/2015</v>
      </c>
      <c r="AK187" s="84">
        <v>1.5E7</v>
      </c>
      <c r="AL187" s="426" t="str">
        <f>HYPERLINK("https://www.crunchbase.com/funding_round/managed-by-q-series-b--52bc9f06"," Apr 1, 2016        
        ")
</f>
        <v> Apr 1, 2016        
        </v>
      </c>
      <c r="AM187" s="84">
        <v>2.5E7</v>
      </c>
      <c r="AN187" s="181" t="str">
        <f>HYPERLINK("https://www.crunchbase.com/funding_round/managed-by-q-series-c--a001474d"," 12/16/2016")</f>
        <v> 12/16/2016</v>
      </c>
      <c r="AO187" s="84">
        <v>3.0E7</v>
      </c>
      <c r="AP187" s="79"/>
      <c r="AQ187" s="84"/>
      <c r="AR187" s="79"/>
      <c r="AS187" s="79"/>
      <c r="AT187" s="79"/>
      <c r="AU187" s="80"/>
      <c r="AV187" s="79"/>
      <c r="AW187" s="38"/>
      <c r="AX187" s="79"/>
      <c r="AY187" s="38"/>
      <c r="AZ187" s="79"/>
      <c r="BA187" s="80"/>
      <c r="BB187" s="79"/>
      <c r="BC187" s="80"/>
      <c r="BD187" s="79"/>
      <c r="BE187" s="84"/>
      <c r="BF187" s="74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</row>
    <row r="188" ht="15.75" customHeight="1">
      <c r="A188" s="21" t="s">
        <v>1061</v>
      </c>
      <c r="B188" s="68"/>
      <c r="C188" s="69" t="s">
        <v>427</v>
      </c>
      <c r="D188" s="867" t="s">
        <v>1062</v>
      </c>
      <c r="E188" s="231" t="s">
        <v>1063</v>
      </c>
      <c r="F188" s="177" t="s">
        <v>1064</v>
      </c>
      <c r="G188" s="186"/>
      <c r="H188" s="71" t="s">
        <v>1065</v>
      </c>
      <c r="I188" s="26" t="s">
        <v>639</v>
      </c>
      <c r="J188" s="155"/>
      <c r="K188" s="26">
        <v>2.0</v>
      </c>
      <c r="L188" s="26">
        <v>2018.0</v>
      </c>
      <c r="M188" s="25"/>
      <c r="N188" s="26"/>
      <c r="O188" s="27" t="str">
        <f t="shared" si="3"/>
        <v>#N/A</v>
      </c>
      <c r="P188" s="28" t="str">
        <f t="shared" si="116"/>
        <v>#N/A</v>
      </c>
      <c r="Q188" s="28">
        <f t="shared" si="117"/>
        <v>185</v>
      </c>
      <c r="R188" s="273"/>
      <c r="S188" s="273"/>
      <c r="T188" s="273"/>
      <c r="U188" s="273"/>
      <c r="V188" s="30">
        <f t="shared" si="28"/>
        <v>71520000</v>
      </c>
      <c r="W188" s="30"/>
      <c r="X188" s="73"/>
      <c r="Y188" s="73"/>
      <c r="Z188" s="692"/>
      <c r="AA188" s="665"/>
      <c r="AB188" s="74"/>
      <c r="AC188" s="74"/>
      <c r="AD188" s="79"/>
      <c r="AE188" s="84"/>
      <c r="AF188" s="726">
        <v>43172.0</v>
      </c>
      <c r="AG188" s="76"/>
      <c r="AH188" s="74"/>
      <c r="AI188" s="78"/>
      <c r="AJ188" s="75">
        <v>43690.0</v>
      </c>
      <c r="AK188" s="84">
        <f>0.76*12000000</f>
        <v>9120000</v>
      </c>
      <c r="AL188" s="75">
        <v>44781.0</v>
      </c>
      <c r="AM188" s="84">
        <f>0.78*44000000+0.78*36000000</f>
        <v>62400000</v>
      </c>
      <c r="AN188" s="79"/>
      <c r="AO188" s="84"/>
      <c r="AP188" s="79"/>
      <c r="AQ188" s="84"/>
      <c r="AR188" s="79"/>
      <c r="AS188" s="79"/>
      <c r="AT188" s="79"/>
      <c r="AU188" s="80"/>
      <c r="AV188" s="79"/>
      <c r="AW188" s="38"/>
      <c r="AX188" s="79"/>
      <c r="AY188" s="38"/>
      <c r="AZ188" s="79"/>
      <c r="BA188" s="80"/>
      <c r="BB188" s="79"/>
      <c r="BC188" s="80"/>
      <c r="BD188" s="79"/>
      <c r="BE188" s="84"/>
      <c r="BF188" s="74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</row>
    <row r="189" ht="15.75" customHeight="1">
      <c r="A189" s="400" t="s">
        <v>1066</v>
      </c>
      <c r="B189" s="115"/>
      <c r="C189" s="116" t="s">
        <v>132</v>
      </c>
      <c r="D189" s="449"/>
      <c r="E189" s="161" t="s">
        <v>1067</v>
      </c>
      <c r="F189" s="402" t="s">
        <v>1068</v>
      </c>
      <c r="G189" s="286"/>
      <c r="H189" s="119" t="s">
        <v>328</v>
      </c>
      <c r="I189" s="25" t="s">
        <v>329</v>
      </c>
      <c r="J189" s="287"/>
      <c r="K189" s="25">
        <v>2.0</v>
      </c>
      <c r="L189" s="25">
        <v>2010.0</v>
      </c>
      <c r="M189" s="25">
        <f t="shared" ref="M189:M191" si="138">year(now()) -L189</f>
        <v>15</v>
      </c>
      <c r="N189" s="26">
        <f t="shared" ref="N189:N191" si="139">counta(AE189,AG189,AI189,AK189,AM189,AO189,AQ189,AS189,AU189,AW189,AY189,BA189,BC189)</f>
        <v>3</v>
      </c>
      <c r="O189" s="27" t="str">
        <f t="shared" si="3"/>
        <v>#N/A</v>
      </c>
      <c r="P189" s="28">
        <f t="shared" si="116"/>
        <v>180</v>
      </c>
      <c r="Q189" s="28">
        <f t="shared" si="117"/>
        <v>187</v>
      </c>
      <c r="R189" s="28"/>
      <c r="S189" s="28"/>
      <c r="T189" s="29">
        <f t="shared" ref="T189:T191" si="140">V189/M189</f>
        <v>4706266.667</v>
      </c>
      <c r="U189" s="28"/>
      <c r="V189" s="30">
        <f t="shared" si="28"/>
        <v>70594000</v>
      </c>
      <c r="W189" s="30"/>
      <c r="X189" s="32">
        <f t="shared" ref="X189:X191" si="141">(max(AE189,AG189,AI189,AK189,AM189,AO189,AQ189,AS189,AU189,AW189,AY189,BA189,BC189)/min(AE189,AG189,AI189,AK189,AM189,AO189,AQ189,AS189,AU189,AW189,AY189,BA189,BC189))^(1/N189)-1</f>
        <v>3.896664492</v>
      </c>
      <c r="Y189" s="33">
        <f t="shared" ref="Y189:Y191" si="142">(max(AE189,AG189,AI189,AK189,AM189,AO189,AQ189,AS189,AU189,AW189,AY189,BA189,BC189)/min(AE189,AG189,AI189,AK189,AM189,AO189,AQ189,AS189,AU189,AW189,AY189,BA189,BC189))^(1/M189)-1</f>
        <v>0.3739789198</v>
      </c>
      <c r="Z189" s="692"/>
      <c r="AA189" s="665"/>
      <c r="AB189" s="123"/>
      <c r="AC189" s="123"/>
      <c r="AD189" s="124"/>
      <c r="AE189" s="125"/>
      <c r="AF189" s="126" t="str">
        <f>HYPERLINK("https://www.crunchbase.com/funding_round/land-insight-seed--9f7b42e9","Feb 12, 2016")</f>
        <v>Feb 12, 2016</v>
      </c>
      <c r="AG189" s="127">
        <v>494000.0</v>
      </c>
      <c r="AH189" s="123"/>
      <c r="AI189" s="128"/>
      <c r="AJ189" s="455" t="str">
        <f>HYPERLINK("https://www.crunchbase.com/funding_round/land-insight-series-a--841a0645","Oct 8, 2021")</f>
        <v>Oct 8, 2021</v>
      </c>
      <c r="AK189" s="127">
        <v>5.8E7</v>
      </c>
      <c r="AL189" s="124"/>
      <c r="AM189" s="125"/>
      <c r="AN189" s="124"/>
      <c r="AO189" s="125"/>
      <c r="AP189" s="124"/>
      <c r="AQ189" s="125"/>
      <c r="AR189" s="124"/>
      <c r="AS189" s="124"/>
      <c r="AT189" s="124"/>
      <c r="AU189" s="137"/>
      <c r="AV189" s="124"/>
      <c r="AW189" s="38"/>
      <c r="AX189" s="124"/>
      <c r="AY189" s="38"/>
      <c r="AZ189" s="171">
        <v>44964.0</v>
      </c>
      <c r="BA189" s="170">
        <v>1.21E7</v>
      </c>
      <c r="BB189" s="124"/>
      <c r="BC189" s="137"/>
      <c r="BD189" s="124"/>
      <c r="BE189" s="125"/>
      <c r="BF189" s="123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</row>
    <row r="190" ht="15.75" customHeight="1">
      <c r="A190" s="400" t="s">
        <v>1069</v>
      </c>
      <c r="B190" s="116" t="s">
        <v>1070</v>
      </c>
      <c r="C190" s="116" t="s">
        <v>1071</v>
      </c>
      <c r="D190" s="161" t="s">
        <v>1072</v>
      </c>
      <c r="E190" s="161" t="s">
        <v>1073</v>
      </c>
      <c r="F190" s="402" t="s">
        <v>1074</v>
      </c>
      <c r="G190" s="119" t="s">
        <v>1075</v>
      </c>
      <c r="H190" s="119" t="s">
        <v>64</v>
      </c>
      <c r="I190" s="25" t="s">
        <v>65</v>
      </c>
      <c r="J190" s="287"/>
      <c r="K190" s="25">
        <v>2.0</v>
      </c>
      <c r="L190" s="25">
        <v>2017.0</v>
      </c>
      <c r="M190" s="25">
        <f t="shared" si="138"/>
        <v>8</v>
      </c>
      <c r="N190" s="26">
        <f t="shared" si="139"/>
        <v>3</v>
      </c>
      <c r="O190" s="27" t="str">
        <f t="shared" si="3"/>
        <v>#N/A</v>
      </c>
      <c r="P190" s="28">
        <f t="shared" si="116"/>
        <v>119</v>
      </c>
      <c r="Q190" s="28">
        <f t="shared" si="117"/>
        <v>188</v>
      </c>
      <c r="R190" s="28"/>
      <c r="S190" s="28"/>
      <c r="T190" s="29">
        <f t="shared" si="140"/>
        <v>8762500</v>
      </c>
      <c r="U190" s="28"/>
      <c r="V190" s="30">
        <f t="shared" si="28"/>
        <v>70100000</v>
      </c>
      <c r="W190" s="30"/>
      <c r="X190" s="32">
        <f t="shared" si="141"/>
        <v>0.7793738926</v>
      </c>
      <c r="Y190" s="33">
        <f t="shared" si="142"/>
        <v>0.241224117</v>
      </c>
      <c r="Z190" s="692"/>
      <c r="AA190" s="665"/>
      <c r="AB190" s="123"/>
      <c r="AC190" s="123"/>
      <c r="AD190" s="322"/>
      <c r="AE190" s="323"/>
      <c r="AF190" s="868"/>
      <c r="AG190" s="323"/>
      <c r="AH190" s="326"/>
      <c r="AI190" s="327"/>
      <c r="AJ190" s="732" t="str">
        <f>HYPERLINK("https://www.crunchbase.com/organization/deliverr#section-funding-rounds"," Oct 6, 2018")</f>
        <v> Oct 6, 2018</v>
      </c>
      <c r="AK190" s="325">
        <v>7100000.0</v>
      </c>
      <c r="AL190" s="732" t="str">
        <f>HYPERLINK("https://www.axios.com/newsletters/axios-pro-rata-4dac4e8e-bb46-49f9-a2d8-bac6996bc8d5.html","9/24/2019")</f>
        <v>9/24/2019</v>
      </c>
      <c r="AM190" s="733">
        <v>2.3E7</v>
      </c>
      <c r="AN190" s="732" t="str">
        <f>HYPERLINK("https://www.crunchbase.com/funding_round/deliverr-series-c--c38d9af8"," 2/5/2020")</f>
        <v> 2/5/2020</v>
      </c>
      <c r="AO190" s="325">
        <v>4.0E7</v>
      </c>
      <c r="AP190" s="322"/>
      <c r="AQ190" s="323"/>
      <c r="AR190" s="322"/>
      <c r="AS190" s="322"/>
      <c r="AT190" s="322"/>
      <c r="AU190" s="335"/>
      <c r="AV190" s="322"/>
      <c r="AW190" s="38"/>
      <c r="AX190" s="322"/>
      <c r="AY190" s="38"/>
      <c r="AZ190" s="322"/>
      <c r="BA190" s="335"/>
      <c r="BB190" s="322"/>
      <c r="BC190" s="335"/>
      <c r="BD190" s="322"/>
      <c r="BE190" s="323"/>
      <c r="BF190" s="32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</row>
    <row r="191" ht="15.75" customHeight="1">
      <c r="A191" s="21" t="s">
        <v>1076</v>
      </c>
      <c r="B191" s="68"/>
      <c r="C191" s="69" t="s">
        <v>84</v>
      </c>
      <c r="D191" s="337"/>
      <c r="E191" s="236" t="s">
        <v>1077</v>
      </c>
      <c r="F191" s="118" t="s">
        <v>1078</v>
      </c>
      <c r="G191" s="186"/>
      <c r="H191" s="71" t="s">
        <v>1079</v>
      </c>
      <c r="I191" s="26" t="s">
        <v>1080</v>
      </c>
      <c r="J191" s="72"/>
      <c r="K191" s="26">
        <v>2.0</v>
      </c>
      <c r="L191" s="26">
        <v>2020.0</v>
      </c>
      <c r="M191" s="25">
        <f t="shared" si="138"/>
        <v>5</v>
      </c>
      <c r="N191" s="26">
        <f t="shared" si="139"/>
        <v>2</v>
      </c>
      <c r="O191" s="27" t="str">
        <f t="shared" si="3"/>
        <v>#N/A</v>
      </c>
      <c r="P191" s="28">
        <f t="shared" si="116"/>
        <v>78</v>
      </c>
      <c r="Q191" s="28">
        <f t="shared" si="117"/>
        <v>189</v>
      </c>
      <c r="R191" s="28"/>
      <c r="S191" s="28"/>
      <c r="T191" s="29">
        <f t="shared" si="140"/>
        <v>14000000</v>
      </c>
      <c r="U191" s="28"/>
      <c r="V191" s="30">
        <f t="shared" si="28"/>
        <v>70000000</v>
      </c>
      <c r="W191" s="30"/>
      <c r="X191" s="32">
        <f t="shared" si="141"/>
        <v>0.1547005384</v>
      </c>
      <c r="Y191" s="33">
        <f t="shared" si="142"/>
        <v>0.05922384105</v>
      </c>
      <c r="Z191" s="692"/>
      <c r="AA191" s="665"/>
      <c r="AB191" s="74"/>
      <c r="AC191" s="74"/>
      <c r="AD191" s="79"/>
      <c r="AE191" s="84"/>
      <c r="AF191" s="175" t="str">
        <f>HYPERLINK("https://www.crunchbase.com/funding_round/tomo-a2ad-seed--b2aea0da","Jun 30, 2021")</f>
        <v>Jun 30, 2021</v>
      </c>
      <c r="AG191" s="76">
        <v>3.0E7</v>
      </c>
      <c r="AH191" s="74"/>
      <c r="AI191" s="78"/>
      <c r="AJ191" s="181" t="str">
        <f>HYPERLINK("https://www.crunchbase.com/funding_round/tomo-a2ad-series-a--337f9ebe","Mar 21, 2022")</f>
        <v>Mar 21, 2022</v>
      </c>
      <c r="AK191" s="76">
        <v>4.0E7</v>
      </c>
      <c r="AL191" s="79"/>
      <c r="AM191" s="84"/>
      <c r="AN191" s="79"/>
      <c r="AO191" s="84"/>
      <c r="AP191" s="79"/>
      <c r="AQ191" s="84"/>
      <c r="AR191" s="79"/>
      <c r="AS191" s="79"/>
      <c r="AT191" s="79"/>
      <c r="AU191" s="80"/>
      <c r="AV191" s="79"/>
      <c r="AW191" s="38"/>
      <c r="AX191" s="79"/>
      <c r="AY191" s="38"/>
      <c r="AZ191" s="79"/>
      <c r="BA191" s="80"/>
      <c r="BB191" s="79"/>
      <c r="BC191" s="80"/>
      <c r="BD191" s="79"/>
      <c r="BE191" s="84"/>
      <c r="BF191" s="74"/>
      <c r="BG191" s="115"/>
      <c r="BH191" s="115"/>
      <c r="BI191" s="115"/>
      <c r="BJ191" s="115"/>
      <c r="BK191" s="115"/>
      <c r="BL191" s="115"/>
      <c r="BM191" s="115"/>
      <c r="BN191" s="115"/>
      <c r="BO191" s="115"/>
      <c r="BP191" s="115"/>
      <c r="BQ191" s="115"/>
      <c r="BR191" s="115"/>
      <c r="BS191" s="115"/>
      <c r="BT191" s="115"/>
      <c r="BU191" s="115"/>
      <c r="BV191" s="115"/>
      <c r="BW191" s="115"/>
      <c r="BX191" s="115"/>
      <c r="BY191" s="115"/>
      <c r="BZ191" s="115"/>
      <c r="CA191" s="115"/>
      <c r="CB191" s="115"/>
      <c r="CC191" s="115"/>
      <c r="CD191" s="115"/>
      <c r="CE191" s="115"/>
      <c r="CF191" s="115"/>
      <c r="CG191" s="115"/>
      <c r="CH191" s="115"/>
      <c r="CI191" s="115"/>
      <c r="CJ191" s="115"/>
      <c r="CK191" s="115"/>
      <c r="CL191" s="115"/>
      <c r="CM191" s="115"/>
      <c r="CN191" s="115"/>
      <c r="CO191" s="115"/>
      <c r="CP191" s="115"/>
    </row>
    <row r="192" ht="15.75" customHeight="1">
      <c r="A192" s="21" t="s">
        <v>1081</v>
      </c>
      <c r="B192" s="69"/>
      <c r="C192" s="69" t="s">
        <v>76</v>
      </c>
      <c r="D192" s="48"/>
      <c r="E192" s="192" t="s">
        <v>1082</v>
      </c>
      <c r="F192" s="173" t="s">
        <v>1083</v>
      </c>
      <c r="G192" s="493"/>
      <c r="H192" s="71" t="s">
        <v>128</v>
      </c>
      <c r="I192" s="26" t="s">
        <v>129</v>
      </c>
      <c r="J192" s="494"/>
      <c r="K192" s="26"/>
      <c r="L192" s="26">
        <v>2021.0</v>
      </c>
      <c r="M192" s="25"/>
      <c r="N192" s="26"/>
      <c r="O192" s="27" t="str">
        <f t="shared" si="3"/>
        <v>#N/A</v>
      </c>
      <c r="P192" s="28" t="str">
        <f t="shared" si="116"/>
        <v>#N/A</v>
      </c>
      <c r="Q192" s="28">
        <f t="shared" si="117"/>
        <v>189</v>
      </c>
      <c r="R192" s="28"/>
      <c r="S192" s="28"/>
      <c r="T192" s="28"/>
      <c r="U192" s="28"/>
      <c r="V192" s="30">
        <f t="shared" si="28"/>
        <v>70000000</v>
      </c>
      <c r="W192" s="30"/>
      <c r="X192" s="73"/>
      <c r="Y192" s="73"/>
      <c r="Z192" s="692"/>
      <c r="AA192" s="665"/>
      <c r="AB192" s="74"/>
      <c r="AC192" s="74"/>
      <c r="AD192" s="44"/>
      <c r="AE192" s="46"/>
      <c r="AF192" s="869"/>
      <c r="AG192" s="38"/>
      <c r="AH192" s="36"/>
      <c r="AI192" s="159"/>
      <c r="AJ192" s="804" t="str">
        <f>HYPERLINK("https://www.crunchbase.com/funding_round/flow-carbon-series-a--332ca33b","May 24, 2022")</f>
        <v>May 24, 2022</v>
      </c>
      <c r="AK192" s="38">
        <v>7.0E7</v>
      </c>
      <c r="AL192" s="44"/>
      <c r="AM192" s="46"/>
      <c r="AN192" s="44"/>
      <c r="AO192" s="46"/>
      <c r="AP192" s="44"/>
      <c r="AQ192" s="46"/>
      <c r="AR192" s="44"/>
      <c r="AS192" s="44"/>
      <c r="AT192" s="44"/>
      <c r="AU192" s="45"/>
      <c r="AV192" s="44"/>
      <c r="AW192" s="38"/>
      <c r="AX192" s="44"/>
      <c r="AY192" s="38"/>
      <c r="AZ192" s="44"/>
      <c r="BA192" s="45"/>
      <c r="BB192" s="44"/>
      <c r="BC192" s="45"/>
      <c r="BD192" s="44"/>
      <c r="BE192" s="46"/>
      <c r="BF192" s="36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</row>
    <row r="193" ht="15.75" customHeight="1">
      <c r="A193" s="21" t="s">
        <v>1084</v>
      </c>
      <c r="B193" s="68"/>
      <c r="C193" s="69" t="s">
        <v>132</v>
      </c>
      <c r="D193" s="184"/>
      <c r="E193" s="535" t="s">
        <v>1085</v>
      </c>
      <c r="F193" s="565" t="s">
        <v>1086</v>
      </c>
      <c r="G193" s="71"/>
      <c r="H193" s="71" t="s">
        <v>1087</v>
      </c>
      <c r="I193" s="26" t="s">
        <v>1088</v>
      </c>
      <c r="J193" s="72"/>
      <c r="K193" s="74"/>
      <c r="L193" s="26">
        <v>2019.0</v>
      </c>
      <c r="M193" s="123"/>
      <c r="N193" s="74"/>
      <c r="O193" s="27" t="str">
        <f t="shared" si="3"/>
        <v>#N/A</v>
      </c>
      <c r="P193" s="28" t="str">
        <f t="shared" si="116"/>
        <v>#N/A</v>
      </c>
      <c r="Q193" s="28">
        <f t="shared" si="117"/>
        <v>189</v>
      </c>
      <c r="R193" s="28"/>
      <c r="S193" s="28"/>
      <c r="T193" s="28"/>
      <c r="U193" s="28"/>
      <c r="V193" s="30">
        <f t="shared" si="28"/>
        <v>70000000</v>
      </c>
      <c r="W193" s="30"/>
      <c r="X193" s="32"/>
      <c r="Y193" s="32"/>
      <c r="Z193" s="692"/>
      <c r="AA193" s="665"/>
      <c r="AB193" s="74"/>
      <c r="AC193" s="74"/>
      <c r="AD193" s="79"/>
      <c r="AE193" s="84"/>
      <c r="AF193" s="338"/>
      <c r="AG193" s="84"/>
      <c r="AH193" s="77"/>
      <c r="AI193" s="78"/>
      <c r="AJ193" s="79"/>
      <c r="AK193" s="76"/>
      <c r="AL193" s="75">
        <v>44819.0</v>
      </c>
      <c r="AM193" s="76">
        <v>7.0E7</v>
      </c>
      <c r="AN193" s="79"/>
      <c r="AO193" s="84"/>
      <c r="AP193" s="79"/>
      <c r="AQ193" s="84"/>
      <c r="AR193" s="79"/>
      <c r="AS193" s="79"/>
      <c r="AT193" s="79"/>
      <c r="AU193" s="80"/>
      <c r="AV193" s="79"/>
      <c r="AW193" s="38"/>
      <c r="AX193" s="79"/>
      <c r="AY193" s="38"/>
      <c r="AZ193" s="79"/>
      <c r="BA193" s="80"/>
      <c r="BB193" s="79"/>
      <c r="BC193" s="80"/>
      <c r="BD193" s="79"/>
      <c r="BE193" s="84"/>
      <c r="BF193" s="74"/>
      <c r="BG193" s="115"/>
      <c r="BH193" s="115"/>
      <c r="BI193" s="115"/>
      <c r="BJ193" s="115"/>
      <c r="BK193" s="115"/>
      <c r="BL193" s="115"/>
      <c r="BM193" s="115"/>
      <c r="BN193" s="115"/>
      <c r="BO193" s="115"/>
      <c r="BP193" s="115"/>
      <c r="BQ193" s="115"/>
      <c r="BR193" s="115"/>
      <c r="BS193" s="115"/>
      <c r="BT193" s="115"/>
      <c r="BU193" s="115"/>
      <c r="BV193" s="115"/>
      <c r="BW193" s="115"/>
      <c r="BX193" s="115"/>
      <c r="BY193" s="115"/>
      <c r="BZ193" s="115"/>
      <c r="CA193" s="115"/>
      <c r="CB193" s="115"/>
      <c r="CC193" s="115"/>
      <c r="CD193" s="115"/>
      <c r="CE193" s="115"/>
      <c r="CF193" s="115"/>
      <c r="CG193" s="115"/>
      <c r="CH193" s="115"/>
      <c r="CI193" s="115"/>
      <c r="CJ193" s="115"/>
      <c r="CK193" s="115"/>
      <c r="CL193" s="115"/>
      <c r="CM193" s="115"/>
      <c r="CN193" s="115"/>
      <c r="CO193" s="115"/>
      <c r="CP193" s="115"/>
    </row>
    <row r="194" ht="15.75" customHeight="1">
      <c r="A194" s="47" t="s">
        <v>1089</v>
      </c>
      <c r="C194" s="48" t="s">
        <v>513</v>
      </c>
      <c r="D194" s="49" t="s">
        <v>1090</v>
      </c>
      <c r="E194" s="49" t="s">
        <v>1091</v>
      </c>
      <c r="F194" s="352" t="s">
        <v>1092</v>
      </c>
      <c r="G194" s="353"/>
      <c r="H194" s="53" t="s">
        <v>673</v>
      </c>
      <c r="I194" s="54" t="s">
        <v>674</v>
      </c>
      <c r="J194" s="55"/>
      <c r="K194" s="54">
        <v>2.0</v>
      </c>
      <c r="L194" s="56">
        <v>2019.0</v>
      </c>
      <c r="M194" s="55"/>
      <c r="N194" s="55"/>
      <c r="O194" s="27" t="str">
        <f t="shared" si="3"/>
        <v>#N/A</v>
      </c>
      <c r="P194" s="55"/>
      <c r="Q194" s="55"/>
      <c r="R194" s="55"/>
      <c r="S194" s="55"/>
      <c r="T194" s="55"/>
      <c r="U194" s="55"/>
      <c r="V194" s="30">
        <f t="shared" si="28"/>
        <v>69200000</v>
      </c>
      <c r="W194" s="30"/>
      <c r="X194" s="58"/>
      <c r="Y194" s="58"/>
      <c r="Z194" s="692"/>
      <c r="AA194" s="665"/>
      <c r="AB194" s="55"/>
      <c r="AC194" s="55"/>
      <c r="AD194" s="870"/>
      <c r="AE194" s="38"/>
      <c r="AF194" s="62">
        <v>44460.0</v>
      </c>
      <c r="AG194" s="38">
        <v>1.34E7</v>
      </c>
      <c r="AH194" s="55"/>
      <c r="AI194" s="38"/>
      <c r="AJ194" s="62">
        <v>44992.0</v>
      </c>
      <c r="AK194" s="38">
        <v>5.43E7</v>
      </c>
      <c r="AL194" s="55"/>
      <c r="AM194" s="38"/>
      <c r="AN194" s="55"/>
      <c r="AO194" s="38"/>
      <c r="AP194" s="356"/>
      <c r="AQ194" s="38"/>
      <c r="AR194" s="55"/>
      <c r="AS194" s="38"/>
      <c r="AT194" s="55"/>
      <c r="AU194" s="38"/>
      <c r="AV194" s="55"/>
      <c r="AW194" s="38"/>
      <c r="AX194" s="55"/>
      <c r="AY194" s="38"/>
      <c r="AZ194" s="62">
        <v>44949.0</v>
      </c>
      <c r="BA194" s="38">
        <v>1500000.0</v>
      </c>
      <c r="BB194" s="55"/>
      <c r="BC194" s="38"/>
      <c r="BD194" s="55"/>
      <c r="BE194" s="38"/>
      <c r="BF194" s="55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</row>
    <row r="195" ht="15.75" customHeight="1">
      <c r="A195" s="21" t="s">
        <v>1093</v>
      </c>
      <c r="B195" s="68"/>
      <c r="C195" s="69" t="s">
        <v>132</v>
      </c>
      <c r="D195" s="138" t="s">
        <v>1094</v>
      </c>
      <c r="E195" s="138" t="s">
        <v>1095</v>
      </c>
      <c r="F195" s="173" t="s">
        <v>1096</v>
      </c>
      <c r="G195" s="71" t="s">
        <v>1097</v>
      </c>
      <c r="H195" s="71" t="s">
        <v>1098</v>
      </c>
      <c r="I195" s="26" t="s">
        <v>65</v>
      </c>
      <c r="J195" s="72" t="s">
        <v>1099</v>
      </c>
      <c r="K195" s="26">
        <v>2.0</v>
      </c>
      <c r="L195" s="26">
        <v>2018.0</v>
      </c>
      <c r="M195" s="25">
        <f>year(now()) -L195</f>
        <v>7</v>
      </c>
      <c r="N195" s="26">
        <f>counta(AE195,AG195,AI195,AK195,AM195,AO195,AQ195,AS195,AU195,AW195,AY195,BA195,BC195)</f>
        <v>3</v>
      </c>
      <c r="O195" s="27" t="str">
        <f t="shared" si="3"/>
        <v>#N/A</v>
      </c>
      <c r="P195" s="28">
        <f t="shared" ref="P195:P209" si="143">RANK(T195,$T$2:$T$333)</f>
        <v>105</v>
      </c>
      <c r="Q195" s="28">
        <f t="shared" ref="Q195:Q209" si="144">rank(V195,$V$2:$V$344)</f>
        <v>193</v>
      </c>
      <c r="R195" s="28"/>
      <c r="S195" s="28"/>
      <c r="T195" s="29">
        <f>V195/M195</f>
        <v>9814285.714</v>
      </c>
      <c r="U195" s="28"/>
      <c r="V195" s="30">
        <f t="shared" si="28"/>
        <v>68700000</v>
      </c>
      <c r="W195" s="30"/>
      <c r="X195" s="32">
        <f>(max(AE195,AG195,AI195,AK195,AM195,AO195,AQ195,AS195,AU195,AW195,AY195,BA195,BC195)/min(AE195,AG195,AI195,AK195,AM195,AO195,AQ195,AS195,AU195,AW195,AY195,BA195,BC195))^(1/N195)-1</f>
        <v>0.8420157493</v>
      </c>
      <c r="Y195" s="33">
        <f>(max(AE195,AG195,AI195,AK195,AM195,AO195,AQ195,AS195,AU195,AW195,AY195,BA195,BC195)/min(AE195,AG195,AI195,AK195,AM195,AO195,AQ195,AS195,AU195,AW195,AY195,BA195,BC195))^(1/M195)-1</f>
        <v>0.2992632226</v>
      </c>
      <c r="Z195" s="692"/>
      <c r="AA195" s="665"/>
      <c r="AB195" s="74"/>
      <c r="AC195" s="74"/>
      <c r="AD195" s="44"/>
      <c r="AE195" s="46"/>
      <c r="AF195" s="158" t="str">
        <f>HYPERLINK("https://www.crunchbase.com/funding_round/dusty-robotics-seed--e9ef5e9e","Nov 26, 2019")</f>
        <v>Nov 26, 2019</v>
      </c>
      <c r="AG195" s="38">
        <v>7200000.0</v>
      </c>
      <c r="AH195" s="36"/>
      <c r="AI195" s="159"/>
      <c r="AJ195" s="228" t="str">
        <f>HYPERLINK("https://www.crunchbase.com/funding_round/dusty-robotics-series-a--b99208c3","Jun 15, 2021")</f>
        <v>Jun 15, 2021</v>
      </c>
      <c r="AK195" s="38">
        <v>1.65E7</v>
      </c>
      <c r="AL195" s="43" t="str">
        <f>HYPERLINK("https://www.crunchbase.com/funding_round/dusty-robotics-series-b--f0ad0fc0","May 10, 2022")</f>
        <v>May 10, 2022</v>
      </c>
      <c r="AM195" s="38">
        <v>4.5E7</v>
      </c>
      <c r="AN195" s="44"/>
      <c r="AO195" s="46"/>
      <c r="AP195" s="44"/>
      <c r="AQ195" s="46"/>
      <c r="AR195" s="44"/>
      <c r="AS195" s="44"/>
      <c r="AT195" s="44"/>
      <c r="AU195" s="45"/>
      <c r="AV195" s="44"/>
      <c r="AW195" s="38"/>
      <c r="AX195" s="44"/>
      <c r="AY195" s="38"/>
      <c r="AZ195" s="44"/>
      <c r="BA195" s="45"/>
      <c r="BB195" s="44"/>
      <c r="BC195" s="45"/>
      <c r="BD195" s="44"/>
      <c r="BE195" s="46"/>
      <c r="BF195" s="36"/>
      <c r="BG195" s="115"/>
      <c r="BH195" s="115"/>
      <c r="BI195" s="115"/>
      <c r="BJ195" s="115"/>
      <c r="BK195" s="115"/>
      <c r="BL195" s="115"/>
      <c r="BM195" s="115"/>
      <c r="BN195" s="115"/>
      <c r="BO195" s="115"/>
      <c r="BP195" s="115"/>
      <c r="BQ195" s="115"/>
      <c r="BR195" s="115"/>
      <c r="BS195" s="115"/>
      <c r="BT195" s="115"/>
      <c r="BU195" s="115"/>
      <c r="BV195" s="115"/>
      <c r="BW195" s="115"/>
      <c r="BX195" s="115"/>
      <c r="BY195" s="115"/>
      <c r="BZ195" s="115"/>
      <c r="CA195" s="115"/>
      <c r="CB195" s="115"/>
      <c r="CC195" s="115"/>
      <c r="CD195" s="115"/>
      <c r="CE195" s="115"/>
      <c r="CF195" s="115"/>
      <c r="CG195" s="115"/>
      <c r="CH195" s="115"/>
      <c r="CI195" s="115"/>
      <c r="CJ195" s="115"/>
      <c r="CK195" s="115"/>
      <c r="CL195" s="115"/>
      <c r="CM195" s="115"/>
      <c r="CN195" s="115"/>
      <c r="CO195" s="115"/>
      <c r="CP195" s="115"/>
    </row>
    <row r="196" ht="15.75" customHeight="1">
      <c r="A196" s="245" t="s">
        <v>1100</v>
      </c>
      <c r="B196" s="16"/>
      <c r="C196" s="17" t="s">
        <v>132</v>
      </c>
      <c r="D196" s="18" t="s">
        <v>1101</v>
      </c>
      <c r="E196" s="18" t="s">
        <v>1102</v>
      </c>
      <c r="F196" s="871" t="s">
        <v>1103</v>
      </c>
      <c r="G196" s="317"/>
      <c r="H196" s="22" t="s">
        <v>1104</v>
      </c>
      <c r="I196" s="23" t="s">
        <v>195</v>
      </c>
      <c r="J196" s="237"/>
      <c r="K196" s="23">
        <v>1.0</v>
      </c>
      <c r="L196" s="17">
        <v>2017.0</v>
      </c>
      <c r="M196" s="222"/>
      <c r="N196" s="23"/>
      <c r="O196" s="27" t="str">
        <f t="shared" si="3"/>
        <v>#N/A</v>
      </c>
      <c r="P196" s="28" t="str">
        <f t="shared" si="143"/>
        <v>#N/A</v>
      </c>
      <c r="Q196" s="28">
        <f t="shared" si="144"/>
        <v>194</v>
      </c>
      <c r="R196" s="464"/>
      <c r="S196" s="464"/>
      <c r="T196" s="464"/>
      <c r="U196" s="464"/>
      <c r="V196" s="30">
        <f t="shared" si="28"/>
        <v>68615000</v>
      </c>
      <c r="W196" s="30"/>
      <c r="X196" s="33"/>
      <c r="Y196" s="33"/>
      <c r="Z196" s="692"/>
      <c r="AA196" s="665"/>
      <c r="AB196" s="36"/>
      <c r="AC196" s="36"/>
      <c r="AD196" s="473"/>
      <c r="AE196" s="46"/>
      <c r="AF196" s="872"/>
      <c r="AG196" s="46"/>
      <c r="AH196" s="36"/>
      <c r="AI196" s="159"/>
      <c r="AJ196" s="473"/>
      <c r="AK196" s="46"/>
      <c r="AL196" s="43" t="str">
        <f>HYPERLINK("https://www.crunchbase.com/funding_round/clikalia-series-b--4225e08d","Dec 16, 2021")</f>
        <v>Dec 16, 2021</v>
      </c>
      <c r="AM196" s="38">
        <v>6.8615E7</v>
      </c>
      <c r="AN196" s="44"/>
      <c r="AO196" s="46"/>
      <c r="AP196" s="44"/>
      <c r="AQ196" s="46"/>
      <c r="AR196" s="44"/>
      <c r="AS196" s="44"/>
      <c r="AT196" s="44"/>
      <c r="AU196" s="45"/>
      <c r="AV196" s="44"/>
      <c r="AW196" s="38"/>
      <c r="AX196" s="44"/>
      <c r="AY196" s="38"/>
      <c r="AZ196" s="44"/>
      <c r="BA196" s="45"/>
      <c r="BB196" s="44"/>
      <c r="BC196" s="45"/>
      <c r="BD196" s="44"/>
      <c r="BE196" s="46"/>
      <c r="BF196" s="36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</row>
    <row r="197" ht="15.75" customHeight="1">
      <c r="A197" s="442" t="s">
        <v>1105</v>
      </c>
      <c r="B197" s="68" t="s">
        <v>528</v>
      </c>
      <c r="C197" s="68" t="s">
        <v>59</v>
      </c>
      <c r="D197" s="231" t="s">
        <v>1106</v>
      </c>
      <c r="E197" s="231" t="s">
        <v>1107</v>
      </c>
      <c r="F197" s="184" t="s">
        <v>1108</v>
      </c>
      <c r="G197" s="186"/>
      <c r="H197" s="186" t="s">
        <v>1109</v>
      </c>
      <c r="I197" s="74" t="s">
        <v>959</v>
      </c>
      <c r="J197" s="155"/>
      <c r="K197" s="74">
        <v>3.0</v>
      </c>
      <c r="L197" s="69">
        <v>2013.0</v>
      </c>
      <c r="M197" s="25">
        <f>year(now()) -L197</f>
        <v>12</v>
      </c>
      <c r="N197" s="26">
        <f>counta(AE197,AG197,AI197,AK197,AM197,AO197,AQ197,AS197,AU197,AW197,AY197,BA197,BC197)</f>
        <v>5</v>
      </c>
      <c r="O197" s="27" t="str">
        <f t="shared" si="3"/>
        <v>#N/A</v>
      </c>
      <c r="P197" s="28">
        <f t="shared" si="143"/>
        <v>162</v>
      </c>
      <c r="Q197" s="28">
        <f t="shared" si="144"/>
        <v>195</v>
      </c>
      <c r="R197" s="28"/>
      <c r="S197" s="28"/>
      <c r="T197" s="29">
        <f>V197/M197</f>
        <v>5654166.667</v>
      </c>
      <c r="U197" s="28"/>
      <c r="V197" s="30">
        <f t="shared" si="28"/>
        <v>67850000</v>
      </c>
      <c r="W197" s="30"/>
      <c r="X197" s="32">
        <f>(max(AE197,AG197,AI197,AK197,AM197,AO197,AQ197,AS197,AU197,AW197,AY197,BA197,BC197)/min(AE197,AG197,AI197,AK197,AM197,AO197,AQ197,AS197,AU197,AW197,AY197,BA197,BC197))^(1/N197)-1</f>
        <v>0.9981447092</v>
      </c>
      <c r="Y197" s="33">
        <f>(max(AE197,AG197,AI197,AK197,AM197,AO197,AQ197,AS197,AU197,AW197,AY197,BA197,BC197)/min(AE197,AG197,AI197,AK197,AM197,AO197,AQ197,AS197,AU197,AW197,AY197,BA197,BC197))^(1/M197)-1</f>
        <v>0.3343237737</v>
      </c>
      <c r="Z197" s="692"/>
      <c r="AA197" s="665"/>
      <c r="AB197" s="74"/>
      <c r="AC197" s="74"/>
      <c r="AD197" s="473"/>
      <c r="AE197" s="46"/>
      <c r="AF197" s="873" t="str">
        <f>HYPERLINK("https://www.crunchbase.com/funding_round/crowdstreet-seed--d6194b1b","Sep 23, 2014")</f>
        <v>Sep 23, 2014</v>
      </c>
      <c r="AG197" s="46">
        <v>1350000.0</v>
      </c>
      <c r="AH197" s="36"/>
      <c r="AI197" s="159"/>
      <c r="AJ197" s="755" t="str">
        <f>HYPERLINK("https://www.crunchbase.com/funding_round/crowdstreet-series-a--0f17663b","Mar 9, 2016")</f>
        <v>Mar 9, 2016</v>
      </c>
      <c r="AK197" s="46">
        <v>3500000.0</v>
      </c>
      <c r="AL197" s="43" t="str">
        <f>HYPERLINK("https://www.crunchbase.com/funding_round/crowdstreet-series-b--1d9722f9","Jul 31, 2018")</f>
        <v>Jul 31, 2018</v>
      </c>
      <c r="AM197" s="46">
        <v>8000000.0</v>
      </c>
      <c r="AN197" s="43" t="str">
        <f>HYPERLINK("https://www.crunchbase.com/funding_round/crowdstreet-series-c--74ba69c0","Nov 6, 2019")</f>
        <v>Nov 6, 2019</v>
      </c>
      <c r="AO197" s="38">
        <v>1.2E7</v>
      </c>
      <c r="AP197" s="75">
        <v>44844.0</v>
      </c>
      <c r="AQ197" s="38">
        <v>4.3E7</v>
      </c>
      <c r="AR197" s="44"/>
      <c r="AS197" s="44"/>
      <c r="AT197" s="44"/>
      <c r="AU197" s="45"/>
      <c r="AV197" s="44"/>
      <c r="AW197" s="38"/>
      <c r="AX197" s="44"/>
      <c r="AY197" s="38"/>
      <c r="AZ197" s="44"/>
      <c r="BA197" s="45"/>
      <c r="BB197" s="44"/>
      <c r="BC197" s="45"/>
      <c r="BD197" s="44"/>
      <c r="BE197" s="46"/>
      <c r="BF197" s="3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</row>
    <row r="198" ht="15.75" customHeight="1">
      <c r="A198" s="21" t="s">
        <v>1110</v>
      </c>
      <c r="B198" s="68"/>
      <c r="C198" s="69" t="s">
        <v>84</v>
      </c>
      <c r="D198" s="192" t="s">
        <v>1111</v>
      </c>
      <c r="E198" s="535" t="s">
        <v>1112</v>
      </c>
      <c r="F198" s="138" t="s">
        <v>1113</v>
      </c>
      <c r="G198" s="186"/>
      <c r="H198" s="71" t="s">
        <v>1114</v>
      </c>
      <c r="I198" s="746" t="s">
        <v>65</v>
      </c>
      <c r="J198" s="155"/>
      <c r="K198" s="26">
        <v>4.0</v>
      </c>
      <c r="L198" s="69">
        <v>2014.0</v>
      </c>
      <c r="M198" s="25"/>
      <c r="N198" s="26"/>
      <c r="O198" s="27" t="str">
        <f t="shared" si="3"/>
        <v>#N/A</v>
      </c>
      <c r="P198" s="28" t="str">
        <f t="shared" si="143"/>
        <v>#N/A</v>
      </c>
      <c r="Q198" s="28">
        <f t="shared" si="144"/>
        <v>196</v>
      </c>
      <c r="R198" s="273"/>
      <c r="S198" s="273"/>
      <c r="T198" s="273"/>
      <c r="U198" s="273"/>
      <c r="V198" s="30">
        <f t="shared" si="28"/>
        <v>67450000</v>
      </c>
      <c r="W198" s="30"/>
      <c r="X198" s="73"/>
      <c r="Y198" s="73"/>
      <c r="Z198" s="692"/>
      <c r="AA198" s="665"/>
      <c r="AB198" s="74"/>
      <c r="AC198" s="74"/>
      <c r="AD198" s="874" t="str">
        <f>HYPERLINK("https://www.crunchbase.com/funding_round/onerent-pre-seed--0dba63fc","Dec 1, 2014")</f>
        <v>Dec 1, 2014</v>
      </c>
      <c r="AE198" s="76">
        <v>450000.0</v>
      </c>
      <c r="AF198" s="875" t="str">
        <f>HYPERLINK("https://www.crunchbase.com/funding_round/onerent-seed--d54c87f5","Mar 24, 2016")</f>
        <v>Mar 24, 2016</v>
      </c>
      <c r="AG198" s="76">
        <v>4000000.0</v>
      </c>
      <c r="AH198" s="434"/>
      <c r="AI198" s="435"/>
      <c r="AJ198" s="876" t="str">
        <f>HYPERLINK("https://www.crunchbase.com/funding_round/onerent-series-a--225ba130","Feb 5, 2019")</f>
        <v>Feb 5, 2019</v>
      </c>
      <c r="AK198" s="427">
        <v>1.0E7</v>
      </c>
      <c r="AL198" s="426" t="str">
        <f>HYPERLINK("https://www.crunchbase.com/funding_round/onerent-series-b--a03f2546","Mar 28, 2022")</f>
        <v>Mar 28, 2022</v>
      </c>
      <c r="AM198" s="76">
        <v>5.3E7</v>
      </c>
      <c r="AN198" s="279"/>
      <c r="AO198" s="427"/>
      <c r="AP198" s="79"/>
      <c r="AQ198" s="76"/>
      <c r="AR198" s="79"/>
      <c r="AS198" s="79"/>
      <c r="AT198" s="79"/>
      <c r="AU198" s="80"/>
      <c r="AV198" s="79"/>
      <c r="AW198" s="38"/>
      <c r="AX198" s="79"/>
      <c r="AY198" s="38"/>
      <c r="AZ198" s="79"/>
      <c r="BA198" s="80"/>
      <c r="BB198" s="79"/>
      <c r="BC198" s="80"/>
      <c r="BD198" s="79"/>
      <c r="BE198" s="84"/>
      <c r="BF198" s="74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</row>
    <row r="199" ht="15.75" customHeight="1">
      <c r="A199" s="442" t="s">
        <v>1115</v>
      </c>
      <c r="B199" s="68" t="s">
        <v>944</v>
      </c>
      <c r="C199" s="69" t="s">
        <v>84</v>
      </c>
      <c r="D199" s="184" t="s">
        <v>1116</v>
      </c>
      <c r="E199" s="184" t="s">
        <v>1117</v>
      </c>
      <c r="F199" s="184" t="s">
        <v>1118</v>
      </c>
      <c r="G199" s="186" t="s">
        <v>1119</v>
      </c>
      <c r="H199" s="186" t="s">
        <v>120</v>
      </c>
      <c r="I199" s="26" t="s">
        <v>65</v>
      </c>
      <c r="J199" s="514">
        <v>94612.0</v>
      </c>
      <c r="K199" s="74">
        <v>2.0</v>
      </c>
      <c r="L199" s="26">
        <v>2016.0</v>
      </c>
      <c r="M199" s="25">
        <f t="shared" ref="M199:M200" si="145">year(now()) -L199</f>
        <v>9</v>
      </c>
      <c r="N199" s="26">
        <f t="shared" ref="N199:N200" si="146">counta(AE199,AG199,AI199,AK199,AM199,AO199,AQ199,AS199,AU199,AW199,AY199,BA199,BC199)</f>
        <v>3</v>
      </c>
      <c r="O199" s="27" t="str">
        <f t="shared" si="3"/>
        <v>#N/A</v>
      </c>
      <c r="P199" s="28">
        <f t="shared" si="143"/>
        <v>133</v>
      </c>
      <c r="Q199" s="28">
        <f t="shared" si="144"/>
        <v>198</v>
      </c>
      <c r="R199" s="28"/>
      <c r="S199" s="28"/>
      <c r="T199" s="29">
        <f t="shared" ref="T199:T200" si="147">V199/M199</f>
        <v>7444444.444</v>
      </c>
      <c r="U199" s="28"/>
      <c r="V199" s="30">
        <f t="shared" si="28"/>
        <v>67000000</v>
      </c>
      <c r="W199" s="30"/>
      <c r="X199" s="32">
        <f t="shared" ref="X199:X200" si="148">(max(AE199,AG199,AI199,AK199,AM199,AO199,AQ199,AS199,AU199,AW199,AY199,BA199,BC199)/min(AE199,AG199,AI199,AK199,AM199,AO199,AQ199,AS199,AU199,AW199,AY199,BA199,BC199))^(1/N199)-1</f>
        <v>0.9613802704</v>
      </c>
      <c r="Y199" s="33">
        <f t="shared" ref="Y199:Y200" si="149">(max(AE199,AG199,AI199,AK199,AM199,AO199,AQ199,AS199,AU199,AW199,AY199,BA199,BC199)/min(AE199,AG199,AI199,AK199,AM199,AO199,AQ199,AS199,AU199,AW199,AY199,BA199,BC199))^(1/M199)-1</f>
        <v>0.2517586489</v>
      </c>
      <c r="Z199" s="692"/>
      <c r="AA199" s="665"/>
      <c r="AB199" s="74"/>
      <c r="AC199" s="74"/>
      <c r="AD199" s="81"/>
      <c r="AE199" s="84"/>
      <c r="AF199" s="792"/>
      <c r="AG199" s="84"/>
      <c r="AH199" s="74"/>
      <c r="AI199" s="78"/>
      <c r="AJ199" s="876" t="str">
        <f>HYPERLINK("https://www.crunchbase.com/funding_round/mynd-series-a--0bb88c4f"," Oct 25, 2016")</f>
        <v> Oct 25, 2016</v>
      </c>
      <c r="AK199" s="76">
        <v>5500000.0</v>
      </c>
      <c r="AL199" s="181" t="str">
        <f>HYPERLINK("https://www.crunchbase.com/funding_round/mynd-series-b--54bf8593"," May 16, 2018        
")</f>
        <v> May 16, 2018        
</v>
      </c>
      <c r="AM199" s="76">
        <v>2.0E7</v>
      </c>
      <c r="AN199" s="426" t="str">
        <f>HYPERLINK("https://www.crunchbase.com/funding_round/mynd-series-c--3840d49e"," 6/23/2020")</f>
        <v> 6/23/2020</v>
      </c>
      <c r="AO199" s="877">
        <v>4.15E7</v>
      </c>
      <c r="AP199" s="55"/>
      <c r="AQ199" s="84"/>
      <c r="AR199" s="79"/>
      <c r="AS199" s="79"/>
      <c r="AT199" s="79"/>
      <c r="AU199" s="80"/>
      <c r="AV199" s="79"/>
      <c r="AW199" s="38"/>
      <c r="AX199" s="79"/>
      <c r="AY199" s="38"/>
      <c r="AZ199" s="79"/>
      <c r="BA199" s="80"/>
      <c r="BB199" s="79"/>
      <c r="BC199" s="80"/>
      <c r="BD199" s="79"/>
      <c r="BE199" s="84"/>
      <c r="BF199" s="74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</row>
    <row r="200" ht="15.75" customHeight="1">
      <c r="A200" s="21" t="s">
        <v>1120</v>
      </c>
      <c r="B200" s="68"/>
      <c r="C200" s="69" t="s">
        <v>84</v>
      </c>
      <c r="D200" s="192" t="s">
        <v>1121</v>
      </c>
      <c r="E200" s="200" t="s">
        <v>1122</v>
      </c>
      <c r="F200" s="173" t="s">
        <v>1123</v>
      </c>
      <c r="G200" s="71" t="s">
        <v>1124</v>
      </c>
      <c r="H200" s="71" t="s">
        <v>1125</v>
      </c>
      <c r="I200" s="26" t="s">
        <v>666</v>
      </c>
      <c r="J200" s="72" t="s">
        <v>1126</v>
      </c>
      <c r="K200" s="26">
        <v>3.0</v>
      </c>
      <c r="L200" s="26">
        <v>2017.0</v>
      </c>
      <c r="M200" s="25">
        <f t="shared" si="145"/>
        <v>8</v>
      </c>
      <c r="N200" s="26">
        <f t="shared" si="146"/>
        <v>3</v>
      </c>
      <c r="O200" s="27" t="str">
        <f t="shared" si="3"/>
        <v>#N/A</v>
      </c>
      <c r="P200" s="28">
        <f t="shared" si="143"/>
        <v>123</v>
      </c>
      <c r="Q200" s="28">
        <f t="shared" si="144"/>
        <v>199</v>
      </c>
      <c r="R200" s="28"/>
      <c r="S200" s="28"/>
      <c r="T200" s="29">
        <f t="shared" si="147"/>
        <v>8212500</v>
      </c>
      <c r="U200" s="28"/>
      <c r="V200" s="30">
        <f t="shared" si="28"/>
        <v>65700000</v>
      </c>
      <c r="W200" s="30"/>
      <c r="X200" s="32">
        <f t="shared" si="148"/>
        <v>1.697557445</v>
      </c>
      <c r="Y200" s="33">
        <f t="shared" si="149"/>
        <v>0.4508216013</v>
      </c>
      <c r="Z200" s="692"/>
      <c r="AA200" s="665"/>
      <c r="AB200" s="74"/>
      <c r="AC200" s="74"/>
      <c r="AD200" s="79"/>
      <c r="AE200" s="84"/>
      <c r="AF200" s="856" t="str">
        <f>HYPERLINK("https://www.crunchbase.com/funding_round/neiybor-seed--c080e518","Mar 28, 2018")</f>
        <v>Mar 28, 2018</v>
      </c>
      <c r="AG200" s="76">
        <v>2700000.0</v>
      </c>
      <c r="AH200" s="434"/>
      <c r="AI200" s="435"/>
      <c r="AJ200" s="426" t="str">
        <f>HYPERLINK("https://www.crunchbase.com/funding_round/neiybor-series-a--a3504f30","Jan 30, 2020")</f>
        <v>Jan 30, 2020</v>
      </c>
      <c r="AK200" s="435">
        <v>1.0E7</v>
      </c>
      <c r="AL200" s="426" t="str">
        <f>HYPERLINK("https://www.crunchbase.com/funding_round/neighbor-series-b--7e38d02b","Mar 24, 2021")</f>
        <v>Mar 24, 2021</v>
      </c>
      <c r="AM200" s="76">
        <v>5.3E7</v>
      </c>
      <c r="AN200" s="279"/>
      <c r="AO200" s="76"/>
      <c r="AP200" s="79"/>
      <c r="AQ200" s="84"/>
      <c r="AR200" s="79"/>
      <c r="AS200" s="79"/>
      <c r="AT200" s="79"/>
      <c r="AU200" s="80"/>
      <c r="AV200" s="79"/>
      <c r="AW200" s="38"/>
      <c r="AX200" s="79"/>
      <c r="AY200" s="38"/>
      <c r="AZ200" s="79"/>
      <c r="BA200" s="80"/>
      <c r="BB200" s="79"/>
      <c r="BC200" s="80"/>
      <c r="BD200" s="79"/>
      <c r="BE200" s="84"/>
      <c r="BF200" s="74"/>
      <c r="BG200" s="115"/>
      <c r="BH200" s="115"/>
      <c r="BI200" s="115"/>
      <c r="BJ200" s="115"/>
      <c r="BK200" s="115"/>
      <c r="BL200" s="115"/>
      <c r="BM200" s="115"/>
      <c r="BN200" s="115"/>
      <c r="BO200" s="115"/>
      <c r="BP200" s="115"/>
      <c r="BQ200" s="115"/>
      <c r="BR200" s="115"/>
      <c r="BS200" s="115"/>
      <c r="BT200" s="115"/>
      <c r="BU200" s="115"/>
      <c r="BV200" s="115"/>
      <c r="BW200" s="115"/>
      <c r="BX200" s="115"/>
      <c r="BY200" s="115"/>
      <c r="BZ200" s="115"/>
      <c r="CA200" s="115"/>
      <c r="CB200" s="115"/>
      <c r="CC200" s="115"/>
      <c r="CD200" s="115"/>
      <c r="CE200" s="115"/>
      <c r="CF200" s="115"/>
      <c r="CG200" s="115"/>
      <c r="CH200" s="115"/>
      <c r="CI200" s="115"/>
      <c r="CJ200" s="115"/>
      <c r="CK200" s="115"/>
      <c r="CL200" s="115"/>
      <c r="CM200" s="115"/>
      <c r="CN200" s="115"/>
      <c r="CO200" s="115"/>
      <c r="CP200" s="115"/>
    </row>
    <row r="201" ht="15.75" customHeight="1">
      <c r="A201" s="21" t="s">
        <v>1127</v>
      </c>
      <c r="B201" s="16"/>
      <c r="C201" s="17" t="s">
        <v>267</v>
      </c>
      <c r="D201" s="48"/>
      <c r="E201" s="138" t="s">
        <v>1128</v>
      </c>
      <c r="F201" s="177" t="s">
        <v>1129</v>
      </c>
      <c r="G201" s="317"/>
      <c r="H201" s="22" t="s">
        <v>1130</v>
      </c>
      <c r="I201" s="23" t="s">
        <v>263</v>
      </c>
      <c r="J201" s="237"/>
      <c r="K201" s="23">
        <v>2.0</v>
      </c>
      <c r="L201" s="23">
        <v>2012.0</v>
      </c>
      <c r="M201" s="222"/>
      <c r="N201" s="23"/>
      <c r="O201" s="27" t="str">
        <f t="shared" si="3"/>
        <v>#N/A</v>
      </c>
      <c r="P201" s="28" t="str">
        <f t="shared" si="143"/>
        <v>#N/A</v>
      </c>
      <c r="Q201" s="28">
        <f t="shared" si="144"/>
        <v>200</v>
      </c>
      <c r="R201" s="464"/>
      <c r="S201" s="464"/>
      <c r="T201" s="464"/>
      <c r="U201" s="464"/>
      <c r="V201" s="30">
        <f t="shared" si="28"/>
        <v>65500000</v>
      </c>
      <c r="W201" s="30"/>
      <c r="X201" s="33"/>
      <c r="Y201" s="33"/>
      <c r="Z201" s="692"/>
      <c r="AA201" s="665"/>
      <c r="AB201" s="36"/>
      <c r="AC201" s="36"/>
      <c r="AD201" s="44"/>
      <c r="AE201" s="46"/>
      <c r="AF201" s="158" t="str">
        <f>HYPERLINK("https://www.crunchbase.com/funding_round/biomason-seed--003687f1","Sep 9, 2013")</f>
        <v>Sep 9, 2013</v>
      </c>
      <c r="AG201" s="38">
        <v>500000.0</v>
      </c>
      <c r="AH201" s="36"/>
      <c r="AI201" s="159"/>
      <c r="AJ201" s="44"/>
      <c r="AK201" s="46"/>
      <c r="AL201" s="44"/>
      <c r="AM201" s="46"/>
      <c r="AN201" s="43" t="str">
        <f>HYPERLINK("https://www.crunchbase.com/funding_round/biomason-series-c--1493b128","Feb 28, 2022")</f>
        <v>Feb 28, 2022</v>
      </c>
      <c r="AO201" s="38">
        <v>6.5E7</v>
      </c>
      <c r="AP201" s="44"/>
      <c r="AQ201" s="46"/>
      <c r="AR201" s="44"/>
      <c r="AS201" s="44"/>
      <c r="AT201" s="44"/>
      <c r="AU201" s="45"/>
      <c r="AV201" s="44"/>
      <c r="AW201" s="38"/>
      <c r="AX201" s="44"/>
      <c r="AY201" s="38"/>
      <c r="AZ201" s="44"/>
      <c r="BA201" s="45"/>
      <c r="BB201" s="44"/>
      <c r="BC201" s="45"/>
      <c r="BD201" s="44"/>
      <c r="BE201" s="46"/>
      <c r="BF201" s="36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</row>
    <row r="202" ht="15.75" customHeight="1">
      <c r="A202" s="21" t="s">
        <v>1131</v>
      </c>
      <c r="B202" s="68"/>
      <c r="C202" s="69" t="s">
        <v>84</v>
      </c>
      <c r="D202" s="337"/>
      <c r="E202" s="138" t="s">
        <v>1132</v>
      </c>
      <c r="F202" s="173" t="s">
        <v>1133</v>
      </c>
      <c r="G202" s="878"/>
      <c r="H202" s="71" t="s">
        <v>64</v>
      </c>
      <c r="I202" s="26" t="s">
        <v>65</v>
      </c>
      <c r="J202" s="155"/>
      <c r="K202" s="26">
        <v>2.0</v>
      </c>
      <c r="L202" s="26">
        <v>2013.0</v>
      </c>
      <c r="M202" s="25"/>
      <c r="N202" s="26"/>
      <c r="O202" s="27" t="str">
        <f t="shared" si="3"/>
        <v>#N/A</v>
      </c>
      <c r="P202" s="28" t="str">
        <f t="shared" si="143"/>
        <v>#N/A</v>
      </c>
      <c r="Q202" s="28">
        <f t="shared" si="144"/>
        <v>200</v>
      </c>
      <c r="R202" s="273"/>
      <c r="S202" s="273"/>
      <c r="T202" s="273"/>
      <c r="U202" s="273"/>
      <c r="V202" s="30">
        <f t="shared" si="28"/>
        <v>65500000</v>
      </c>
      <c r="W202" s="30"/>
      <c r="X202" s="73"/>
      <c r="Y202" s="73"/>
      <c r="Z202" s="692"/>
      <c r="AA202" s="665"/>
      <c r="AB202" s="74"/>
      <c r="AC202" s="74"/>
      <c r="AD202" s="79"/>
      <c r="AE202" s="84"/>
      <c r="AF202" s="338"/>
      <c r="AG202" s="84"/>
      <c r="AH202" s="74"/>
      <c r="AI202" s="78"/>
      <c r="AJ202" s="79"/>
      <c r="AK202" s="84"/>
      <c r="AL202" s="181" t="str">
        <f>HYPERLINK("https://www.crunchbase.com/funding_round/ohmconnect-series-b--e84898bd","Apr 17, 2018")</f>
        <v>Apr 17, 2018</v>
      </c>
      <c r="AM202" s="76">
        <v>8500000.0</v>
      </c>
      <c r="AN202" s="181" t="str">
        <f>HYPERLINK("https://www.crunchbase.com/funding_round/ohmconnect-series-c--5f6d7221","Dec 7, 2020")</f>
        <v>Dec 7, 2020</v>
      </c>
      <c r="AO202" s="76">
        <v>2000000.0</v>
      </c>
      <c r="AP202" s="181" t="str">
        <f>HYPERLINK("https://www.crunchbase.com/funding_round/ohmconnect-series-d--64e42bfc","Jun 9, 2022")</f>
        <v>Jun 9, 2022</v>
      </c>
      <c r="AQ202" s="76">
        <v>5.5E7</v>
      </c>
      <c r="AR202" s="79"/>
      <c r="AS202" s="79"/>
      <c r="AT202" s="79"/>
      <c r="AU202" s="80"/>
      <c r="AV202" s="79"/>
      <c r="AW202" s="38"/>
      <c r="AX202" s="79"/>
      <c r="AY202" s="38"/>
      <c r="AZ202" s="79"/>
      <c r="BA202" s="80"/>
      <c r="BB202" s="79"/>
      <c r="BC202" s="80"/>
      <c r="BD202" s="79"/>
      <c r="BE202" s="84"/>
      <c r="BF202" s="74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</row>
    <row r="203" ht="15.75" customHeight="1">
      <c r="A203" s="442" t="s">
        <v>1134</v>
      </c>
      <c r="B203" s="16" t="s">
        <v>1135</v>
      </c>
      <c r="C203" s="17" t="s">
        <v>123</v>
      </c>
      <c r="D203" s="184" t="s">
        <v>1136</v>
      </c>
      <c r="E203" s="184" t="s">
        <v>1137</v>
      </c>
      <c r="F203" s="185" t="s">
        <v>1138</v>
      </c>
      <c r="G203" s="317" t="s">
        <v>1139</v>
      </c>
      <c r="H203" s="317" t="s">
        <v>357</v>
      </c>
      <c r="I203" s="36" t="s">
        <v>358</v>
      </c>
      <c r="J203" s="237" t="s">
        <v>1140</v>
      </c>
      <c r="K203" s="36">
        <v>2.0</v>
      </c>
      <c r="L203" s="23">
        <v>2004.0</v>
      </c>
      <c r="M203" s="25">
        <f>year(now()) -L203</f>
        <v>21</v>
      </c>
      <c r="N203" s="26">
        <f>counta(AE203,AG203,AI203,AK203,AM203,AO203,AQ203,AS203,AU203,AW203,AY203,BA203,BC203)</f>
        <v>1</v>
      </c>
      <c r="O203" s="27" t="str">
        <f t="shared" si="3"/>
        <v>#N/A</v>
      </c>
      <c r="P203" s="28">
        <f t="shared" si="143"/>
        <v>206</v>
      </c>
      <c r="Q203" s="28">
        <f t="shared" si="144"/>
        <v>202</v>
      </c>
      <c r="R203" s="28"/>
      <c r="S203" s="28"/>
      <c r="T203" s="29">
        <f>V203/M203</f>
        <v>3095238.095</v>
      </c>
      <c r="U203" s="28"/>
      <c r="V203" s="30">
        <f t="shared" si="28"/>
        <v>65000000</v>
      </c>
      <c r="W203" s="30"/>
      <c r="X203" s="847"/>
      <c r="Y203" s="33"/>
      <c r="Z203" s="692"/>
      <c r="AA203" s="665"/>
      <c r="AB203" s="36"/>
      <c r="AC203" s="36"/>
      <c r="AD203" s="862" t="str">
        <f>HYPERLINK("https://www.crunchbase.com/funding_round/buildium-private-equity--7bd7d334","Jun 8, 2016")</f>
        <v>Jun 8, 2016</v>
      </c>
      <c r="AE203" s="879" t="str">
        <f>HYPERLINK("https://www.axios.com/newsletters/axios-pro-rata-9c36ef22-882c-48db-b888-4c3cea0ef422.html","$ 65,000,000.00")</f>
        <v>$ 65,000,000.00</v>
      </c>
      <c r="AF203" s="39"/>
      <c r="AG203" s="46"/>
      <c r="AH203" s="36"/>
      <c r="AI203" s="159"/>
      <c r="AJ203" s="44"/>
      <c r="AK203" s="46"/>
      <c r="AL203" s="44"/>
      <c r="AM203" s="46"/>
      <c r="AN203" s="44"/>
      <c r="AO203" s="46"/>
      <c r="AP203" s="44"/>
      <c r="AQ203" s="46"/>
      <c r="AR203" s="44"/>
      <c r="AS203" s="44"/>
      <c r="AT203" s="44"/>
      <c r="AU203" s="45"/>
      <c r="AV203" s="44"/>
      <c r="AW203" s="38"/>
      <c r="AX203" s="44"/>
      <c r="AY203" s="38"/>
      <c r="AZ203" s="44"/>
      <c r="BA203" s="45"/>
      <c r="BB203" s="44"/>
      <c r="BC203" s="45"/>
      <c r="BD203" s="44"/>
      <c r="BE203" s="46"/>
      <c r="BF203" s="36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</row>
    <row r="204" ht="15.75" customHeight="1">
      <c r="A204" s="400" t="s">
        <v>1141</v>
      </c>
      <c r="B204" s="115"/>
      <c r="C204" s="116" t="s">
        <v>513</v>
      </c>
      <c r="D204" s="401" t="s">
        <v>1142</v>
      </c>
      <c r="E204" s="192" t="s">
        <v>1143</v>
      </c>
      <c r="F204" s="402" t="s">
        <v>1144</v>
      </c>
      <c r="G204" s="119"/>
      <c r="H204" s="71" t="s">
        <v>128</v>
      </c>
      <c r="I204" s="26" t="s">
        <v>129</v>
      </c>
      <c r="J204" s="120"/>
      <c r="K204" s="25">
        <v>2.0</v>
      </c>
      <c r="L204" s="25">
        <v>2017.0</v>
      </c>
      <c r="M204" s="123"/>
      <c r="N204" s="123"/>
      <c r="O204" s="27" t="str">
        <f t="shared" si="3"/>
        <v>#N/A</v>
      </c>
      <c r="P204" s="28" t="str">
        <f t="shared" si="143"/>
        <v>#N/A</v>
      </c>
      <c r="Q204" s="28">
        <f t="shared" si="144"/>
        <v>203</v>
      </c>
      <c r="R204" s="55"/>
      <c r="S204" s="55"/>
      <c r="T204" s="55"/>
      <c r="U204" s="55"/>
      <c r="V204" s="30">
        <f t="shared" si="28"/>
        <v>64500000</v>
      </c>
      <c r="W204" s="31">
        <v>1.0E7</v>
      </c>
      <c r="X204" s="403"/>
      <c r="Y204" s="403"/>
      <c r="Z204" s="692"/>
      <c r="AA204" s="665"/>
      <c r="AB204" s="123"/>
      <c r="AC204" s="123"/>
      <c r="AD204" s="717"/>
      <c r="AE204" s="125"/>
      <c r="AF204" s="880">
        <v>43186.0</v>
      </c>
      <c r="AG204" s="127">
        <v>6500000.0</v>
      </c>
      <c r="AH204" s="123"/>
      <c r="AI204" s="128"/>
      <c r="AJ204" s="404">
        <v>43845.0</v>
      </c>
      <c r="AK204" s="127">
        <v>2.8E7</v>
      </c>
      <c r="AL204" s="404">
        <v>44244.0</v>
      </c>
      <c r="AM204" s="127">
        <v>3.0E7</v>
      </c>
      <c r="AN204" s="123"/>
      <c r="AO204" s="125"/>
      <c r="AP204" s="881"/>
      <c r="AQ204" s="125"/>
      <c r="AR204" s="123"/>
      <c r="AS204" s="123"/>
      <c r="AT204" s="123"/>
      <c r="AU204" s="137"/>
      <c r="AV204" s="123"/>
      <c r="AW204" s="38"/>
      <c r="AX204" s="123"/>
      <c r="AY204" s="38"/>
      <c r="AZ204" s="123"/>
      <c r="BA204" s="137"/>
      <c r="BB204" s="123"/>
      <c r="BC204" s="137"/>
      <c r="BD204" s="123"/>
      <c r="BE204" s="125"/>
      <c r="BF204" s="123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</row>
    <row r="205" ht="15.75" customHeight="1">
      <c r="A205" s="47" t="s">
        <v>1145</v>
      </c>
      <c r="B205" s="115"/>
      <c r="C205" s="116" t="s">
        <v>276</v>
      </c>
      <c r="D205" s="388" t="s">
        <v>1146</v>
      </c>
      <c r="E205" s="388" t="s">
        <v>1147</v>
      </c>
      <c r="F205" s="118" t="s">
        <v>1148</v>
      </c>
      <c r="G205" s="286"/>
      <c r="H205" s="119" t="s">
        <v>187</v>
      </c>
      <c r="I205" s="25" t="s">
        <v>188</v>
      </c>
      <c r="J205" s="287"/>
      <c r="K205" s="25">
        <v>2.0</v>
      </c>
      <c r="L205" s="25">
        <v>2018.0</v>
      </c>
      <c r="M205" s="25"/>
      <c r="N205" s="25"/>
      <c r="O205" s="27" t="str">
        <f t="shared" si="3"/>
        <v>#N/A</v>
      </c>
      <c r="P205" s="28" t="str">
        <f t="shared" si="143"/>
        <v>#N/A</v>
      </c>
      <c r="Q205" s="28">
        <f t="shared" si="144"/>
        <v>204</v>
      </c>
      <c r="R205" s="356"/>
      <c r="S205" s="356"/>
      <c r="T205" s="356"/>
      <c r="U205" s="356"/>
      <c r="V205" s="30">
        <f t="shared" si="28"/>
        <v>64000000</v>
      </c>
      <c r="W205" s="30"/>
      <c r="X205" s="597"/>
      <c r="Y205" s="597"/>
      <c r="Z205" s="692"/>
      <c r="AA205" s="665"/>
      <c r="AB205" s="123"/>
      <c r="AC205" s="123"/>
      <c r="AD205" s="124"/>
      <c r="AE205" s="127"/>
      <c r="AF205" s="320" t="str">
        <f>HYPERLINK("https://www.crunchbase.com/funding_round/leap-services-seed--4693c93d","Oct 15, 2018")</f>
        <v>Oct 15, 2018</v>
      </c>
      <c r="AG205" s="127">
        <v>3000000.0</v>
      </c>
      <c r="AH205" s="123"/>
      <c r="AI205" s="128"/>
      <c r="AJ205" s="455" t="str">
        <f>HYPERLINK("https://www.crunchbase.com/funding_round/leap-services-series-a--47341474","Aug 26, 2021")</f>
        <v>Aug 26, 2021</v>
      </c>
      <c r="AK205" s="127">
        <v>1.1E7</v>
      </c>
      <c r="AL205" s="455" t="str">
        <f>HYPERLINK("https://finance.yahoo.com/news/leap-gets-50-million-series-060032591.html","Jan 27, 2022")</f>
        <v>Jan 27, 2022</v>
      </c>
      <c r="AM205" s="127">
        <v>5.0E7</v>
      </c>
      <c r="AN205" s="124"/>
      <c r="AO205" s="125"/>
      <c r="AP205" s="124"/>
      <c r="AQ205" s="125"/>
      <c r="AR205" s="124"/>
      <c r="AS205" s="124"/>
      <c r="AT205" s="124"/>
      <c r="AU205" s="137"/>
      <c r="AV205" s="124"/>
      <c r="AW205" s="38"/>
      <c r="AX205" s="124"/>
      <c r="AY205" s="38"/>
      <c r="AZ205" s="124"/>
      <c r="BA205" s="137"/>
      <c r="BB205" s="124"/>
      <c r="BC205" s="137"/>
      <c r="BD205" s="124"/>
      <c r="BE205" s="125"/>
      <c r="BF205" s="123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</row>
    <row r="206" ht="15.75" customHeight="1">
      <c r="A206" s="21" t="s">
        <v>1149</v>
      </c>
      <c r="B206" s="69"/>
      <c r="C206" s="69" t="s">
        <v>267</v>
      </c>
      <c r="D206" s="200" t="s">
        <v>1150</v>
      </c>
      <c r="E206" s="200" t="s">
        <v>1151</v>
      </c>
      <c r="F206" s="841" t="s">
        <v>1152</v>
      </c>
      <c r="G206" s="54"/>
      <c r="H206" s="71" t="s">
        <v>1153</v>
      </c>
      <c r="I206" s="26" t="s">
        <v>65</v>
      </c>
      <c r="J206" s="72" t="s">
        <v>1154</v>
      </c>
      <c r="K206" s="26">
        <v>2.0</v>
      </c>
      <c r="L206" s="26">
        <v>2017.0</v>
      </c>
      <c r="M206" s="25">
        <f t="shared" ref="M206:M209" si="150">year(now()) -L206</f>
        <v>8</v>
      </c>
      <c r="N206" s="26">
        <f t="shared" ref="N206:N209" si="151">counta(AE206,AG206,AI206,AK206,AM206,AO206,AQ206,AS206,AU206,AW206,AY206,BA206,BC206)</f>
        <v>3</v>
      </c>
      <c r="O206" s="27" t="str">
        <f t="shared" si="3"/>
        <v>#N/A</v>
      </c>
      <c r="P206" s="28">
        <f t="shared" si="143"/>
        <v>127</v>
      </c>
      <c r="Q206" s="28">
        <f t="shared" si="144"/>
        <v>204</v>
      </c>
      <c r="R206" s="28"/>
      <c r="S206" s="28"/>
      <c r="T206" s="29">
        <f t="shared" ref="T206:T209" si="152">V206/M206</f>
        <v>8000000</v>
      </c>
      <c r="U206" s="28"/>
      <c r="V206" s="30">
        <f t="shared" si="28"/>
        <v>64000000</v>
      </c>
      <c r="W206" s="30"/>
      <c r="X206" s="32">
        <f t="shared" ref="X206:X209" si="153">(max(AE206,AG206,AI206,AK206,AM206,AO206,AQ206,AS206,AU206,AW206,AY206,BA206,BC206)/min(AE206,AG206,AI206,AK206,AM206,AO206,AQ206,AS206,AU206,AW206,AY206,BA206,BC206))^(1/N206)-1</f>
        <v>0.966095145</v>
      </c>
      <c r="Y206" s="33">
        <f t="shared" ref="Y206:Y209" si="154">(max(AE206,AG206,AI206,AK206,AM206,AO206,AQ206,AS206,AU206,AW206,AY206,BA206,BC206)/min(AE206,AG206,AI206,AK206,AM206,AO206,AQ206,AS206,AU206,AW206,AY206,BA206,BC206))^(1/M206)-1</f>
        <v>0.2885512573</v>
      </c>
      <c r="Z206" s="692"/>
      <c r="AA206" s="665"/>
      <c r="AB206" s="74"/>
      <c r="AC206" s="74"/>
      <c r="AD206" s="79"/>
      <c r="AE206" s="84"/>
      <c r="AF206" s="175" t="str">
        <f>HYPERLINK("https://www.crunchbase.com/funding_round/safeai-seed--5a7c80b5","Jun 18, 2019")</f>
        <v>Jun 18, 2019</v>
      </c>
      <c r="AG206" s="76">
        <v>5000000.0</v>
      </c>
      <c r="AH206" s="74"/>
      <c r="AI206" s="78"/>
      <c r="AJ206" s="181" t="str">
        <f>HYPERLINK("https://www.crunchbase.com/funding_round/safeai-series-a--ce1725da","Jun 22, 2021")</f>
        <v>Jun 22, 2021</v>
      </c>
      <c r="AK206" s="76">
        <v>2.1E7</v>
      </c>
      <c r="AL206" s="75">
        <v>44909.0</v>
      </c>
      <c r="AM206" s="76">
        <v>3.8E7</v>
      </c>
      <c r="AN206" s="79"/>
      <c r="AO206" s="84"/>
      <c r="AP206" s="79"/>
      <c r="AQ206" s="84"/>
      <c r="AR206" s="79"/>
      <c r="AS206" s="79"/>
      <c r="AT206" s="79"/>
      <c r="AU206" s="80"/>
      <c r="AV206" s="79"/>
      <c r="AW206" s="38"/>
      <c r="AX206" s="79"/>
      <c r="AY206" s="38"/>
      <c r="AZ206" s="79"/>
      <c r="BA206" s="80"/>
      <c r="BB206" s="79"/>
      <c r="BC206" s="80"/>
      <c r="BD206" s="79"/>
      <c r="BE206" s="84"/>
      <c r="BF206" s="74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/>
      <c r="BV206" s="115"/>
      <c r="BW206" s="115"/>
      <c r="BX206" s="115"/>
      <c r="BY206" s="115"/>
      <c r="BZ206" s="115"/>
      <c r="CA206" s="115"/>
      <c r="CB206" s="115"/>
      <c r="CC206" s="115"/>
      <c r="CD206" s="115"/>
      <c r="CE206" s="115"/>
      <c r="CF206" s="115"/>
      <c r="CG206" s="115"/>
      <c r="CH206" s="115"/>
      <c r="CI206" s="115"/>
      <c r="CJ206" s="115"/>
      <c r="CK206" s="115"/>
      <c r="CL206" s="115"/>
      <c r="CM206" s="115"/>
      <c r="CN206" s="115"/>
      <c r="CO206" s="115"/>
      <c r="CP206" s="115"/>
    </row>
    <row r="207" ht="15.75" customHeight="1">
      <c r="A207" s="666" t="s">
        <v>1155</v>
      </c>
      <c r="B207" s="115" t="s">
        <v>1156</v>
      </c>
      <c r="C207" s="116" t="s">
        <v>132</v>
      </c>
      <c r="D207" s="449" t="s">
        <v>1157</v>
      </c>
      <c r="E207" s="667" t="s">
        <v>1158</v>
      </c>
      <c r="F207" s="668" t="s">
        <v>1159</v>
      </c>
      <c r="G207" s="286"/>
      <c r="H207" s="286" t="s">
        <v>365</v>
      </c>
      <c r="I207" s="123" t="s">
        <v>65</v>
      </c>
      <c r="J207" s="287"/>
      <c r="K207" s="123">
        <v>2.0</v>
      </c>
      <c r="L207" s="25">
        <v>2016.0</v>
      </c>
      <c r="M207" s="25">
        <f t="shared" si="150"/>
        <v>9</v>
      </c>
      <c r="N207" s="26">
        <f t="shared" si="151"/>
        <v>3</v>
      </c>
      <c r="O207" s="27" t="str">
        <f t="shared" si="3"/>
        <v>#N/A</v>
      </c>
      <c r="P207" s="28">
        <f t="shared" si="143"/>
        <v>136</v>
      </c>
      <c r="Q207" s="28">
        <f t="shared" si="144"/>
        <v>207</v>
      </c>
      <c r="R207" s="28"/>
      <c r="S207" s="28"/>
      <c r="T207" s="29">
        <f t="shared" si="152"/>
        <v>7055555.556</v>
      </c>
      <c r="U207" s="28"/>
      <c r="V207" s="30">
        <f t="shared" si="28"/>
        <v>63500000</v>
      </c>
      <c r="W207" s="30"/>
      <c r="X207" s="32">
        <f t="shared" si="153"/>
        <v>2.260648831</v>
      </c>
      <c r="Y207" s="33">
        <f t="shared" si="154"/>
        <v>0.4828640715</v>
      </c>
      <c r="Z207" s="692"/>
      <c r="AA207" s="665"/>
      <c r="AB207" s="123"/>
      <c r="AC207" s="123"/>
      <c r="AD207" s="124"/>
      <c r="AE207" s="127"/>
      <c r="AF207" s="194" t="str">
        <f>HYPERLINK("https://www.crunchbase.com/funding_round/leaselock-seed--d1349f24"," 12/16/2016")</f>
        <v> 12/16/2016</v>
      </c>
      <c r="AG207" s="127">
        <v>1500000.0</v>
      </c>
      <c r="AH207" s="123"/>
      <c r="AI207" s="128"/>
      <c r="AJ207" s="455" t="str">
        <f>HYPERLINK("https://www.crunchbase.com/funding_round/leaselock-series-a--b820da21"," Apr 30, 2018        
")</f>
        <v> Apr 30, 2018        
</v>
      </c>
      <c r="AK207" s="127">
        <v>1.0E7</v>
      </c>
      <c r="AL207" s="882">
        <v>44230.0</v>
      </c>
      <c r="AM207" s="127">
        <v>5.2E7</v>
      </c>
      <c r="AN207" s="124"/>
      <c r="AO207" s="125"/>
      <c r="AP207" s="124"/>
      <c r="AQ207" s="125"/>
      <c r="AR207" s="124"/>
      <c r="AS207" s="124"/>
      <c r="AT207" s="124"/>
      <c r="AU207" s="137"/>
      <c r="AV207" s="124"/>
      <c r="AW207" s="38"/>
      <c r="AX207" s="124"/>
      <c r="AY207" s="38"/>
      <c r="AZ207" s="124"/>
      <c r="BA207" s="137"/>
      <c r="BB207" s="124"/>
      <c r="BC207" s="137"/>
      <c r="BD207" s="124"/>
      <c r="BE207" s="125"/>
      <c r="BF207" s="123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</row>
    <row r="208" ht="15.75" customHeight="1">
      <c r="A208" s="21" t="s">
        <v>1160</v>
      </c>
      <c r="B208" s="68"/>
      <c r="C208" s="69" t="s">
        <v>123</v>
      </c>
      <c r="D208" s="270" t="s">
        <v>1161</v>
      </c>
      <c r="E208" s="750" t="s">
        <v>1162</v>
      </c>
      <c r="F208" s="565" t="s">
        <v>1163</v>
      </c>
      <c r="G208" s="751" t="s">
        <v>1164</v>
      </c>
      <c r="H208" s="71" t="s">
        <v>1165</v>
      </c>
      <c r="I208" s="26" t="s">
        <v>65</v>
      </c>
      <c r="J208" s="72" t="s">
        <v>1166</v>
      </c>
      <c r="K208" s="26">
        <v>5.0</v>
      </c>
      <c r="L208" s="26">
        <v>2016.0</v>
      </c>
      <c r="M208" s="25">
        <f t="shared" si="150"/>
        <v>9</v>
      </c>
      <c r="N208" s="26">
        <f t="shared" si="151"/>
        <v>3</v>
      </c>
      <c r="O208" s="27" t="str">
        <f t="shared" si="3"/>
        <v>#N/A</v>
      </c>
      <c r="P208" s="28">
        <f t="shared" si="143"/>
        <v>138</v>
      </c>
      <c r="Q208" s="28">
        <f t="shared" si="144"/>
        <v>208</v>
      </c>
      <c r="R208" s="28"/>
      <c r="S208" s="28"/>
      <c r="T208" s="29">
        <f t="shared" si="152"/>
        <v>7000000</v>
      </c>
      <c r="U208" s="28"/>
      <c r="V208" s="30">
        <f t="shared" si="28"/>
        <v>63000000</v>
      </c>
      <c r="W208" s="30"/>
      <c r="X208" s="32">
        <f t="shared" si="153"/>
        <v>0.726108748</v>
      </c>
      <c r="Y208" s="33">
        <f t="shared" si="154"/>
        <v>0.1995620504</v>
      </c>
      <c r="Z208" s="695"/>
      <c r="AA208" s="696"/>
      <c r="AB208" s="74"/>
      <c r="AC208" s="74"/>
      <c r="AD208" s="79"/>
      <c r="AE208" s="84"/>
      <c r="AF208" s="175" t="str">
        <f>HYPERLINK("https://www.crunchbase.com/funding_round/openpath-security-inc-seed--5e157f9a"," May 22, 2018        
")</f>
        <v> May 22, 2018        
</v>
      </c>
      <c r="AG208" s="76">
        <v>7000000.0</v>
      </c>
      <c r="AH208" s="74"/>
      <c r="AI208" s="78"/>
      <c r="AJ208" s="79"/>
      <c r="AK208" s="84"/>
      <c r="AL208" s="181" t="str">
        <f>HYPERLINK("https://www.crunchbase.com/funding_round/openpath-security-inc-series-b--f8ac14e3"," Jul 17, 2018")</f>
        <v> Jul 17, 2018</v>
      </c>
      <c r="AM208" s="76">
        <v>2.0E7</v>
      </c>
      <c r="AN208" s="181" t="str">
        <f>HYPERLINK("https://www.crunchbase.com/funding_round/openpath-security-inc-series-c--e9e19e31"," Jul 16, 2020        ")
</f>
        <v> Jul 16, 2020        </v>
      </c>
      <c r="AO208" s="76">
        <v>3.6E7</v>
      </c>
      <c r="AP208" s="79"/>
      <c r="AQ208" s="84"/>
      <c r="AR208" s="79"/>
      <c r="AS208" s="79"/>
      <c r="AT208" s="79"/>
      <c r="AU208" s="80"/>
      <c r="AV208" s="79"/>
      <c r="AW208" s="38"/>
      <c r="AX208" s="79"/>
      <c r="AY208" s="38"/>
      <c r="AZ208" s="79"/>
      <c r="BA208" s="80"/>
      <c r="BB208" s="79"/>
      <c r="BC208" s="80"/>
      <c r="BD208" s="79"/>
      <c r="BE208" s="84"/>
      <c r="BF208" s="74"/>
      <c r="BG208" s="115"/>
      <c r="BH208" s="115"/>
      <c r="BI208" s="115"/>
      <c r="BJ208" s="115"/>
      <c r="BK208" s="115"/>
      <c r="BL208" s="115"/>
      <c r="BM208" s="115"/>
      <c r="BN208" s="115"/>
      <c r="BO208" s="115"/>
      <c r="BP208" s="115"/>
      <c r="BQ208" s="115"/>
      <c r="BR208" s="115"/>
      <c r="BS208" s="115"/>
      <c r="BT208" s="115"/>
      <c r="BU208" s="115"/>
      <c r="BV208" s="115"/>
      <c r="BW208" s="115"/>
      <c r="BX208" s="115"/>
      <c r="BY208" s="115"/>
      <c r="BZ208" s="115"/>
      <c r="CA208" s="115"/>
      <c r="CB208" s="115"/>
      <c r="CC208" s="115"/>
      <c r="CD208" s="115"/>
      <c r="CE208" s="115"/>
      <c r="CF208" s="115"/>
      <c r="CG208" s="115"/>
      <c r="CH208" s="115"/>
      <c r="CI208" s="115"/>
      <c r="CJ208" s="115"/>
      <c r="CK208" s="115"/>
      <c r="CL208" s="115"/>
      <c r="CM208" s="115"/>
      <c r="CN208" s="115"/>
      <c r="CO208" s="115"/>
      <c r="CP208" s="115"/>
    </row>
    <row r="209" ht="15.75" customHeight="1">
      <c r="A209" s="21" t="s">
        <v>1167</v>
      </c>
      <c r="B209" s="68"/>
      <c r="C209" s="69" t="s">
        <v>267</v>
      </c>
      <c r="D209" s="192" t="s">
        <v>1168</v>
      </c>
      <c r="E209" s="192" t="s">
        <v>1169</v>
      </c>
      <c r="F209" s="803" t="s">
        <v>1170</v>
      </c>
      <c r="G209" s="71"/>
      <c r="H209" s="286" t="s">
        <v>187</v>
      </c>
      <c r="I209" s="123" t="s">
        <v>1171</v>
      </c>
      <c r="J209" s="72"/>
      <c r="K209" s="26"/>
      <c r="L209" s="26">
        <v>2014.0</v>
      </c>
      <c r="M209" s="25">
        <f t="shared" si="150"/>
        <v>11</v>
      </c>
      <c r="N209" s="26">
        <f t="shared" si="151"/>
        <v>4</v>
      </c>
      <c r="O209" s="27" t="str">
        <f t="shared" si="3"/>
        <v>#N/A</v>
      </c>
      <c r="P209" s="28">
        <f t="shared" si="143"/>
        <v>161</v>
      </c>
      <c r="Q209" s="28">
        <f t="shared" si="144"/>
        <v>209</v>
      </c>
      <c r="R209" s="28"/>
      <c r="S209" s="28"/>
      <c r="T209" s="29">
        <f t="shared" si="152"/>
        <v>5681818.182</v>
      </c>
      <c r="U209" s="28"/>
      <c r="V209" s="30">
        <f t="shared" si="28"/>
        <v>62500000</v>
      </c>
      <c r="W209" s="30"/>
      <c r="X209" s="32">
        <f t="shared" si="153"/>
        <v>1.514866859</v>
      </c>
      <c r="Y209" s="33">
        <f t="shared" si="154"/>
        <v>0.3984334945</v>
      </c>
      <c r="Z209" s="692"/>
      <c r="AA209" s="665"/>
      <c r="AB209" s="74"/>
      <c r="AC209" s="74"/>
      <c r="AD209" s="79"/>
      <c r="AE209" s="84"/>
      <c r="AF209" s="883">
        <v>42123.0</v>
      </c>
      <c r="AG209" s="76">
        <v>1000000.0</v>
      </c>
      <c r="AH209" s="74"/>
      <c r="AI209" s="78"/>
      <c r="AJ209" s="804">
        <v>42508.0</v>
      </c>
      <c r="AK209" s="76">
        <v>4000000.0</v>
      </c>
      <c r="AL209" s="180">
        <v>42899.0</v>
      </c>
      <c r="AM209" s="76">
        <v>1.75E7</v>
      </c>
      <c r="AN209" s="804">
        <v>43349.0</v>
      </c>
      <c r="AO209" s="76">
        <v>4.0E7</v>
      </c>
      <c r="AP209" s="79"/>
      <c r="AQ209" s="84"/>
      <c r="AR209" s="79"/>
      <c r="AS209" s="79"/>
      <c r="AT209" s="79"/>
      <c r="AU209" s="80"/>
      <c r="AV209" s="79"/>
      <c r="AW209" s="38"/>
      <c r="AX209" s="79"/>
      <c r="AY209" s="38"/>
      <c r="AZ209" s="79"/>
      <c r="BA209" s="80"/>
      <c r="BB209" s="79"/>
      <c r="BC209" s="80"/>
      <c r="BD209" s="79"/>
      <c r="BE209" s="84"/>
      <c r="BF209" s="74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</row>
    <row r="210" ht="15.75" customHeight="1">
      <c r="A210" s="884" t="s">
        <v>1172</v>
      </c>
      <c r="B210" s="115"/>
      <c r="C210" s="116" t="s">
        <v>76</v>
      </c>
      <c r="D210" s="161" t="s">
        <v>1173</v>
      </c>
      <c r="E210" s="401" t="s">
        <v>1174</v>
      </c>
      <c r="F210" s="708" t="s">
        <v>1175</v>
      </c>
      <c r="G210" s="286"/>
      <c r="H210" s="119" t="s">
        <v>834</v>
      </c>
      <c r="I210" s="25" t="s">
        <v>65</v>
      </c>
      <c r="J210" s="287"/>
      <c r="K210" s="25">
        <v>3.0</v>
      </c>
      <c r="L210" s="25">
        <v>2018.0</v>
      </c>
      <c r="M210" s="123"/>
      <c r="N210" s="123"/>
      <c r="O210" s="27" t="str">
        <f t="shared" si="3"/>
        <v>#N/A</v>
      </c>
      <c r="P210" s="55"/>
      <c r="Q210" s="55"/>
      <c r="R210" s="55"/>
      <c r="S210" s="55"/>
      <c r="T210" s="55"/>
      <c r="U210" s="55"/>
      <c r="V210" s="30">
        <f t="shared" si="28"/>
        <v>62000000</v>
      </c>
      <c r="W210" s="30"/>
      <c r="X210" s="403"/>
      <c r="Y210" s="403"/>
      <c r="Z210" s="692"/>
      <c r="AA210" s="665"/>
      <c r="AB210" s="123"/>
      <c r="AC210" s="123"/>
      <c r="AD210" s="62">
        <v>43313.0</v>
      </c>
      <c r="AE210" s="38"/>
      <c r="AF210" s="70" t="s">
        <v>1176</v>
      </c>
      <c r="AG210" s="38">
        <v>2000000.0</v>
      </c>
      <c r="AH210" s="123"/>
      <c r="AI210" s="123"/>
      <c r="AJ210" s="404">
        <v>44484.0</v>
      </c>
      <c r="AK210" s="38">
        <v>2.0E7</v>
      </c>
      <c r="AL210" s="404">
        <v>44882.0</v>
      </c>
      <c r="AM210" s="38">
        <v>4.0E7</v>
      </c>
      <c r="AN210" s="123"/>
      <c r="AO210" s="123"/>
      <c r="AP210" s="123"/>
      <c r="AQ210" s="123"/>
      <c r="AR210" s="123"/>
      <c r="AS210" s="123"/>
      <c r="AT210" s="123"/>
      <c r="AU210" s="137"/>
      <c r="AV210" s="123"/>
      <c r="AW210" s="38"/>
      <c r="AX210" s="123"/>
      <c r="AY210" s="38"/>
      <c r="AZ210" s="123"/>
      <c r="BA210" s="137"/>
      <c r="BB210" s="55"/>
      <c r="BC210" s="55"/>
      <c r="BD210" s="123"/>
      <c r="BE210" s="125"/>
      <c r="BF210" s="123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</row>
    <row r="211" ht="15.75" customHeight="1">
      <c r="A211" s="21" t="s">
        <v>1177</v>
      </c>
      <c r="B211" s="68"/>
      <c r="C211" s="69" t="s">
        <v>132</v>
      </c>
      <c r="D211" s="231" t="s">
        <v>1178</v>
      </c>
      <c r="E211" s="231" t="s">
        <v>1179</v>
      </c>
      <c r="F211" s="177" t="s">
        <v>1180</v>
      </c>
      <c r="G211" s="186"/>
      <c r="H211" s="71" t="s">
        <v>1181</v>
      </c>
      <c r="I211" s="26" t="s">
        <v>329</v>
      </c>
      <c r="J211" s="155"/>
      <c r="K211" s="26">
        <v>3.0</v>
      </c>
      <c r="L211" s="26">
        <v>2021.0</v>
      </c>
      <c r="M211" s="25"/>
      <c r="N211" s="26"/>
      <c r="O211" s="27" t="str">
        <f t="shared" si="3"/>
        <v>#N/A</v>
      </c>
      <c r="P211" s="28" t="str">
        <f t="shared" ref="P211:P226" si="155">RANK(T211,$T$2:$T$333)</f>
        <v>#N/A</v>
      </c>
      <c r="Q211" s="28">
        <f t="shared" ref="Q211:Q226" si="156">rank(V211,$V$2:$V$344)</f>
        <v>211</v>
      </c>
      <c r="R211" s="28"/>
      <c r="S211" s="28"/>
      <c r="T211" s="28"/>
      <c r="U211" s="28"/>
      <c r="V211" s="30">
        <f t="shared" si="28"/>
        <v>61300000</v>
      </c>
      <c r="W211" s="30"/>
      <c r="X211" s="73"/>
      <c r="Y211" s="73"/>
      <c r="Z211" s="692"/>
      <c r="AA211" s="665"/>
      <c r="AB211" s="74"/>
      <c r="AC211" s="74"/>
      <c r="AD211" s="79"/>
      <c r="AE211" s="84"/>
      <c r="AF211" s="885">
        <v>44539.0</v>
      </c>
      <c r="AG211" s="76">
        <v>1.4E7</v>
      </c>
      <c r="AH211" s="74"/>
      <c r="AI211" s="78"/>
      <c r="AJ211" s="75">
        <v>44769.0</v>
      </c>
      <c r="AK211" s="76">
        <v>4.73E7</v>
      </c>
      <c r="AL211" s="79"/>
      <c r="AM211" s="76"/>
      <c r="AN211" s="79"/>
      <c r="AO211" s="84"/>
      <c r="AP211" s="79"/>
      <c r="AQ211" s="84"/>
      <c r="AR211" s="79"/>
      <c r="AS211" s="79"/>
      <c r="AT211" s="79"/>
      <c r="AU211" s="80"/>
      <c r="AV211" s="79"/>
      <c r="AW211" s="38"/>
      <c r="AX211" s="79"/>
      <c r="AY211" s="38"/>
      <c r="AZ211" s="79"/>
      <c r="BA211" s="80"/>
      <c r="BB211" s="79"/>
      <c r="BC211" s="80"/>
      <c r="BD211" s="79"/>
      <c r="BE211" s="84"/>
      <c r="BF211" s="74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</row>
    <row r="212" ht="15.75" customHeight="1">
      <c r="A212" s="21" t="s">
        <v>1182</v>
      </c>
      <c r="B212" s="68"/>
      <c r="C212" s="69" t="s">
        <v>513</v>
      </c>
      <c r="D212" s="337"/>
      <c r="E212" s="236" t="s">
        <v>1183</v>
      </c>
      <c r="F212" s="803" t="s">
        <v>1184</v>
      </c>
      <c r="G212" s="186"/>
      <c r="H212" s="71" t="s">
        <v>365</v>
      </c>
      <c r="I212" s="26" t="s">
        <v>65</v>
      </c>
      <c r="J212" s="155"/>
      <c r="K212" s="26">
        <v>2.0</v>
      </c>
      <c r="L212" s="26">
        <v>2019.0</v>
      </c>
      <c r="M212" s="25">
        <f t="shared" ref="M212:M216" si="157">year(now()) -L212</f>
        <v>6</v>
      </c>
      <c r="N212" s="26">
        <f t="shared" ref="N212:N216" si="158">counta(AE212,AG212,AI212,AK212,AM212,AO212,AQ212,AS212,AU212,AW212,AY212,BA212,BC212)</f>
        <v>3</v>
      </c>
      <c r="O212" s="27" t="str">
        <f t="shared" si="3"/>
        <v>#N/A</v>
      </c>
      <c r="P212" s="28">
        <f t="shared" si="155"/>
        <v>101</v>
      </c>
      <c r="Q212" s="28">
        <f t="shared" si="156"/>
        <v>213</v>
      </c>
      <c r="R212" s="28"/>
      <c r="S212" s="28"/>
      <c r="T212" s="29">
        <f t="shared" ref="T212:T216" si="159">V212/M212</f>
        <v>10166666.67</v>
      </c>
      <c r="U212" s="28"/>
      <c r="V212" s="30">
        <f t="shared" si="28"/>
        <v>61000000</v>
      </c>
      <c r="W212" s="30"/>
      <c r="X212" s="73"/>
      <c r="Y212" s="33">
        <f>(max(AE212,AG212,AI212,AK212,AM212,AO212,AQ212,AS212,AU212,AW212,AY212,BA212,BC212)/min(AE212,AG212,AI212,AK212))^(1/M212)-1</f>
        <v>0.2400652885</v>
      </c>
      <c r="Z212" s="692"/>
      <c r="AA212" s="665"/>
      <c r="AB212" s="74"/>
      <c r="AC212" s="74"/>
      <c r="AD212" s="79"/>
      <c r="AE212" s="84"/>
      <c r="AF212" s="338"/>
      <c r="AG212" s="84"/>
      <c r="AH212" s="74"/>
      <c r="AI212" s="78"/>
      <c r="AJ212" s="42" t="str">
        <f>HYPERLINK("https://www.crunchbase.com/funding_round/xeal-series-a--d2f36878","Oct 28, 2021")</f>
        <v>Oct 28, 2021</v>
      </c>
      <c r="AK212" s="76">
        <v>1.1E7</v>
      </c>
      <c r="AL212" s="75">
        <v>44868.0</v>
      </c>
      <c r="AM212" s="76">
        <v>4.0E7</v>
      </c>
      <c r="AN212" s="79"/>
      <c r="AO212" s="84"/>
      <c r="AP212" s="79"/>
      <c r="AQ212" s="84"/>
      <c r="AR212" s="79"/>
      <c r="AS212" s="79"/>
      <c r="AT212" s="79"/>
      <c r="AU212" s="80"/>
      <c r="AV212" s="79"/>
      <c r="AW212" s="38"/>
      <c r="AX212" s="79"/>
      <c r="AY212" s="38"/>
      <c r="AZ212" s="79"/>
      <c r="BA212" s="80"/>
      <c r="BB212" s="75">
        <v>44868.0</v>
      </c>
      <c r="BC212" s="83">
        <v>1.0E7</v>
      </c>
      <c r="BD212" s="79"/>
      <c r="BE212" s="84"/>
      <c r="BF212" s="74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</row>
    <row r="213" ht="15.75" customHeight="1">
      <c r="A213" s="442" t="s">
        <v>1185</v>
      </c>
      <c r="B213" s="68" t="s">
        <v>301</v>
      </c>
      <c r="C213" s="69" t="s">
        <v>1186</v>
      </c>
      <c r="D213" s="184" t="s">
        <v>1187</v>
      </c>
      <c r="E213" s="184" t="s">
        <v>1188</v>
      </c>
      <c r="F213" s="185" t="s">
        <v>1189</v>
      </c>
      <c r="G213" s="186" t="s">
        <v>1190</v>
      </c>
      <c r="H213" s="186" t="s">
        <v>241</v>
      </c>
      <c r="I213" s="74" t="s">
        <v>287</v>
      </c>
      <c r="J213" s="155" t="s">
        <v>883</v>
      </c>
      <c r="K213" s="74">
        <v>2.0</v>
      </c>
      <c r="L213" s="26">
        <v>2009.0</v>
      </c>
      <c r="M213" s="25">
        <f t="shared" si="157"/>
        <v>16</v>
      </c>
      <c r="N213" s="26">
        <f t="shared" si="158"/>
        <v>4</v>
      </c>
      <c r="O213" s="27" t="str">
        <f t="shared" si="3"/>
        <v>#N/A</v>
      </c>
      <c r="P213" s="28">
        <f t="shared" si="155"/>
        <v>196</v>
      </c>
      <c r="Q213" s="28">
        <f t="shared" si="156"/>
        <v>214</v>
      </c>
      <c r="R213" s="28"/>
      <c r="S213" s="28"/>
      <c r="T213" s="29">
        <f t="shared" si="159"/>
        <v>3775000</v>
      </c>
      <c r="U213" s="28"/>
      <c r="V213" s="30">
        <f t="shared" si="28"/>
        <v>60400000</v>
      </c>
      <c r="W213" s="30"/>
      <c r="X213" s="32">
        <f t="shared" ref="X213:X216" si="160">(max(AE213,AG213,AI213,AK213,AM213,AO213,AQ213,AS213,AU213,AW213,AY213,BA213,BC213)/min(AE213,AG213,AI213,AK213,AM213,AO213,AQ213,AS213,AU213,AW213,AY213,BA213,BC213))^(1/N213)-1</f>
        <v>1.055668085</v>
      </c>
      <c r="Y213" s="33">
        <f t="shared" ref="Y213:Y216" si="161">(max(AE213,AG213,AI213,AK213,AM213,AO213,AQ213,AS213,AU213,AW213,AY213,BA213,BC213)/min(AE213,AG213,AI213,AK213,AM213,AO213,AQ213,AS213,AU213,AW213,AY213,BA213,BC213))^(1/M213)-1</f>
        <v>0.1973972277</v>
      </c>
      <c r="Z213" s="692"/>
      <c r="AA213" s="665"/>
      <c r="AB213" s="74"/>
      <c r="AC213" s="74"/>
      <c r="AD213" s="44"/>
      <c r="AE213" s="46"/>
      <c r="AF213" s="39"/>
      <c r="AG213" s="38"/>
      <c r="AH213" s="886"/>
      <c r="AI213" s="41"/>
      <c r="AJ213" s="228" t="str">
        <f>HYPERLINK("https://www.crunchbase.com/funding_round/enlighted-series-a--d5c3c71b"," 10/15/2010")</f>
        <v> 10/15/2010</v>
      </c>
      <c r="AK213" s="41">
        <v>1400000.0</v>
      </c>
      <c r="AL213" s="228" t="str">
        <f>HYPERLINK("https://www.crunchbase.com/funding_round/enlighted-series-b--2b6dff9a"," 10/4/2011")</f>
        <v> 10/4/2011</v>
      </c>
      <c r="AM213" s="38">
        <v>1.4E7</v>
      </c>
      <c r="AN213" s="228" t="str">
        <f>HYPERLINK("https://www.crunchbase.com/funding_round/enlighted-series-c--258af9e2"," 4/18/2013")</f>
        <v> 4/18/2013</v>
      </c>
      <c r="AO213" s="38">
        <v>2.0E7</v>
      </c>
      <c r="AP213" s="228" t="str">
        <f>HYPERLINK("https://www.crunchbase.com/funding_round/enlighted-series-d--2c3811f0"," Feb 29, 2016")</f>
        <v> Feb 29, 2016</v>
      </c>
      <c r="AQ213" s="887">
        <v>2.5E7</v>
      </c>
      <c r="AR213" s="44"/>
      <c r="AS213" s="44"/>
      <c r="AT213" s="44"/>
      <c r="AU213" s="45"/>
      <c r="AV213" s="44"/>
      <c r="AW213" s="38"/>
      <c r="AX213" s="44"/>
      <c r="AY213" s="38"/>
      <c r="AZ213" s="44"/>
      <c r="BA213" s="45"/>
      <c r="BB213" s="44"/>
      <c r="BC213" s="45"/>
      <c r="BD213" s="44"/>
      <c r="BE213" s="46"/>
      <c r="BF213" s="36"/>
      <c r="BG213" s="115"/>
      <c r="BH213" s="115"/>
      <c r="BI213" s="115"/>
      <c r="BJ213" s="115"/>
      <c r="BK213" s="115"/>
      <c r="BL213" s="115"/>
      <c r="BM213" s="115"/>
      <c r="BN213" s="115"/>
      <c r="BO213" s="115"/>
      <c r="BP213" s="115"/>
      <c r="BQ213" s="115"/>
      <c r="BR213" s="115"/>
      <c r="BS213" s="115"/>
      <c r="BT213" s="115"/>
      <c r="BU213" s="115"/>
      <c r="BV213" s="115"/>
      <c r="BW213" s="115"/>
      <c r="BX213" s="115"/>
      <c r="BY213" s="115"/>
      <c r="BZ213" s="115"/>
      <c r="CA213" s="115"/>
      <c r="CB213" s="115"/>
      <c r="CC213" s="115"/>
      <c r="CD213" s="115"/>
      <c r="CE213" s="115"/>
      <c r="CF213" s="115"/>
      <c r="CG213" s="115"/>
      <c r="CH213" s="115"/>
      <c r="CI213" s="115"/>
      <c r="CJ213" s="115"/>
      <c r="CK213" s="115"/>
      <c r="CL213" s="115"/>
      <c r="CM213" s="115"/>
      <c r="CN213" s="115"/>
      <c r="CO213" s="115"/>
      <c r="CP213" s="115"/>
    </row>
    <row r="214" ht="15.75" customHeight="1">
      <c r="A214" s="400" t="s">
        <v>1191</v>
      </c>
      <c r="B214" s="115"/>
      <c r="C214" s="116" t="s">
        <v>513</v>
      </c>
      <c r="D214" s="192" t="s">
        <v>1192</v>
      </c>
      <c r="E214" s="162" t="s">
        <v>1193</v>
      </c>
      <c r="F214" s="402" t="s">
        <v>1194</v>
      </c>
      <c r="G214" s="119" t="s">
        <v>1195</v>
      </c>
      <c r="H214" s="286" t="s">
        <v>128</v>
      </c>
      <c r="I214" s="123" t="s">
        <v>129</v>
      </c>
      <c r="J214" s="120" t="s">
        <v>689</v>
      </c>
      <c r="K214" s="25">
        <v>3.0</v>
      </c>
      <c r="L214" s="25">
        <v>2011.0</v>
      </c>
      <c r="M214" s="25">
        <f t="shared" si="157"/>
        <v>14</v>
      </c>
      <c r="N214" s="26">
        <f t="shared" si="158"/>
        <v>3</v>
      </c>
      <c r="O214" s="27" t="str">
        <f t="shared" si="3"/>
        <v>#N/A</v>
      </c>
      <c r="P214" s="28">
        <f t="shared" si="155"/>
        <v>184</v>
      </c>
      <c r="Q214" s="28">
        <f t="shared" si="156"/>
        <v>215</v>
      </c>
      <c r="R214" s="28"/>
      <c r="S214" s="28"/>
      <c r="T214" s="29">
        <f t="shared" si="159"/>
        <v>4307142.857</v>
      </c>
      <c r="U214" s="28"/>
      <c r="V214" s="30">
        <f t="shared" si="28"/>
        <v>60300000</v>
      </c>
      <c r="W214" s="30"/>
      <c r="X214" s="32">
        <f t="shared" si="160"/>
        <v>1.79092001</v>
      </c>
      <c r="Y214" s="33">
        <f t="shared" si="161"/>
        <v>0.2459978638</v>
      </c>
      <c r="Z214" s="692"/>
      <c r="AA214" s="665"/>
      <c r="AB214" s="123"/>
      <c r="AC214" s="123"/>
      <c r="AD214" s="124"/>
      <c r="AE214" s="125"/>
      <c r="AF214" s="126" t="str">
        <f>HYPERLINK("https://www.crunchbase.com/funding_round/seven-rooms-seed--057b7a64"," Jun 5, 2015        
"")")</f>
        <v> Jun 5, 2015        
")</v>
      </c>
      <c r="AG214" s="127">
        <v>2300000.0</v>
      </c>
      <c r="AH214" s="123"/>
      <c r="AI214" s="128"/>
      <c r="AJ214" s="888" t="str">
        <f>HYPERLINK("https://www.crunchbase.com/funding_round/seven-rooms-series-a--f335e5d9"," Dec 12, 2017        
")</f>
        <v> Dec 12, 2017        
</v>
      </c>
      <c r="AK214" s="889">
        <v>8000000.0</v>
      </c>
      <c r="AL214" s="890" t="str">
        <f>HYPERLINK("https://www.crunchbase.com/funding_round/seven-rooms-series-b--f8b6c99f"," Jun 25, 2020        
")</f>
        <v> Jun 25, 2020        
</v>
      </c>
      <c r="AM214" s="127">
        <v>5.0E7</v>
      </c>
      <c r="AN214" s="124"/>
      <c r="AO214" s="125"/>
      <c r="AP214" s="124"/>
      <c r="AQ214" s="125"/>
      <c r="AR214" s="124"/>
      <c r="AS214" s="124"/>
      <c r="AT214" s="124"/>
      <c r="AU214" s="137"/>
      <c r="AV214" s="124"/>
      <c r="AW214" s="38"/>
      <c r="AX214" s="124"/>
      <c r="AY214" s="38"/>
      <c r="AZ214" s="124"/>
      <c r="BA214" s="137"/>
      <c r="BB214" s="124"/>
      <c r="BC214" s="137"/>
      <c r="BD214" s="124"/>
      <c r="BE214" s="125"/>
      <c r="BF214" s="123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</row>
    <row r="215" ht="15.75" customHeight="1">
      <c r="A215" s="21" t="s">
        <v>1196</v>
      </c>
      <c r="B215" s="68"/>
      <c r="C215" s="69" t="s">
        <v>132</v>
      </c>
      <c r="D215" s="48"/>
      <c r="E215" s="138" t="s">
        <v>1197</v>
      </c>
      <c r="F215" s="173" t="s">
        <v>1198</v>
      </c>
      <c r="G215" s="186"/>
      <c r="H215" s="71" t="s">
        <v>401</v>
      </c>
      <c r="I215" s="26" t="s">
        <v>65</v>
      </c>
      <c r="J215" s="155"/>
      <c r="K215" s="26">
        <v>3.0</v>
      </c>
      <c r="L215" s="26">
        <v>2015.0</v>
      </c>
      <c r="M215" s="25">
        <f t="shared" si="157"/>
        <v>10</v>
      </c>
      <c r="N215" s="26">
        <f t="shared" si="158"/>
        <v>4</v>
      </c>
      <c r="O215" s="27" t="str">
        <f t="shared" si="3"/>
        <v>#N/A</v>
      </c>
      <c r="P215" s="28">
        <f t="shared" si="155"/>
        <v>154</v>
      </c>
      <c r="Q215" s="28">
        <f t="shared" si="156"/>
        <v>215</v>
      </c>
      <c r="R215" s="28"/>
      <c r="S215" s="28"/>
      <c r="T215" s="29">
        <f t="shared" si="159"/>
        <v>6030000</v>
      </c>
      <c r="U215" s="28"/>
      <c r="V215" s="30">
        <f t="shared" si="28"/>
        <v>60300000</v>
      </c>
      <c r="W215" s="30"/>
      <c r="X215" s="32">
        <f t="shared" si="160"/>
        <v>1.04212837</v>
      </c>
      <c r="Y215" s="33">
        <f t="shared" si="161"/>
        <v>0.3305561771</v>
      </c>
      <c r="Z215" s="692"/>
      <c r="AA215" s="665"/>
      <c r="AB215" s="74"/>
      <c r="AC215" s="74"/>
      <c r="AD215" s="79"/>
      <c r="AE215" s="84"/>
      <c r="AF215" s="175" t="str">
        <f>HYPERLINK("https://www.crunchbase.com/funding_round/workiz-seed--e8dbea86","Oct 22, 2018")</f>
        <v>Oct 22, 2018</v>
      </c>
      <c r="AG215" s="76">
        <v>2300000.0</v>
      </c>
      <c r="AH215" s="77"/>
      <c r="AI215" s="78"/>
      <c r="AJ215" s="874" t="str">
        <f>HYPERLINK("https://www.crunchbase.com/funding_round/workiz-series-a--1ab367f4","Oct 30, 2019")</f>
        <v>Oct 30, 2019</v>
      </c>
      <c r="AK215" s="891">
        <v>5000000.0</v>
      </c>
      <c r="AL215" s="181" t="str">
        <f>HYPERLINK("https://www.crunchbase.com/funding_round/workiz-series-b--43f90684","Feb 24, 2021")</f>
        <v>Feb 24, 2021</v>
      </c>
      <c r="AM215" s="76">
        <v>1.3E7</v>
      </c>
      <c r="AN215" s="181" t="str">
        <f>HYPERLINK("https://www.crunchbase.com/funding_round/workiz-series-c--a8720887","Nov 17, 2021")</f>
        <v>Nov 17, 2021</v>
      </c>
      <c r="AO215" s="76">
        <v>4.0E7</v>
      </c>
      <c r="AP215" s="79"/>
      <c r="AQ215" s="84"/>
      <c r="AR215" s="79"/>
      <c r="AS215" s="79"/>
      <c r="AT215" s="79"/>
      <c r="AU215" s="80"/>
      <c r="AV215" s="79"/>
      <c r="AW215" s="38"/>
      <c r="AX215" s="79"/>
      <c r="AY215" s="38"/>
      <c r="AZ215" s="79"/>
      <c r="BA215" s="80"/>
      <c r="BB215" s="79"/>
      <c r="BC215" s="80"/>
      <c r="BD215" s="79"/>
      <c r="BE215" s="84"/>
      <c r="BF215" s="74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</row>
    <row r="216" ht="15.75" customHeight="1">
      <c r="A216" s="892" t="s">
        <v>1199</v>
      </c>
      <c r="B216" s="16"/>
      <c r="C216" s="17" t="s">
        <v>123</v>
      </c>
      <c r="D216" s="192" t="s">
        <v>1200</v>
      </c>
      <c r="E216" s="192" t="s">
        <v>1201</v>
      </c>
      <c r="F216" s="118" t="s">
        <v>1202</v>
      </c>
      <c r="G216" s="317"/>
      <c r="H216" s="22" t="s">
        <v>129</v>
      </c>
      <c r="I216" s="23" t="s">
        <v>129</v>
      </c>
      <c r="J216" s="237"/>
      <c r="K216" s="36"/>
      <c r="L216" s="23">
        <v>2015.0</v>
      </c>
      <c r="M216" s="25">
        <f t="shared" si="157"/>
        <v>10</v>
      </c>
      <c r="N216" s="26">
        <f t="shared" si="158"/>
        <v>1</v>
      </c>
      <c r="O216" s="27" t="str">
        <f t="shared" si="3"/>
        <v>#N/A</v>
      </c>
      <c r="P216" s="28">
        <f t="shared" si="155"/>
        <v>155</v>
      </c>
      <c r="Q216" s="28">
        <f t="shared" si="156"/>
        <v>217</v>
      </c>
      <c r="R216" s="28"/>
      <c r="S216" s="28"/>
      <c r="T216" s="29">
        <f t="shared" si="159"/>
        <v>6000000</v>
      </c>
      <c r="U216" s="28"/>
      <c r="V216" s="30">
        <f t="shared" si="28"/>
        <v>60000000</v>
      </c>
      <c r="W216" s="30"/>
      <c r="X216" s="32">
        <f t="shared" si="160"/>
        <v>0</v>
      </c>
      <c r="Y216" s="33">
        <f t="shared" si="161"/>
        <v>0</v>
      </c>
      <c r="Z216" s="692"/>
      <c r="AA216" s="665"/>
      <c r="AB216" s="23"/>
      <c r="AC216" s="36"/>
      <c r="AD216" s="44"/>
      <c r="AE216" s="38"/>
      <c r="AF216" s="320">
        <v>42796.0</v>
      </c>
      <c r="AG216" s="38">
        <v>6.0E7</v>
      </c>
      <c r="AH216" s="36"/>
      <c r="AI216" s="159"/>
      <c r="AJ216" s="44"/>
      <c r="AK216" s="46"/>
      <c r="AL216" s="44"/>
      <c r="AM216" s="46"/>
      <c r="AN216" s="44"/>
      <c r="AO216" s="46"/>
      <c r="AP216" s="44"/>
      <c r="AQ216" s="46"/>
      <c r="AR216" s="44"/>
      <c r="AS216" s="44"/>
      <c r="AT216" s="44"/>
      <c r="AU216" s="45"/>
      <c r="AV216" s="44"/>
      <c r="AW216" s="38"/>
      <c r="AX216" s="44"/>
      <c r="AY216" s="38"/>
      <c r="AZ216" s="44"/>
      <c r="BA216" s="45"/>
      <c r="BB216" s="44"/>
      <c r="BC216" s="45"/>
      <c r="BD216" s="44"/>
      <c r="BE216" s="46"/>
      <c r="BF216" s="3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</row>
    <row r="217" ht="15.75" customHeight="1">
      <c r="A217" s="21" t="s">
        <v>1203</v>
      </c>
      <c r="B217" s="68"/>
      <c r="C217" s="69" t="s">
        <v>59</v>
      </c>
      <c r="D217" s="184"/>
      <c r="E217" s="138" t="s">
        <v>1204</v>
      </c>
      <c r="F217" s="173" t="s">
        <v>1205</v>
      </c>
      <c r="G217" s="71"/>
      <c r="H217" s="71" t="s">
        <v>128</v>
      </c>
      <c r="I217" s="26" t="s">
        <v>129</v>
      </c>
      <c r="J217" s="155"/>
      <c r="K217" s="26"/>
      <c r="L217" s="26">
        <v>2018.0</v>
      </c>
      <c r="M217" s="25"/>
      <c r="N217" s="26"/>
      <c r="O217" s="27" t="str">
        <f t="shared" si="3"/>
        <v>#N/A</v>
      </c>
      <c r="P217" s="28" t="str">
        <f t="shared" si="155"/>
        <v>#N/A</v>
      </c>
      <c r="Q217" s="28">
        <f t="shared" si="156"/>
        <v>217</v>
      </c>
      <c r="R217" s="28"/>
      <c r="S217" s="28"/>
      <c r="T217" s="28"/>
      <c r="U217" s="28"/>
      <c r="V217" s="30">
        <f t="shared" si="28"/>
        <v>60000000</v>
      </c>
      <c r="W217" s="30"/>
      <c r="X217" s="73"/>
      <c r="Y217" s="73"/>
      <c r="Z217" s="692"/>
      <c r="AA217" s="665"/>
      <c r="AB217" s="74"/>
      <c r="AC217" s="74"/>
      <c r="AD217" s="44"/>
      <c r="AE217" s="46"/>
      <c r="AF217" s="39"/>
      <c r="AG217" s="46"/>
      <c r="AH217" s="36"/>
      <c r="AI217" s="159"/>
      <c r="AJ217" s="228" t="str">
        <f>HYPERLINK("https://techcrunch.com/2022/02/10/republics-metaverse-real-estate-arm-spins-off-rebrands-as-everyrealm/","Feb 10, 2022")</f>
        <v>Feb 10, 2022</v>
      </c>
      <c r="AK217" s="38">
        <v>6.0E7</v>
      </c>
      <c r="AL217" s="37"/>
      <c r="AM217" s="38"/>
      <c r="AN217" s="37"/>
      <c r="AO217" s="38"/>
      <c r="AP217" s="44"/>
      <c r="AQ217" s="46"/>
      <c r="AR217" s="44"/>
      <c r="AS217" s="44"/>
      <c r="AT217" s="44"/>
      <c r="AU217" s="45"/>
      <c r="AV217" s="44"/>
      <c r="AW217" s="38"/>
      <c r="AX217" s="44"/>
      <c r="AY217" s="38"/>
      <c r="AZ217" s="44"/>
      <c r="BA217" s="45"/>
      <c r="BB217" s="44"/>
      <c r="BC217" s="45"/>
      <c r="BD217" s="44"/>
      <c r="BE217" s="46"/>
      <c r="BF217" s="36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</row>
    <row r="218" ht="15.75" customHeight="1">
      <c r="A218" s="245" t="s">
        <v>1206</v>
      </c>
      <c r="B218" s="17"/>
      <c r="C218" s="17" t="s">
        <v>59</v>
      </c>
      <c r="D218" s="138" t="s">
        <v>1207</v>
      </c>
      <c r="E218" s="236" t="s">
        <v>1208</v>
      </c>
      <c r="F218" s="803" t="s">
        <v>1209</v>
      </c>
      <c r="G218" s="317"/>
      <c r="H218" s="22" t="s">
        <v>64</v>
      </c>
      <c r="I218" s="23" t="s">
        <v>65</v>
      </c>
      <c r="J218" s="237"/>
      <c r="K218" s="23">
        <v>3.0</v>
      </c>
      <c r="L218" s="23">
        <v>2017.0</v>
      </c>
      <c r="M218" s="25">
        <f t="shared" ref="M218:M220" si="162">year(now()) -L218</f>
        <v>8</v>
      </c>
      <c r="N218" s="26">
        <f t="shared" ref="N218:N220" si="163">counta(AE218,AG218,AI218,AK218,AM218,AO218,AQ218,AS218,AU218,AW218,AY218,BA218,BC218)</f>
        <v>4</v>
      </c>
      <c r="O218" s="27" t="str">
        <f t="shared" si="3"/>
        <v>#N/A</v>
      </c>
      <c r="P218" s="28">
        <f t="shared" si="155"/>
        <v>134</v>
      </c>
      <c r="Q218" s="28">
        <f t="shared" si="156"/>
        <v>219</v>
      </c>
      <c r="R218" s="28"/>
      <c r="S218" s="28"/>
      <c r="T218" s="29">
        <f t="shared" ref="T218:T220" si="164">V218/M218</f>
        <v>7443750</v>
      </c>
      <c r="U218" s="28"/>
      <c r="V218" s="30">
        <f t="shared" si="28"/>
        <v>59550000</v>
      </c>
      <c r="W218" s="30"/>
      <c r="X218" s="32">
        <f t="shared" ref="X218:X220" si="165">(max(AE218,AG218,AI218,AK218,AM218,AO218,AQ218,AS218,AU218,AW218,AY218,BA218,BC218)/min(AE218,AG218,AI218,AK218,AM218,AO218,AQ218,AS218,AU218,AW218,AY218,BA218,BC218))^(1/N218)-1</f>
        <v>1.685349614</v>
      </c>
      <c r="Y218" s="33">
        <f t="shared" ref="Y218:Y220" si="166">(max(AE218,AG218,AI218,AK218,AM218,AO218,AQ218,AS218,AU218,AW218,AY218,BA218,BC218)/min(AE218,AG218,AI218,AK218,AM218,AO218,AQ218,AS218,AU218,AW218,AY218,BA218,BC218))^(1/M218)-1</f>
        <v>0.6387036383</v>
      </c>
      <c r="Z218" s="692"/>
      <c r="AA218" s="665"/>
      <c r="AB218" s="36"/>
      <c r="AC218" s="36"/>
      <c r="AD218" s="43" t="str">
        <f>HYPERLINK("https://www.crunchbase.com/funding_round/convex-c445-pre-seed--c4734045","Dec 17, 2018")</f>
        <v>Dec 17, 2018</v>
      </c>
      <c r="AE218" s="38">
        <v>750000.0</v>
      </c>
      <c r="AF218" s="158" t="str">
        <f>HYPERLINK("https://www.crunchbase.com/funding_round/convex-c445-seed--e5ec95d1","Apr 2, 2019")</f>
        <v>Apr 2, 2019</v>
      </c>
      <c r="AG218" s="38">
        <v>2800000.0</v>
      </c>
      <c r="AH218" s="36"/>
      <c r="AI218" s="159"/>
      <c r="AJ218" s="43" t="str">
        <f>HYPERLINK("https://www.crunchbase.com/funding_round/convex-c445-series-a--e5551dbe","Mar 24, 2020")</f>
        <v>Mar 24, 2020</v>
      </c>
      <c r="AK218" s="38">
        <v>1.7E7</v>
      </c>
      <c r="AL218" s="43" t="str">
        <f>HYPERLINK("https://www.crunchbase.com/funding_round/convex-c445-series-b--1fa47669","Oct 12, 2021")</f>
        <v>Oct 12, 2021</v>
      </c>
      <c r="AM218" s="38">
        <v>3.9E7</v>
      </c>
      <c r="AN218" s="44"/>
      <c r="AO218" s="46"/>
      <c r="AP218" s="37"/>
      <c r="AQ218" s="38"/>
      <c r="AR218" s="44"/>
      <c r="AS218" s="44"/>
      <c r="AT218" s="44"/>
      <c r="AU218" s="45"/>
      <c r="AV218" s="44"/>
      <c r="AW218" s="38"/>
      <c r="AX218" s="44"/>
      <c r="AY218" s="38"/>
      <c r="AZ218" s="44"/>
      <c r="BA218" s="45"/>
      <c r="BB218" s="44"/>
      <c r="BC218" s="45"/>
      <c r="BD218" s="44"/>
      <c r="BE218" s="46"/>
      <c r="BF218" s="36"/>
      <c r="BG218" s="115"/>
      <c r="BH218" s="115"/>
      <c r="BI218" s="115"/>
      <c r="BJ218" s="115"/>
      <c r="BK218" s="115"/>
      <c r="BL218" s="115"/>
      <c r="BM218" s="115"/>
      <c r="BN218" s="115"/>
      <c r="BO218" s="115"/>
      <c r="BP218" s="115"/>
      <c r="BQ218" s="115"/>
      <c r="BR218" s="115"/>
      <c r="BS218" s="115"/>
      <c r="BT218" s="115"/>
      <c r="BU218" s="115"/>
      <c r="BV218" s="115"/>
      <c r="BW218" s="115"/>
      <c r="BX218" s="115"/>
      <c r="BY218" s="115"/>
      <c r="BZ218" s="115"/>
      <c r="CA218" s="115"/>
      <c r="CB218" s="115"/>
      <c r="CC218" s="115"/>
      <c r="CD218" s="115"/>
      <c r="CE218" s="115"/>
      <c r="CF218" s="115"/>
      <c r="CG218" s="115"/>
      <c r="CH218" s="115"/>
      <c r="CI218" s="115"/>
      <c r="CJ218" s="115"/>
      <c r="CK218" s="115"/>
      <c r="CL218" s="115"/>
      <c r="CM218" s="115"/>
      <c r="CN218" s="115"/>
      <c r="CO218" s="115"/>
      <c r="CP218" s="115"/>
    </row>
    <row r="219" ht="15.75" customHeight="1">
      <c r="A219" s="442" t="s">
        <v>1210</v>
      </c>
      <c r="B219" s="68" t="s">
        <v>1211</v>
      </c>
      <c r="C219" s="69" t="s">
        <v>84</v>
      </c>
      <c r="D219" s="184" t="s">
        <v>1212</v>
      </c>
      <c r="E219" s="200" t="s">
        <v>1213</v>
      </c>
      <c r="F219" s="185" t="s">
        <v>1214</v>
      </c>
      <c r="G219" s="186"/>
      <c r="H219" s="186" t="s">
        <v>64</v>
      </c>
      <c r="I219" s="74" t="s">
        <v>65</v>
      </c>
      <c r="J219" s="155"/>
      <c r="K219" s="26">
        <v>2.0</v>
      </c>
      <c r="L219" s="142">
        <v>2011.0</v>
      </c>
      <c r="M219" s="25">
        <f t="shared" si="162"/>
        <v>14</v>
      </c>
      <c r="N219" s="26">
        <f t="shared" si="163"/>
        <v>4</v>
      </c>
      <c r="O219" s="27" t="str">
        <f t="shared" si="3"/>
        <v>#N/A</v>
      </c>
      <c r="P219" s="28">
        <f t="shared" si="155"/>
        <v>187</v>
      </c>
      <c r="Q219" s="28">
        <f t="shared" si="156"/>
        <v>220</v>
      </c>
      <c r="R219" s="28"/>
      <c r="S219" s="28"/>
      <c r="T219" s="29">
        <f t="shared" si="164"/>
        <v>4221428.571</v>
      </c>
      <c r="U219" s="28"/>
      <c r="V219" s="30">
        <f t="shared" si="28"/>
        <v>59100000</v>
      </c>
      <c r="W219" s="30"/>
      <c r="X219" s="32">
        <f t="shared" si="165"/>
        <v>0.6851733357</v>
      </c>
      <c r="Y219" s="33">
        <f t="shared" si="166"/>
        <v>0.1607951742</v>
      </c>
      <c r="Z219" s="692"/>
      <c r="AA219" s="665"/>
      <c r="AB219" s="74"/>
      <c r="AC219" s="74"/>
      <c r="AD219" s="79"/>
      <c r="AE219" s="84"/>
      <c r="AF219" s="175" t="str">
        <f>HYPERLINK("https://www.crunchbase.com/organization/hover-3d#section-funding-rounds"," 12/1/2012")</f>
        <v> 12/1/2012</v>
      </c>
      <c r="AG219" s="84">
        <v>3100000.0</v>
      </c>
      <c r="AH219" s="77"/>
      <c r="AI219" s="78"/>
      <c r="AJ219" s="426" t="str">
        <f>HYPERLINK("https://www.crunchbase.com/funding_round/hover-3d-series-a--58f18763"," 11/19/20150")</f>
        <v> 11/19/20150</v>
      </c>
      <c r="AK219" s="76">
        <v>6000000.0</v>
      </c>
      <c r="AL219" s="181" t="str">
        <f>HYPERLINK("https://www.crunchbase.com/funding_round/hover-3d-series-b--24e5af51"," Jan 29, 2018        
")</f>
        <v> Jan 29, 2018        
</v>
      </c>
      <c r="AM219" s="76">
        <v>2.5E7</v>
      </c>
      <c r="AN219" s="181" t="str">
        <f>HYPERLINK("https://www.crunchbase.com/funding_round/hover-3d-series-c--abd78aa7"," Apr 25, 2019        
")</f>
        <v> Apr 25, 2019        
</v>
      </c>
      <c r="AO219" s="76">
        <v>2.5E7</v>
      </c>
      <c r="AP219" s="79"/>
      <c r="AQ219" s="84"/>
      <c r="AR219" s="79"/>
      <c r="AS219" s="79"/>
      <c r="AT219" s="79"/>
      <c r="AU219" s="80"/>
      <c r="AV219" s="79"/>
      <c r="AW219" s="38"/>
      <c r="AX219" s="79"/>
      <c r="AY219" s="38"/>
      <c r="AZ219" s="79"/>
      <c r="BA219" s="80"/>
      <c r="BB219" s="79"/>
      <c r="BC219" s="80"/>
      <c r="BD219" s="79"/>
      <c r="BE219" s="84"/>
      <c r="BF219" s="74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</row>
    <row r="220" ht="15.75" customHeight="1">
      <c r="A220" s="666" t="s">
        <v>1215</v>
      </c>
      <c r="B220" s="115"/>
      <c r="C220" s="116" t="s">
        <v>207</v>
      </c>
      <c r="D220" s="161" t="s">
        <v>1216</v>
      </c>
      <c r="E220" s="540" t="s">
        <v>1217</v>
      </c>
      <c r="F220" s="893" t="s">
        <v>1218</v>
      </c>
      <c r="G220" s="54" t="s">
        <v>1219</v>
      </c>
      <c r="H220" s="286" t="s">
        <v>357</v>
      </c>
      <c r="I220" s="123" t="s">
        <v>518</v>
      </c>
      <c r="J220" s="178" t="s">
        <v>1220</v>
      </c>
      <c r="K220" s="25">
        <v>4.0</v>
      </c>
      <c r="L220" s="25">
        <v>2014.0</v>
      </c>
      <c r="M220" s="25">
        <f t="shared" si="162"/>
        <v>11</v>
      </c>
      <c r="N220" s="26">
        <f t="shared" si="163"/>
        <v>4</v>
      </c>
      <c r="O220" s="27" t="str">
        <f t="shared" si="3"/>
        <v>#N/A</v>
      </c>
      <c r="P220" s="28">
        <f t="shared" si="155"/>
        <v>172</v>
      </c>
      <c r="Q220" s="28">
        <f t="shared" si="156"/>
        <v>220</v>
      </c>
      <c r="R220" s="28"/>
      <c r="S220" s="28"/>
      <c r="T220" s="29">
        <f t="shared" si="164"/>
        <v>5372727.273</v>
      </c>
      <c r="U220" s="28"/>
      <c r="V220" s="30">
        <f t="shared" si="28"/>
        <v>59100000</v>
      </c>
      <c r="W220" s="30"/>
      <c r="X220" s="32">
        <f t="shared" si="165"/>
        <v>0.9441308418</v>
      </c>
      <c r="Y220" s="33">
        <f t="shared" si="166"/>
        <v>0.2734769461</v>
      </c>
      <c r="Z220" s="692"/>
      <c r="AA220" s="665"/>
      <c r="AB220" s="123"/>
      <c r="AC220" s="123"/>
      <c r="AD220" s="322"/>
      <c r="AE220" s="323"/>
      <c r="AF220" s="324" t="str">
        <f>HYPERLINK("https://www.crunchbase.com/organization/getrobin#section-funding-rounds"," Jul 7, 2014")</f>
        <v> Jul 7, 2014</v>
      </c>
      <c r="AG220" s="325">
        <v>2100000.0</v>
      </c>
      <c r="AH220" s="326"/>
      <c r="AI220" s="327"/>
      <c r="AJ220" s="732" t="str">
        <f>HYPERLINK("https://www.crunchbase.com/funding_round/getrobin-series-a--9b6c1ca9","May 31, 2016")</f>
        <v>May 31, 2016</v>
      </c>
      <c r="AK220" s="325">
        <v>7000000.0</v>
      </c>
      <c r="AL220" s="328" t="str">
        <f>HYPERLINK("https://www.crunchbase.com/funding_round/getrobin-series-b--cd95fcb3","May 20, 2019")</f>
        <v>May 20, 2019</v>
      </c>
      <c r="AM220" s="125">
        <v>2.0E7</v>
      </c>
      <c r="AN220" s="855">
        <v>44756.0</v>
      </c>
      <c r="AO220" s="127">
        <v>3.0E7</v>
      </c>
      <c r="AP220" s="124"/>
      <c r="AQ220" s="125"/>
      <c r="AR220" s="124"/>
      <c r="AS220" s="124"/>
      <c r="AT220" s="124"/>
      <c r="AU220" s="137"/>
      <c r="AV220" s="124"/>
      <c r="AW220" s="38"/>
      <c r="AX220" s="124"/>
      <c r="AY220" s="38"/>
      <c r="AZ220" s="124"/>
      <c r="BA220" s="137"/>
      <c r="BB220" s="124"/>
      <c r="BC220" s="137"/>
      <c r="BD220" s="124"/>
      <c r="BE220" s="125"/>
      <c r="BF220" s="123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</row>
    <row r="221" ht="15.75" customHeight="1">
      <c r="A221" s="48" t="s">
        <v>1221</v>
      </c>
      <c r="B221" s="68"/>
      <c r="C221" s="69" t="s">
        <v>59</v>
      </c>
      <c r="D221" s="192" t="s">
        <v>1222</v>
      </c>
      <c r="E221" s="192" t="s">
        <v>1223</v>
      </c>
      <c r="F221" s="389" t="s">
        <v>1224</v>
      </c>
      <c r="G221" s="186"/>
      <c r="H221" s="71" t="s">
        <v>64</v>
      </c>
      <c r="I221" s="26" t="s">
        <v>65</v>
      </c>
      <c r="J221" s="155"/>
      <c r="K221" s="26">
        <v>2.0</v>
      </c>
      <c r="L221" s="26">
        <v>2015.0</v>
      </c>
      <c r="M221" s="25"/>
      <c r="N221" s="26"/>
      <c r="O221" s="27" t="str">
        <f t="shared" si="3"/>
        <v>#N/A</v>
      </c>
      <c r="P221" s="28" t="str">
        <f t="shared" si="155"/>
        <v>#N/A</v>
      </c>
      <c r="Q221" s="28">
        <f t="shared" si="156"/>
        <v>222</v>
      </c>
      <c r="R221" s="273"/>
      <c r="S221" s="273"/>
      <c r="T221" s="273"/>
      <c r="U221" s="273"/>
      <c r="V221" s="30">
        <f t="shared" si="28"/>
        <v>59000000</v>
      </c>
      <c r="W221" s="30"/>
      <c r="X221" s="73"/>
      <c r="Y221" s="73"/>
      <c r="Z221" s="692"/>
      <c r="AA221" s="665"/>
      <c r="AB221" s="74"/>
      <c r="AC221" s="74"/>
      <c r="AD221" s="44"/>
      <c r="AE221" s="46"/>
      <c r="AF221" s="158" t="str">
        <f>HYPERLINK("https://www.crunchbase.com/funding_round/earnup-seed--d9195058","Jul 7, 2016")</f>
        <v>Jul 7, 2016</v>
      </c>
      <c r="AG221" s="38">
        <v>3000000.0</v>
      </c>
      <c r="AH221" s="36"/>
      <c r="AI221" s="159"/>
      <c r="AJ221" s="44"/>
      <c r="AK221" s="46"/>
      <c r="AL221" s="43" t="str">
        <f>HYPERLINK("https://www.crunchbase.com/funding_round/earnup-series-b--cbcaf033","Feb 24, 2021")</f>
        <v>Feb 24, 2021</v>
      </c>
      <c r="AM221" s="38">
        <v>2.5E7</v>
      </c>
      <c r="AN221" s="43" t="str">
        <f>HYPERLINK("https://www.crunchbase.com/funding_round/earnup-series-c--2fa1b846","Mar 15, 2022")</f>
        <v>Mar 15, 2022</v>
      </c>
      <c r="AO221" s="38">
        <v>3.1E7</v>
      </c>
      <c r="AP221" s="44"/>
      <c r="AQ221" s="46"/>
      <c r="AR221" s="44"/>
      <c r="AS221" s="44"/>
      <c r="AT221" s="44"/>
      <c r="AU221" s="45"/>
      <c r="AV221" s="44"/>
      <c r="AW221" s="38"/>
      <c r="AX221" s="44"/>
      <c r="AY221" s="38"/>
      <c r="AZ221" s="44"/>
      <c r="BA221" s="45"/>
      <c r="BB221" s="44"/>
      <c r="BC221" s="45"/>
      <c r="BD221" s="44"/>
      <c r="BE221" s="46"/>
      <c r="BF221" s="36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</row>
    <row r="222" ht="15.75" customHeight="1">
      <c r="A222" s="21" t="s">
        <v>243</v>
      </c>
      <c r="B222" s="68"/>
      <c r="C222" s="69" t="s">
        <v>1225</v>
      </c>
      <c r="D222" s="337"/>
      <c r="E222" s="192" t="s">
        <v>1226</v>
      </c>
      <c r="F222" s="118" t="s">
        <v>1227</v>
      </c>
      <c r="G222" s="140" t="s">
        <v>1228</v>
      </c>
      <c r="H222" s="71" t="s">
        <v>1229</v>
      </c>
      <c r="I222" s="26" t="s">
        <v>109</v>
      </c>
      <c r="J222" s="155"/>
      <c r="K222" s="74"/>
      <c r="L222" s="26">
        <v>2015.0</v>
      </c>
      <c r="M222" s="25">
        <f t="shared" ref="M222:M226" si="167">year(now()) -L222</f>
        <v>10</v>
      </c>
      <c r="N222" s="26">
        <f t="shared" ref="N222:N226" si="168">counta(AE222,AG222,AI222,AK222,AM222,AO222,AQ222,AS222,AU222,AW222,AY222,BA222,BC222)</f>
        <v>2</v>
      </c>
      <c r="O222" s="27" t="str">
        <f t="shared" si="3"/>
        <v>#N/A</v>
      </c>
      <c r="P222" s="28">
        <f t="shared" si="155"/>
        <v>159</v>
      </c>
      <c r="Q222" s="28">
        <f t="shared" si="156"/>
        <v>223</v>
      </c>
      <c r="R222" s="28"/>
      <c r="S222" s="28"/>
      <c r="T222" s="29">
        <f t="shared" ref="T222:T226" si="169">V222/M222</f>
        <v>5830000</v>
      </c>
      <c r="U222" s="28"/>
      <c r="V222" s="30">
        <f t="shared" si="28"/>
        <v>58300000</v>
      </c>
      <c r="W222" s="30"/>
      <c r="X222" s="32">
        <f t="shared" ref="X222:X226" si="170">(max(AE222,AG222,AI222,AK222,AM222,AO222,AQ222,AS222,AU222,AW222,AY222,BA222,BC222)/min(AE222,AG222,AI222,AK222,AM222,AO222,AQ222,AS222,AU222,AW222,AY222,BA222,BC222))^(1/N222)-1</f>
        <v>0.7541160386</v>
      </c>
      <c r="Y222" s="33">
        <f t="shared" ref="Y222:Y223" si="171">(max(AE222,AG222,AI222,AK222,AM222,AO222,AQ222,AS222,AU222,AW222,AY222,BA222,BC222)/min(AE222,AG222,AI222,AK222,AM222,AO222,AQ222,AS222,AU222,AW222,AY222,BA222,BC222))^(1/M222)-1</f>
        <v>0.1189525334</v>
      </c>
      <c r="Z222" s="692"/>
      <c r="AA222" s="665"/>
      <c r="AB222" s="74"/>
      <c r="AC222" s="74"/>
      <c r="AD222" s="79"/>
      <c r="AE222" s="84"/>
      <c r="AF222" s="338"/>
      <c r="AG222" s="76"/>
      <c r="AH222" s="74"/>
      <c r="AI222" s="78"/>
      <c r="AJ222" s="227">
        <v>44076.0</v>
      </c>
      <c r="AK222" s="76">
        <v>1.43E7</v>
      </c>
      <c r="AL222" s="181" t="str">
        <f>HYPERLINK("https://www.crunchbase.com/funding_round/mosaic-building-series-b--237d47b6","Aug 26, 2021")</f>
        <v>Aug 26, 2021</v>
      </c>
      <c r="AM222" s="76">
        <v>4.4E7</v>
      </c>
      <c r="AN222" s="79"/>
      <c r="AO222" s="84"/>
      <c r="AP222" s="79"/>
      <c r="AQ222" s="84"/>
      <c r="AR222" s="79"/>
      <c r="AS222" s="79"/>
      <c r="AT222" s="79"/>
      <c r="AU222" s="80"/>
      <c r="AV222" s="79"/>
      <c r="AW222" s="38"/>
      <c r="AX222" s="79"/>
      <c r="AY222" s="38"/>
      <c r="AZ222" s="79"/>
      <c r="BA222" s="80"/>
      <c r="BB222" s="79"/>
      <c r="BC222" s="80"/>
      <c r="BD222" s="79"/>
      <c r="BE222" s="84"/>
      <c r="BF222" s="74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</row>
    <row r="223" ht="15.75" customHeight="1">
      <c r="A223" s="21" t="s">
        <v>1230</v>
      </c>
      <c r="B223" s="68"/>
      <c r="C223" s="69" t="s">
        <v>84</v>
      </c>
      <c r="D223" s="385"/>
      <c r="E223" s="138" t="s">
        <v>1231</v>
      </c>
      <c r="F223" s="173" t="s">
        <v>1232</v>
      </c>
      <c r="G223" s="186"/>
      <c r="H223" s="71" t="s">
        <v>64</v>
      </c>
      <c r="I223" s="26" t="s">
        <v>65</v>
      </c>
      <c r="J223" s="155"/>
      <c r="K223" s="26">
        <v>2.0</v>
      </c>
      <c r="L223" s="26">
        <v>2019.0</v>
      </c>
      <c r="M223" s="25">
        <f t="shared" si="167"/>
        <v>6</v>
      </c>
      <c r="N223" s="26">
        <f t="shared" si="168"/>
        <v>2</v>
      </c>
      <c r="O223" s="27" t="str">
        <f t="shared" si="3"/>
        <v>#N/A</v>
      </c>
      <c r="P223" s="28">
        <f t="shared" si="155"/>
        <v>107</v>
      </c>
      <c r="Q223" s="28">
        <f t="shared" si="156"/>
        <v>224</v>
      </c>
      <c r="R223" s="28"/>
      <c r="S223" s="28"/>
      <c r="T223" s="29">
        <f t="shared" si="169"/>
        <v>9666666.667</v>
      </c>
      <c r="U223" s="28"/>
      <c r="V223" s="30">
        <f t="shared" si="28"/>
        <v>58000000</v>
      </c>
      <c r="W223" s="30"/>
      <c r="X223" s="32">
        <f t="shared" si="170"/>
        <v>1.5</v>
      </c>
      <c r="Y223" s="33">
        <f t="shared" si="171"/>
        <v>0.3572088083</v>
      </c>
      <c r="Z223" s="692"/>
      <c r="AA223" s="665"/>
      <c r="AB223" s="74"/>
      <c r="AC223" s="74"/>
      <c r="AD223" s="44"/>
      <c r="AE223" s="46"/>
      <c r="AF223" s="158" t="str">
        <f>HYPERLINK("https://www.crunchbase.com/funding_round/diamond-age-seed--a130b71a","Aug 19, 2021")</f>
        <v>Aug 19, 2021</v>
      </c>
      <c r="AG223" s="38">
        <v>8000000.0</v>
      </c>
      <c r="AH223" s="36"/>
      <c r="AI223" s="159"/>
      <c r="AJ223" s="43" t="str">
        <f>HYPERLINK("https://www.crunchbase.com/funding_round/diamond-age-series-a--ae2ac591","Mar 10, 2022")</f>
        <v>Mar 10, 2022</v>
      </c>
      <c r="AK223" s="38">
        <v>5.0E7</v>
      </c>
      <c r="AL223" s="44"/>
      <c r="AM223" s="46"/>
      <c r="AN223" s="37"/>
      <c r="AO223" s="38"/>
      <c r="AP223" s="37"/>
      <c r="AQ223" s="38"/>
      <c r="AR223" s="37"/>
      <c r="AS223" s="37"/>
      <c r="AT223" s="37"/>
      <c r="AU223" s="229"/>
      <c r="AV223" s="37"/>
      <c r="AW223" s="38"/>
      <c r="AX223" s="37"/>
      <c r="AY223" s="38"/>
      <c r="AZ223" s="37"/>
      <c r="BA223" s="229"/>
      <c r="BB223" s="37"/>
      <c r="BC223" s="229"/>
      <c r="BD223" s="37"/>
      <c r="BE223" s="38"/>
      <c r="BF223" s="36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</row>
    <row r="224" ht="15.75" customHeight="1">
      <c r="A224" s="442" t="s">
        <v>1233</v>
      </c>
      <c r="B224" s="68" t="s">
        <v>1234</v>
      </c>
      <c r="C224" s="858" t="s">
        <v>123</v>
      </c>
      <c r="D224" s="184" t="s">
        <v>1235</v>
      </c>
      <c r="E224" s="184" t="s">
        <v>1236</v>
      </c>
      <c r="F224" s="417" t="s">
        <v>1237</v>
      </c>
      <c r="G224" s="186" t="s">
        <v>1238</v>
      </c>
      <c r="H224" s="186" t="s">
        <v>64</v>
      </c>
      <c r="I224" s="444" t="s">
        <v>287</v>
      </c>
      <c r="J224" s="155" t="s">
        <v>862</v>
      </c>
      <c r="K224" s="74">
        <v>3.0</v>
      </c>
      <c r="L224" s="26">
        <v>2013.0</v>
      </c>
      <c r="M224" s="25">
        <f t="shared" si="167"/>
        <v>12</v>
      </c>
      <c r="N224" s="26">
        <f t="shared" si="168"/>
        <v>4</v>
      </c>
      <c r="O224" s="27" t="str">
        <f t="shared" si="3"/>
        <v>#N/A</v>
      </c>
      <c r="P224" s="28">
        <f t="shared" si="155"/>
        <v>178</v>
      </c>
      <c r="Q224" s="28">
        <f t="shared" si="156"/>
        <v>224</v>
      </c>
      <c r="R224" s="28"/>
      <c r="S224" s="28"/>
      <c r="T224" s="29">
        <f t="shared" si="169"/>
        <v>4833333.333</v>
      </c>
      <c r="U224" s="28"/>
      <c r="V224" s="30">
        <f t="shared" si="28"/>
        <v>58000000</v>
      </c>
      <c r="W224" s="30"/>
      <c r="X224" s="32" t="str">
        <f t="shared" si="170"/>
        <v>#DIV/0!</v>
      </c>
      <c r="Y224" s="33"/>
      <c r="Z224" s="692"/>
      <c r="AA224" s="665"/>
      <c r="AB224" s="74"/>
      <c r="AC224" s="74"/>
      <c r="AD224" s="79"/>
      <c r="AE224" s="84"/>
      <c r="AF224" s="175" t="str">
        <f>HYPERLINK("https://www.crunchbase.com/organization/realtyshares#section-funding-rounds"," Jun 1, 2013")</f>
        <v> Jun 1, 2013</v>
      </c>
      <c r="AG224" s="427">
        <v>0.0</v>
      </c>
      <c r="AH224" s="74"/>
      <c r="AI224" s="78"/>
      <c r="AJ224" s="426" t="str">
        <f>HYPERLINK("https://www.crunchbase.com/funding_round/realtyshares-series-a--1939e1c5","Apr 7, 2015")</f>
        <v>Apr 7, 2015</v>
      </c>
      <c r="AK224" s="894">
        <v>1.0E7</v>
      </c>
      <c r="AL224" s="426" t="str">
        <f>HYPERLINK("https://www.crunchbase.com/funding_round/realtyshares-series-b--319647f0","Feb 24, 2016")</f>
        <v>Feb 24, 2016</v>
      </c>
      <c r="AM224" s="76">
        <v>2.0E7</v>
      </c>
      <c r="AN224" s="426" t="str">
        <f>HYPERLINK("https://www.crunchbase.com/funding_round/realtyshares-series-c--03799099","Sep 14, 2017")</f>
        <v>Sep 14, 2017</v>
      </c>
      <c r="AO224" s="895">
        <v>2.8E7</v>
      </c>
      <c r="AP224" s="79"/>
      <c r="AQ224" s="84"/>
      <c r="AR224" s="79"/>
      <c r="AS224" s="79"/>
      <c r="AT224" s="79"/>
      <c r="AU224" s="80"/>
      <c r="AV224" s="79"/>
      <c r="AW224" s="38"/>
      <c r="AX224" s="79"/>
      <c r="AY224" s="38"/>
      <c r="AZ224" s="79"/>
      <c r="BA224" s="80"/>
      <c r="BB224" s="79"/>
      <c r="BC224" s="80"/>
      <c r="BD224" s="79"/>
      <c r="BE224" s="84"/>
      <c r="BF224" s="74"/>
      <c r="BG224" s="115"/>
      <c r="BH224" s="115"/>
      <c r="BI224" s="115"/>
      <c r="BJ224" s="115"/>
      <c r="BK224" s="115"/>
      <c r="BL224" s="115"/>
      <c r="BM224" s="115"/>
      <c r="BN224" s="115"/>
      <c r="BO224" s="115"/>
      <c r="BP224" s="115"/>
      <c r="BQ224" s="115"/>
      <c r="BR224" s="115"/>
      <c r="BS224" s="115"/>
      <c r="BT224" s="115"/>
      <c r="BU224" s="115"/>
      <c r="BV224" s="115"/>
      <c r="BW224" s="115"/>
      <c r="BX224" s="115"/>
      <c r="BY224" s="115"/>
      <c r="BZ224" s="115"/>
      <c r="CA224" s="115"/>
      <c r="CB224" s="115"/>
      <c r="CC224" s="115"/>
      <c r="CD224" s="115"/>
      <c r="CE224" s="115"/>
      <c r="CF224" s="115"/>
      <c r="CG224" s="115"/>
      <c r="CH224" s="115"/>
      <c r="CI224" s="115"/>
      <c r="CJ224" s="115"/>
      <c r="CK224" s="115"/>
      <c r="CL224" s="115"/>
      <c r="CM224" s="115"/>
      <c r="CN224" s="115"/>
      <c r="CO224" s="115"/>
      <c r="CP224" s="115"/>
    </row>
    <row r="225" ht="15.75" customHeight="1">
      <c r="A225" s="21" t="s">
        <v>1239</v>
      </c>
      <c r="B225" s="17" t="s">
        <v>1240</v>
      </c>
      <c r="C225" s="17" t="s">
        <v>384</v>
      </c>
      <c r="D225" s="200" t="s">
        <v>1241</v>
      </c>
      <c r="E225" s="492" t="s">
        <v>1242</v>
      </c>
      <c r="F225" s="154" t="s">
        <v>1243</v>
      </c>
      <c r="G225" s="896" t="s">
        <v>1244</v>
      </c>
      <c r="H225" s="896" t="s">
        <v>128</v>
      </c>
      <c r="I225" s="23" t="s">
        <v>129</v>
      </c>
      <c r="J225" s="897" t="s">
        <v>1245</v>
      </c>
      <c r="K225" s="23">
        <v>6.0</v>
      </c>
      <c r="L225" s="23">
        <v>2013.0</v>
      </c>
      <c r="M225" s="25">
        <f t="shared" si="167"/>
        <v>12</v>
      </c>
      <c r="N225" s="26">
        <f t="shared" si="168"/>
        <v>3</v>
      </c>
      <c r="O225" s="27" t="str">
        <f t="shared" si="3"/>
        <v>#N/A</v>
      </c>
      <c r="P225" s="28">
        <f t="shared" si="155"/>
        <v>179</v>
      </c>
      <c r="Q225" s="28">
        <f t="shared" si="156"/>
        <v>226</v>
      </c>
      <c r="R225" s="28"/>
      <c r="S225" s="28"/>
      <c r="T225" s="29">
        <f t="shared" si="169"/>
        <v>4807254.583</v>
      </c>
      <c r="U225" s="28"/>
      <c r="V225" s="30">
        <f t="shared" si="28"/>
        <v>57687055</v>
      </c>
      <c r="W225" s="30"/>
      <c r="X225" s="32">
        <f t="shared" si="170"/>
        <v>0.563148098</v>
      </c>
      <c r="Y225" s="33">
        <f t="shared" ref="Y225:Y226" si="172">(max(AE225,AG225,AI225,AK225,AM225,AO225,AQ225,AS225,AU225,AW225,AY225,BA225,BC225)/min(AE225,AG225,AI225,AK225,AM225,AO225,AQ225,AS225,AU225,AW225,AY225,BA225,BC225))^(1/M225)-1</f>
        <v>0.118149906</v>
      </c>
      <c r="Z225" s="692"/>
      <c r="AA225" s="665"/>
      <c r="AB225" s="36"/>
      <c r="AC225" s="36"/>
      <c r="AD225" s="898"/>
      <c r="AE225" s="899"/>
      <c r="AF225" s="158" t="str">
        <f>HYPERLINK("https://www.crunchbase.com/funding_round/blueground-seed--623f07b2"," Jan 2, 2016")</f>
        <v> Jan 2, 2016</v>
      </c>
      <c r="AG225" s="38">
        <v>1595008.0</v>
      </c>
      <c r="AH225" s="900"/>
      <c r="AI225" s="901"/>
      <c r="AJ225" s="862" t="str">
        <f>HYPERLINK("https://www.crunchbase.com/funding_round/blueground-series-a--0f608753"," Apr 5, 2017")</f>
        <v> Apr 5, 2017</v>
      </c>
      <c r="AK225" s="38">
        <v>6092047.0</v>
      </c>
      <c r="AL225" s="902" t="str">
        <f>HYPERLINK("https://www.crunchbase.com/funding_round/blueground-series-b--702b9038"," Oct 23, 2019")</f>
        <v> Oct 23, 2019</v>
      </c>
      <c r="AM225" s="846" t="str">
        <f>HYPERLINK("https://news.crunchbase.com/news/flexible-apartment-rental-startup-blueground-raises-50m-series-b/","$                       50,000,000")</f>
        <v>$                       50,000,000</v>
      </c>
      <c r="AN225" s="44"/>
      <c r="AO225" s="46"/>
      <c r="AP225" s="44"/>
      <c r="AQ225" s="46"/>
      <c r="AR225" s="44"/>
      <c r="AS225" s="44"/>
      <c r="AT225" s="44"/>
      <c r="AU225" s="45"/>
      <c r="AV225" s="44"/>
      <c r="AW225" s="38"/>
      <c r="AX225" s="44"/>
      <c r="AY225" s="38"/>
      <c r="AZ225" s="44"/>
      <c r="BA225" s="45"/>
      <c r="BB225" s="44"/>
      <c r="BC225" s="45"/>
      <c r="BD225" s="44"/>
      <c r="BE225" s="46"/>
      <c r="BF225" s="36"/>
      <c r="BG225" s="456"/>
      <c r="BH225" s="456"/>
      <c r="BI225" s="456"/>
      <c r="BJ225" s="456"/>
      <c r="BK225" s="456"/>
      <c r="BL225" s="456"/>
      <c r="BM225" s="456"/>
      <c r="BN225" s="456"/>
      <c r="BO225" s="456"/>
      <c r="BP225" s="456"/>
      <c r="BQ225" s="456"/>
      <c r="BR225" s="456"/>
      <c r="BS225" s="456"/>
      <c r="BT225" s="456"/>
      <c r="BU225" s="456"/>
      <c r="BV225" s="456"/>
      <c r="BW225" s="456"/>
      <c r="BX225" s="456"/>
      <c r="BY225" s="456"/>
      <c r="BZ225" s="456"/>
      <c r="CA225" s="456"/>
      <c r="CB225" s="456"/>
      <c r="CC225" s="456"/>
      <c r="CD225" s="456"/>
      <c r="CE225" s="456"/>
      <c r="CF225" s="456"/>
      <c r="CG225" s="456"/>
      <c r="CH225" s="456"/>
      <c r="CI225" s="456"/>
      <c r="CJ225" s="456"/>
      <c r="CK225" s="456"/>
      <c r="CL225" s="456"/>
      <c r="CM225" s="456"/>
      <c r="CN225" s="456"/>
      <c r="CO225" s="456"/>
      <c r="CP225" s="456"/>
    </row>
    <row r="226" ht="15.75" customHeight="1">
      <c r="A226" s="400" t="s">
        <v>1246</v>
      </c>
      <c r="B226" s="116"/>
      <c r="C226" s="116" t="s">
        <v>1247</v>
      </c>
      <c r="D226" s="540" t="s">
        <v>1248</v>
      </c>
      <c r="E226" s="540" t="s">
        <v>1249</v>
      </c>
      <c r="F226" s="744" t="s">
        <v>1250</v>
      </c>
      <c r="G226" s="903" t="s">
        <v>1251</v>
      </c>
      <c r="H226" s="119" t="s">
        <v>64</v>
      </c>
      <c r="I226" s="123" t="s">
        <v>65</v>
      </c>
      <c r="J226" s="904" t="s">
        <v>66</v>
      </c>
      <c r="K226" s="25">
        <v>2.0</v>
      </c>
      <c r="L226" s="142">
        <v>2016.0</v>
      </c>
      <c r="M226" s="25">
        <f t="shared" si="167"/>
        <v>9</v>
      </c>
      <c r="N226" s="26">
        <f t="shared" si="168"/>
        <v>3</v>
      </c>
      <c r="O226" s="27" t="str">
        <f t="shared" si="3"/>
        <v>#N/A</v>
      </c>
      <c r="P226" s="28">
        <f t="shared" si="155"/>
        <v>147</v>
      </c>
      <c r="Q226" s="28">
        <f t="shared" si="156"/>
        <v>227</v>
      </c>
      <c r="R226" s="28"/>
      <c r="S226" s="28"/>
      <c r="T226" s="29">
        <f t="shared" si="169"/>
        <v>6355555.556</v>
      </c>
      <c r="U226" s="28"/>
      <c r="V226" s="30">
        <f t="shared" si="28"/>
        <v>57200000</v>
      </c>
      <c r="W226" s="30"/>
      <c r="X226" s="32">
        <f t="shared" si="170"/>
        <v>1.971960976</v>
      </c>
      <c r="Y226" s="33">
        <f t="shared" si="172"/>
        <v>0.4377422465</v>
      </c>
      <c r="Z226" s="692"/>
      <c r="AA226" s="665"/>
      <c r="AB226" s="123"/>
      <c r="AC226" s="123"/>
      <c r="AD226" s="164"/>
      <c r="AE226" s="905"/>
      <c r="AF226" s="906" t="str">
        <f>HYPERLINK("https://www.crunchbase.com/funding_round/martians-seed--945c4fa8"," Ago, 22, 2016")</f>
        <v> Ago, 22, 2016</v>
      </c>
      <c r="AG226" s="127">
        <v>1600000.0</v>
      </c>
      <c r="AH226" s="907"/>
      <c r="AI226" s="908"/>
      <c r="AJ226" s="909" t="str">
        <f>HYPERLINK("https://www.crunchbase.com/funding_round/martians-series-a--8ea5e3cc","Mar 27, 2019")</f>
        <v>Mar 27, 2019</v>
      </c>
      <c r="AK226" s="165">
        <v>1.36E7</v>
      </c>
      <c r="AL226" s="167" t="str">
        <f>HYPERLINK("https://www.crunchbase.com/funding_round/martians-series-b--e9a966a5","Mar 16, 2020")</f>
        <v>Mar 16, 2020</v>
      </c>
      <c r="AM226" s="127">
        <v>4.2E7</v>
      </c>
      <c r="AN226" s="124"/>
      <c r="AO226" s="125"/>
      <c r="AP226" s="124"/>
      <c r="AQ226" s="125"/>
      <c r="AR226" s="124"/>
      <c r="AS226" s="124"/>
      <c r="AT226" s="124"/>
      <c r="AU226" s="137"/>
      <c r="AV226" s="124"/>
      <c r="AW226" s="38"/>
      <c r="AX226" s="124"/>
      <c r="AY226" s="38"/>
      <c r="AZ226" s="124"/>
      <c r="BA226" s="137"/>
      <c r="BB226" s="124"/>
      <c r="BC226" s="137"/>
      <c r="BD226" s="124"/>
      <c r="BE226" s="125"/>
      <c r="BF226" s="123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</row>
    <row r="227" ht="15.75" customHeight="1">
      <c r="A227" s="462" t="s">
        <v>1252</v>
      </c>
      <c r="B227" s="16"/>
      <c r="C227" s="17" t="s">
        <v>68</v>
      </c>
      <c r="D227" s="462"/>
      <c r="E227" s="535" t="s">
        <v>1253</v>
      </c>
      <c r="F227" s="910" t="s">
        <v>1254</v>
      </c>
      <c r="G227" s="317"/>
      <c r="H227" s="22" t="s">
        <v>1255</v>
      </c>
      <c r="I227" s="23" t="s">
        <v>129</v>
      </c>
      <c r="J227" s="237"/>
      <c r="K227" s="23">
        <v>3.0</v>
      </c>
      <c r="L227" s="23">
        <v>2013.0</v>
      </c>
      <c r="M227" s="222"/>
      <c r="N227" s="23"/>
      <c r="O227" s="27" t="str">
        <f t="shared" si="3"/>
        <v>#N/A</v>
      </c>
      <c r="P227" s="28"/>
      <c r="Q227" s="28"/>
      <c r="R227" s="28"/>
      <c r="S227" s="28"/>
      <c r="T227" s="28"/>
      <c r="U227" s="28"/>
      <c r="V227" s="30">
        <f t="shared" si="28"/>
        <v>57090000</v>
      </c>
      <c r="W227" s="30"/>
      <c r="X227" s="33"/>
      <c r="Y227" s="33"/>
      <c r="Z227" s="692"/>
      <c r="AA227" s="665"/>
      <c r="AB227" s="23"/>
      <c r="AC227" s="36"/>
      <c r="AD227" s="44"/>
      <c r="AE227" s="38"/>
      <c r="AF227" s="726">
        <v>41518.0</v>
      </c>
      <c r="AG227" s="46"/>
      <c r="AH227" s="36"/>
      <c r="AI227" s="159"/>
      <c r="AJ227" s="75">
        <v>43468.0</v>
      </c>
      <c r="AK227" s="46"/>
      <c r="AL227" s="391"/>
      <c r="AM227" s="46"/>
      <c r="AN227" s="44"/>
      <c r="AO227" s="46"/>
      <c r="AP227" s="44"/>
      <c r="AQ227" s="46"/>
      <c r="AR227" s="44"/>
      <c r="AS227" s="44"/>
      <c r="AT227" s="44"/>
      <c r="AU227" s="45"/>
      <c r="AV227" s="44"/>
      <c r="AW227" s="38"/>
      <c r="AX227" s="44"/>
      <c r="AY227" s="38"/>
      <c r="AZ227" s="75">
        <v>44803.0</v>
      </c>
      <c r="BA227" s="229">
        <v>4.16E7</v>
      </c>
      <c r="BB227" s="75">
        <v>44698.0</v>
      </c>
      <c r="BC227" s="45">
        <f>14900000+590000</f>
        <v>15490000</v>
      </c>
      <c r="BD227" s="44"/>
      <c r="BE227" s="38"/>
      <c r="BF227" s="36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</row>
    <row r="228" ht="15.75" customHeight="1">
      <c r="A228" s="21" t="s">
        <v>1256</v>
      </c>
      <c r="B228" s="68"/>
      <c r="C228" s="69" t="s">
        <v>1257</v>
      </c>
      <c r="D228" s="48"/>
      <c r="E228" s="138" t="s">
        <v>1258</v>
      </c>
      <c r="F228" s="173" t="s">
        <v>1259</v>
      </c>
      <c r="G228" s="71" t="s">
        <v>1260</v>
      </c>
      <c r="H228" s="71" t="s">
        <v>64</v>
      </c>
      <c r="I228" s="746" t="s">
        <v>65</v>
      </c>
      <c r="J228" s="72" t="s">
        <v>212</v>
      </c>
      <c r="K228" s="26">
        <v>1.0</v>
      </c>
      <c r="L228" s="26">
        <v>2019.0</v>
      </c>
      <c r="M228" s="25">
        <f t="shared" ref="M228:M229" si="173">year(now()) -L228</f>
        <v>6</v>
      </c>
      <c r="N228" s="26">
        <f t="shared" ref="N228:N229" si="174">counta(AE228,AG228,AI228,AK228,AM228,AO228,AQ228,AS228,AU228,AW228,AY228,BA228,BC228)</f>
        <v>2</v>
      </c>
      <c r="O228" s="27" t="str">
        <f t="shared" si="3"/>
        <v>#N/A</v>
      </c>
      <c r="P228" s="28">
        <f t="shared" ref="P228:P243" si="175">RANK(T228,$T$2:$T$333)</f>
        <v>108</v>
      </c>
      <c r="Q228" s="28">
        <f t="shared" ref="Q228:Q243" si="176">rank(V228,$V$2:$V$344)</f>
        <v>229</v>
      </c>
      <c r="R228" s="28"/>
      <c r="S228" s="28"/>
      <c r="T228" s="29">
        <f t="shared" ref="T228:T229" si="177">V228/M228</f>
        <v>9500000</v>
      </c>
      <c r="U228" s="28"/>
      <c r="V228" s="30">
        <f t="shared" si="28"/>
        <v>57000000</v>
      </c>
      <c r="W228" s="30"/>
      <c r="X228" s="32">
        <f t="shared" ref="X228:X229" si="178">(max(AE228,AG228,AI228,AK228,AM228,AO228,AQ228,AS228,AU228,AW228,AY228,BA228,BC228)/min(AE228,AG228,AI228,AK228,AM228,AO228,AQ228,AS228,AU228,AW228,AY228,BA228,BC228))^(1/N228)-1</f>
        <v>0.3601470509</v>
      </c>
      <c r="Y228" s="33">
        <f t="shared" ref="Y228:Y229" si="179">(max(AE228,AG228,AI228,AK228,AM228,AO228,AQ228,AS228,AU228,AW228,AY228,BA228,BC228)/min(AE228,AG228,AI228,AK228,AM228,AO228,AQ228,AS228,AU228,AW228,AY228,BA228,BC228))^(1/M228)-1</f>
        <v>0.1079715819</v>
      </c>
      <c r="Z228" s="692"/>
      <c r="AA228" s="665"/>
      <c r="AB228" s="74"/>
      <c r="AC228" s="74"/>
      <c r="AD228" s="79"/>
      <c r="AE228" s="84"/>
      <c r="AF228" s="338"/>
      <c r="AG228" s="76"/>
      <c r="AH228" s="434"/>
      <c r="AI228" s="435"/>
      <c r="AJ228" s="426" t="str">
        <f>HYPERLINK("https://www.crunchbase.com/funding_round/pollyex-series-a--df9d7ee9","Mar 25, 2021")</f>
        <v>Mar 25, 2021</v>
      </c>
      <c r="AK228" s="427">
        <v>2.0E7</v>
      </c>
      <c r="AL228" s="426" t="str">
        <f>HYPERLINK("https://www.crunchbase.com/funding_round/pollyex-series-b--c683df3b","Jan 26, 2022")</f>
        <v>Jan 26, 2022</v>
      </c>
      <c r="AM228" s="76">
        <v>3.7E7</v>
      </c>
      <c r="AN228" s="279"/>
      <c r="AO228" s="427"/>
      <c r="AP228" s="79"/>
      <c r="AQ228" s="76"/>
      <c r="AR228" s="79"/>
      <c r="AS228" s="79"/>
      <c r="AT228" s="79"/>
      <c r="AU228" s="80"/>
      <c r="AV228" s="79"/>
      <c r="AW228" s="38"/>
      <c r="AX228" s="79"/>
      <c r="AY228" s="38"/>
      <c r="AZ228" s="79"/>
      <c r="BA228" s="80"/>
      <c r="BB228" s="79"/>
      <c r="BC228" s="80"/>
      <c r="BD228" s="79"/>
      <c r="BE228" s="84"/>
      <c r="BF228" s="74"/>
      <c r="BG228" s="911"/>
      <c r="BH228" s="911"/>
      <c r="BI228" s="911"/>
      <c r="BJ228" s="911"/>
      <c r="BK228" s="911"/>
      <c r="BL228" s="911"/>
      <c r="BM228" s="911"/>
      <c r="BN228" s="911"/>
      <c r="BO228" s="911"/>
      <c r="BP228" s="911"/>
      <c r="BQ228" s="911"/>
      <c r="BR228" s="911"/>
      <c r="BS228" s="911"/>
      <c r="BT228" s="911"/>
      <c r="BU228" s="911"/>
      <c r="BV228" s="911"/>
      <c r="BW228" s="911"/>
      <c r="BX228" s="911"/>
      <c r="BY228" s="911"/>
      <c r="BZ228" s="911"/>
      <c r="CA228" s="911"/>
      <c r="CB228" s="911"/>
      <c r="CC228" s="911"/>
      <c r="CD228" s="911"/>
      <c r="CE228" s="911"/>
      <c r="CF228" s="911"/>
      <c r="CG228" s="911"/>
      <c r="CH228" s="911"/>
      <c r="CI228" s="911"/>
      <c r="CJ228" s="911"/>
      <c r="CK228" s="911"/>
      <c r="CL228" s="911"/>
      <c r="CM228" s="911"/>
      <c r="CN228" s="911"/>
      <c r="CO228" s="911"/>
      <c r="CP228" s="911"/>
    </row>
    <row r="229" ht="15.75" customHeight="1">
      <c r="A229" s="866" t="s">
        <v>1261</v>
      </c>
      <c r="B229" s="16"/>
      <c r="C229" s="17" t="s">
        <v>84</v>
      </c>
      <c r="D229" s="236" t="s">
        <v>1262</v>
      </c>
      <c r="E229" s="236" t="s">
        <v>1263</v>
      </c>
      <c r="F229" s="803" t="s">
        <v>1264</v>
      </c>
      <c r="G229" s="317"/>
      <c r="H229" s="22" t="s">
        <v>129</v>
      </c>
      <c r="I229" s="23" t="s">
        <v>129</v>
      </c>
      <c r="J229" s="237"/>
      <c r="K229" s="23"/>
      <c r="L229" s="23">
        <v>2012.0</v>
      </c>
      <c r="M229" s="25">
        <f t="shared" si="173"/>
        <v>13</v>
      </c>
      <c r="N229" s="26">
        <f t="shared" si="174"/>
        <v>4</v>
      </c>
      <c r="O229" s="27" t="str">
        <f t="shared" si="3"/>
        <v>#N/A</v>
      </c>
      <c r="P229" s="28">
        <f t="shared" si="175"/>
        <v>183</v>
      </c>
      <c r="Q229" s="28">
        <f t="shared" si="176"/>
        <v>230</v>
      </c>
      <c r="R229" s="28"/>
      <c r="S229" s="28"/>
      <c r="T229" s="29">
        <f t="shared" si="177"/>
        <v>4369230.769</v>
      </c>
      <c r="U229" s="28"/>
      <c r="V229" s="30">
        <f t="shared" si="28"/>
        <v>56800000</v>
      </c>
      <c r="W229" s="30"/>
      <c r="X229" s="32">
        <f t="shared" si="178"/>
        <v>1.045311745</v>
      </c>
      <c r="Y229" s="33">
        <f t="shared" si="179"/>
        <v>0.2462877074</v>
      </c>
      <c r="Z229" s="692"/>
      <c r="AA229" s="665"/>
      <c r="AB229" s="36"/>
      <c r="AC229" s="36"/>
      <c r="AD229" s="44"/>
      <c r="AE229" s="38"/>
      <c r="AF229" s="225">
        <v>42919.0</v>
      </c>
      <c r="AG229" s="38">
        <v>2000000.0</v>
      </c>
      <c r="AH229" s="36"/>
      <c r="AI229" s="159"/>
      <c r="AJ229" s="227">
        <v>43328.0</v>
      </c>
      <c r="AK229" s="38">
        <v>5500000.0</v>
      </c>
      <c r="AL229" s="227">
        <v>43892.0</v>
      </c>
      <c r="AM229" s="805">
        <v>1.43E7</v>
      </c>
      <c r="AN229" s="42">
        <v>44103.0</v>
      </c>
      <c r="AO229" s="805">
        <v>3.5E7</v>
      </c>
      <c r="AP229" s="44"/>
      <c r="AQ229" s="46"/>
      <c r="AR229" s="44"/>
      <c r="AS229" s="44"/>
      <c r="AT229" s="44"/>
      <c r="AU229" s="45"/>
      <c r="AV229" s="44"/>
      <c r="AW229" s="38"/>
      <c r="AX229" s="44"/>
      <c r="AY229" s="38"/>
      <c r="AZ229" s="44"/>
      <c r="BA229" s="45"/>
      <c r="BB229" s="44"/>
      <c r="BC229" s="45"/>
      <c r="BD229" s="44"/>
      <c r="BE229" s="46"/>
      <c r="BF229" s="3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</row>
    <row r="230" ht="15.75" customHeight="1">
      <c r="A230" s="47" t="s">
        <v>1265</v>
      </c>
      <c r="B230" s="68"/>
      <c r="C230" s="69" t="s">
        <v>84</v>
      </c>
      <c r="D230" s="48"/>
      <c r="E230" s="200" t="s">
        <v>1266</v>
      </c>
      <c r="F230" s="428" t="s">
        <v>1267</v>
      </c>
      <c r="G230" s="71"/>
      <c r="H230" s="912" t="s">
        <v>526</v>
      </c>
      <c r="I230" s="913" t="s">
        <v>65</v>
      </c>
      <c r="J230" s="155"/>
      <c r="K230" s="26">
        <v>3.0</v>
      </c>
      <c r="L230" s="26">
        <v>2016.0</v>
      </c>
      <c r="M230" s="25"/>
      <c r="N230" s="26"/>
      <c r="O230" s="27" t="str">
        <f t="shared" si="3"/>
        <v>#N/A</v>
      </c>
      <c r="P230" s="28" t="str">
        <f t="shared" si="175"/>
        <v>#N/A</v>
      </c>
      <c r="Q230" s="28">
        <f t="shared" si="176"/>
        <v>231</v>
      </c>
      <c r="R230" s="28"/>
      <c r="S230" s="28"/>
      <c r="T230" s="28"/>
      <c r="U230" s="28"/>
      <c r="V230" s="30">
        <f t="shared" si="28"/>
        <v>56700000</v>
      </c>
      <c r="W230" s="30"/>
      <c r="X230" s="73"/>
      <c r="Y230" s="73"/>
      <c r="Z230" s="692"/>
      <c r="AA230" s="665"/>
      <c r="AB230" s="74"/>
      <c r="AC230" s="74"/>
      <c r="AD230" s="79"/>
      <c r="AE230" s="84"/>
      <c r="AF230" s="175" t="str">
        <f>HYPERLINK("https://www.crunchbase.com/funding_round/jobox-2-seed--960893e0","Mar 1, 2017")</f>
        <v>Mar 1, 2017</v>
      </c>
      <c r="AG230" s="76">
        <v>1700000.0</v>
      </c>
      <c r="AH230" s="77"/>
      <c r="AI230" s="78"/>
      <c r="AJ230" s="181" t="str">
        <f>HYPERLINK("https://www.crunchbase.com/funding_round/jobox-2-series-a--30342bc0","May 22, 2018")</f>
        <v>May 22, 2018</v>
      </c>
      <c r="AK230" s="76">
        <v>1.3E7</v>
      </c>
      <c r="AL230" s="181" t="str">
        <f>HYPERLINK("https://www.crunchbase.com/funding_round/jobox-2-series-b--b941633d","Apr 12, 2022")</f>
        <v>Apr 12, 2022</v>
      </c>
      <c r="AM230" s="76">
        <v>4.2E7</v>
      </c>
      <c r="AN230" s="79"/>
      <c r="AO230" s="84"/>
      <c r="AP230" s="79"/>
      <c r="AQ230" s="84"/>
      <c r="AR230" s="79"/>
      <c r="AS230" s="79"/>
      <c r="AT230" s="79"/>
      <c r="AU230" s="80"/>
      <c r="AV230" s="79"/>
      <c r="AW230" s="38"/>
      <c r="AX230" s="79"/>
      <c r="AY230" s="38"/>
      <c r="AZ230" s="79"/>
      <c r="BA230" s="80"/>
      <c r="BB230" s="79"/>
      <c r="BC230" s="80"/>
      <c r="BD230" s="79"/>
      <c r="BE230" s="84"/>
      <c r="BF230" s="74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</row>
    <row r="231" ht="15.75" customHeight="1">
      <c r="A231" s="48" t="s">
        <v>1268</v>
      </c>
      <c r="B231" s="69" t="s">
        <v>829</v>
      </c>
      <c r="C231" s="69" t="s">
        <v>59</v>
      </c>
      <c r="D231" s="192" t="s">
        <v>1269</v>
      </c>
      <c r="E231" s="192" t="s">
        <v>1270</v>
      </c>
      <c r="F231" s="118" t="s">
        <v>1271</v>
      </c>
      <c r="G231" s="407"/>
      <c r="H231" s="71" t="s">
        <v>1272</v>
      </c>
      <c r="I231" s="26" t="s">
        <v>65</v>
      </c>
      <c r="J231" s="155"/>
      <c r="K231" s="26">
        <v>2.0</v>
      </c>
      <c r="L231" s="26">
        <v>2016.0</v>
      </c>
      <c r="M231" s="25">
        <f t="shared" ref="M231:M234" si="180">year(now()) -L231</f>
        <v>9</v>
      </c>
      <c r="N231" s="26">
        <f t="shared" ref="N231:N234" si="181">counta(AE231,AG231,AI231,AK231,AM231,AO231,AQ231,AS231,AU231,AW231,AY231,BA231,BC231)</f>
        <v>3</v>
      </c>
      <c r="O231" s="27" t="str">
        <f t="shared" si="3"/>
        <v>#N/A</v>
      </c>
      <c r="P231" s="28">
        <f t="shared" si="175"/>
        <v>149</v>
      </c>
      <c r="Q231" s="28">
        <f t="shared" si="176"/>
        <v>232</v>
      </c>
      <c r="R231" s="28"/>
      <c r="S231" s="28"/>
      <c r="T231" s="29">
        <f t="shared" ref="T231:T234" si="182">V231/M231</f>
        <v>6277777.778</v>
      </c>
      <c r="U231" s="28"/>
      <c r="V231" s="30">
        <f t="shared" si="28"/>
        <v>56500000</v>
      </c>
      <c r="W231" s="30"/>
      <c r="X231" s="32">
        <f t="shared" ref="X231:X234" si="183">(max(AE231,AG231,AI231,AK231,AM231,AO231,AQ231,AS231,AU231,AW231,AY231,BA231,BC231)/min(AE231,AG231,AI231,AK231,AM231,AO231,AQ231,AS231,AU231,AW231,AY231,BA231,BC231))^(1/N231)-1</f>
        <v>1.071488337</v>
      </c>
      <c r="Y231" s="33">
        <f t="shared" ref="Y231:Y234" si="184">(max(AE231,AG231,AI231,AK231,AM231,AO231,AQ231,AS231,AU231,AW231,AY231,BA231,BC231)/min(AE231,AG231,AI231,AK231,AM231,AO231,AQ231,AS231,AU231,AW231,AY231,BA231,BC231))^(1/M231)-1</f>
        <v>0.2747572702</v>
      </c>
      <c r="Z231" s="692"/>
      <c r="AA231" s="665"/>
      <c r="AB231" s="74"/>
      <c r="AC231" s="74"/>
      <c r="AD231" s="37"/>
      <c r="AE231" s="38"/>
      <c r="AF231" s="158" t="str">
        <f>HYPERLINK("https://www.crunchbase.com/funding_round/doxel-seed--aa1f9226","Jan 24, 2018")</f>
        <v>Jan 24, 2018</v>
      </c>
      <c r="AG231" s="38">
        <v>4500000.0</v>
      </c>
      <c r="AH231" s="36"/>
      <c r="AI231" s="159"/>
      <c r="AJ231" s="43" t="str">
        <f>HYPERLINK("https://www.crunchbase.com/funding_round/doxel-series-a--958d17b6","Jan 1, 2020")</f>
        <v>Jan 1, 2020</v>
      </c>
      <c r="AK231" s="38">
        <v>1.2E7</v>
      </c>
      <c r="AL231" s="43" t="str">
        <f>HYPERLINK("https://www.crunchbase.com/funding_round/doxel-series-b--447dc138","Aug 11, 2021")</f>
        <v>Aug 11, 2021</v>
      </c>
      <c r="AM231" s="38">
        <v>4.0E7</v>
      </c>
      <c r="AN231" s="44"/>
      <c r="AO231" s="46"/>
      <c r="AP231" s="44"/>
      <c r="AQ231" s="46"/>
      <c r="AR231" s="44"/>
      <c r="AS231" s="44"/>
      <c r="AT231" s="44"/>
      <c r="AU231" s="45"/>
      <c r="AV231" s="44"/>
      <c r="AW231" s="38"/>
      <c r="AX231" s="44"/>
      <c r="AY231" s="38"/>
      <c r="AZ231" s="44"/>
      <c r="BA231" s="45"/>
      <c r="BB231" s="44"/>
      <c r="BC231" s="45"/>
      <c r="BD231" s="44"/>
      <c r="BE231" s="46"/>
      <c r="BF231" s="3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</row>
    <row r="232" ht="15.75" customHeight="1">
      <c r="A232" s="21" t="s">
        <v>1273</v>
      </c>
      <c r="B232" s="69" t="s">
        <v>403</v>
      </c>
      <c r="C232" s="69" t="s">
        <v>132</v>
      </c>
      <c r="D232" s="192" t="s">
        <v>1274</v>
      </c>
      <c r="E232" s="117" t="s">
        <v>1275</v>
      </c>
      <c r="F232" s="118" t="s">
        <v>1276</v>
      </c>
      <c r="G232" s="407" t="s">
        <v>1277</v>
      </c>
      <c r="H232" s="71" t="s">
        <v>64</v>
      </c>
      <c r="I232" s="26" t="s">
        <v>65</v>
      </c>
      <c r="J232" s="72" t="s">
        <v>66</v>
      </c>
      <c r="K232" s="26">
        <v>1.0</v>
      </c>
      <c r="L232" s="26">
        <v>2016.0</v>
      </c>
      <c r="M232" s="25">
        <f t="shared" si="180"/>
        <v>9</v>
      </c>
      <c r="N232" s="26">
        <f t="shared" si="181"/>
        <v>4</v>
      </c>
      <c r="O232" s="27" t="str">
        <f t="shared" si="3"/>
        <v>#N/A</v>
      </c>
      <c r="P232" s="28">
        <f t="shared" si="175"/>
        <v>77</v>
      </c>
      <c r="Q232" s="28">
        <f t="shared" si="176"/>
        <v>117</v>
      </c>
      <c r="R232" s="28"/>
      <c r="S232" s="28"/>
      <c r="T232" s="29">
        <f t="shared" si="182"/>
        <v>14033333.33</v>
      </c>
      <c r="U232" s="28"/>
      <c r="V232" s="30">
        <f t="shared" si="28"/>
        <v>126300000</v>
      </c>
      <c r="W232" s="30"/>
      <c r="X232" s="32">
        <f t="shared" si="183"/>
        <v>0.8257418584</v>
      </c>
      <c r="Y232" s="33">
        <f t="shared" si="184"/>
        <v>0.3067583285</v>
      </c>
      <c r="Z232" s="692"/>
      <c r="AA232" s="665"/>
      <c r="AB232" s="74"/>
      <c r="AC232" s="74"/>
      <c r="AD232" s="79"/>
      <c r="AE232" s="84"/>
      <c r="AF232" s="175" t="str">
        <f>HYPERLINK("https://www.crunchbase.com/funding_round/kasa-living-seed--76fe6c8d","Dec 28, 2018")</f>
        <v>Dec 28, 2018</v>
      </c>
      <c r="AG232" s="895">
        <v>6300000.0</v>
      </c>
      <c r="AH232" s="74"/>
      <c r="AI232" s="78"/>
      <c r="AJ232" s="914">
        <v>43739.0</v>
      </c>
      <c r="AK232" s="76">
        <v>2.0E7</v>
      </c>
      <c r="AL232" s="42">
        <v>44117.0</v>
      </c>
      <c r="AM232" s="76">
        <v>3.0E7</v>
      </c>
      <c r="AN232" s="75">
        <v>45230.0</v>
      </c>
      <c r="AO232" s="76">
        <v>7.0E7</v>
      </c>
      <c r="AP232" s="79"/>
      <c r="AQ232" s="84"/>
      <c r="AR232" s="79"/>
      <c r="AS232" s="79"/>
      <c r="AT232" s="79"/>
      <c r="AU232" s="80"/>
      <c r="AV232" s="79"/>
      <c r="AW232" s="38"/>
      <c r="AX232" s="79"/>
      <c r="AY232" s="38"/>
      <c r="AZ232" s="79"/>
      <c r="BA232" s="80"/>
      <c r="BB232" s="79"/>
      <c r="BC232" s="80"/>
      <c r="BD232" s="79"/>
      <c r="BE232" s="84"/>
      <c r="BF232" s="74"/>
      <c r="BG232" s="534"/>
      <c r="BH232" s="534"/>
      <c r="BI232" s="534"/>
      <c r="BJ232" s="534"/>
      <c r="BK232" s="534"/>
      <c r="BL232" s="534"/>
      <c r="BM232" s="534"/>
      <c r="BN232" s="534"/>
      <c r="BO232" s="534"/>
      <c r="BP232" s="534"/>
      <c r="BQ232" s="534"/>
      <c r="BR232" s="534"/>
      <c r="BS232" s="534"/>
      <c r="BT232" s="534"/>
      <c r="BU232" s="534"/>
      <c r="BV232" s="534"/>
      <c r="BW232" s="534"/>
      <c r="BX232" s="534"/>
      <c r="BY232" s="534"/>
      <c r="BZ232" s="534"/>
      <c r="CA232" s="534"/>
      <c r="CB232" s="534"/>
      <c r="CC232" s="534"/>
      <c r="CD232" s="534"/>
      <c r="CE232" s="534"/>
      <c r="CF232" s="534"/>
      <c r="CG232" s="534"/>
      <c r="CH232" s="534"/>
      <c r="CI232" s="534"/>
      <c r="CJ232" s="534"/>
      <c r="CK232" s="534"/>
      <c r="CL232" s="534"/>
      <c r="CM232" s="534"/>
      <c r="CN232" s="534"/>
      <c r="CO232" s="534"/>
      <c r="CP232" s="534"/>
    </row>
    <row r="233" ht="15.75" customHeight="1">
      <c r="A233" s="400" t="s">
        <v>1278</v>
      </c>
      <c r="B233" s="115"/>
      <c r="C233" s="116" t="s">
        <v>513</v>
      </c>
      <c r="D233" s="161" t="s">
        <v>1279</v>
      </c>
      <c r="E233" s="540" t="s">
        <v>1280</v>
      </c>
      <c r="F233" s="744" t="s">
        <v>1281</v>
      </c>
      <c r="G233" s="119" t="s">
        <v>1282</v>
      </c>
      <c r="H233" s="119" t="s">
        <v>128</v>
      </c>
      <c r="I233" s="25" t="s">
        <v>129</v>
      </c>
      <c r="J233" s="120" t="s">
        <v>466</v>
      </c>
      <c r="K233" s="25">
        <v>3.0</v>
      </c>
      <c r="L233" s="25">
        <v>2015.0</v>
      </c>
      <c r="M233" s="25">
        <f t="shared" si="180"/>
        <v>10</v>
      </c>
      <c r="N233" s="26">
        <f t="shared" si="181"/>
        <v>2</v>
      </c>
      <c r="O233" s="27" t="str">
        <f t="shared" si="3"/>
        <v>#N/A</v>
      </c>
      <c r="P233" s="28">
        <f t="shared" si="175"/>
        <v>165</v>
      </c>
      <c r="Q233" s="28">
        <f t="shared" si="176"/>
        <v>233</v>
      </c>
      <c r="R233" s="28"/>
      <c r="S233" s="28"/>
      <c r="T233" s="29">
        <f t="shared" si="182"/>
        <v>5600000</v>
      </c>
      <c r="U233" s="28"/>
      <c r="V233" s="30">
        <f t="shared" si="28"/>
        <v>56000000</v>
      </c>
      <c r="W233" s="30"/>
      <c r="X233" s="32">
        <f t="shared" si="183"/>
        <v>0.5811388301</v>
      </c>
      <c r="Y233" s="33">
        <f t="shared" si="184"/>
        <v>0.09595822639</v>
      </c>
      <c r="Z233" s="692"/>
      <c r="AA233" s="665"/>
      <c r="AB233" s="123"/>
      <c r="AC233" s="123"/>
      <c r="AD233" s="124"/>
      <c r="AE233" s="125"/>
      <c r="AF233" s="166"/>
      <c r="AG233" s="125"/>
      <c r="AH233" s="123"/>
      <c r="AI233" s="128"/>
      <c r="AJ233" s="455" t="str">
        <f>HYPERLINK("https://www.crunchbase.com/funding_round/new-stand-series-a--d031e2d2","Feb 4, 2018")</f>
        <v>Feb 4, 2018</v>
      </c>
      <c r="AK233" s="127">
        <v>1.6E7</v>
      </c>
      <c r="AL233" s="455" t="str">
        <f>HYPERLINK("https://www.crunchbase.com/funding_round/new-stand-series-b--3ab03de9","Jun 3, 2021")</f>
        <v>Jun 3, 2021</v>
      </c>
      <c r="AM233" s="127">
        <v>4.0E7</v>
      </c>
      <c r="AN233" s="124"/>
      <c r="AO233" s="125"/>
      <c r="AP233" s="124"/>
      <c r="AQ233" s="125"/>
      <c r="AR233" s="124"/>
      <c r="AS233" s="124"/>
      <c r="AT233" s="124"/>
      <c r="AU233" s="137"/>
      <c r="AV233" s="124"/>
      <c r="AW233" s="38"/>
      <c r="AX233" s="124"/>
      <c r="AY233" s="38"/>
      <c r="AZ233" s="124"/>
      <c r="BA233" s="137"/>
      <c r="BB233" s="124"/>
      <c r="BC233" s="137"/>
      <c r="BD233" s="124"/>
      <c r="BE233" s="125"/>
      <c r="BF233" s="123"/>
      <c r="BG233" s="534"/>
      <c r="BH233" s="534"/>
      <c r="BI233" s="534"/>
      <c r="BJ233" s="534"/>
      <c r="BK233" s="534"/>
      <c r="BL233" s="534"/>
      <c r="BM233" s="534"/>
      <c r="BN233" s="534"/>
      <c r="BO233" s="534"/>
      <c r="BP233" s="534"/>
      <c r="BQ233" s="534"/>
      <c r="BR233" s="534"/>
      <c r="BS233" s="534"/>
      <c r="BT233" s="534"/>
      <c r="BU233" s="534"/>
      <c r="BV233" s="534"/>
      <c r="BW233" s="534"/>
      <c r="BX233" s="534"/>
      <c r="BY233" s="534"/>
      <c r="BZ233" s="534"/>
      <c r="CA233" s="534"/>
      <c r="CB233" s="534"/>
      <c r="CC233" s="534"/>
      <c r="CD233" s="534"/>
      <c r="CE233" s="534"/>
      <c r="CF233" s="534"/>
      <c r="CG233" s="534"/>
      <c r="CH233" s="534"/>
      <c r="CI233" s="534"/>
      <c r="CJ233" s="534"/>
      <c r="CK233" s="534"/>
      <c r="CL233" s="534"/>
      <c r="CM233" s="534"/>
      <c r="CN233" s="534"/>
      <c r="CO233" s="534"/>
      <c r="CP233" s="534"/>
    </row>
    <row r="234" ht="15.75" customHeight="1">
      <c r="A234" s="21" t="s">
        <v>1283</v>
      </c>
      <c r="B234" s="68"/>
      <c r="C234" s="69" t="s">
        <v>84</v>
      </c>
      <c r="D234" s="270" t="s">
        <v>1284</v>
      </c>
      <c r="E234" s="192" t="s">
        <v>1285</v>
      </c>
      <c r="F234" s="389" t="s">
        <v>1286</v>
      </c>
      <c r="G234" s="71" t="s">
        <v>1287</v>
      </c>
      <c r="H234" s="71" t="s">
        <v>64</v>
      </c>
      <c r="I234" s="26" t="s">
        <v>65</v>
      </c>
      <c r="J234" s="72" t="s">
        <v>1288</v>
      </c>
      <c r="K234" s="26">
        <v>3.0</v>
      </c>
      <c r="L234" s="142">
        <v>2018.0</v>
      </c>
      <c r="M234" s="25">
        <f t="shared" si="180"/>
        <v>7</v>
      </c>
      <c r="N234" s="26">
        <f t="shared" si="181"/>
        <v>3</v>
      </c>
      <c r="O234" s="27" t="str">
        <f t="shared" si="3"/>
        <v>#N/A</v>
      </c>
      <c r="P234" s="28">
        <f t="shared" si="175"/>
        <v>129</v>
      </c>
      <c r="Q234" s="28">
        <f t="shared" si="176"/>
        <v>234</v>
      </c>
      <c r="R234" s="28"/>
      <c r="S234" s="28"/>
      <c r="T234" s="29">
        <f t="shared" si="182"/>
        <v>7971428.571</v>
      </c>
      <c r="U234" s="28"/>
      <c r="V234" s="30">
        <f t="shared" si="28"/>
        <v>55800000</v>
      </c>
      <c r="W234" s="30"/>
      <c r="X234" s="32">
        <f t="shared" si="183"/>
        <v>1.240702373</v>
      </c>
      <c r="Y234" s="33">
        <f t="shared" si="184"/>
        <v>0.4130731555</v>
      </c>
      <c r="Z234" s="692"/>
      <c r="AA234" s="665"/>
      <c r="AB234" s="74"/>
      <c r="AC234" s="74"/>
      <c r="AD234" s="79"/>
      <c r="AE234" s="84"/>
      <c r="AF234" s="225" t="str">
        <f>HYPERLINK("https://www.crunchbase.com/funding_round/sundae-seed--12b0cef1","Jan 3, 2019")</f>
        <v>Jan 3, 2019</v>
      </c>
      <c r="AG234" s="76">
        <v>3200000.0</v>
      </c>
      <c r="AH234" s="74"/>
      <c r="AI234" s="78"/>
      <c r="AJ234" s="42" t="str">
        <f>HYPERLINK("https://www.crunchbase.com/funding_round/sundae-series-a--f6cf2fb8","Jun 30, 2020")</f>
        <v>Jun 30, 2020</v>
      </c>
      <c r="AK234" s="76">
        <v>1.66E7</v>
      </c>
      <c r="AL234" s="857" t="str">
        <f>HYPERLINK("https://www.crunchbase.com/funding_round/sundae-series-b--fb17d722","Dec 8, 2020")</f>
        <v>Dec 8, 2020</v>
      </c>
      <c r="AM234" s="76">
        <v>3.6E7</v>
      </c>
      <c r="AN234" s="79"/>
      <c r="AO234" s="84"/>
      <c r="AP234" s="79"/>
      <c r="AQ234" s="84"/>
      <c r="AR234" s="79"/>
      <c r="AS234" s="79"/>
      <c r="AT234" s="79"/>
      <c r="AU234" s="80"/>
      <c r="AV234" s="79"/>
      <c r="AW234" s="38"/>
      <c r="AX234" s="79"/>
      <c r="AY234" s="38"/>
      <c r="AZ234" s="79"/>
      <c r="BA234" s="80"/>
      <c r="BB234" s="79"/>
      <c r="BC234" s="80"/>
      <c r="BD234" s="79"/>
      <c r="BE234" s="84"/>
      <c r="BF234" s="74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</row>
    <row r="235" ht="15.75" customHeight="1">
      <c r="A235" s="400" t="s">
        <v>1289</v>
      </c>
      <c r="B235" s="115"/>
      <c r="C235" s="116" t="s">
        <v>427</v>
      </c>
      <c r="D235" s="401" t="s">
        <v>1290</v>
      </c>
      <c r="E235" s="401" t="s">
        <v>1291</v>
      </c>
      <c r="F235" s="708" t="s">
        <v>1292</v>
      </c>
      <c r="G235" s="915" t="s">
        <v>1293</v>
      </c>
      <c r="H235" s="119" t="s">
        <v>64</v>
      </c>
      <c r="I235" s="25" t="s">
        <v>65</v>
      </c>
      <c r="J235" s="120" t="s">
        <v>1294</v>
      </c>
      <c r="K235" s="25">
        <v>2.0</v>
      </c>
      <c r="L235" s="25">
        <v>2018.0</v>
      </c>
      <c r="M235" s="25"/>
      <c r="N235" s="25"/>
      <c r="O235" s="27" t="str">
        <f t="shared" si="3"/>
        <v>#N/A</v>
      </c>
      <c r="P235" s="28" t="str">
        <f t="shared" si="175"/>
        <v>#N/A</v>
      </c>
      <c r="Q235" s="28">
        <f t="shared" si="176"/>
        <v>234</v>
      </c>
      <c r="R235" s="55"/>
      <c r="S235" s="55"/>
      <c r="T235" s="55"/>
      <c r="U235" s="55"/>
      <c r="V235" s="30">
        <f t="shared" si="28"/>
        <v>55800000</v>
      </c>
      <c r="W235" s="30"/>
      <c r="X235" s="597"/>
      <c r="Y235" s="597"/>
      <c r="Z235" s="692"/>
      <c r="AA235" s="665"/>
      <c r="AB235" s="123"/>
      <c r="AC235" s="123"/>
      <c r="AD235" s="124"/>
      <c r="AE235" s="125"/>
      <c r="AF235" s="728">
        <v>43768.0</v>
      </c>
      <c r="AG235" s="127">
        <v>6800000.0</v>
      </c>
      <c r="AH235" s="123"/>
      <c r="AI235" s="128"/>
      <c r="AJ235" s="171">
        <v>44342.0</v>
      </c>
      <c r="AK235" s="127">
        <v>1.3E7</v>
      </c>
      <c r="AL235" s="171">
        <v>44782.0</v>
      </c>
      <c r="AM235" s="127">
        <v>3.6E7</v>
      </c>
      <c r="AN235" s="124"/>
      <c r="AO235" s="125"/>
      <c r="AP235" s="124"/>
      <c r="AQ235" s="125"/>
      <c r="AR235" s="124"/>
      <c r="AS235" s="124"/>
      <c r="AT235" s="124"/>
      <c r="AU235" s="137"/>
      <c r="AV235" s="124"/>
      <c r="AW235" s="38"/>
      <c r="AX235" s="124"/>
      <c r="AY235" s="38"/>
      <c r="AZ235" s="124"/>
      <c r="BA235" s="137"/>
      <c r="BB235" s="124"/>
      <c r="BC235" s="137"/>
      <c r="BD235" s="124"/>
      <c r="BE235" s="125"/>
      <c r="BF235" s="123"/>
      <c r="BG235" s="115"/>
      <c r="BH235" s="115"/>
      <c r="BI235" s="115"/>
      <c r="BJ235" s="115"/>
      <c r="BK235" s="115"/>
      <c r="BL235" s="115"/>
      <c r="BM235" s="115"/>
      <c r="BN235" s="115"/>
      <c r="BO235" s="115"/>
      <c r="BP235" s="115"/>
      <c r="BQ235" s="115"/>
      <c r="BR235" s="115"/>
      <c r="BS235" s="115"/>
      <c r="BT235" s="115"/>
      <c r="BU235" s="115"/>
      <c r="BV235" s="115"/>
      <c r="BW235" s="115"/>
      <c r="BX235" s="115"/>
      <c r="BY235" s="115"/>
      <c r="BZ235" s="115"/>
      <c r="CA235" s="115"/>
      <c r="CB235" s="115"/>
      <c r="CC235" s="115"/>
      <c r="CD235" s="115"/>
      <c r="CE235" s="115"/>
      <c r="CF235" s="115"/>
      <c r="CG235" s="115"/>
      <c r="CH235" s="115"/>
      <c r="CI235" s="115"/>
      <c r="CJ235" s="115"/>
      <c r="CK235" s="115"/>
      <c r="CL235" s="115"/>
      <c r="CM235" s="115"/>
      <c r="CN235" s="115"/>
      <c r="CO235" s="115"/>
      <c r="CP235" s="115"/>
    </row>
    <row r="236" ht="15.75" customHeight="1">
      <c r="A236" s="442" t="s">
        <v>1295</v>
      </c>
      <c r="B236" s="68" t="s">
        <v>1296</v>
      </c>
      <c r="C236" s="69" t="s">
        <v>132</v>
      </c>
      <c r="D236" s="184" t="s">
        <v>1297</v>
      </c>
      <c r="E236" s="184" t="s">
        <v>1298</v>
      </c>
      <c r="F236" s="185" t="s">
        <v>1299</v>
      </c>
      <c r="G236" s="186" t="s">
        <v>1300</v>
      </c>
      <c r="H236" s="186" t="s">
        <v>128</v>
      </c>
      <c r="I236" s="74" t="s">
        <v>128</v>
      </c>
      <c r="J236" s="155">
        <v>10014.0</v>
      </c>
      <c r="K236" s="74">
        <v>2.0</v>
      </c>
      <c r="L236" s="26">
        <v>2017.0</v>
      </c>
      <c r="M236" s="25">
        <f t="shared" ref="M236:M242" si="185">year(now()) -L236</f>
        <v>8</v>
      </c>
      <c r="N236" s="26">
        <f t="shared" ref="N236:N242" si="186">counta(AE236,AG236,AI236,AK236,AM236,AO236,AQ236,AS236,AU236,AW236,AY236,BA236,BC236)</f>
        <v>3</v>
      </c>
      <c r="O236" s="27" t="str">
        <f t="shared" si="3"/>
        <v>#N/A</v>
      </c>
      <c r="P236" s="28">
        <f t="shared" si="175"/>
        <v>139</v>
      </c>
      <c r="Q236" s="28">
        <f t="shared" si="176"/>
        <v>236</v>
      </c>
      <c r="R236" s="28"/>
      <c r="S236" s="28"/>
      <c r="T236" s="29">
        <f t="shared" ref="T236:T242" si="187">V236/M236</f>
        <v>6937500</v>
      </c>
      <c r="U236" s="28"/>
      <c r="V236" s="30">
        <f t="shared" si="28"/>
        <v>55500000</v>
      </c>
      <c r="W236" s="30"/>
      <c r="X236" s="32">
        <f t="shared" ref="X236:X242" si="188">(max(AE236,AG236,AI236,AK236,AM236,AO236,AQ236,AS236,AU236,AW236,AY236,BA236,BC236)/min(AE236,AG236,AI236,AK236,AM236,AO236,AQ236,AS236,AU236,AW236,AY236,BA236,BC236))^(1/N236)-1</f>
        <v>0.9129311828</v>
      </c>
      <c r="Y236" s="33">
        <f t="shared" ref="Y236:Y242" si="189">(max(AE236,AG236,AI236,AK236,AM236,AO236,AQ236,AS236,AU236,AW236,AY236,BA236,BC236)/min(AE236,AG236,AI236,AK236,AM236,AO236,AQ236,AS236,AU236,AW236,AY236,BA236,BC236))^(1/M236)-1</f>
        <v>0.2753731069</v>
      </c>
      <c r="Z236" s="692"/>
      <c r="AA236" s="665"/>
      <c r="AB236" s="74"/>
      <c r="AC236" s="74"/>
      <c r="AD236" s="79"/>
      <c r="AE236" s="84"/>
      <c r="AF236" s="175" t="str">
        <f>HYPERLINK("https://www.crunchbase.com/organization/obligo"," 6/6/2018")</f>
        <v> 6/6/2018</v>
      </c>
      <c r="AG236" s="84">
        <v>5000000.0</v>
      </c>
      <c r="AH236" s="74"/>
      <c r="AI236" s="78"/>
      <c r="AJ236" s="181" t="str">
        <f>HYPERLINK("https://www.crunchbase.com/funding_round/obligo-series-a--f5fbc130","Nov 18, 2020")</f>
        <v>Nov 18, 2020</v>
      </c>
      <c r="AK236" s="76">
        <v>1.55E7</v>
      </c>
      <c r="AL236" s="181" t="str">
        <f>HYPERLINK("https://www.crunchbase.com/funding_round/obligo-series-b--b5ba2c42","Nov 4, 2021")</f>
        <v>Nov 4, 2021</v>
      </c>
      <c r="AM236" s="76">
        <v>3.5E7</v>
      </c>
      <c r="AN236" s="79"/>
      <c r="AO236" s="84"/>
      <c r="AP236" s="79"/>
      <c r="AQ236" s="84"/>
      <c r="AR236" s="79"/>
      <c r="AS236" s="79"/>
      <c r="AT236" s="79"/>
      <c r="AU236" s="80"/>
      <c r="AV236" s="79"/>
      <c r="AW236" s="38"/>
      <c r="AX236" s="79"/>
      <c r="AY236" s="38"/>
      <c r="AZ236" s="79"/>
      <c r="BA236" s="80"/>
      <c r="BB236" s="79"/>
      <c r="BC236" s="80"/>
      <c r="BD236" s="79"/>
      <c r="BE236" s="84"/>
      <c r="BF236" s="74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</row>
    <row r="237" ht="15.75" customHeight="1">
      <c r="A237" s="21" t="s">
        <v>1301</v>
      </c>
      <c r="B237" s="17"/>
      <c r="C237" s="17" t="s">
        <v>513</v>
      </c>
      <c r="D237" s="48"/>
      <c r="E237" s="192" t="s">
        <v>1302</v>
      </c>
      <c r="F237" s="428" t="s">
        <v>1303</v>
      </c>
      <c r="G237" s="54"/>
      <c r="H237" s="22" t="s">
        <v>1304</v>
      </c>
      <c r="I237" s="23" t="s">
        <v>65</v>
      </c>
      <c r="J237" s="24"/>
      <c r="K237" s="23">
        <v>2.0</v>
      </c>
      <c r="L237" s="23">
        <v>2019.0</v>
      </c>
      <c r="M237" s="25">
        <f t="shared" si="185"/>
        <v>6</v>
      </c>
      <c r="N237" s="26">
        <f t="shared" si="186"/>
        <v>1</v>
      </c>
      <c r="O237" s="27" t="str">
        <f t="shared" si="3"/>
        <v>#N/A</v>
      </c>
      <c r="P237" s="28">
        <f t="shared" si="175"/>
        <v>111</v>
      </c>
      <c r="Q237" s="28">
        <f t="shared" si="176"/>
        <v>237</v>
      </c>
      <c r="R237" s="28"/>
      <c r="S237" s="28"/>
      <c r="T237" s="29">
        <f t="shared" si="187"/>
        <v>9166666.667</v>
      </c>
      <c r="U237" s="28"/>
      <c r="V237" s="30">
        <f t="shared" si="28"/>
        <v>55000000</v>
      </c>
      <c r="W237" s="30"/>
      <c r="X237" s="32">
        <f t="shared" si="188"/>
        <v>0</v>
      </c>
      <c r="Y237" s="33">
        <f t="shared" si="189"/>
        <v>0</v>
      </c>
      <c r="Z237" s="692"/>
      <c r="AA237" s="665"/>
      <c r="AB237" s="36"/>
      <c r="AC237" s="36"/>
      <c r="AD237" s="44"/>
      <c r="AE237" s="46"/>
      <c r="AF237" s="916"/>
      <c r="AG237" s="38"/>
      <c r="AH237" s="36"/>
      <c r="AI237" s="159"/>
      <c r="AJ237" s="917" t="str">
        <f>HYPERLINK("https://www.crunchbase.com/funding_round/brimstone-energy-series-a--d1c99658","Mar 24, 2022")</f>
        <v>Mar 24, 2022</v>
      </c>
      <c r="AK237" s="38">
        <v>5.5E7</v>
      </c>
      <c r="AL237" s="44"/>
      <c r="AM237" s="38"/>
      <c r="AN237" s="44"/>
      <c r="AO237" s="46"/>
      <c r="AP237" s="44"/>
      <c r="AQ237" s="46"/>
      <c r="AR237" s="44"/>
      <c r="AS237" s="44"/>
      <c r="AT237" s="44"/>
      <c r="AU237" s="45"/>
      <c r="AV237" s="44"/>
      <c r="AW237" s="38"/>
      <c r="AX237" s="44"/>
      <c r="AY237" s="38"/>
      <c r="AZ237" s="44"/>
      <c r="BA237" s="45"/>
      <c r="BB237" s="44"/>
      <c r="BC237" s="45"/>
      <c r="BD237" s="44"/>
      <c r="BE237" s="46"/>
      <c r="BF237" s="36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</row>
    <row r="238" ht="15.75" customHeight="1">
      <c r="A238" s="442" t="s">
        <v>1305</v>
      </c>
      <c r="B238" s="16" t="s">
        <v>1306</v>
      </c>
      <c r="C238" s="16" t="s">
        <v>207</v>
      </c>
      <c r="D238" s="184" t="s">
        <v>1307</v>
      </c>
      <c r="E238" s="337" t="s">
        <v>1308</v>
      </c>
      <c r="F238" s="185" t="s">
        <v>1309</v>
      </c>
      <c r="G238" s="442"/>
      <c r="H238" s="317" t="s">
        <v>526</v>
      </c>
      <c r="I238" s="36" t="s">
        <v>65</v>
      </c>
      <c r="J238" s="237"/>
      <c r="K238" s="23">
        <v>2.0</v>
      </c>
      <c r="L238" s="23">
        <v>2016.0</v>
      </c>
      <c r="M238" s="25">
        <f t="shared" si="185"/>
        <v>9</v>
      </c>
      <c r="N238" s="26">
        <f t="shared" si="186"/>
        <v>3</v>
      </c>
      <c r="O238" s="27" t="str">
        <f t="shared" si="3"/>
        <v>#N/A</v>
      </c>
      <c r="P238" s="28">
        <f t="shared" si="175"/>
        <v>157</v>
      </c>
      <c r="Q238" s="28">
        <f t="shared" si="176"/>
        <v>238</v>
      </c>
      <c r="R238" s="28"/>
      <c r="S238" s="28"/>
      <c r="T238" s="29">
        <f t="shared" si="187"/>
        <v>5922222.222</v>
      </c>
      <c r="U238" s="28"/>
      <c r="V238" s="30">
        <f t="shared" si="28"/>
        <v>53300000</v>
      </c>
      <c r="W238" s="30"/>
      <c r="X238" s="32">
        <f t="shared" si="188"/>
        <v>1.190752208</v>
      </c>
      <c r="Y238" s="33">
        <f t="shared" si="189"/>
        <v>0.2987665239</v>
      </c>
      <c r="Z238" s="692"/>
      <c r="AA238" s="665"/>
      <c r="AB238" s="36"/>
      <c r="AC238" s="36"/>
      <c r="AD238" s="44"/>
      <c r="AE238" s="46"/>
      <c r="AF238" s="918" t="str">
        <f>HYPERLINK("https://www.crunchbase.com/funding_round/cobalt-robotics-inc-seed--d0a414be"," 1 Mar 2017")</f>
        <v> 1 Mar 2017</v>
      </c>
      <c r="AG238" s="46">
        <v>3500000.0</v>
      </c>
      <c r="AH238" s="919"/>
      <c r="AI238" s="159"/>
      <c r="AJ238" s="43" t="str">
        <f>HYPERLINK("https://www.crunchbase.com/funding_round/cobalt-robotics-inc-series-a--ca5d303e","Mar 30, 2018")</f>
        <v>Mar 30, 2018</v>
      </c>
      <c r="AK238" s="46">
        <v>1.3E7</v>
      </c>
      <c r="AL238" s="228" t="str">
        <f>HYPERLINK("https://www.crunchbase.com/funding_round/cobalt-robotics-inc-series-b--e37d3f5d"," Jun 25, 2019")</f>
        <v> Jun 25, 2019</v>
      </c>
      <c r="AM238" s="38">
        <v>3.68E7</v>
      </c>
      <c r="AN238" s="44"/>
      <c r="AO238" s="46"/>
      <c r="AP238" s="44"/>
      <c r="AQ238" s="46"/>
      <c r="AR238" s="44"/>
      <c r="AS238" s="44"/>
      <c r="AT238" s="44"/>
      <c r="AU238" s="45"/>
      <c r="AV238" s="44"/>
      <c r="AW238" s="38"/>
      <c r="AX238" s="44"/>
      <c r="AY238" s="38"/>
      <c r="AZ238" s="44"/>
      <c r="BA238" s="45"/>
      <c r="BB238" s="44"/>
      <c r="BC238" s="45"/>
      <c r="BD238" s="44"/>
      <c r="BE238" s="46"/>
      <c r="BF238" s="36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</row>
    <row r="239" ht="15.75" customHeight="1">
      <c r="A239" s="21" t="s">
        <v>1310</v>
      </c>
      <c r="B239" s="68"/>
      <c r="C239" s="69" t="s">
        <v>132</v>
      </c>
      <c r="D239" s="138" t="s">
        <v>1311</v>
      </c>
      <c r="E239" s="138" t="s">
        <v>1312</v>
      </c>
      <c r="F239" s="803" t="s">
        <v>1313</v>
      </c>
      <c r="G239" s="186"/>
      <c r="H239" s="71" t="s">
        <v>128</v>
      </c>
      <c r="I239" s="26" t="s">
        <v>129</v>
      </c>
      <c r="J239" s="155"/>
      <c r="K239" s="26">
        <v>3.0</v>
      </c>
      <c r="L239" s="26">
        <v>2019.0</v>
      </c>
      <c r="M239" s="25">
        <f t="shared" si="185"/>
        <v>6</v>
      </c>
      <c r="N239" s="26">
        <f t="shared" si="186"/>
        <v>2</v>
      </c>
      <c r="O239" s="27" t="str">
        <f t="shared" si="3"/>
        <v>#N/A</v>
      </c>
      <c r="P239" s="28">
        <f t="shared" si="175"/>
        <v>117</v>
      </c>
      <c r="Q239" s="28">
        <f t="shared" si="176"/>
        <v>239</v>
      </c>
      <c r="R239" s="28"/>
      <c r="S239" s="28"/>
      <c r="T239" s="29">
        <f t="shared" si="187"/>
        <v>8866666.667</v>
      </c>
      <c r="U239" s="28"/>
      <c r="V239" s="30">
        <f t="shared" si="28"/>
        <v>53200000</v>
      </c>
      <c r="W239" s="30"/>
      <c r="X239" s="32">
        <f t="shared" si="188"/>
        <v>2.952847075</v>
      </c>
      <c r="Y239" s="33">
        <f t="shared" si="189"/>
        <v>0.5811388301</v>
      </c>
      <c r="Z239" s="692"/>
      <c r="AA239" s="665"/>
      <c r="AB239" s="74"/>
      <c r="AC239" s="74"/>
      <c r="AD239" s="79"/>
      <c r="AE239" s="84"/>
      <c r="AF239" s="175" t="str">
        <f>HYPERLINK("https://www.crunchbase.com/funding_round/peach-street-seed--30b0133b","Jan 1, 2020")</f>
        <v>Jan 1, 2020</v>
      </c>
      <c r="AG239" s="76">
        <v>3200000.0</v>
      </c>
      <c r="AH239" s="77"/>
      <c r="AI239" s="78"/>
      <c r="AJ239" s="181" t="str">
        <f>HYPERLINK("https://www.crunchbase.com/funding_round/peach-street-series-a--3e3b098f","Feb 2, 2021")</f>
        <v>Feb 2, 2021</v>
      </c>
      <c r="AK239" s="76">
        <v>5.0E7</v>
      </c>
      <c r="AL239" s="79"/>
      <c r="AM239" s="84"/>
      <c r="AN239" s="79"/>
      <c r="AO239" s="84"/>
      <c r="AP239" s="79"/>
      <c r="AQ239" s="84"/>
      <c r="AR239" s="79"/>
      <c r="AS239" s="79"/>
      <c r="AT239" s="79"/>
      <c r="AU239" s="80"/>
      <c r="AV239" s="79"/>
      <c r="AW239" s="38"/>
      <c r="AX239" s="79"/>
      <c r="AY239" s="38"/>
      <c r="AZ239" s="79"/>
      <c r="BA239" s="80"/>
      <c r="BB239" s="79"/>
      <c r="BC239" s="80"/>
      <c r="BD239" s="79"/>
      <c r="BE239" s="84"/>
      <c r="BF239" s="74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</row>
    <row r="240" ht="15.75" customHeight="1">
      <c r="A240" s="47" t="s">
        <v>1314</v>
      </c>
      <c r="B240" s="115"/>
      <c r="C240" s="116" t="s">
        <v>84</v>
      </c>
      <c r="D240" s="192" t="s">
        <v>1315</v>
      </c>
      <c r="E240" s="192" t="s">
        <v>1316</v>
      </c>
      <c r="F240" s="428" t="s">
        <v>1317</v>
      </c>
      <c r="G240" s="604"/>
      <c r="H240" s="119" t="s">
        <v>64</v>
      </c>
      <c r="I240" s="25" t="s">
        <v>65</v>
      </c>
      <c r="J240" s="287"/>
      <c r="K240" s="25">
        <v>3.0</v>
      </c>
      <c r="L240" s="25">
        <v>2015.0</v>
      </c>
      <c r="M240" s="25">
        <f t="shared" si="185"/>
        <v>10</v>
      </c>
      <c r="N240" s="26">
        <f t="shared" si="186"/>
        <v>4</v>
      </c>
      <c r="O240" s="27" t="str">
        <f t="shared" si="3"/>
        <v>#N/A</v>
      </c>
      <c r="P240" s="28">
        <f t="shared" si="175"/>
        <v>173</v>
      </c>
      <c r="Q240" s="28">
        <f t="shared" si="176"/>
        <v>240</v>
      </c>
      <c r="R240" s="28"/>
      <c r="S240" s="28"/>
      <c r="T240" s="29">
        <f t="shared" si="187"/>
        <v>5312000</v>
      </c>
      <c r="U240" s="28"/>
      <c r="V240" s="30">
        <f t="shared" si="28"/>
        <v>53120000</v>
      </c>
      <c r="W240" s="30"/>
      <c r="X240" s="32">
        <f t="shared" si="188"/>
        <v>3.009083595</v>
      </c>
      <c r="Y240" s="33">
        <f t="shared" si="189"/>
        <v>0.7426815961</v>
      </c>
      <c r="Z240" s="692"/>
      <c r="AA240" s="665"/>
      <c r="AB240" s="123"/>
      <c r="AC240" s="123"/>
      <c r="AD240" s="455" t="str">
        <f>HYPERLINK("https://www.crunchbase.com/funding_round/landed-pre-seed--a5b26e08","Mar 22, 2016")</f>
        <v>Mar 22, 2016</v>
      </c>
      <c r="AE240" s="127">
        <v>120000.0</v>
      </c>
      <c r="AF240" s="920" t="str">
        <f>HYPERLINK("https://www.crunchbase.com/funding_round/landed-seed--51eb7fb6","Dec 20, 2016")</f>
        <v>Dec 20, 2016</v>
      </c>
      <c r="AG240" s="127">
        <v>4000000.0</v>
      </c>
      <c r="AH240" s="123"/>
      <c r="AI240" s="128"/>
      <c r="AJ240" s="855" t="str">
        <f>HYPERLINK("https://www.crunchbase.com/funding_round/landed-series-a--8fe2e62d","Jun 24, 2020")</f>
        <v>Jun 24, 2020</v>
      </c>
      <c r="AK240" s="127">
        <v>1.8E7</v>
      </c>
      <c r="AL240" s="855" t="str">
        <f>HYPERLINK("https://www.crunchbase.com/funding_round/landed-series-b--3f605a53","Sep 15, 2021")</f>
        <v>Sep 15, 2021</v>
      </c>
      <c r="AM240" s="127">
        <v>3.1E7</v>
      </c>
      <c r="AN240" s="124"/>
      <c r="AO240" s="125"/>
      <c r="AP240" s="124"/>
      <c r="AQ240" s="125"/>
      <c r="AR240" s="124"/>
      <c r="AS240" s="124"/>
      <c r="AT240" s="124"/>
      <c r="AU240" s="137"/>
      <c r="AV240" s="124"/>
      <c r="AW240" s="38"/>
      <c r="AX240" s="124"/>
      <c r="AY240" s="38"/>
      <c r="AZ240" s="124"/>
      <c r="BA240" s="137"/>
      <c r="BB240" s="124"/>
      <c r="BC240" s="137"/>
      <c r="BD240" s="124"/>
      <c r="BE240" s="125"/>
      <c r="BF240" s="123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</row>
    <row r="241" ht="15.75" customHeight="1">
      <c r="A241" s="21" t="s">
        <v>1318</v>
      </c>
      <c r="B241" s="68"/>
      <c r="C241" s="69" t="s">
        <v>84</v>
      </c>
      <c r="D241" s="535" t="s">
        <v>1319</v>
      </c>
      <c r="E241" s="231" t="s">
        <v>1320</v>
      </c>
      <c r="F241" s="173" t="s">
        <v>1321</v>
      </c>
      <c r="G241" s="54" t="s">
        <v>1322</v>
      </c>
      <c r="H241" s="71" t="s">
        <v>357</v>
      </c>
      <c r="I241" s="26" t="s">
        <v>358</v>
      </c>
      <c r="J241" s="72" t="s">
        <v>1323</v>
      </c>
      <c r="K241" s="26">
        <v>2.0</v>
      </c>
      <c r="L241" s="26">
        <v>2018.0</v>
      </c>
      <c r="M241" s="25">
        <f t="shared" si="185"/>
        <v>7</v>
      </c>
      <c r="N241" s="26">
        <f t="shared" si="186"/>
        <v>3</v>
      </c>
      <c r="O241" s="27" t="str">
        <f t="shared" si="3"/>
        <v>#N/A</v>
      </c>
      <c r="P241" s="28">
        <f t="shared" si="175"/>
        <v>132</v>
      </c>
      <c r="Q241" s="28">
        <f t="shared" si="176"/>
        <v>241</v>
      </c>
      <c r="R241" s="28"/>
      <c r="S241" s="28"/>
      <c r="T241" s="29">
        <f t="shared" si="187"/>
        <v>7571428.571</v>
      </c>
      <c r="U241" s="28"/>
      <c r="V241" s="30">
        <f t="shared" si="28"/>
        <v>53000000</v>
      </c>
      <c r="W241" s="30"/>
      <c r="X241" s="32">
        <f t="shared" si="188"/>
        <v>1.604463077</v>
      </c>
      <c r="Y241" s="33">
        <f t="shared" si="189"/>
        <v>0.507179384</v>
      </c>
      <c r="Z241" s="692"/>
      <c r="AA241" s="665"/>
      <c r="AB241" s="74"/>
      <c r="AC241" s="74"/>
      <c r="AD241" s="79"/>
      <c r="AE241" s="84"/>
      <c r="AF241" s="726">
        <v>43553.0</v>
      </c>
      <c r="AG241" s="76">
        <v>1500000.0</v>
      </c>
      <c r="AH241" s="77"/>
      <c r="AI241" s="78"/>
      <c r="AJ241" s="181" t="str">
        <f>HYPERLINK("https://www.crunchbase.com/funding_round/stavvy-series-a--2bb0efc9","Mar 24, 2021")</f>
        <v>Mar 24, 2021</v>
      </c>
      <c r="AK241" s="76">
        <v>2.65E7</v>
      </c>
      <c r="AL241" s="79"/>
      <c r="AM241" s="84"/>
      <c r="AN241" s="79"/>
      <c r="AO241" s="84"/>
      <c r="AP241" s="79"/>
      <c r="AQ241" s="84"/>
      <c r="AR241" s="79"/>
      <c r="AS241" s="79"/>
      <c r="AT241" s="79"/>
      <c r="AU241" s="80"/>
      <c r="AV241" s="79"/>
      <c r="AW241" s="38"/>
      <c r="AX241" s="79"/>
      <c r="AY241" s="38"/>
      <c r="AZ241" s="79"/>
      <c r="BA241" s="80"/>
      <c r="BB241" s="75">
        <v>44910.0</v>
      </c>
      <c r="BC241" s="83">
        <v>2.5E7</v>
      </c>
      <c r="BD241" s="79"/>
      <c r="BE241" s="84"/>
      <c r="BF241" s="74"/>
      <c r="BG241" s="534"/>
      <c r="BH241" s="534"/>
      <c r="BI241" s="534"/>
      <c r="BJ241" s="534"/>
      <c r="BK241" s="534"/>
      <c r="BL241" s="534"/>
      <c r="BM241" s="534"/>
      <c r="BN241" s="534"/>
      <c r="BO241" s="534"/>
      <c r="BP241" s="534"/>
      <c r="BQ241" s="534"/>
      <c r="BR241" s="534"/>
      <c r="BS241" s="534"/>
      <c r="BT241" s="534"/>
      <c r="BU241" s="534"/>
      <c r="BV241" s="534"/>
      <c r="BW241" s="534"/>
      <c r="BX241" s="534"/>
      <c r="BY241" s="534"/>
      <c r="BZ241" s="534"/>
      <c r="CA241" s="534"/>
      <c r="CB241" s="534"/>
      <c r="CC241" s="534"/>
      <c r="CD241" s="534"/>
      <c r="CE241" s="534"/>
      <c r="CF241" s="534"/>
      <c r="CG241" s="534"/>
      <c r="CH241" s="534"/>
      <c r="CI241" s="534"/>
      <c r="CJ241" s="534"/>
      <c r="CK241" s="534"/>
      <c r="CL241" s="534"/>
      <c r="CM241" s="534"/>
      <c r="CN241" s="534"/>
      <c r="CO241" s="534"/>
      <c r="CP241" s="534"/>
    </row>
    <row r="242" ht="15.75" customHeight="1">
      <c r="A242" s="892" t="s">
        <v>1324</v>
      </c>
      <c r="B242" s="16"/>
      <c r="C242" s="17" t="s">
        <v>123</v>
      </c>
      <c r="D242" s="192" t="s">
        <v>1325</v>
      </c>
      <c r="E242" s="192" t="s">
        <v>1326</v>
      </c>
      <c r="F242" s="118" t="s">
        <v>1327</v>
      </c>
      <c r="G242" s="71"/>
      <c r="H242" s="71" t="s">
        <v>187</v>
      </c>
      <c r="I242" s="26" t="s">
        <v>188</v>
      </c>
      <c r="J242" s="72"/>
      <c r="K242" s="36"/>
      <c r="L242" s="23">
        <v>2001.0</v>
      </c>
      <c r="M242" s="25">
        <f t="shared" si="185"/>
        <v>24</v>
      </c>
      <c r="N242" s="26">
        <f t="shared" si="186"/>
        <v>2</v>
      </c>
      <c r="O242" s="27" t="str">
        <f t="shared" si="3"/>
        <v>#N/A</v>
      </c>
      <c r="P242" s="28">
        <f t="shared" si="175"/>
        <v>213</v>
      </c>
      <c r="Q242" s="28">
        <f t="shared" si="176"/>
        <v>242</v>
      </c>
      <c r="R242" s="28"/>
      <c r="S242" s="28"/>
      <c r="T242" s="29">
        <f t="shared" si="187"/>
        <v>2187500</v>
      </c>
      <c r="U242" s="28"/>
      <c r="V242" s="30">
        <f t="shared" si="28"/>
        <v>52500000</v>
      </c>
      <c r="W242" s="30"/>
      <c r="X242" s="32">
        <f t="shared" si="188"/>
        <v>0.1547005384</v>
      </c>
      <c r="Y242" s="33">
        <f t="shared" si="189"/>
        <v>0.01205888205</v>
      </c>
      <c r="Z242" s="692"/>
      <c r="AA242" s="665"/>
      <c r="AB242" s="36"/>
      <c r="AC242" s="36"/>
      <c r="AD242" s="44"/>
      <c r="AE242" s="46"/>
      <c r="AF242" s="39"/>
      <c r="AG242" s="46"/>
      <c r="AH242" s="36"/>
      <c r="AI242" s="159"/>
      <c r="AJ242" s="227">
        <v>40542.0</v>
      </c>
      <c r="AK242" s="38">
        <v>2.25E7</v>
      </c>
      <c r="AL242" s="42">
        <v>42144.0</v>
      </c>
      <c r="AM242" s="38">
        <v>3.0E7</v>
      </c>
      <c r="AN242" s="44"/>
      <c r="AO242" s="46"/>
      <c r="AP242" s="44"/>
      <c r="AQ242" s="46"/>
      <c r="AR242" s="44"/>
      <c r="AS242" s="44"/>
      <c r="AT242" s="44"/>
      <c r="AU242" s="45"/>
      <c r="AV242" s="44"/>
      <c r="AW242" s="38"/>
      <c r="AX242" s="44"/>
      <c r="AY242" s="38"/>
      <c r="AZ242" s="44"/>
      <c r="BA242" s="45"/>
      <c r="BB242" s="44"/>
      <c r="BC242" s="45"/>
      <c r="BD242" s="44"/>
      <c r="BE242" s="46"/>
      <c r="BF242" s="3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</row>
    <row r="243" ht="15.75" customHeight="1">
      <c r="A243" s="416" t="s">
        <v>1328</v>
      </c>
      <c r="B243" s="16"/>
      <c r="C243" s="17" t="s">
        <v>59</v>
      </c>
      <c r="D243" s="192" t="s">
        <v>1329</v>
      </c>
      <c r="E243" s="192" t="s">
        <v>1330</v>
      </c>
      <c r="F243" s="118" t="s">
        <v>1331</v>
      </c>
      <c r="G243" s="317"/>
      <c r="H243" s="22" t="s">
        <v>256</v>
      </c>
      <c r="I243" s="23" t="s">
        <v>257</v>
      </c>
      <c r="J243" s="24"/>
      <c r="K243" s="23">
        <v>4.0</v>
      </c>
      <c r="L243" s="23">
        <v>2016.0</v>
      </c>
      <c r="M243" s="222"/>
      <c r="N243" s="23"/>
      <c r="O243" s="27" t="str">
        <f t="shared" si="3"/>
        <v>#N/A</v>
      </c>
      <c r="P243" s="28" t="str">
        <f t="shared" si="175"/>
        <v>#N/A</v>
      </c>
      <c r="Q243" s="28">
        <f t="shared" si="176"/>
        <v>243</v>
      </c>
      <c r="R243" s="28"/>
      <c r="S243" s="28"/>
      <c r="T243" s="28"/>
      <c r="U243" s="28"/>
      <c r="V243" s="30">
        <f t="shared" si="28"/>
        <v>52000000</v>
      </c>
      <c r="W243" s="30"/>
      <c r="X243" s="33"/>
      <c r="Y243" s="33"/>
      <c r="Z243" s="692"/>
      <c r="AA243" s="665"/>
      <c r="AB243" s="36"/>
      <c r="AC243" s="36"/>
      <c r="AD243" s="44"/>
      <c r="AE243" s="46"/>
      <c r="AF243" s="921"/>
      <c r="AG243" s="38"/>
      <c r="AH243" s="36"/>
      <c r="AI243" s="159"/>
      <c r="AJ243" s="43" t="str">
        <f>HYPERLINK("https://www.crunchbase.com/funding_round/avataar-me-series-a--ea4b3d3d","Oct 15, 2020")</f>
        <v>Oct 15, 2020</v>
      </c>
      <c r="AK243" s="38">
        <v>7000000.0</v>
      </c>
      <c r="AL243" s="43" t="str">
        <f>HYPERLINK("https://www.crunchbase.com/funding_round/avataar-me-series-b--773fc0d3","Jan 7, 2022")</f>
        <v>Jan 7, 2022</v>
      </c>
      <c r="AM243" s="38">
        <v>4.5E7</v>
      </c>
      <c r="AN243" s="44"/>
      <c r="AO243" s="46"/>
      <c r="AP243" s="44"/>
      <c r="AQ243" s="46"/>
      <c r="AR243" s="44"/>
      <c r="AS243" s="44"/>
      <c r="AT243" s="44"/>
      <c r="AU243" s="45"/>
      <c r="AV243" s="44"/>
      <c r="AW243" s="38"/>
      <c r="AX243" s="44"/>
      <c r="AY243" s="38"/>
      <c r="AZ243" s="44"/>
      <c r="BA243" s="45"/>
      <c r="BB243" s="44"/>
      <c r="BC243" s="45"/>
      <c r="BD243" s="44"/>
      <c r="BE243" s="46"/>
      <c r="BF243" s="36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</row>
    <row r="244" ht="15.75" customHeight="1">
      <c r="A244" s="400" t="s">
        <v>1332</v>
      </c>
      <c r="B244" s="115"/>
      <c r="C244" s="116" t="s">
        <v>59</v>
      </c>
      <c r="D244" s="401" t="s">
        <v>1333</v>
      </c>
      <c r="E244" s="161" t="s">
        <v>1334</v>
      </c>
      <c r="F244" s="402" t="s">
        <v>1335</v>
      </c>
      <c r="G244" s="119" t="s">
        <v>1336</v>
      </c>
      <c r="H244" s="71" t="s">
        <v>1337</v>
      </c>
      <c r="I244" s="26" t="s">
        <v>1338</v>
      </c>
      <c r="J244" s="120" t="s">
        <v>1339</v>
      </c>
      <c r="K244" s="123"/>
      <c r="L244" s="25"/>
      <c r="M244" s="123"/>
      <c r="N244" s="123"/>
      <c r="O244" s="27" t="str">
        <f t="shared" si="3"/>
        <v>#N/A</v>
      </c>
      <c r="P244" s="55"/>
      <c r="Q244" s="55"/>
      <c r="R244" s="55"/>
      <c r="S244" s="55"/>
      <c r="T244" s="55"/>
      <c r="U244" s="55"/>
      <c r="V244" s="30">
        <f t="shared" si="28"/>
        <v>52000000</v>
      </c>
      <c r="W244" s="31">
        <v>1200000.0</v>
      </c>
      <c r="X244" s="403"/>
      <c r="Y244" s="403"/>
      <c r="Z244" s="692"/>
      <c r="AA244" s="665"/>
      <c r="AB244" s="123"/>
      <c r="AC244" s="123"/>
      <c r="AD244" s="717"/>
      <c r="AE244" s="125"/>
      <c r="AF244" s="453"/>
      <c r="AG244" s="125"/>
      <c r="AH244" s="123"/>
      <c r="AI244" s="128"/>
      <c r="AJ244" s="404">
        <v>44369.0</v>
      </c>
      <c r="AK244" s="127">
        <v>2.2E7</v>
      </c>
      <c r="AL244" s="404">
        <v>44980.0</v>
      </c>
      <c r="AM244" s="127">
        <v>3.0E7</v>
      </c>
      <c r="AN244" s="123"/>
      <c r="AO244" s="125"/>
      <c r="AP244" s="881"/>
      <c r="AQ244" s="125"/>
      <c r="AR244" s="123"/>
      <c r="AS244" s="123"/>
      <c r="AT244" s="123"/>
      <c r="AU244" s="137"/>
      <c r="AV244" s="123"/>
      <c r="AW244" s="38"/>
      <c r="AX244" s="123"/>
      <c r="AY244" s="38"/>
      <c r="AZ244" s="123"/>
      <c r="BA244" s="137"/>
      <c r="BB244" s="123"/>
      <c r="BC244" s="137"/>
      <c r="BD244" s="123"/>
      <c r="BE244" s="38"/>
      <c r="BF244" s="123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</row>
    <row r="245" ht="15.75" customHeight="1">
      <c r="A245" s="442" t="s">
        <v>1012</v>
      </c>
      <c r="B245" s="68" t="s">
        <v>944</v>
      </c>
      <c r="C245" s="69" t="s">
        <v>123</v>
      </c>
      <c r="D245" s="184" t="s">
        <v>1340</v>
      </c>
      <c r="E245" s="184" t="s">
        <v>1341</v>
      </c>
      <c r="F245" s="185" t="s">
        <v>1342</v>
      </c>
      <c r="G245" s="186" t="s">
        <v>1343</v>
      </c>
      <c r="H245" s="186" t="s">
        <v>1344</v>
      </c>
      <c r="I245" s="74" t="s">
        <v>1345</v>
      </c>
      <c r="J245" s="155">
        <v>75082.0</v>
      </c>
      <c r="K245" s="74" t="s">
        <v>723</v>
      </c>
      <c r="L245" s="26">
        <v>1998.0</v>
      </c>
      <c r="M245" s="25">
        <f>year(now()) -L245</f>
        <v>27</v>
      </c>
      <c r="N245" s="26">
        <f>counta(AE245,AG245,AI245,AK245,AM245,AO245,AQ245,AS245,AU245,AW245,AY245,BA245,BC245)</f>
        <v>3</v>
      </c>
      <c r="O245" s="27" t="str">
        <f t="shared" si="3"/>
        <v>#N/A</v>
      </c>
      <c r="P245" s="28">
        <f t="shared" ref="P245:P252" si="190">RANK(T245,$T$2:$T$333)</f>
        <v>217</v>
      </c>
      <c r="Q245" s="28">
        <f t="shared" ref="Q245:Q252" si="191">rank(V245,$V$2:$V$344)</f>
        <v>245</v>
      </c>
      <c r="R245" s="28"/>
      <c r="S245" s="28"/>
      <c r="T245" s="29">
        <f>V245/M245</f>
        <v>1914814.815</v>
      </c>
      <c r="U245" s="28"/>
      <c r="V245" s="30">
        <f t="shared" si="28"/>
        <v>51700000</v>
      </c>
      <c r="W245" s="30"/>
      <c r="X245" s="32">
        <f>(max(AE245,AG245,AI245,AK245,AM245,AO245,AQ245,AS245,AU245,AW245,AY245,BA245,BC245)/min(AE245,AG245,AI245,AK245,AM245,AO245,AQ245,AS245,AU245,AW245,AY245,BA245,BC245))^(1/N245)-1</f>
        <v>0.6940435674</v>
      </c>
      <c r="Y245" s="33">
        <f>(max(AE245,AG245,AI245,AK245,AM245,AO245,AQ245,AS245,AU245,AW245,AY245,BA245,BC245)/min(AE245,AG245,AI245,AK245,AM245,AO245,AQ245,AS245,AU245,AW245,AY245,BA245,BC245))^(1/M245)-1</f>
        <v>0.06031782874</v>
      </c>
      <c r="Z245" s="692"/>
      <c r="AA245" s="665"/>
      <c r="AB245" s="74"/>
      <c r="AC245" s="74"/>
      <c r="AD245" s="79"/>
      <c r="AE245" s="84"/>
      <c r="AF245" s="338"/>
      <c r="AG245" s="84"/>
      <c r="AH245" s="74"/>
      <c r="AI245" s="78"/>
      <c r="AJ245" s="426" t="str">
        <f>HYPERLINK("https://www.crunchbase.com/organization/realpage#section-funding-rounds","Dec 30, 2003")</f>
        <v>Dec 30, 2003</v>
      </c>
      <c r="AK245" s="76">
        <v>3.16E7</v>
      </c>
      <c r="AL245" s="426" t="str">
        <f>HYPERLINK("https://www.crunchbase.com/funding_round/realpage-series-b--26a09344","Dec 14, 2005")</f>
        <v>Dec 14, 2005</v>
      </c>
      <c r="AM245" s="76">
        <v>6500000.0</v>
      </c>
      <c r="AN245" s="426" t="str">
        <f>HYPERLINK("https://www.crunchbase.com/funding_round/realpage-series-c--2fcc25b9","Feb 22, 2008")</f>
        <v>Feb 22, 2008</v>
      </c>
      <c r="AO245" s="894">
        <v>1.36E7</v>
      </c>
      <c r="AP245" s="79"/>
      <c r="AQ245" s="84"/>
      <c r="AR245" s="79"/>
      <c r="AS245" s="79"/>
      <c r="AT245" s="79"/>
      <c r="AU245" s="80"/>
      <c r="AV245" s="79"/>
      <c r="AW245" s="38"/>
      <c r="AX245" s="79"/>
      <c r="AY245" s="38"/>
      <c r="AZ245" s="79"/>
      <c r="BA245" s="80"/>
      <c r="BB245" s="79"/>
      <c r="BC245" s="80"/>
      <c r="BD245" s="79"/>
      <c r="BE245" s="84"/>
      <c r="BF245" s="74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</row>
    <row r="246" ht="15.75" customHeight="1">
      <c r="A246" s="400" t="s">
        <v>1346</v>
      </c>
      <c r="B246" s="116"/>
      <c r="C246" s="116" t="s">
        <v>84</v>
      </c>
      <c r="D246" s="731"/>
      <c r="E246" s="161" t="s">
        <v>1347</v>
      </c>
      <c r="F246" s="922" t="s">
        <v>1348</v>
      </c>
      <c r="G246" s="543"/>
      <c r="H246" s="119" t="s">
        <v>328</v>
      </c>
      <c r="I246" s="25" t="s">
        <v>329</v>
      </c>
      <c r="J246" s="120"/>
      <c r="K246" s="25">
        <v>3.0</v>
      </c>
      <c r="L246" s="25">
        <v>2019.0</v>
      </c>
      <c r="M246" s="25"/>
      <c r="N246" s="25"/>
      <c r="O246" s="27" t="str">
        <f t="shared" si="3"/>
        <v>#N/A</v>
      </c>
      <c r="P246" s="28" t="str">
        <f t="shared" si="190"/>
        <v>#N/A</v>
      </c>
      <c r="Q246" s="28">
        <f t="shared" si="191"/>
        <v>246</v>
      </c>
      <c r="R246" s="356"/>
      <c r="S246" s="356"/>
      <c r="T246" s="356"/>
      <c r="U246" s="356"/>
      <c r="V246" s="30">
        <f t="shared" si="28"/>
        <v>51240000</v>
      </c>
      <c r="W246" s="30"/>
      <c r="X246" s="597"/>
      <c r="Y246" s="597"/>
      <c r="Z246" s="692"/>
      <c r="AA246" s="665"/>
      <c r="AB246" s="123"/>
      <c r="AC246" s="123"/>
      <c r="AD246" s="124"/>
      <c r="AE246" s="125"/>
      <c r="AF246" s="166"/>
      <c r="AG246" s="127"/>
      <c r="AH246" s="923"/>
      <c r="AI246" s="759"/>
      <c r="AJ246" s="167" t="str">
        <f>HYPERLINK("https://www.crunchbase.com/funding_round/selina-finance-limited-series-a--383970df","Jul 22, 2020")</f>
        <v>Jul 22, 2020</v>
      </c>
      <c r="AK246" s="165">
        <v>1.624E7</v>
      </c>
      <c r="AL246" s="455" t="str">
        <f>HYPERLINK("https://www.crunchbase.com/funding_round/selina-finance-limited-series-b--035baf03","Feb 8, 2022")</f>
        <v>Feb 8, 2022</v>
      </c>
      <c r="AM246" s="127">
        <v>3.5E7</v>
      </c>
      <c r="AN246" s="124"/>
      <c r="AO246" s="125"/>
      <c r="AP246" s="124"/>
      <c r="AQ246" s="125"/>
      <c r="AR246" s="124"/>
      <c r="AS246" s="124"/>
      <c r="AT246" s="124"/>
      <c r="AU246" s="137"/>
      <c r="AV246" s="124"/>
      <c r="AW246" s="38"/>
      <c r="AX246" s="124"/>
      <c r="AY246" s="38"/>
      <c r="AZ246" s="124"/>
      <c r="BA246" s="137"/>
      <c r="BB246" s="124"/>
      <c r="BC246" s="137"/>
      <c r="BD246" s="124"/>
      <c r="BE246" s="125"/>
      <c r="BF246" s="123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</row>
    <row r="247" ht="15.75" customHeight="1">
      <c r="A247" s="21" t="s">
        <v>1349</v>
      </c>
      <c r="B247" s="17"/>
      <c r="C247" s="17" t="s">
        <v>59</v>
      </c>
      <c r="D247" s="380"/>
      <c r="E247" s="492" t="s">
        <v>1350</v>
      </c>
      <c r="F247" s="173" t="s">
        <v>1351</v>
      </c>
      <c r="G247" s="193"/>
      <c r="H247" s="22" t="s">
        <v>1352</v>
      </c>
      <c r="I247" s="23" t="s">
        <v>73</v>
      </c>
      <c r="J247" s="237"/>
      <c r="K247" s="23">
        <v>2.0</v>
      </c>
      <c r="L247" s="23">
        <v>2017.0</v>
      </c>
      <c r="M247" s="222"/>
      <c r="N247" s="23"/>
      <c r="O247" s="27" t="str">
        <f t="shared" si="3"/>
        <v>#N/A</v>
      </c>
      <c r="P247" s="28" t="str">
        <f t="shared" si="190"/>
        <v>#N/A</v>
      </c>
      <c r="Q247" s="28">
        <f t="shared" si="191"/>
        <v>247</v>
      </c>
      <c r="R247" s="464"/>
      <c r="S247" s="464"/>
      <c r="T247" s="464"/>
      <c r="U247" s="464"/>
      <c r="V247" s="30">
        <f t="shared" si="28"/>
        <v>50500000</v>
      </c>
      <c r="W247" s="30"/>
      <c r="X247" s="33"/>
      <c r="Y247" s="33"/>
      <c r="Z247" s="692"/>
      <c r="AA247" s="665"/>
      <c r="AB247" s="36"/>
      <c r="AC247" s="36"/>
      <c r="AD247" s="44"/>
      <c r="AE247" s="46"/>
      <c r="AF247" s="158" t="str">
        <f>HYPERLINK("https://www.crunchbase.com/funding_round/capacityai-seed--083adc4a","Jan 2, 2017")</f>
        <v>Jan 2, 2017</v>
      </c>
      <c r="AG247" s="38">
        <v>1600000.0</v>
      </c>
      <c r="AH247" s="55"/>
      <c r="AI247" s="55"/>
      <c r="AJ247" s="924" t="str">
        <f>HYPERLINK("https://www.crunchbase.com/funding_round/capacityai-series-a--725f7ba6","Jun 12, 2018")</f>
        <v>Jun 12, 2018</v>
      </c>
      <c r="AK247" s="41">
        <v>8400000.0</v>
      </c>
      <c r="AL247" s="925" t="str">
        <f>HYPERLINK("https://www.crunchbase.com/funding_round/capacityai-series-b--4a401fc3","Oct 5, 2019")</f>
        <v>Oct 5, 2019</v>
      </c>
      <c r="AM247" s="38">
        <v>1.35E7</v>
      </c>
      <c r="AN247" s="926" t="str">
        <f>HYPERLINK("https://www.crunchbase.com/funding_round/capacityai-series-c--57f813cd","Jan 19, 2022")</f>
        <v>Jan 19, 2022</v>
      </c>
      <c r="AO247" s="38">
        <v>2.7E7</v>
      </c>
      <c r="AP247" s="44"/>
      <c r="AQ247" s="46"/>
      <c r="AR247" s="44"/>
      <c r="AS247" s="44"/>
      <c r="AT247" s="44"/>
      <c r="AU247" s="45"/>
      <c r="AV247" s="44"/>
      <c r="AW247" s="38"/>
      <c r="AX247" s="44"/>
      <c r="AY247" s="38"/>
      <c r="AZ247" s="44"/>
      <c r="BA247" s="45"/>
      <c r="BB247" s="44"/>
      <c r="BC247" s="45"/>
      <c r="BD247" s="44"/>
      <c r="BE247" s="46"/>
      <c r="BF247" s="36"/>
      <c r="BG247" s="115"/>
      <c r="BH247" s="115"/>
      <c r="BI247" s="115"/>
      <c r="BJ247" s="115"/>
      <c r="BK247" s="115"/>
      <c r="BL247" s="115"/>
      <c r="BM247" s="115"/>
      <c r="BN247" s="115"/>
      <c r="BO247" s="115"/>
      <c r="BP247" s="115"/>
      <c r="BQ247" s="115"/>
      <c r="BR247" s="115"/>
      <c r="BS247" s="115"/>
      <c r="BT247" s="115"/>
      <c r="BU247" s="115"/>
      <c r="BV247" s="115"/>
      <c r="BW247" s="115"/>
      <c r="BX247" s="115"/>
      <c r="BY247" s="115"/>
      <c r="BZ247" s="115"/>
      <c r="CA247" s="115"/>
      <c r="CB247" s="115"/>
      <c r="CC247" s="115"/>
      <c r="CD247" s="115"/>
      <c r="CE247" s="115"/>
      <c r="CF247" s="115"/>
      <c r="CG247" s="115"/>
      <c r="CH247" s="115"/>
      <c r="CI247" s="115"/>
      <c r="CJ247" s="115"/>
      <c r="CK247" s="115"/>
      <c r="CL247" s="115"/>
      <c r="CM247" s="115"/>
      <c r="CN247" s="115"/>
      <c r="CO247" s="115"/>
      <c r="CP247" s="115"/>
    </row>
    <row r="248" ht="15.75" customHeight="1">
      <c r="A248" s="21" t="s">
        <v>1353</v>
      </c>
      <c r="B248" s="68"/>
      <c r="C248" s="69" t="s">
        <v>84</v>
      </c>
      <c r="D248" s="138" t="s">
        <v>1354</v>
      </c>
      <c r="E248" s="138" t="s">
        <v>1355</v>
      </c>
      <c r="F248" s="173" t="s">
        <v>1356</v>
      </c>
      <c r="G248" s="71" t="s">
        <v>1357</v>
      </c>
      <c r="H248" s="186" t="s">
        <v>64</v>
      </c>
      <c r="I248" s="74" t="s">
        <v>65</v>
      </c>
      <c r="J248" s="155"/>
      <c r="K248" s="26">
        <v>4.0</v>
      </c>
      <c r="L248" s="26">
        <v>2016.0</v>
      </c>
      <c r="M248" s="25">
        <f t="shared" ref="M248:M252" si="192">year(now()) -L248</f>
        <v>9</v>
      </c>
      <c r="N248" s="26">
        <f t="shared" ref="N248:N252" si="193">counta(AE248,AG248,AI248,AK248,AM248,AO248,AQ248,AS248,AU248,AW248,AY248,BA248,BC248)</f>
        <v>3</v>
      </c>
      <c r="O248" s="27" t="str">
        <f t="shared" si="3"/>
        <v>#N/A</v>
      </c>
      <c r="P248" s="28">
        <f t="shared" si="190"/>
        <v>166</v>
      </c>
      <c r="Q248" s="28">
        <f t="shared" si="191"/>
        <v>248</v>
      </c>
      <c r="R248" s="28"/>
      <c r="S248" s="28"/>
      <c r="T248" s="29">
        <f t="shared" ref="T248:T252" si="194">V248/M248</f>
        <v>5588888.889</v>
      </c>
      <c r="U248" s="28"/>
      <c r="V248" s="30">
        <f t="shared" si="28"/>
        <v>50300000</v>
      </c>
      <c r="W248" s="30"/>
      <c r="X248" s="32">
        <f t="shared" ref="X248:X252" si="195">(max(AE248,AG248,AI248,AK248,AM248,AO248,AQ248,AS248,AU248,AW248,AY248,BA248,BC248)/min(AE248,AG248,AI248,AK248,AM248,AO248,AQ248,AS248,AU248,AW248,AY248,BA248,BC248))^(1/N248)-1</f>
        <v>0.9911893131</v>
      </c>
      <c r="Y248" s="33">
        <f t="shared" ref="Y248:Y252" si="196">(max(AE248,AG248,AI248,AK248,AM248,AO248,AQ248,AS248,AU248,AW248,AY248,BA248,BC248)/min(AE248,AG248,AI248,AK248,AM248,AO248,AQ248,AS248,AU248,AW248,AY248,BA248,BC248))^(1/M248)-1</f>
        <v>0.2580681981</v>
      </c>
      <c r="Z248" s="692"/>
      <c r="AA248" s="665"/>
      <c r="AB248" s="74"/>
      <c r="AC248" s="74"/>
      <c r="AD248" s="79"/>
      <c r="AE248" s="84"/>
      <c r="AF248" s="856" t="str">
        <f>HYPERLINK("https://www.crunchbase.com/funding_round/starcity-seed--486fc6ba","Dec 31, 2016")</f>
        <v>Dec 31, 2016</v>
      </c>
      <c r="AG248" s="76">
        <v>3800000.0</v>
      </c>
      <c r="AH248" s="77"/>
      <c r="AI248" s="78"/>
      <c r="AJ248" s="927" t="str">
        <f>HYPERLINK("https://www.crunchbase.com/funding_round/starcity-series-a--7d879dfa","Mar 6, 2018")</f>
        <v>Mar 6, 2018</v>
      </c>
      <c r="AK248" s="76">
        <v>1.65E7</v>
      </c>
      <c r="AL248" s="426" t="str">
        <f>HYPERLINK("https://www.crunchbase.com/funding_round/starcity-series-b--d275adc5","Apr 27, 2020")</f>
        <v>Apr 27, 2020</v>
      </c>
      <c r="AM248" s="76">
        <v>3.0E7</v>
      </c>
      <c r="AN248" s="79"/>
      <c r="AO248" s="84"/>
      <c r="AP248" s="79"/>
      <c r="AQ248" s="84"/>
      <c r="AR248" s="79"/>
      <c r="AS248" s="79"/>
      <c r="AT248" s="79"/>
      <c r="AU248" s="80"/>
      <c r="AV248" s="79"/>
      <c r="AW248" s="38"/>
      <c r="AX248" s="79"/>
      <c r="AY248" s="38"/>
      <c r="AZ248" s="79"/>
      <c r="BA248" s="80"/>
      <c r="BB248" s="79"/>
      <c r="BC248" s="80"/>
      <c r="BD248" s="79"/>
      <c r="BE248" s="84"/>
      <c r="BF248" s="74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</row>
    <row r="249" ht="15.75" customHeight="1">
      <c r="A249" s="21" t="s">
        <v>1358</v>
      </c>
      <c r="B249" s="69" t="s">
        <v>1359</v>
      </c>
      <c r="C249" s="69" t="s">
        <v>1360</v>
      </c>
      <c r="D249" s="192" t="s">
        <v>1361</v>
      </c>
      <c r="E249" s="200" t="s">
        <v>1362</v>
      </c>
      <c r="F249" s="154" t="s">
        <v>1363</v>
      </c>
      <c r="G249" s="71" t="s">
        <v>1364</v>
      </c>
      <c r="H249" s="71" t="s">
        <v>1365</v>
      </c>
      <c r="I249" s="26" t="s">
        <v>287</v>
      </c>
      <c r="J249" s="72" t="s">
        <v>1366</v>
      </c>
      <c r="K249" s="26">
        <v>3.0</v>
      </c>
      <c r="L249" s="26">
        <v>2015.0</v>
      </c>
      <c r="M249" s="25">
        <f t="shared" si="192"/>
        <v>10</v>
      </c>
      <c r="N249" s="26">
        <f t="shared" si="193"/>
        <v>2</v>
      </c>
      <c r="O249" s="27" t="str">
        <f t="shared" si="3"/>
        <v>#N/A</v>
      </c>
      <c r="P249" s="28">
        <f t="shared" si="190"/>
        <v>176</v>
      </c>
      <c r="Q249" s="28">
        <f t="shared" si="191"/>
        <v>249</v>
      </c>
      <c r="R249" s="28"/>
      <c r="S249" s="28"/>
      <c r="T249" s="29">
        <f t="shared" si="194"/>
        <v>5000000</v>
      </c>
      <c r="U249" s="28"/>
      <c r="V249" s="30">
        <f t="shared" si="28"/>
        <v>50000000</v>
      </c>
      <c r="W249" s="30"/>
      <c r="X249" s="32">
        <f t="shared" si="195"/>
        <v>1</v>
      </c>
      <c r="Y249" s="33">
        <f t="shared" si="196"/>
        <v>0.148698355</v>
      </c>
      <c r="Z249" s="692"/>
      <c r="AA249" s="665"/>
      <c r="AB249" s="74"/>
      <c r="AC249" s="74"/>
      <c r="AD249" s="79"/>
      <c r="AE249" s="84"/>
      <c r="AF249" s="338"/>
      <c r="AG249" s="84"/>
      <c r="AH249" s="74"/>
      <c r="AI249" s="78"/>
      <c r="AJ249" s="426" t="str">
        <f>HYPERLINK("https://www.crunchbase.com/funding_round/kitchen-united-series-a--9cdb8a21"," Oct 8, 2018        
")</f>
        <v> Oct 8, 2018        
</v>
      </c>
      <c r="AK249" s="76">
        <v>1.0E7</v>
      </c>
      <c r="AL249" s="426" t="str">
        <f>HYPERLINK("https://www.crunchbase.com/funding_round/kitchen-united-series-b--c8cacdba"," 9/19/2019")</f>
        <v> 9/19/2019</v>
      </c>
      <c r="AM249" s="928">
        <v>4.0E7</v>
      </c>
      <c r="AN249" s="79"/>
      <c r="AO249" s="84"/>
      <c r="AP249" s="79"/>
      <c r="AQ249" s="84"/>
      <c r="AR249" s="79"/>
      <c r="AS249" s="79"/>
      <c r="AT249" s="79"/>
      <c r="AU249" s="80"/>
      <c r="AV249" s="79"/>
      <c r="AW249" s="38"/>
      <c r="AX249" s="79"/>
      <c r="AY249" s="38"/>
      <c r="AZ249" s="79"/>
      <c r="BA249" s="80"/>
      <c r="BB249" s="79"/>
      <c r="BC249" s="80"/>
      <c r="BD249" s="79"/>
      <c r="BE249" s="84"/>
      <c r="BF249" s="74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</row>
    <row r="250" ht="15.75" customHeight="1">
      <c r="A250" s="860" t="s">
        <v>1367</v>
      </c>
      <c r="B250" s="68"/>
      <c r="C250" s="69" t="s">
        <v>190</v>
      </c>
      <c r="D250" s="192" t="s">
        <v>1368</v>
      </c>
      <c r="E250" s="192" t="s">
        <v>1369</v>
      </c>
      <c r="F250" s="118" t="s">
        <v>1370</v>
      </c>
      <c r="G250" s="140"/>
      <c r="H250" s="71" t="s">
        <v>129</v>
      </c>
      <c r="I250" s="26" t="s">
        <v>129</v>
      </c>
      <c r="J250" s="72"/>
      <c r="K250" s="74"/>
      <c r="L250" s="26">
        <v>2017.0</v>
      </c>
      <c r="M250" s="25">
        <f t="shared" si="192"/>
        <v>8</v>
      </c>
      <c r="N250" s="26">
        <f t="shared" si="193"/>
        <v>2</v>
      </c>
      <c r="O250" s="27" t="str">
        <f t="shared" si="3"/>
        <v>#N/A</v>
      </c>
      <c r="P250" s="28">
        <f t="shared" si="190"/>
        <v>150</v>
      </c>
      <c r="Q250" s="28">
        <f t="shared" si="191"/>
        <v>249</v>
      </c>
      <c r="R250" s="28"/>
      <c r="S250" s="28"/>
      <c r="T250" s="29">
        <f t="shared" si="194"/>
        <v>6250000</v>
      </c>
      <c r="U250" s="28"/>
      <c r="V250" s="30">
        <f t="shared" si="28"/>
        <v>50000000</v>
      </c>
      <c r="W250" s="30"/>
      <c r="X250" s="32">
        <f t="shared" si="195"/>
        <v>0.5275252317</v>
      </c>
      <c r="Y250" s="33">
        <f t="shared" si="196"/>
        <v>0.111724299</v>
      </c>
      <c r="Z250" s="692"/>
      <c r="AA250" s="665"/>
      <c r="AB250" s="74"/>
      <c r="AC250" s="74"/>
      <c r="AD250" s="79"/>
      <c r="AE250" s="84"/>
      <c r="AF250" s="338"/>
      <c r="AG250" s="76"/>
      <c r="AH250" s="929"/>
      <c r="AI250" s="435"/>
      <c r="AJ250" s="227">
        <v>43594.0</v>
      </c>
      <c r="AK250" s="435">
        <v>1.5E7</v>
      </c>
      <c r="AL250" s="181" t="str">
        <f>HYPERLINK("https://www.crunchbase.com/funding_round/mint-house-series-b--ed4a5f65","May 4, 2022")</f>
        <v>May 4, 2022</v>
      </c>
      <c r="AM250" s="435">
        <v>3.5E7</v>
      </c>
      <c r="AN250" s="79"/>
      <c r="AO250" s="84"/>
      <c r="AP250" s="79"/>
      <c r="AQ250" s="84"/>
      <c r="AR250" s="79"/>
      <c r="AS250" s="79"/>
      <c r="AT250" s="79"/>
      <c r="AU250" s="80"/>
      <c r="AV250" s="79"/>
      <c r="AW250" s="38"/>
      <c r="AX250" s="79"/>
      <c r="AY250" s="38"/>
      <c r="AZ250" s="79"/>
      <c r="BA250" s="80"/>
      <c r="BB250" s="79"/>
      <c r="BC250" s="80"/>
      <c r="BD250" s="79"/>
      <c r="BE250" s="84"/>
      <c r="BF250" s="74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</row>
    <row r="251" ht="15.75" customHeight="1">
      <c r="A251" s="442" t="s">
        <v>1371</v>
      </c>
      <c r="B251" s="68" t="s">
        <v>1372</v>
      </c>
      <c r="C251" s="69" t="s">
        <v>123</v>
      </c>
      <c r="D251" s="184" t="s">
        <v>1373</v>
      </c>
      <c r="E251" s="184" t="s">
        <v>1374</v>
      </c>
      <c r="F251" s="185" t="s">
        <v>1375</v>
      </c>
      <c r="G251" s="186" t="s">
        <v>1376</v>
      </c>
      <c r="H251" s="186" t="s">
        <v>1377</v>
      </c>
      <c r="I251" s="74" t="s">
        <v>778</v>
      </c>
      <c r="J251" s="155" t="s">
        <v>1378</v>
      </c>
      <c r="K251" s="74">
        <v>3.0</v>
      </c>
      <c r="L251" s="26">
        <v>2016.0</v>
      </c>
      <c r="M251" s="25">
        <f t="shared" si="192"/>
        <v>9</v>
      </c>
      <c r="N251" s="26">
        <f t="shared" si="193"/>
        <v>2</v>
      </c>
      <c r="O251" s="27" t="str">
        <f t="shared" si="3"/>
        <v>#N/A</v>
      </c>
      <c r="P251" s="28">
        <f t="shared" si="190"/>
        <v>167</v>
      </c>
      <c r="Q251" s="28">
        <f t="shared" si="191"/>
        <v>249</v>
      </c>
      <c r="R251" s="28"/>
      <c r="S251" s="28"/>
      <c r="T251" s="29">
        <f t="shared" si="194"/>
        <v>5555555.556</v>
      </c>
      <c r="U251" s="28"/>
      <c r="V251" s="30">
        <f t="shared" si="28"/>
        <v>50000000</v>
      </c>
      <c r="W251" s="30"/>
      <c r="X251" s="32">
        <f t="shared" si="195"/>
        <v>0.4577379737</v>
      </c>
      <c r="Y251" s="33">
        <f t="shared" si="196"/>
        <v>0.08735965468</v>
      </c>
      <c r="Z251" s="692"/>
      <c r="AA251" s="665"/>
      <c r="AB251" s="74"/>
      <c r="AC251" s="74"/>
      <c r="AD251" s="79"/>
      <c r="AE251" s="84"/>
      <c r="AF251" s="338"/>
      <c r="AG251" s="84"/>
      <c r="AH251" s="74"/>
      <c r="AI251" s="78"/>
      <c r="AJ251" s="227">
        <v>44117.0</v>
      </c>
      <c r="AK251" s="76">
        <v>1.6E7</v>
      </c>
      <c r="AL251" s="181" t="str">
        <f>HYPERLINK("https://www.crunchbase.com/funding_round/passivelogic-series-b--13d2bdbf","Jan 11, 2022")</f>
        <v>Jan 11, 2022</v>
      </c>
      <c r="AM251" s="76">
        <v>3.4E7</v>
      </c>
      <c r="AN251" s="79"/>
      <c r="AO251" s="84"/>
      <c r="AP251" s="79"/>
      <c r="AQ251" s="84"/>
      <c r="AR251" s="79"/>
      <c r="AS251" s="79"/>
      <c r="AT251" s="79"/>
      <c r="AU251" s="80"/>
      <c r="AV251" s="79"/>
      <c r="AW251" s="38"/>
      <c r="AX251" s="79"/>
      <c r="AY251" s="38"/>
      <c r="AZ251" s="79"/>
      <c r="BA251" s="80"/>
      <c r="BB251" s="79"/>
      <c r="BC251" s="80"/>
      <c r="BD251" s="79"/>
      <c r="BE251" s="84"/>
      <c r="BF251" s="74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</row>
    <row r="252" ht="15.75" customHeight="1">
      <c r="A252" s="666" t="s">
        <v>1379</v>
      </c>
      <c r="B252" s="930" t="s">
        <v>944</v>
      </c>
      <c r="C252" s="694" t="s">
        <v>1007</v>
      </c>
      <c r="D252" s="449"/>
      <c r="E252" s="192" t="s">
        <v>1380</v>
      </c>
      <c r="F252" s="668" t="s">
        <v>1381</v>
      </c>
      <c r="G252" s="286" t="s">
        <v>1382</v>
      </c>
      <c r="H252" s="286" t="s">
        <v>1383</v>
      </c>
      <c r="I252" s="123" t="s">
        <v>1384</v>
      </c>
      <c r="J252" s="287">
        <v>32803.0</v>
      </c>
      <c r="K252" s="123">
        <v>1.0</v>
      </c>
      <c r="L252" s="25">
        <v>2016.0</v>
      </c>
      <c r="M252" s="25">
        <f t="shared" si="192"/>
        <v>9</v>
      </c>
      <c r="N252" s="26">
        <f t="shared" si="193"/>
        <v>1</v>
      </c>
      <c r="O252" s="27" t="str">
        <f t="shared" si="3"/>
        <v>#N/A</v>
      </c>
      <c r="P252" s="28">
        <f t="shared" si="190"/>
        <v>167</v>
      </c>
      <c r="Q252" s="28">
        <f t="shared" si="191"/>
        <v>249</v>
      </c>
      <c r="R252" s="28"/>
      <c r="S252" s="28"/>
      <c r="T252" s="29">
        <f t="shared" si="194"/>
        <v>5555555.556</v>
      </c>
      <c r="U252" s="28"/>
      <c r="V252" s="30">
        <f t="shared" si="28"/>
        <v>50000000</v>
      </c>
      <c r="W252" s="30"/>
      <c r="X252" s="32">
        <f t="shared" si="195"/>
        <v>0</v>
      </c>
      <c r="Y252" s="33">
        <f t="shared" si="196"/>
        <v>0</v>
      </c>
      <c r="Z252" s="692"/>
      <c r="AA252" s="665"/>
      <c r="AB252" s="123"/>
      <c r="AC252" s="123"/>
      <c r="AD252" s="124"/>
      <c r="AE252" s="125"/>
      <c r="AF252" s="320">
        <v>43663.0</v>
      </c>
      <c r="AG252" s="127">
        <v>5.0E7</v>
      </c>
      <c r="AH252" s="123"/>
      <c r="AI252" s="128"/>
      <c r="AJ252" s="124"/>
      <c r="AK252" s="125"/>
      <c r="AL252" s="124"/>
      <c r="AM252" s="125"/>
      <c r="AN252" s="124"/>
      <c r="AO252" s="125"/>
      <c r="AP252" s="124"/>
      <c r="AQ252" s="125"/>
      <c r="AR252" s="124"/>
      <c r="AS252" s="124"/>
      <c r="AT252" s="124"/>
      <c r="AU252" s="137"/>
      <c r="AV252" s="124"/>
      <c r="AW252" s="38"/>
      <c r="AX252" s="124"/>
      <c r="AY252" s="38"/>
      <c r="AZ252" s="124"/>
      <c r="BA252" s="137"/>
      <c r="BB252" s="124"/>
      <c r="BC252" s="137"/>
      <c r="BD252" s="124"/>
      <c r="BE252" s="125"/>
      <c r="BF252" s="123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</row>
    <row r="253" ht="15.75" customHeight="1">
      <c r="A253" s="47" t="s">
        <v>1385</v>
      </c>
      <c r="C253" s="48" t="s">
        <v>68</v>
      </c>
      <c r="D253" s="351"/>
      <c r="E253" s="49" t="s">
        <v>1386</v>
      </c>
      <c r="F253" s="352" t="s">
        <v>1387</v>
      </c>
      <c r="G253" s="353"/>
      <c r="H253" s="53" t="s">
        <v>1388</v>
      </c>
      <c r="I253" s="54" t="s">
        <v>115</v>
      </c>
      <c r="J253" s="55"/>
      <c r="K253" s="55"/>
      <c r="L253" s="56">
        <v>2019.0</v>
      </c>
      <c r="M253" s="55"/>
      <c r="N253" s="55"/>
      <c r="O253" s="27" t="str">
        <f t="shared" si="3"/>
        <v>#N/A</v>
      </c>
      <c r="P253" s="55"/>
      <c r="Q253" s="55"/>
      <c r="R253" s="55"/>
      <c r="S253" s="55"/>
      <c r="T253" s="55"/>
      <c r="U253" s="55"/>
      <c r="V253" s="30">
        <f t="shared" si="28"/>
        <v>50000000</v>
      </c>
      <c r="W253" s="30"/>
      <c r="X253" s="58"/>
      <c r="Y253" s="58"/>
      <c r="Z253" s="692"/>
      <c r="AA253" s="665"/>
      <c r="AB253" s="55"/>
      <c r="AC253" s="55"/>
      <c r="AD253" s="62">
        <v>44986.0</v>
      </c>
      <c r="AE253" s="38">
        <v>5.0E7</v>
      </c>
      <c r="AF253" s="355"/>
      <c r="AG253" s="38"/>
      <c r="AH253" s="55"/>
      <c r="AI253" s="38"/>
      <c r="AJ253" s="55"/>
      <c r="AK253" s="38"/>
      <c r="AL253" s="55"/>
      <c r="AM253" s="38"/>
      <c r="AN253" s="55"/>
      <c r="AO253" s="38"/>
      <c r="AP253" s="356"/>
      <c r="AQ253" s="38"/>
      <c r="AR253" s="55"/>
      <c r="AS253" s="38"/>
      <c r="AT253" s="55"/>
      <c r="AU253" s="38"/>
      <c r="AV253" s="55"/>
      <c r="AW253" s="38"/>
      <c r="AX253" s="55"/>
      <c r="AY253" s="38"/>
      <c r="AZ253" s="55"/>
      <c r="BA253" s="38"/>
      <c r="BB253" s="55"/>
      <c r="BC253" s="38"/>
      <c r="BD253" s="55"/>
      <c r="BE253" s="38"/>
      <c r="BF253" s="55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</row>
    <row r="254" ht="15.75" customHeight="1">
      <c r="A254" s="21" t="s">
        <v>1389</v>
      </c>
      <c r="B254" s="16"/>
      <c r="C254" s="17" t="s">
        <v>68</v>
      </c>
      <c r="D254" s="337"/>
      <c r="E254" s="18" t="s">
        <v>1390</v>
      </c>
      <c r="F254" s="177" t="s">
        <v>1391</v>
      </c>
      <c r="G254" s="22"/>
      <c r="H254" s="22" t="s">
        <v>587</v>
      </c>
      <c r="I254" s="23" t="s">
        <v>65</v>
      </c>
      <c r="J254" s="237"/>
      <c r="K254" s="23">
        <v>3.0</v>
      </c>
      <c r="L254" s="23">
        <v>2018.0</v>
      </c>
      <c r="M254" s="222"/>
      <c r="N254" s="23"/>
      <c r="O254" s="27" t="str">
        <f t="shared" si="3"/>
        <v>#N/A</v>
      </c>
      <c r="P254" s="28" t="str">
        <f>RANK(T254,$T$2:$T$333)</f>
        <v>#N/A</v>
      </c>
      <c r="Q254" s="28">
        <f>rank(V254,$V$2:$V$344)</f>
        <v>254</v>
      </c>
      <c r="R254" s="464"/>
      <c r="S254" s="464"/>
      <c r="T254" s="464"/>
      <c r="U254" s="464"/>
      <c r="V254" s="30">
        <f t="shared" si="28"/>
        <v>48800000</v>
      </c>
      <c r="W254" s="30"/>
      <c r="X254" s="33"/>
      <c r="Y254" s="33"/>
      <c r="Z254" s="692"/>
      <c r="AA254" s="665"/>
      <c r="AB254" s="36"/>
      <c r="AC254" s="36"/>
      <c r="AD254" s="44"/>
      <c r="AE254" s="46"/>
      <c r="AF254" s="918" t="str">
        <f>HYPERLINK("https://www.crunchbase.com/funding_round/buildops-seed--82601aa9","Nov 1, 2019")</f>
        <v>Nov 1, 2019</v>
      </c>
      <c r="AG254" s="38">
        <v>5800000.0</v>
      </c>
      <c r="AH254" s="46"/>
      <c r="AI254" s="159"/>
      <c r="AJ254" s="43" t="str">
        <f>HYPERLINK("https://www.crunchbase.com/funding_round/buildops-series-a--b2f9bc98","May 24, 2022")</f>
        <v>May 24, 2022</v>
      </c>
      <c r="AK254" s="38">
        <v>4.3E7</v>
      </c>
      <c r="AL254" s="44"/>
      <c r="AM254" s="46"/>
      <c r="AN254" s="44"/>
      <c r="AO254" s="46"/>
      <c r="AP254" s="44"/>
      <c r="AQ254" s="46"/>
      <c r="AR254" s="44"/>
      <c r="AS254" s="44"/>
      <c r="AT254" s="44"/>
      <c r="AU254" s="45"/>
      <c r="AV254" s="44"/>
      <c r="AW254" s="38"/>
      <c r="AX254" s="44"/>
      <c r="AY254" s="38"/>
      <c r="AZ254" s="44"/>
      <c r="BA254" s="45"/>
      <c r="BB254" s="44"/>
      <c r="BC254" s="45"/>
      <c r="BD254" s="44"/>
      <c r="BE254" s="46"/>
      <c r="BF254" s="4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</row>
    <row r="255" ht="15.75" customHeight="1">
      <c r="A255" s="931" t="s">
        <v>1392</v>
      </c>
      <c r="B255" s="116"/>
      <c r="C255" s="116" t="s">
        <v>267</v>
      </c>
      <c r="D255" s="731"/>
      <c r="E255" s="192" t="s">
        <v>1393</v>
      </c>
      <c r="F255" s="756" t="s">
        <v>1394</v>
      </c>
      <c r="G255" s="119"/>
      <c r="H255" s="119" t="s">
        <v>394</v>
      </c>
      <c r="I255" s="25" t="s">
        <v>1395</v>
      </c>
      <c r="J255" s="120"/>
      <c r="K255" s="25"/>
      <c r="L255" s="25">
        <v>2019.0</v>
      </c>
      <c r="M255" s="25">
        <f t="shared" ref="M255:M256" si="197">year(now()) -L255</f>
        <v>6</v>
      </c>
      <c r="N255" s="26">
        <f t="shared" ref="N255:N256" si="198">counta(AE255,AG255,AI255,AK255,AM255,AO255,AQ255,AS255,AU255,AW255,AY255,BA255,BC255)</f>
        <v>3</v>
      </c>
      <c r="O255" s="27" t="str">
        <f t="shared" si="3"/>
        <v>#N/A</v>
      </c>
      <c r="P255" s="28"/>
      <c r="Q255" s="28"/>
      <c r="R255" s="28"/>
      <c r="S255" s="28"/>
      <c r="T255" s="29">
        <f t="shared" ref="T255:T256" si="199">V255/M255</f>
        <v>8133333.333</v>
      </c>
      <c r="U255" s="28"/>
      <c r="V255" s="30">
        <f t="shared" si="28"/>
        <v>48800000</v>
      </c>
      <c r="W255" s="31">
        <v>1900000.0</v>
      </c>
      <c r="X255" s="597"/>
      <c r="Y255" s="33">
        <f>(max(AE255,AG255,AI255,AK255,AM255,AO255,AQ255,AS255,AU255,AW255,AY255,BA255,BC255)/min(AE255,AG255,AI255,AK255))^(1/M255)-1</f>
        <v>0.4898859031</v>
      </c>
      <c r="Z255" s="692"/>
      <c r="AA255" s="665"/>
      <c r="AB255" s="123"/>
      <c r="AC255" s="123"/>
      <c r="AD255" s="124"/>
      <c r="AE255" s="125"/>
      <c r="AF255" s="320">
        <v>43713.0</v>
      </c>
      <c r="AG255" s="127">
        <v>3200000.0</v>
      </c>
      <c r="AH255" s="923"/>
      <c r="AI255" s="759"/>
      <c r="AJ255" s="404">
        <v>44301.0</v>
      </c>
      <c r="AK255" s="165">
        <v>1.06E7</v>
      </c>
      <c r="AL255" s="171">
        <v>44894.0</v>
      </c>
      <c r="AM255" s="127">
        <v>3.5E7</v>
      </c>
      <c r="AN255" s="124"/>
      <c r="AO255" s="125"/>
      <c r="AP255" s="124"/>
      <c r="AQ255" s="125"/>
      <c r="AR255" s="124"/>
      <c r="AS255" s="124"/>
      <c r="AT255" s="124"/>
      <c r="AU255" s="137"/>
      <c r="AV255" s="124"/>
      <c r="AW255" s="38"/>
      <c r="AX255" s="124"/>
      <c r="AY255" s="38"/>
      <c r="AZ255" s="124"/>
      <c r="BA255" s="137"/>
      <c r="BB255" s="124"/>
      <c r="BC255" s="137"/>
      <c r="BD255" s="124"/>
      <c r="BE255" s="125"/>
      <c r="BF255" s="123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</row>
    <row r="256" ht="15.75" customHeight="1">
      <c r="A256" s="21" t="s">
        <v>1396</v>
      </c>
      <c r="B256" s="68"/>
      <c r="C256" s="69" t="s">
        <v>1397</v>
      </c>
      <c r="D256" s="231" t="s">
        <v>1398</v>
      </c>
      <c r="E256" s="200" t="s">
        <v>1399</v>
      </c>
      <c r="F256" s="118" t="s">
        <v>1400</v>
      </c>
      <c r="G256" s="54" t="s">
        <v>1401</v>
      </c>
      <c r="H256" s="71" t="s">
        <v>365</v>
      </c>
      <c r="I256" s="26" t="s">
        <v>65</v>
      </c>
      <c r="J256" s="178" t="s">
        <v>1402</v>
      </c>
      <c r="K256" s="26">
        <v>1.0</v>
      </c>
      <c r="L256" s="142">
        <v>2014.0</v>
      </c>
      <c r="M256" s="25">
        <f t="shared" si="197"/>
        <v>11</v>
      </c>
      <c r="N256" s="26">
        <f t="shared" si="198"/>
        <v>3</v>
      </c>
      <c r="O256" s="27" t="str">
        <f t="shared" si="3"/>
        <v>#N/A</v>
      </c>
      <c r="P256" s="28">
        <f t="shared" ref="P256:P259" si="200">RANK(T256,$T$2:$T$333)</f>
        <v>182</v>
      </c>
      <c r="Q256" s="28">
        <f t="shared" ref="Q256:Q259" si="201">rank(V256,$V$2:$V$344)</f>
        <v>256</v>
      </c>
      <c r="R256" s="28"/>
      <c r="S256" s="28"/>
      <c r="T256" s="29">
        <f t="shared" si="199"/>
        <v>4427272.727</v>
      </c>
      <c r="U256" s="28"/>
      <c r="V256" s="30">
        <f t="shared" si="28"/>
        <v>48700000</v>
      </c>
      <c r="W256" s="30"/>
      <c r="X256" s="32">
        <f>(max(AE256,AG256,AI256,AK256,AM256,AO256,AQ256,AS256,AU256,AW256,AY256,BA256,BC256)/min(AE256,AG256,AI256,AK256,AM256,AO256,AQ256,AS256,AU256,AW256,AY256,BA256,BC256))^(1/N256)-1</f>
        <v>1.371262203</v>
      </c>
      <c r="Y256" s="33">
        <f>(max(AE256,AG256,AI256,AK256,AM256,AO256,AQ256,AS256,AU256,AW256,AY256,BA256,BC256)/min(AE256,AG256,AI256,AK256,AM256,AO256,AQ256,AS256,AU256,AW256,AY256,BA256,BC256))^(1/M256)-1</f>
        <v>0.2655145941</v>
      </c>
      <c r="Z256" s="692"/>
      <c r="AA256" s="665"/>
      <c r="AB256" s="74"/>
      <c r="AC256" s="74"/>
      <c r="AD256" s="79"/>
      <c r="AE256" s="84"/>
      <c r="AF256" s="932"/>
      <c r="AG256" s="76">
        <v>2700000.0</v>
      </c>
      <c r="AH256" s="77"/>
      <c r="AI256" s="78"/>
      <c r="AJ256" s="181" t="str">
        <f>HYPERLINK("https://www.crunchbase.com/funding_round/upkeep-maintenance-management-series-a--af482cb4","Mar 20, 2018")</f>
        <v>Mar 20, 2018</v>
      </c>
      <c r="AK256" s="76">
        <v>1.0E7</v>
      </c>
      <c r="AL256" s="181" t="str">
        <f>HYPERLINK("https://www.crunchbase.com/funding_round/upkeep-maintenance-management-series-b--b591e74c","May 12, 2020")</f>
        <v>May 12, 2020</v>
      </c>
      <c r="AM256" s="76">
        <v>3.6E7</v>
      </c>
      <c r="AN256" s="79"/>
      <c r="AO256" s="84"/>
      <c r="AP256" s="79"/>
      <c r="AQ256" s="84"/>
      <c r="AR256" s="79"/>
      <c r="AS256" s="79"/>
      <c r="AT256" s="79"/>
      <c r="AU256" s="80"/>
      <c r="AV256" s="79"/>
      <c r="AW256" s="38"/>
      <c r="AX256" s="79"/>
      <c r="AY256" s="38"/>
      <c r="AZ256" s="79"/>
      <c r="BA256" s="80"/>
      <c r="BB256" s="79"/>
      <c r="BC256" s="80"/>
      <c r="BD256" s="79"/>
      <c r="BE256" s="84"/>
      <c r="BF256" s="74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</row>
    <row r="257" ht="15.75" customHeight="1">
      <c r="A257" s="21" t="s">
        <v>1403</v>
      </c>
      <c r="B257" s="68"/>
      <c r="C257" s="69" t="s">
        <v>84</v>
      </c>
      <c r="D257" s="138" t="s">
        <v>1404</v>
      </c>
      <c r="E257" s="200" t="s">
        <v>1405</v>
      </c>
      <c r="F257" s="177" t="s">
        <v>1406</v>
      </c>
      <c r="G257" s="186"/>
      <c r="H257" s="71" t="s">
        <v>771</v>
      </c>
      <c r="I257" s="26" t="s">
        <v>772</v>
      </c>
      <c r="J257" s="155"/>
      <c r="K257" s="26">
        <v>4.0</v>
      </c>
      <c r="L257" s="142">
        <v>2013.0</v>
      </c>
      <c r="M257" s="25"/>
      <c r="N257" s="26"/>
      <c r="O257" s="27" t="str">
        <f t="shared" si="3"/>
        <v>#N/A</v>
      </c>
      <c r="P257" s="28" t="str">
        <f t="shared" si="200"/>
        <v>#N/A</v>
      </c>
      <c r="Q257" s="28">
        <f t="shared" si="201"/>
        <v>257</v>
      </c>
      <c r="R257" s="28"/>
      <c r="S257" s="28"/>
      <c r="T257" s="28"/>
      <c r="U257" s="28"/>
      <c r="V257" s="30">
        <f t="shared" si="28"/>
        <v>48500000</v>
      </c>
      <c r="W257" s="30"/>
      <c r="X257" s="73"/>
      <c r="Y257" s="73"/>
      <c r="Z257" s="692"/>
      <c r="AA257" s="665"/>
      <c r="AB257" s="74"/>
      <c r="AC257" s="74"/>
      <c r="AD257" s="79"/>
      <c r="AE257" s="84"/>
      <c r="AF257" s="175" t="str">
        <f>HYPERLINK("https://www.crunchbase.com/funding_round/housecall-seed--3c198d8f","May 20, 2014")</f>
        <v>May 20, 2014</v>
      </c>
      <c r="AG257" s="76">
        <v>1500000.0</v>
      </c>
      <c r="AH257" s="77"/>
      <c r="AI257" s="78"/>
      <c r="AJ257" s="426" t="str">
        <f>HYPERLINK("https://www.crunchbase.com/funding_round/housecall-series-a--b1966054","Sep 15, 2015")</f>
        <v>Sep 15, 2015</v>
      </c>
      <c r="AK257" s="76">
        <v>6000000.0</v>
      </c>
      <c r="AL257" s="181" t="str">
        <f>HYPERLINK("https://www.crunchbase.com/funding_round/housecall-series-b--c0d1dbcc","Aug 21, 2017")</f>
        <v>Aug 21, 2017</v>
      </c>
      <c r="AM257" s="76">
        <v>1.1E7</v>
      </c>
      <c r="AN257" s="181" t="str">
        <f>HYPERLINK("https://www.crunchbase.com/funding_round/housecall-series-c--0a931bc0","Sep 1, 2018")</f>
        <v>Sep 1, 2018</v>
      </c>
      <c r="AO257" s="76">
        <v>3.0E7</v>
      </c>
      <c r="AP257" s="79"/>
      <c r="AQ257" s="84"/>
      <c r="AR257" s="79"/>
      <c r="AS257" s="79"/>
      <c r="AT257" s="79"/>
      <c r="AU257" s="80"/>
      <c r="AV257" s="79"/>
      <c r="AW257" s="38"/>
      <c r="AX257" s="79"/>
      <c r="AY257" s="38"/>
      <c r="AZ257" s="79"/>
      <c r="BA257" s="80"/>
      <c r="BB257" s="79"/>
      <c r="BC257" s="80"/>
      <c r="BD257" s="79"/>
      <c r="BE257" s="84"/>
      <c r="BF257" s="74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</row>
    <row r="258" ht="15.75" customHeight="1">
      <c r="A258" s="21" t="s">
        <v>1407</v>
      </c>
      <c r="B258" s="16"/>
      <c r="C258" s="17" t="s">
        <v>123</v>
      </c>
      <c r="D258" s="184"/>
      <c r="E258" s="138" t="s">
        <v>1408</v>
      </c>
      <c r="F258" s="173" t="s">
        <v>1409</v>
      </c>
      <c r="G258" s="22" t="s">
        <v>1410</v>
      </c>
      <c r="H258" s="317" t="s">
        <v>695</v>
      </c>
      <c r="I258" s="23" t="s">
        <v>639</v>
      </c>
      <c r="J258" s="24" t="s">
        <v>1411</v>
      </c>
      <c r="K258" s="74" t="s">
        <v>723</v>
      </c>
      <c r="L258" s="23">
        <v>2017.0</v>
      </c>
      <c r="M258" s="25">
        <f>year(now()) -L258</f>
        <v>8</v>
      </c>
      <c r="N258" s="26">
        <f>counta(AE258,AG258,AI258,AK258,AM258,AO258,AQ258,AS258,AU258,AW258,AY258,BA258,BC258)</f>
        <v>4</v>
      </c>
      <c r="O258" s="27" t="str">
        <f t="shared" si="3"/>
        <v>#N/A</v>
      </c>
      <c r="P258" s="28">
        <f t="shared" si="200"/>
        <v>118</v>
      </c>
      <c r="Q258" s="28">
        <f t="shared" si="201"/>
        <v>186</v>
      </c>
      <c r="R258" s="28"/>
      <c r="S258" s="28"/>
      <c r="T258" s="29">
        <f>V258/M258</f>
        <v>8837500</v>
      </c>
      <c r="U258" s="28"/>
      <c r="V258" s="30">
        <f t="shared" si="28"/>
        <v>70700000</v>
      </c>
      <c r="W258" s="30"/>
      <c r="X258" s="32">
        <f>(max(AE258,AG258,AI258,AK258,AM258,AO258,AQ258,AS258,AU258,AW258,AY258,BA258,BC258)/min(AE258,AG258,AI258,AK258,AM258,AO258,AQ258,AS258,AU258,AW258,AY258,BA258,BC258))^(1/N258)-1</f>
        <v>0.465723242</v>
      </c>
      <c r="Y258" s="33">
        <f>(max(AE258,AG258,AI258,AK258,AM258,AO258,AQ258,AS258,AU258,AW258,AY258,BA258,BC258)/min(AE258,AG258,AI258,AK258,AM258,AO258,AQ258,AS258,AU258,AW258,AY258,BA258,BC258))^(1/M258)-1</f>
        <v>0.2106705753</v>
      </c>
      <c r="Z258" s="692"/>
      <c r="AA258" s="665"/>
      <c r="AB258" s="36"/>
      <c r="AC258" s="36"/>
      <c r="AD258" s="44"/>
      <c r="AE258" s="46"/>
      <c r="AF258" s="228" t="str">
        <f>HYPERLINK("https://www.crunchbase.com/funding_round/brainbox-ai-series-a--e77b21c5"," Apr 28, 2020")</f>
        <v> Apr 28, 2020</v>
      </c>
      <c r="AG258" s="38">
        <v>1.2E7</v>
      </c>
      <c r="AH258" s="36"/>
      <c r="AI258" s="159"/>
      <c r="AJ258" s="933">
        <v>44768.0</v>
      </c>
      <c r="AK258" s="934">
        <v>3.0E7</v>
      </c>
      <c r="AL258" s="44"/>
      <c r="AM258" s="46"/>
      <c r="AN258" s="44"/>
      <c r="AO258" s="46"/>
      <c r="AP258" s="44"/>
      <c r="AQ258" s="46"/>
      <c r="AR258" s="44"/>
      <c r="AS258" s="44"/>
      <c r="AT258" s="44"/>
      <c r="AU258" s="45"/>
      <c r="AV258" s="44"/>
      <c r="AW258" s="38"/>
      <c r="AX258" s="44"/>
      <c r="AY258" s="38"/>
      <c r="AZ258" s="75">
        <v>45044.0</v>
      </c>
      <c r="BA258" s="45">
        <f>20000000*1.11</f>
        <v>22200000</v>
      </c>
      <c r="BB258" s="75">
        <v>44974.0</v>
      </c>
      <c r="BC258" s="229">
        <v>6500000.0</v>
      </c>
      <c r="BD258" s="44"/>
      <c r="BE258" s="46"/>
      <c r="BF258" s="3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</row>
    <row r="259" ht="15.75" customHeight="1">
      <c r="A259" s="935" t="s">
        <v>1412</v>
      </c>
      <c r="B259" s="911"/>
      <c r="C259" s="935" t="s">
        <v>68</v>
      </c>
      <c r="D259" s="936" t="s">
        <v>1413</v>
      </c>
      <c r="E259" s="937" t="s">
        <v>1414</v>
      </c>
      <c r="F259" s="938" t="s">
        <v>1415</v>
      </c>
      <c r="G259" s="939" t="s">
        <v>1416</v>
      </c>
      <c r="H259" s="939" t="s">
        <v>1417</v>
      </c>
      <c r="I259" s="940" t="s">
        <v>65</v>
      </c>
      <c r="J259" s="941" t="s">
        <v>1418</v>
      </c>
      <c r="K259" s="939">
        <v>2.0</v>
      </c>
      <c r="L259" s="940">
        <v>2013.0</v>
      </c>
      <c r="M259" s="939"/>
      <c r="N259" s="939"/>
      <c r="O259" s="27" t="str">
        <f t="shared" si="3"/>
        <v>#N/A</v>
      </c>
      <c r="P259" s="28" t="str">
        <f t="shared" si="200"/>
        <v>#N/A</v>
      </c>
      <c r="Q259" s="28">
        <f t="shared" si="201"/>
        <v>212</v>
      </c>
      <c r="R259" s="942"/>
      <c r="S259" s="942"/>
      <c r="T259" s="942"/>
      <c r="U259" s="942"/>
      <c r="V259" s="30">
        <f t="shared" si="28"/>
        <v>61100000</v>
      </c>
      <c r="W259" s="30"/>
      <c r="X259" s="943"/>
      <c r="Y259" s="943"/>
      <c r="Z259" s="692"/>
      <c r="AA259" s="665"/>
      <c r="AB259" s="942"/>
      <c r="AC259" s="942"/>
      <c r="AD259" s="944"/>
      <c r="AE259" s="730"/>
      <c r="AF259" s="945" t="str">
        <f>HYPERLINK("https://www.crunchbase.com/funding_round/alice-technologies-seed--be300a0b", "Jul 30, 2015")</f>
        <v>Jul 30, 2015</v>
      </c>
      <c r="AG259" s="196">
        <f>2600000</f>
        <v>2600000</v>
      </c>
      <c r="AH259" s="946"/>
      <c r="AI259" s="730"/>
      <c r="AJ259" s="947">
        <v>43615.0</v>
      </c>
      <c r="AK259" s="730">
        <f>10000000+1900000+3600000</f>
        <v>15500000</v>
      </c>
      <c r="AL259" s="948">
        <v>45027.0</v>
      </c>
      <c r="AM259" s="196">
        <v>4.3E7</v>
      </c>
      <c r="AN259" s="944"/>
      <c r="AO259" s="730"/>
      <c r="AP259" s="944"/>
      <c r="AQ259" s="730"/>
      <c r="AR259" s="944"/>
      <c r="AS259" s="944"/>
      <c r="AT259" s="944"/>
      <c r="AU259" s="949"/>
      <c r="AV259" s="944"/>
      <c r="AW259" s="38"/>
      <c r="AX259" s="944"/>
      <c r="AY259" s="38"/>
      <c r="AZ259" s="944"/>
      <c r="BA259" s="949"/>
      <c r="BB259" s="729">
        <v>45027.0</v>
      </c>
      <c r="BC259" s="949"/>
      <c r="BD259" s="944"/>
      <c r="BE259" s="730"/>
      <c r="BF259" s="942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</row>
    <row r="260" ht="15.75" customHeight="1">
      <c r="A260" s="47" t="s">
        <v>1419</v>
      </c>
      <c r="C260" s="48" t="s">
        <v>68</v>
      </c>
      <c r="D260" s="617" t="s">
        <v>1420</v>
      </c>
      <c r="E260" s="49" t="s">
        <v>1421</v>
      </c>
      <c r="F260" s="352" t="s">
        <v>1422</v>
      </c>
      <c r="G260" s="353"/>
      <c r="H260" s="53" t="s">
        <v>128</v>
      </c>
      <c r="I260" s="54" t="s">
        <v>129</v>
      </c>
      <c r="J260" s="55"/>
      <c r="K260" s="54">
        <v>6.0</v>
      </c>
      <c r="L260" s="56">
        <v>2020.0</v>
      </c>
      <c r="M260" s="55"/>
      <c r="N260" s="55"/>
      <c r="O260" s="27" t="str">
        <f t="shared" si="3"/>
        <v>#N/A</v>
      </c>
      <c r="P260" s="55"/>
      <c r="Q260" s="55"/>
      <c r="R260" s="55"/>
      <c r="S260" s="55"/>
      <c r="T260" s="55"/>
      <c r="U260" s="55"/>
      <c r="V260" s="30">
        <f t="shared" si="28"/>
        <v>47800000</v>
      </c>
      <c r="W260" s="30"/>
      <c r="X260" s="58"/>
      <c r="Y260" s="58"/>
      <c r="Z260" s="692"/>
      <c r="AA260" s="665"/>
      <c r="AB260" s="55"/>
      <c r="AC260" s="55"/>
      <c r="AD260" s="355"/>
      <c r="AE260" s="55"/>
      <c r="AF260" s="62">
        <v>44124.0</v>
      </c>
      <c r="AG260" s="76">
        <v>5400000.0</v>
      </c>
      <c r="AH260" s="62">
        <v>44531.0</v>
      </c>
      <c r="AI260" s="76">
        <v>1.34E7</v>
      </c>
      <c r="AJ260" s="62">
        <v>44938.0</v>
      </c>
      <c r="AK260" s="76">
        <v>2.9E7</v>
      </c>
      <c r="AL260" s="55"/>
      <c r="AM260" s="55"/>
      <c r="AN260" s="55"/>
      <c r="AO260" s="55"/>
      <c r="AP260" s="356"/>
      <c r="AQ260" s="356"/>
      <c r="AR260" s="55"/>
      <c r="AS260" s="55"/>
      <c r="AT260" s="55"/>
      <c r="AU260" s="722"/>
      <c r="AV260" s="55"/>
      <c r="AW260" s="38"/>
      <c r="AX260" s="55"/>
      <c r="AY260" s="38"/>
      <c r="AZ260" s="55"/>
      <c r="BA260" s="722"/>
      <c r="BB260" s="55"/>
      <c r="BC260" s="722"/>
      <c r="BD260" s="55"/>
      <c r="BE260" s="38"/>
      <c r="BF260" s="55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</row>
    <row r="261" ht="15.75" customHeight="1">
      <c r="A261" s="21" t="s">
        <v>1423</v>
      </c>
      <c r="B261" s="16"/>
      <c r="C261" s="17" t="s">
        <v>59</v>
      </c>
      <c r="D261" s="138" t="s">
        <v>1424</v>
      </c>
      <c r="E261" s="138" t="s">
        <v>1425</v>
      </c>
      <c r="F261" s="173" t="s">
        <v>1426</v>
      </c>
      <c r="G261" s="317"/>
      <c r="H261" s="22" t="s">
        <v>455</v>
      </c>
      <c r="I261" s="23" t="s">
        <v>100</v>
      </c>
      <c r="J261" s="237"/>
      <c r="K261" s="23">
        <v>3.0</v>
      </c>
      <c r="L261" s="23">
        <v>2018.0</v>
      </c>
      <c r="M261" s="25">
        <f t="shared" ref="M261:M262" si="202">year(now()) -L261</f>
        <v>7</v>
      </c>
      <c r="N261" s="26">
        <f t="shared" ref="N261:N262" si="203">counta(AE261,AG261,AI261,AK261,AM261,AO261,AQ261,AS261,AU261,AW261,AY261,BA261,BC261)</f>
        <v>2</v>
      </c>
      <c r="O261" s="27" t="str">
        <f t="shared" si="3"/>
        <v>#N/A</v>
      </c>
      <c r="P261" s="28">
        <f t="shared" ref="P261:P280" si="204">RANK(T261,$T$2:$T$333)</f>
        <v>140</v>
      </c>
      <c r="Q261" s="28">
        <f t="shared" ref="Q261:Q280" si="205">rank(V261,$V$2:$V$344)</f>
        <v>259</v>
      </c>
      <c r="R261" s="28"/>
      <c r="S261" s="28"/>
      <c r="T261" s="29">
        <f t="shared" ref="T261:T262" si="206">V261/M261</f>
        <v>6785714.286</v>
      </c>
      <c r="U261" s="28"/>
      <c r="V261" s="30">
        <f t="shared" si="28"/>
        <v>47500000</v>
      </c>
      <c r="W261" s="30"/>
      <c r="X261" s="32">
        <f t="shared" ref="X261:X262" si="207">(max(AE261,AG261,AI261,AK261,AM261,AO261,AQ261,AS261,AU261,AW261,AY261,BA261,BC261)/min(AE261,AG261,AI261,AK261,AM261,AO261,AQ261,AS261,AU261,AW261,AY261,BA261,BC261))^(1/N261)-1</f>
        <v>1.309401077</v>
      </c>
      <c r="Y261" s="33">
        <f t="shared" ref="Y261:Y262" si="208">(max(AE261,AG261,AI261,AK261,AM261,AO261,AQ261,AS261,AU261,AW261,AY261,BA261,BC261)/min(AE261,AG261,AI261,AK261,AM261,AO261,AQ261,AS261,AU261,AW261,AY261,BA261,BC261))^(1/M261)-1</f>
        <v>0.2701556989</v>
      </c>
      <c r="Z261" s="692"/>
      <c r="AA261" s="665"/>
      <c r="AB261" s="36"/>
      <c r="AC261" s="36"/>
      <c r="AD261" s="37"/>
      <c r="AE261" s="38"/>
      <c r="AF261" s="39"/>
      <c r="AG261" s="38"/>
      <c r="AH261" s="36"/>
      <c r="AI261" s="46"/>
      <c r="AJ261" s="228" t="str">
        <f>HYPERLINK("https://www.crunchbase.com/funding_round/alasco-series-a--92c8711b","Jul 7, 2020")</f>
        <v>Jul 7, 2020</v>
      </c>
      <c r="AK261" s="38">
        <v>7500000.0</v>
      </c>
      <c r="AL261" s="228" t="str">
        <f>HYPERLINK("https://www.crunchbase.com/funding_round/alasco-series-b--515f97bf","Jan 11, 2022")</f>
        <v>Jan 11, 2022</v>
      </c>
      <c r="AM261" s="38">
        <v>4.0E7</v>
      </c>
      <c r="AN261" s="44"/>
      <c r="AO261" s="46"/>
      <c r="AP261" s="44"/>
      <c r="AQ261" s="46"/>
      <c r="AR261" s="44"/>
      <c r="AS261" s="44"/>
      <c r="AT261" s="44"/>
      <c r="AU261" s="45"/>
      <c r="AV261" s="44"/>
      <c r="AW261" s="38"/>
      <c r="AX261" s="44"/>
      <c r="AY261" s="38"/>
      <c r="AZ261" s="44"/>
      <c r="BA261" s="45"/>
      <c r="BB261" s="44"/>
      <c r="BC261" s="45"/>
      <c r="BD261" s="44"/>
      <c r="BE261" s="46"/>
      <c r="BF261" s="36"/>
      <c r="BG261" s="113"/>
      <c r="BH261" s="113"/>
      <c r="BI261" s="113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113"/>
      <c r="BT261" s="113"/>
      <c r="BU261" s="113"/>
      <c r="BV261" s="113"/>
      <c r="BW261" s="113"/>
      <c r="BX261" s="113"/>
      <c r="BY261" s="113"/>
      <c r="BZ261" s="113"/>
      <c r="CA261" s="113"/>
      <c r="CB261" s="113"/>
      <c r="CC261" s="113"/>
      <c r="CD261" s="113"/>
      <c r="CE261" s="113"/>
      <c r="CF261" s="113"/>
      <c r="CG261" s="113"/>
      <c r="CH261" s="113"/>
      <c r="CI261" s="113"/>
      <c r="CJ261" s="113"/>
      <c r="CK261" s="113"/>
      <c r="CL261" s="113"/>
      <c r="CM261" s="113"/>
      <c r="CN261" s="113"/>
      <c r="CO261" s="113"/>
      <c r="CP261" s="113"/>
    </row>
    <row r="262" ht="15.75" customHeight="1">
      <c r="A262" s="442" t="s">
        <v>1427</v>
      </c>
      <c r="B262" s="68" t="s">
        <v>846</v>
      </c>
      <c r="C262" s="69" t="s">
        <v>84</v>
      </c>
      <c r="D262" s="184" t="s">
        <v>1428</v>
      </c>
      <c r="E262" s="184" t="s">
        <v>1429</v>
      </c>
      <c r="F262" s="173" t="s">
        <v>1430</v>
      </c>
      <c r="G262" s="186" t="s">
        <v>1431</v>
      </c>
      <c r="H262" s="186" t="s">
        <v>128</v>
      </c>
      <c r="I262" s="74" t="s">
        <v>156</v>
      </c>
      <c r="J262" s="155" t="s">
        <v>798</v>
      </c>
      <c r="K262" s="74">
        <v>2.0</v>
      </c>
      <c r="L262" s="26">
        <v>2013.0</v>
      </c>
      <c r="M262" s="25">
        <f t="shared" si="202"/>
        <v>12</v>
      </c>
      <c r="N262" s="26">
        <f t="shared" si="203"/>
        <v>3</v>
      </c>
      <c r="O262" s="27" t="str">
        <f t="shared" si="3"/>
        <v>#N/A</v>
      </c>
      <c r="P262" s="28">
        <f t="shared" si="204"/>
        <v>192</v>
      </c>
      <c r="Q262" s="28">
        <f t="shared" si="205"/>
        <v>259</v>
      </c>
      <c r="R262" s="28"/>
      <c r="S262" s="28"/>
      <c r="T262" s="29">
        <f t="shared" si="206"/>
        <v>3958333.333</v>
      </c>
      <c r="U262" s="28"/>
      <c r="V262" s="30">
        <f t="shared" si="28"/>
        <v>47500000</v>
      </c>
      <c r="W262" s="30"/>
      <c r="X262" s="32">
        <f t="shared" si="207"/>
        <v>1.596247051</v>
      </c>
      <c r="Y262" s="33">
        <f t="shared" si="208"/>
        <v>0.2693649551</v>
      </c>
      <c r="Z262" s="692"/>
      <c r="AA262" s="665"/>
      <c r="AB262" s="74"/>
      <c r="AC262" s="74"/>
      <c r="AD262" s="181" t="str">
        <f>HYPERLINK("https://www.crunchbase.com/organization/alfred#section-funding-rounds"," 3/1/2013")</f>
        <v> 3/1/2013</v>
      </c>
      <c r="AE262" s="84"/>
      <c r="AF262" s="175" t="str">
        <f>HYPERLINK("https://www.crunchbase.com/funding_round/alfred-seed--eaff3eec"," 11/17/2014")</f>
        <v> 11/17/2014</v>
      </c>
      <c r="AG262" s="84">
        <v>2000000.0</v>
      </c>
      <c r="AH262" s="74"/>
      <c r="AI262" s="78"/>
      <c r="AJ262" s="181" t="str">
        <f>HYPERLINK("https://www.crunchbase.com/funding_round/alfred-series-a--f06e2808"," 4/14/2015")</f>
        <v> 4/14/2015</v>
      </c>
      <c r="AK262" s="84">
        <v>1.05E7</v>
      </c>
      <c r="AL262" s="950">
        <v>43251.0</v>
      </c>
      <c r="AM262" s="76">
        <v>3.5E7</v>
      </c>
      <c r="AN262" s="79"/>
      <c r="AO262" s="84"/>
      <c r="AP262" s="79"/>
      <c r="AQ262" s="84"/>
      <c r="AR262" s="79"/>
      <c r="AS262" s="79"/>
      <c r="AT262" s="79"/>
      <c r="AU262" s="80"/>
      <c r="AV262" s="79"/>
      <c r="AW262" s="38"/>
      <c r="AX262" s="79"/>
      <c r="AY262" s="38"/>
      <c r="AZ262" s="79"/>
      <c r="BA262" s="80"/>
      <c r="BB262" s="79"/>
      <c r="BC262" s="80"/>
      <c r="BD262" s="79"/>
      <c r="BE262" s="84"/>
      <c r="BF262" s="74"/>
      <c r="BG262" s="115"/>
      <c r="BH262" s="115"/>
      <c r="BI262" s="115"/>
      <c r="BJ262" s="115"/>
      <c r="BK262" s="115"/>
      <c r="BL262" s="115"/>
      <c r="BM262" s="115"/>
      <c r="BN262" s="115"/>
      <c r="BO262" s="115"/>
      <c r="BP262" s="115"/>
      <c r="BQ262" s="115"/>
      <c r="BR262" s="115"/>
      <c r="BS262" s="115"/>
      <c r="BT262" s="115"/>
      <c r="BU262" s="115"/>
      <c r="BV262" s="115"/>
      <c r="BW262" s="115"/>
      <c r="BX262" s="115"/>
      <c r="BY262" s="115"/>
      <c r="BZ262" s="115"/>
      <c r="CA262" s="115"/>
      <c r="CB262" s="115"/>
      <c r="CC262" s="115"/>
      <c r="CD262" s="115"/>
      <c r="CE262" s="115"/>
      <c r="CF262" s="115"/>
      <c r="CG262" s="115"/>
      <c r="CH262" s="115"/>
      <c r="CI262" s="115"/>
      <c r="CJ262" s="115"/>
      <c r="CK262" s="115"/>
      <c r="CL262" s="115"/>
      <c r="CM262" s="115"/>
      <c r="CN262" s="115"/>
      <c r="CO262" s="115"/>
      <c r="CP262" s="115"/>
    </row>
    <row r="263" ht="15.75" customHeight="1">
      <c r="A263" s="935" t="s">
        <v>1432</v>
      </c>
      <c r="B263" s="858"/>
      <c r="C263" s="69" t="s">
        <v>132</v>
      </c>
      <c r="D263" s="192" t="s">
        <v>1433</v>
      </c>
      <c r="E263" s="192" t="s">
        <v>1434</v>
      </c>
      <c r="F263" s="118" t="s">
        <v>1435</v>
      </c>
      <c r="G263" s="140"/>
      <c r="H263" s="71" t="s">
        <v>328</v>
      </c>
      <c r="I263" s="26" t="s">
        <v>329</v>
      </c>
      <c r="J263" s="72"/>
      <c r="K263" s="26">
        <v>3.0</v>
      </c>
      <c r="L263" s="26">
        <v>2014.0</v>
      </c>
      <c r="M263" s="25"/>
      <c r="N263" s="26"/>
      <c r="O263" s="27" t="str">
        <f t="shared" si="3"/>
        <v>#N/A</v>
      </c>
      <c r="P263" s="28" t="str">
        <f t="shared" si="204"/>
        <v>#N/A</v>
      </c>
      <c r="Q263" s="28">
        <f t="shared" si="205"/>
        <v>261</v>
      </c>
      <c r="R263" s="273"/>
      <c r="S263" s="273"/>
      <c r="T263" s="273"/>
      <c r="U263" s="273"/>
      <c r="V263" s="30">
        <f t="shared" si="28"/>
        <v>47060000</v>
      </c>
      <c r="W263" s="30"/>
      <c r="X263" s="73"/>
      <c r="Y263" s="73"/>
      <c r="Z263" s="692"/>
      <c r="AA263" s="665"/>
      <c r="AB263" s="74"/>
      <c r="AC263" s="74"/>
      <c r="AD263" s="44"/>
      <c r="AE263" s="46"/>
      <c r="AF263" s="916" t="str">
        <f>HYPERLINK("https://www.crunchbase.com/funding_round/goodlord-seed--094bbd71","May 18, 2016")</f>
        <v>May 18, 2016</v>
      </c>
      <c r="AG263" s="951">
        <v>2620000.0</v>
      </c>
      <c r="AH263" s="36"/>
      <c r="AI263" s="159"/>
      <c r="AJ263" s="227" t="str">
        <f>HYPERLINK("https://www.crunchbase.com/funding_round/goodlord-series-a--777e845c","Mar 14, 2017")</f>
        <v>Mar 14, 2017</v>
      </c>
      <c r="AK263" s="38">
        <v>9440000.0</v>
      </c>
      <c r="AL263" s="43" t="str">
        <f>HYPERLINK("https://www.crunchbase.com/funding_round/goodlord-series-b--3a47f2d7","Mar 30, 2022")</f>
        <v>Mar 30, 2022</v>
      </c>
      <c r="AM263" s="38">
        <v>3.5E7</v>
      </c>
      <c r="AN263" s="44"/>
      <c r="AO263" s="46"/>
      <c r="AP263" s="44"/>
      <c r="AQ263" s="46"/>
      <c r="AR263" s="44"/>
      <c r="AS263" s="44"/>
      <c r="AT263" s="44"/>
      <c r="AU263" s="45"/>
      <c r="AV263" s="44"/>
      <c r="AW263" s="38"/>
      <c r="AX263" s="44"/>
      <c r="AY263" s="38"/>
      <c r="AZ263" s="44"/>
      <c r="BA263" s="45"/>
      <c r="BB263" s="44"/>
      <c r="BC263" s="45"/>
      <c r="BD263" s="44"/>
      <c r="BE263" s="46"/>
      <c r="BF263" s="36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</row>
    <row r="264" ht="15.75" customHeight="1">
      <c r="A264" s="952" t="s">
        <v>1436</v>
      </c>
      <c r="B264" s="849" t="s">
        <v>1437</v>
      </c>
      <c r="C264" s="849" t="s">
        <v>132</v>
      </c>
      <c r="D264" s="192" t="s">
        <v>1438</v>
      </c>
      <c r="E264" s="192" t="s">
        <v>1439</v>
      </c>
      <c r="F264" s="118" t="s">
        <v>1440</v>
      </c>
      <c r="G264" s="850" t="s">
        <v>1441</v>
      </c>
      <c r="H264" s="850" t="s">
        <v>64</v>
      </c>
      <c r="I264" s="222" t="s">
        <v>65</v>
      </c>
      <c r="J264" s="953" t="s">
        <v>1288</v>
      </c>
      <c r="K264" s="222">
        <v>4.0</v>
      </c>
      <c r="L264" s="222">
        <v>2018.0</v>
      </c>
      <c r="M264" s="25">
        <f>year(now()) -L264</f>
        <v>7</v>
      </c>
      <c r="N264" s="26">
        <f>counta(AE264,AG264,AI264,AK264,AM264,AO264,AQ264,AS264,AU264,AW264,AY264,BA264,BC264)</f>
        <v>2</v>
      </c>
      <c r="O264" s="27" t="str">
        <f t="shared" si="3"/>
        <v>#N/A</v>
      </c>
      <c r="P264" s="28">
        <f t="shared" si="204"/>
        <v>142</v>
      </c>
      <c r="Q264" s="28">
        <f t="shared" si="205"/>
        <v>262</v>
      </c>
      <c r="R264" s="28"/>
      <c r="S264" s="28"/>
      <c r="T264" s="29">
        <f>V264/M264</f>
        <v>6714285.714</v>
      </c>
      <c r="U264" s="28"/>
      <c r="V264" s="30">
        <f t="shared" si="28"/>
        <v>47000000</v>
      </c>
      <c r="W264" s="30"/>
      <c r="X264" s="32">
        <f>(max(AE264,AG264,AI264,AK264,AM264,AO264,AQ264,AS264,AU264,AW264,AY264,BA264,BC264)/min(AE264,AG264,AI264,AK264,AM264,AO264,AQ264,AS264,AU264,AW264,AY264,BA264,BC264))^(1/N264)-1</f>
        <v>0.6172150801</v>
      </c>
      <c r="Y264" s="33">
        <f>(max(AE264,AG264,AI264,AK264,AM264,AO264,AQ264,AS264,AU264,AW264,AY264,BA264,BC264)/min(AE264,AG264,AI264,AK264,AM264,AO264,AQ264,AS264,AU264,AW264,AY264,BA264,BC264))^(1/M264)-1</f>
        <v>0.1472232443</v>
      </c>
      <c r="Z264" s="692"/>
      <c r="AA264" s="665"/>
      <c r="AB264" s="326"/>
      <c r="AC264" s="326"/>
      <c r="AD264" s="42"/>
      <c r="AE264" s="325"/>
      <c r="AF264" s="42"/>
      <c r="AG264" s="325"/>
      <c r="AH264" s="326"/>
      <c r="AI264" s="323"/>
      <c r="AJ264" s="42" t="str">
        <f>HYPERLINK("https://www.crunchbase.com/funding_round/archipelago-analytics-series-a--a68f883b","Aug 9, 2019")</f>
        <v>Aug 9, 2019</v>
      </c>
      <c r="AK264" s="325">
        <v>1.3E7</v>
      </c>
      <c r="AL264" s="227" t="str">
        <f>HYPERLINK("https://www.crunchbase.com/funding_round/archipelago-analytics-series-b--96ba5a78","Apr 20, 2021")</f>
        <v>Apr 20, 2021</v>
      </c>
      <c r="AM264" s="954">
        <v>3.4E7</v>
      </c>
      <c r="AN264" s="227"/>
      <c r="AO264" s="325"/>
      <c r="AP264" s="322"/>
      <c r="AQ264" s="323"/>
      <c r="AR264" s="322"/>
      <c r="AS264" s="322"/>
      <c r="AT264" s="322"/>
      <c r="AU264" s="335"/>
      <c r="AV264" s="322"/>
      <c r="AW264" s="38"/>
      <c r="AX264" s="322"/>
      <c r="AY264" s="38"/>
      <c r="AZ264" s="322"/>
      <c r="BA264" s="335"/>
      <c r="BB264" s="322"/>
      <c r="BC264" s="335"/>
      <c r="BD264" s="322"/>
      <c r="BE264" s="323"/>
      <c r="BF264" s="32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</row>
    <row r="265" ht="15.75" customHeight="1">
      <c r="A265" s="21" t="s">
        <v>1442</v>
      </c>
      <c r="B265" s="69"/>
      <c r="C265" s="69" t="s">
        <v>84</v>
      </c>
      <c r="D265" s="138" t="s">
        <v>1443</v>
      </c>
      <c r="E265" s="138" t="s">
        <v>1444</v>
      </c>
      <c r="F265" s="173" t="s">
        <v>1445</v>
      </c>
      <c r="G265" s="186"/>
      <c r="H265" s="71" t="s">
        <v>1446</v>
      </c>
      <c r="I265" s="26" t="s">
        <v>1447</v>
      </c>
      <c r="J265" s="155"/>
      <c r="K265" s="26">
        <v>2.0</v>
      </c>
      <c r="L265" s="26">
        <v>2020.0</v>
      </c>
      <c r="M265" s="25"/>
      <c r="N265" s="26"/>
      <c r="O265" s="27" t="str">
        <f t="shared" si="3"/>
        <v>#N/A</v>
      </c>
      <c r="P265" s="28" t="str">
        <f t="shared" si="204"/>
        <v>#N/A</v>
      </c>
      <c r="Q265" s="28">
        <f t="shared" si="205"/>
        <v>262</v>
      </c>
      <c r="R265" s="273"/>
      <c r="S265" s="273"/>
      <c r="T265" s="273"/>
      <c r="U265" s="273"/>
      <c r="V265" s="30">
        <f t="shared" si="28"/>
        <v>47000000</v>
      </c>
      <c r="W265" s="30"/>
      <c r="X265" s="73"/>
      <c r="Y265" s="73"/>
      <c r="Z265" s="692"/>
      <c r="AA265" s="665"/>
      <c r="AB265" s="74"/>
      <c r="AC265" s="74"/>
      <c r="AD265" s="79"/>
      <c r="AE265" s="84"/>
      <c r="AF265" s="175" t="str">
        <f>HYPERLINK("https://www.crunchbase.com/funding_round/huspy-seed--1bf8ec7c","Apr 12, 2021")</f>
        <v>Apr 12, 2021</v>
      </c>
      <c r="AG265" s="76">
        <v>1.0E7</v>
      </c>
      <c r="AH265" s="74"/>
      <c r="AI265" s="78"/>
      <c r="AJ265" s="181" t="str">
        <f>HYPERLINK("https://www.crunchbase.com/funding_round/huspy-series-a--b4b2f96a","Jun 21, 2022")</f>
        <v>Jun 21, 2022</v>
      </c>
      <c r="AK265" s="76">
        <v>3.7E7</v>
      </c>
      <c r="AL265" s="79"/>
      <c r="AM265" s="84"/>
      <c r="AN265" s="79"/>
      <c r="AO265" s="84"/>
      <c r="AP265" s="79"/>
      <c r="AQ265" s="84"/>
      <c r="AR265" s="79"/>
      <c r="AS265" s="79"/>
      <c r="AT265" s="79"/>
      <c r="AU265" s="80"/>
      <c r="AV265" s="79"/>
      <c r="AW265" s="38"/>
      <c r="AX265" s="79"/>
      <c r="AY265" s="38"/>
      <c r="AZ265" s="79"/>
      <c r="BA265" s="80"/>
      <c r="BB265" s="79"/>
      <c r="BC265" s="80"/>
      <c r="BD265" s="79"/>
      <c r="BE265" s="84"/>
      <c r="BF265" s="74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</row>
    <row r="266" ht="15.75" customHeight="1">
      <c r="A266" s="400" t="s">
        <v>1448</v>
      </c>
      <c r="B266" s="116"/>
      <c r="C266" s="116" t="s">
        <v>513</v>
      </c>
      <c r="D266" s="162" t="s">
        <v>1449</v>
      </c>
      <c r="E266" s="162" t="s">
        <v>1450</v>
      </c>
      <c r="F266" s="389" t="s">
        <v>1451</v>
      </c>
      <c r="G266" s="119" t="s">
        <v>1452</v>
      </c>
      <c r="H266" s="119" t="s">
        <v>256</v>
      </c>
      <c r="I266" s="25" t="s">
        <v>257</v>
      </c>
      <c r="J266" s="120" t="s">
        <v>1453</v>
      </c>
      <c r="K266" s="25">
        <v>2.0</v>
      </c>
      <c r="L266" s="25">
        <v>2015.0</v>
      </c>
      <c r="M266" s="25"/>
      <c r="N266" s="25"/>
      <c r="O266" s="27" t="str">
        <f t="shared" si="3"/>
        <v>#N/A</v>
      </c>
      <c r="P266" s="28" t="str">
        <f t="shared" si="204"/>
        <v>#N/A</v>
      </c>
      <c r="Q266" s="28">
        <f t="shared" si="205"/>
        <v>262</v>
      </c>
      <c r="R266" s="55"/>
      <c r="S266" s="55"/>
      <c r="T266" s="55"/>
      <c r="U266" s="55"/>
      <c r="V266" s="30">
        <f t="shared" si="28"/>
        <v>47000000</v>
      </c>
      <c r="W266" s="30"/>
      <c r="X266" s="597"/>
      <c r="Y266" s="597"/>
      <c r="Z266" s="692"/>
      <c r="AA266" s="665"/>
      <c r="AB266" s="123"/>
      <c r="AC266" s="123"/>
      <c r="AD266" s="124"/>
      <c r="AE266" s="125"/>
      <c r="AF266" s="166"/>
      <c r="AG266" s="127"/>
      <c r="AH266" s="123"/>
      <c r="AI266" s="128"/>
      <c r="AJ266" s="124"/>
      <c r="AK266" s="125"/>
      <c r="AL266" s="855">
        <v>44739.0</v>
      </c>
      <c r="AM266" s="125">
        <f>47000000</f>
        <v>47000000</v>
      </c>
      <c r="AN266" s="124"/>
      <c r="AO266" s="125"/>
      <c r="AP266" s="124"/>
      <c r="AQ266" s="125"/>
      <c r="AR266" s="124"/>
      <c r="AS266" s="124"/>
      <c r="AT266" s="124"/>
      <c r="AU266" s="137"/>
      <c r="AV266" s="124"/>
      <c r="AW266" s="38"/>
      <c r="AX266" s="124"/>
      <c r="AY266" s="38"/>
      <c r="AZ266" s="124"/>
      <c r="BA266" s="137"/>
      <c r="BB266" s="124"/>
      <c r="BC266" s="137"/>
      <c r="BD266" s="124"/>
      <c r="BE266" s="125"/>
      <c r="BF266" s="123"/>
      <c r="BG266" s="115"/>
      <c r="BH266" s="115"/>
      <c r="BI266" s="115"/>
      <c r="BJ266" s="115"/>
      <c r="BK266" s="115"/>
      <c r="BL266" s="115"/>
      <c r="BM266" s="115"/>
      <c r="BN266" s="115"/>
      <c r="BO266" s="115"/>
      <c r="BP266" s="115"/>
      <c r="BQ266" s="115"/>
      <c r="BR266" s="115"/>
      <c r="BS266" s="115"/>
      <c r="BT266" s="115"/>
      <c r="BU266" s="115"/>
      <c r="BV266" s="115"/>
      <c r="BW266" s="115"/>
      <c r="BX266" s="115"/>
      <c r="BY266" s="115"/>
      <c r="BZ266" s="115"/>
      <c r="CA266" s="115"/>
      <c r="CB266" s="115"/>
      <c r="CC266" s="115"/>
      <c r="CD266" s="115"/>
      <c r="CE266" s="115"/>
      <c r="CF266" s="115"/>
      <c r="CG266" s="115"/>
      <c r="CH266" s="115"/>
      <c r="CI266" s="115"/>
      <c r="CJ266" s="115"/>
      <c r="CK266" s="115"/>
      <c r="CL266" s="115"/>
      <c r="CM266" s="115"/>
      <c r="CN266" s="115"/>
      <c r="CO266" s="115"/>
      <c r="CP266" s="115"/>
    </row>
    <row r="267" ht="15.75" customHeight="1">
      <c r="A267" s="400" t="s">
        <v>1454</v>
      </c>
      <c r="B267" s="115"/>
      <c r="C267" s="116" t="s">
        <v>190</v>
      </c>
      <c r="D267" s="401" t="s">
        <v>1455</v>
      </c>
      <c r="E267" s="161" t="s">
        <v>1456</v>
      </c>
      <c r="F267" s="402" t="s">
        <v>1457</v>
      </c>
      <c r="G267" s="286"/>
      <c r="H267" s="119" t="s">
        <v>64</v>
      </c>
      <c r="I267" s="25" t="s">
        <v>65</v>
      </c>
      <c r="J267" s="287"/>
      <c r="K267" s="25">
        <v>2.0</v>
      </c>
      <c r="L267" s="25">
        <v>2017.0</v>
      </c>
      <c r="M267" s="123"/>
      <c r="N267" s="123"/>
      <c r="O267" s="27" t="str">
        <f t="shared" si="3"/>
        <v>#N/A</v>
      </c>
      <c r="P267" s="28" t="str">
        <f t="shared" si="204"/>
        <v>#N/A</v>
      </c>
      <c r="Q267" s="28">
        <f t="shared" si="205"/>
        <v>262</v>
      </c>
      <c r="R267" s="55"/>
      <c r="S267" s="55"/>
      <c r="T267" s="55"/>
      <c r="U267" s="55"/>
      <c r="V267" s="30">
        <f t="shared" si="28"/>
        <v>47000000</v>
      </c>
      <c r="W267" s="31">
        <v>1000000.0</v>
      </c>
      <c r="X267" s="403"/>
      <c r="Y267" s="403"/>
      <c r="Z267" s="692"/>
      <c r="AA267" s="665"/>
      <c r="AB267" s="123"/>
      <c r="AC267" s="123"/>
      <c r="AD267" s="452"/>
      <c r="AE267" s="123"/>
      <c r="AF267" s="880">
        <v>43334.0</v>
      </c>
      <c r="AG267" s="170">
        <v>2000000.0</v>
      </c>
      <c r="AH267" s="123"/>
      <c r="AI267" s="123"/>
      <c r="AJ267" s="404">
        <v>44616.0</v>
      </c>
      <c r="AK267" s="170">
        <v>1.5E7</v>
      </c>
      <c r="AL267" s="404">
        <v>44861.0</v>
      </c>
      <c r="AM267" s="170">
        <v>3.0E7</v>
      </c>
      <c r="AN267" s="123"/>
      <c r="AO267" s="123"/>
      <c r="AP267" s="123"/>
      <c r="AQ267" s="123"/>
      <c r="AR267" s="123"/>
      <c r="AS267" s="123"/>
      <c r="AT267" s="123"/>
      <c r="AU267" s="137"/>
      <c r="AV267" s="123"/>
      <c r="AW267" s="38"/>
      <c r="AX267" s="123"/>
      <c r="AY267" s="38"/>
      <c r="AZ267" s="123"/>
      <c r="BA267" s="137"/>
      <c r="BB267" s="123"/>
      <c r="BC267" s="137"/>
      <c r="BD267" s="123"/>
      <c r="BE267" s="125"/>
      <c r="BF267" s="123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</row>
    <row r="268" ht="15.75" customHeight="1">
      <c r="A268" s="21" t="s">
        <v>1458</v>
      </c>
      <c r="B268" s="69"/>
      <c r="C268" s="69" t="s">
        <v>84</v>
      </c>
      <c r="D268" s="200" t="s">
        <v>1459</v>
      </c>
      <c r="E268" s="200" t="s">
        <v>1460</v>
      </c>
      <c r="F268" s="841" t="s">
        <v>1461</v>
      </c>
      <c r="G268" s="54" t="s">
        <v>1462</v>
      </c>
      <c r="H268" s="71" t="s">
        <v>128</v>
      </c>
      <c r="I268" s="26" t="s">
        <v>129</v>
      </c>
      <c r="J268" s="72" t="s">
        <v>130</v>
      </c>
      <c r="K268" s="26">
        <v>3.0</v>
      </c>
      <c r="L268" s="26">
        <v>2012.0</v>
      </c>
      <c r="M268" s="25">
        <f t="shared" ref="M268:M269" si="209">year(now()) -L268</f>
        <v>13</v>
      </c>
      <c r="N268" s="26">
        <f t="shared" ref="N268:N269" si="210">counta(AE268,AG268,AI268,AK268,AM268,AO268,AQ268,AS268,AU268,AW268,AY268,BA268,BC268)</f>
        <v>3</v>
      </c>
      <c r="O268" s="27" t="str">
        <f t="shared" si="3"/>
        <v>#N/A</v>
      </c>
      <c r="P268" s="28">
        <f t="shared" si="204"/>
        <v>200</v>
      </c>
      <c r="Q268" s="28">
        <f t="shared" si="205"/>
        <v>266</v>
      </c>
      <c r="R268" s="28"/>
      <c r="S268" s="28"/>
      <c r="T268" s="29">
        <f t="shared" ref="T268:T269" si="211">V268/M268</f>
        <v>3576923.077</v>
      </c>
      <c r="U268" s="28"/>
      <c r="V268" s="30">
        <f t="shared" si="28"/>
        <v>46500000</v>
      </c>
      <c r="W268" s="30"/>
      <c r="X268" s="32">
        <f t="shared" ref="X268:X269" si="212">(max(AE268,AG268,AI268,AK268,AM268,AO268,AQ268,AS268,AU268,AW268,AY268,BA268,BC268)/min(AE268,AG268,AI268,AK268,AM268,AO268,AQ268,AS268,AU268,AW268,AY268,BA268,BC268))^(1/N268)-1</f>
        <v>0.9464982079</v>
      </c>
      <c r="Y268" s="33">
        <f t="shared" ref="Y268:Y269" si="213">(max(AE268,AG268,AI268,AK268,AM268,AO268,AQ268,AS268,AU268,AW268,AY268,BA268,BC268)/min(AE268,AG268,AI268,AK268,AM268,AO268,AQ268,AS268,AU268,AW268,AY268,BA268,BC268))^(1/M268)-1</f>
        <v>0.1661406244</v>
      </c>
      <c r="Z268" s="692"/>
      <c r="AA268" s="665"/>
      <c r="AB268" s="74"/>
      <c r="AC268" s="74"/>
      <c r="AD268" s="79"/>
      <c r="AE268" s="84"/>
      <c r="AF268" s="175" t="str">
        <f>HYPERLINK("https://www.crunchbase.com/funding_round/sealed-seed--c6f9ae3c","May 1, 2018")</f>
        <v>May 1, 2018</v>
      </c>
      <c r="AG268" s="76">
        <v>4000000.0</v>
      </c>
      <c r="AH268" s="74"/>
      <c r="AI268" s="78"/>
      <c r="AJ268" s="181" t="str">
        <f>HYPERLINK("https://www.crunchbase.com/funding_round/sealed-series-a--0722c6eb","Mar 1, 2019")</f>
        <v>Mar 1, 2019</v>
      </c>
      <c r="AK268" s="76">
        <v>1.3E7</v>
      </c>
      <c r="AL268" s="181" t="str">
        <f>HYPERLINK("https://www.crunchbase.com/funding_round/sealed-series-b--22680184","Apr 28, 2022")</f>
        <v>Apr 28, 2022</v>
      </c>
      <c r="AM268" s="76">
        <v>2.95E7</v>
      </c>
      <c r="AN268" s="79"/>
      <c r="AO268" s="84"/>
      <c r="AP268" s="79"/>
      <c r="AQ268" s="84"/>
      <c r="AR268" s="79"/>
      <c r="AS268" s="79"/>
      <c r="AT268" s="79"/>
      <c r="AU268" s="80"/>
      <c r="AV268" s="79"/>
      <c r="AW268" s="38"/>
      <c r="AX268" s="79"/>
      <c r="AY268" s="38"/>
      <c r="AZ268" s="79"/>
      <c r="BA268" s="80"/>
      <c r="BB268" s="79"/>
      <c r="BC268" s="80"/>
      <c r="BD268" s="79"/>
      <c r="BE268" s="84"/>
      <c r="BF268" s="74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</row>
    <row r="269" ht="15.75" customHeight="1">
      <c r="A269" s="860" t="s">
        <v>1463</v>
      </c>
      <c r="B269" s="68"/>
      <c r="C269" s="69" t="s">
        <v>123</v>
      </c>
      <c r="D269" s="192" t="s">
        <v>1464</v>
      </c>
      <c r="E269" s="192" t="s">
        <v>1465</v>
      </c>
      <c r="F269" s="118" t="s">
        <v>1466</v>
      </c>
      <c r="G269" s="140"/>
      <c r="H269" s="71" t="s">
        <v>1467</v>
      </c>
      <c r="I269" s="26" t="s">
        <v>1468</v>
      </c>
      <c r="J269" s="155"/>
      <c r="K269" s="74"/>
      <c r="L269" s="26">
        <v>2003.0</v>
      </c>
      <c r="M269" s="25">
        <f t="shared" si="209"/>
        <v>22</v>
      </c>
      <c r="N269" s="26">
        <f t="shared" si="210"/>
        <v>2</v>
      </c>
      <c r="O269" s="27" t="str">
        <f t="shared" si="3"/>
        <v>#N/A</v>
      </c>
      <c r="P269" s="28">
        <f t="shared" si="204"/>
        <v>216</v>
      </c>
      <c r="Q269" s="28">
        <f t="shared" si="205"/>
        <v>267</v>
      </c>
      <c r="R269" s="28"/>
      <c r="S269" s="28"/>
      <c r="T269" s="29">
        <f t="shared" si="211"/>
        <v>2100000</v>
      </c>
      <c r="U269" s="28"/>
      <c r="V269" s="30">
        <f t="shared" si="28"/>
        <v>46200000</v>
      </c>
      <c r="W269" s="30"/>
      <c r="X269" s="32">
        <f t="shared" si="212"/>
        <v>0.3608276349</v>
      </c>
      <c r="Y269" s="33">
        <f t="shared" si="213"/>
        <v>0.02840438559</v>
      </c>
      <c r="Z269" s="692"/>
      <c r="AA269" s="665"/>
      <c r="AB269" s="74"/>
      <c r="AC269" s="74"/>
      <c r="AD269" s="79"/>
      <c r="AE269" s="76"/>
      <c r="AF269" s="320"/>
      <c r="AG269" s="76"/>
      <c r="AH269" s="74"/>
      <c r="AI269" s="78"/>
      <c r="AJ269" s="79"/>
      <c r="AK269" s="84"/>
      <c r="AL269" s="79"/>
      <c r="AM269" s="84"/>
      <c r="AN269" s="79"/>
      <c r="AO269" s="84"/>
      <c r="AP269" s="180">
        <v>41801.0</v>
      </c>
      <c r="AQ269" s="76">
        <v>1.62E7</v>
      </c>
      <c r="AR269" s="180">
        <v>42110.0</v>
      </c>
      <c r="AS269" s="26">
        <v>3.0E7</v>
      </c>
      <c r="AT269" s="79"/>
      <c r="AU269" s="80"/>
      <c r="AV269" s="79"/>
      <c r="AW269" s="38"/>
      <c r="AX269" s="79"/>
      <c r="AY269" s="38"/>
      <c r="AZ269" s="79"/>
      <c r="BA269" s="80"/>
      <c r="BB269" s="79"/>
      <c r="BC269" s="80"/>
      <c r="BD269" s="79"/>
      <c r="BE269" s="84"/>
      <c r="BF269" s="74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</row>
    <row r="270" ht="15.75" customHeight="1">
      <c r="A270" s="21" t="s">
        <v>1469</v>
      </c>
      <c r="B270" s="68"/>
      <c r="C270" s="69" t="s">
        <v>68</v>
      </c>
      <c r="D270" s="337"/>
      <c r="E270" s="270" t="s">
        <v>1470</v>
      </c>
      <c r="F270" s="177" t="s">
        <v>1471</v>
      </c>
      <c r="G270" s="186"/>
      <c r="H270" s="71" t="s">
        <v>1472</v>
      </c>
      <c r="I270" s="26" t="s">
        <v>639</v>
      </c>
      <c r="J270" s="155"/>
      <c r="K270" s="26">
        <v>1.0</v>
      </c>
      <c r="L270" s="26">
        <v>2012.0</v>
      </c>
      <c r="M270" s="25"/>
      <c r="N270" s="26"/>
      <c r="O270" s="27" t="str">
        <f t="shared" si="3"/>
        <v>#N/A</v>
      </c>
      <c r="P270" s="28" t="str">
        <f t="shared" si="204"/>
        <v>#N/A</v>
      </c>
      <c r="Q270" s="28">
        <f t="shared" si="205"/>
        <v>268</v>
      </c>
      <c r="R270" s="273"/>
      <c r="S270" s="273"/>
      <c r="T270" s="273"/>
      <c r="U270" s="273"/>
      <c r="V270" s="30">
        <f t="shared" si="28"/>
        <v>46000000</v>
      </c>
      <c r="W270" s="30"/>
      <c r="X270" s="73"/>
      <c r="Y270" s="73"/>
      <c r="Z270" s="692"/>
      <c r="AA270" s="665"/>
      <c r="AB270" s="74"/>
      <c r="AC270" s="74"/>
      <c r="AD270" s="79"/>
      <c r="AE270" s="84"/>
      <c r="AF270" s="885">
        <v>44136.0</v>
      </c>
      <c r="AG270" s="84"/>
      <c r="AH270" s="68"/>
      <c r="AI270" s="955"/>
      <c r="AJ270" s="882">
        <v>44754.0</v>
      </c>
      <c r="AK270" s="76">
        <v>4.6E7</v>
      </c>
      <c r="AL270" s="79"/>
      <c r="AM270" s="84"/>
      <c r="AN270" s="79"/>
      <c r="AO270" s="84"/>
      <c r="AP270" s="79"/>
      <c r="AQ270" s="84"/>
      <c r="AR270" s="79"/>
      <c r="AS270" s="79"/>
      <c r="AT270" s="79"/>
      <c r="AU270" s="80"/>
      <c r="AV270" s="79"/>
      <c r="AW270" s="38"/>
      <c r="AX270" s="79"/>
      <c r="AY270" s="38"/>
      <c r="AZ270" s="79"/>
      <c r="BA270" s="80"/>
      <c r="BB270" s="79"/>
      <c r="BC270" s="80"/>
      <c r="BD270" s="79"/>
      <c r="BE270" s="84"/>
      <c r="BF270" s="74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</row>
    <row r="271" ht="15.75" customHeight="1">
      <c r="A271" s="388" t="s">
        <v>1473</v>
      </c>
      <c r="B271" s="69"/>
      <c r="C271" s="69" t="s">
        <v>59</v>
      </c>
      <c r="D271" s="388" t="s">
        <v>1474</v>
      </c>
      <c r="E271" s="791" t="s">
        <v>1475</v>
      </c>
      <c r="F271" s="118" t="s">
        <v>1476</v>
      </c>
      <c r="G271" s="71"/>
      <c r="H271" s="71" t="s">
        <v>64</v>
      </c>
      <c r="I271" s="26" t="s">
        <v>65</v>
      </c>
      <c r="J271" s="72"/>
      <c r="K271" s="26">
        <v>1.0</v>
      </c>
      <c r="L271" s="26">
        <v>2015.0</v>
      </c>
      <c r="M271" s="25"/>
      <c r="N271" s="26"/>
      <c r="O271" s="27" t="str">
        <f t="shared" si="3"/>
        <v>#N/A</v>
      </c>
      <c r="P271" s="28" t="str">
        <f t="shared" si="204"/>
        <v>#N/A</v>
      </c>
      <c r="Q271" s="28">
        <f t="shared" si="205"/>
        <v>268</v>
      </c>
      <c r="R271" s="273"/>
      <c r="S271" s="273"/>
      <c r="T271" s="273"/>
      <c r="U271" s="273"/>
      <c r="V271" s="30">
        <f t="shared" si="28"/>
        <v>46000000</v>
      </c>
      <c r="W271" s="30"/>
      <c r="X271" s="73"/>
      <c r="Y271" s="73"/>
      <c r="Z271" s="692"/>
      <c r="AA271" s="665"/>
      <c r="AB271" s="74"/>
      <c r="AC271" s="74"/>
      <c r="AD271" s="804"/>
      <c r="AE271" s="84"/>
      <c r="AF271" s="883"/>
      <c r="AG271" s="76"/>
      <c r="AH271" s="68"/>
      <c r="AI271" s="955"/>
      <c r="AJ271" s="227">
        <v>43444.0</v>
      </c>
      <c r="AK271" s="76">
        <v>1.3E7</v>
      </c>
      <c r="AL271" s="956">
        <v>44761.0</v>
      </c>
      <c r="AM271" s="846">
        <v>3.3E7</v>
      </c>
      <c r="AN271" s="79"/>
      <c r="AO271" s="76"/>
      <c r="AP271" s="79"/>
      <c r="AQ271" s="84"/>
      <c r="AR271" s="79"/>
      <c r="AS271" s="79"/>
      <c r="AT271" s="79"/>
      <c r="AU271" s="80"/>
      <c r="AV271" s="79"/>
      <c r="AW271" s="38"/>
      <c r="AX271" s="79"/>
      <c r="AY271" s="38"/>
      <c r="AZ271" s="79"/>
      <c r="BA271" s="80"/>
      <c r="BB271" s="79"/>
      <c r="BC271" s="80"/>
      <c r="BD271" s="79"/>
      <c r="BE271" s="84"/>
      <c r="BF271" s="74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</row>
    <row r="272" ht="15.75" customHeight="1">
      <c r="A272" s="442" t="s">
        <v>324</v>
      </c>
      <c r="B272" s="68" t="s">
        <v>944</v>
      </c>
      <c r="C272" s="68" t="s">
        <v>190</v>
      </c>
      <c r="D272" s="184" t="s">
        <v>1477</v>
      </c>
      <c r="E272" s="184" t="s">
        <v>1478</v>
      </c>
      <c r="F272" s="185" t="s">
        <v>1479</v>
      </c>
      <c r="G272" s="140" t="s">
        <v>1480</v>
      </c>
      <c r="H272" s="71" t="s">
        <v>328</v>
      </c>
      <c r="I272" s="26" t="s">
        <v>329</v>
      </c>
      <c r="J272" s="72" t="s">
        <v>1481</v>
      </c>
      <c r="K272" s="74">
        <v>2.0</v>
      </c>
      <c r="L272" s="26">
        <v>2012.0</v>
      </c>
      <c r="M272" s="25">
        <f>year(now()) -L272</f>
        <v>13</v>
      </c>
      <c r="N272" s="26">
        <f>counta(AE272,AG272,AI272,AK272,AM272,AO272,AQ272,AS272,AU272,AW272,AY272,BA272,BC272)</f>
        <v>3</v>
      </c>
      <c r="O272" s="27" t="str">
        <f t="shared" si="3"/>
        <v>#N/A</v>
      </c>
      <c r="P272" s="28">
        <f t="shared" si="204"/>
        <v>201</v>
      </c>
      <c r="Q272" s="28">
        <f t="shared" si="205"/>
        <v>270</v>
      </c>
      <c r="R272" s="28"/>
      <c r="S272" s="28"/>
      <c r="T272" s="29">
        <f>V272/M272</f>
        <v>3529518.923</v>
      </c>
      <c r="U272" s="28"/>
      <c r="V272" s="30">
        <f t="shared" si="28"/>
        <v>45883746</v>
      </c>
      <c r="W272" s="30"/>
      <c r="X272" s="32">
        <f>(max(AE272,AG272,AI272,AK272,AM272,AO272,AQ272,AS272,AU272,AW272,AY272,BA272,BC272)/min(AE272,AG272,AI272,AK272,AM272,AO272,AQ272,AS272,AU272,AW272,AY272,BA272,BC272))^(1/N272)-1</f>
        <v>1.802039331</v>
      </c>
      <c r="Y272" s="33">
        <f>(max(AE272,AG272,AI272,AK272,AM272,AO272,AQ272,AS272,AU272,AW272,AY272,BA272,BC272)/min(AE272,AG272,AI272,AK272,AM272,AO272,AQ272,AS272,AU272,AW272,AY272,BA272,BC272))^(1/M272)-1</f>
        <v>0.2684205898</v>
      </c>
      <c r="Z272" s="692"/>
      <c r="AA272" s="665"/>
      <c r="AB272" s="74"/>
      <c r="AC272" s="74"/>
      <c r="AD272" s="79"/>
      <c r="AE272" s="55"/>
      <c r="AF272" s="175" t="str">
        <f>HYPERLINK("https://www.crunchbase.com/organization/mews-systems#section-overview"," 11/24/2016")</f>
        <v> 11/24/2016</v>
      </c>
      <c r="AG272" s="76">
        <v>1699398.0</v>
      </c>
      <c r="AH272" s="77"/>
      <c r="AI272" s="78"/>
      <c r="AJ272" s="181" t="str">
        <f>HYPERLINK("https://www.crunchbase.com/funding_round/mews-systems-series-a--5f646238"," 6/3/2018")</f>
        <v> 6/3/2018</v>
      </c>
      <c r="AK272" s="76">
        <v>6797592.0</v>
      </c>
      <c r="AL272" s="426" t="str">
        <f>HYPERLINK("https://www.crunchbase.com/funding_round/mews-systems-series-b--89329970"," 8/28/2019")</f>
        <v> 8/28/2019</v>
      </c>
      <c r="AM272" s="76">
        <v>3.7386756E7</v>
      </c>
      <c r="AN272" s="79"/>
      <c r="AO272" s="84"/>
      <c r="AP272" s="79"/>
      <c r="AQ272" s="84"/>
      <c r="AR272" s="79"/>
      <c r="AS272" s="79"/>
      <c r="AT272" s="79"/>
      <c r="AU272" s="80"/>
      <c r="AV272" s="79"/>
      <c r="AW272" s="38"/>
      <c r="AX272" s="79"/>
      <c r="AY272" s="38"/>
      <c r="AZ272" s="79"/>
      <c r="BA272" s="80"/>
      <c r="BB272" s="79"/>
      <c r="BC272" s="80"/>
      <c r="BD272" s="79"/>
      <c r="BE272" s="84"/>
      <c r="BF272" s="74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</row>
    <row r="273" ht="15.75" customHeight="1">
      <c r="A273" s="400" t="s">
        <v>1482</v>
      </c>
      <c r="B273" s="115"/>
      <c r="C273" s="116" t="s">
        <v>1483</v>
      </c>
      <c r="D273" s="449"/>
      <c r="E273" s="161" t="s">
        <v>1484</v>
      </c>
      <c r="F273" s="402" t="s">
        <v>1485</v>
      </c>
      <c r="G273" s="286"/>
      <c r="H273" s="119" t="s">
        <v>673</v>
      </c>
      <c r="I273" s="25" t="s">
        <v>674</v>
      </c>
      <c r="J273" s="287"/>
      <c r="K273" s="25">
        <v>2.0</v>
      </c>
      <c r="L273" s="25">
        <v>2016.0</v>
      </c>
      <c r="M273" s="123"/>
      <c r="N273" s="123"/>
      <c r="O273" s="27" t="str">
        <f t="shared" si="3"/>
        <v>#N/A</v>
      </c>
      <c r="P273" s="28" t="str">
        <f t="shared" si="204"/>
        <v>#N/A</v>
      </c>
      <c r="Q273" s="28">
        <f t="shared" si="205"/>
        <v>271</v>
      </c>
      <c r="R273" s="55"/>
      <c r="S273" s="55"/>
      <c r="T273" s="55"/>
      <c r="U273" s="55"/>
      <c r="V273" s="30">
        <f t="shared" si="28"/>
        <v>45200000</v>
      </c>
      <c r="W273" s="31">
        <v>1.0E7</v>
      </c>
      <c r="X273" s="403"/>
      <c r="Y273" s="403"/>
      <c r="Z273" s="692"/>
      <c r="AA273" s="665"/>
      <c r="AB273" s="123"/>
      <c r="AC273" s="123"/>
      <c r="AD273" s="452"/>
      <c r="AE273" s="123"/>
      <c r="AF273" s="880">
        <v>43809.0</v>
      </c>
      <c r="AG273" s="335">
        <v>3300000.0</v>
      </c>
      <c r="AH273" s="123"/>
      <c r="AI273" s="123"/>
      <c r="AJ273" s="404">
        <v>44462.0</v>
      </c>
      <c r="AK273" s="335">
        <v>1.17E7</v>
      </c>
      <c r="AL273" s="404">
        <v>44873.0</v>
      </c>
      <c r="AM273" s="335">
        <v>3.02E7</v>
      </c>
      <c r="AN273" s="123"/>
      <c r="AO273" s="123"/>
      <c r="AP273" s="123"/>
      <c r="AQ273" s="123"/>
      <c r="AR273" s="123"/>
      <c r="AS273" s="123"/>
      <c r="AT273" s="123"/>
      <c r="AU273" s="137"/>
      <c r="AV273" s="123"/>
      <c r="AW273" s="38"/>
      <c r="AX273" s="123"/>
      <c r="AY273" s="38"/>
      <c r="AZ273" s="123"/>
      <c r="BA273" s="137"/>
      <c r="BB273" s="123"/>
      <c r="BC273" s="137"/>
      <c r="BD273" s="123"/>
      <c r="BE273" s="125"/>
      <c r="BF273" s="123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</row>
    <row r="274" ht="15.75" customHeight="1">
      <c r="A274" s="860" t="s">
        <v>1486</v>
      </c>
      <c r="B274" s="849" t="s">
        <v>1487</v>
      </c>
      <c r="C274" s="849" t="s">
        <v>513</v>
      </c>
      <c r="D274" s="192" t="s">
        <v>1488</v>
      </c>
      <c r="E274" s="957" t="s">
        <v>1489</v>
      </c>
      <c r="F274" s="386" t="s">
        <v>1490</v>
      </c>
      <c r="G274" s="690"/>
      <c r="H274" s="54" t="s">
        <v>1491</v>
      </c>
      <c r="I274" s="222" t="s">
        <v>1492</v>
      </c>
      <c r="J274" s="691"/>
      <c r="K274" s="326"/>
      <c r="L274" s="222">
        <v>2018.0</v>
      </c>
      <c r="M274" s="25">
        <f>year(now()) -L274</f>
        <v>7</v>
      </c>
      <c r="N274" s="26">
        <f>counta(AE274,AG274,AI274,AK274,AM274,AO274,AQ274,AS274,AU274,AW274,AY274,BA274,BC274)</f>
        <v>2</v>
      </c>
      <c r="O274" s="27" t="str">
        <f t="shared" si="3"/>
        <v>#N/A</v>
      </c>
      <c r="P274" s="28">
        <f t="shared" si="204"/>
        <v>146</v>
      </c>
      <c r="Q274" s="28">
        <f t="shared" si="205"/>
        <v>272</v>
      </c>
      <c r="R274" s="28"/>
      <c r="S274" s="28"/>
      <c r="T274" s="29">
        <f>V274/M274</f>
        <v>6428571.429</v>
      </c>
      <c r="U274" s="28"/>
      <c r="V274" s="30">
        <f t="shared" si="28"/>
        <v>45000000</v>
      </c>
      <c r="W274" s="30"/>
      <c r="X274" s="32">
        <f>(max(AE274,AG274,AI274,AK274,AM274,AO274,AQ274,AS274,AU274,AW274,AY274,BA274,BC274)/min(AE274,AG274,AI274,AK274,AM274,AO274,AQ274,AS274,AU274,AW274,AY274,BA274,BC274))^(1/N274)-1</f>
        <v>1.828427125</v>
      </c>
      <c r="Y274" s="33">
        <f>(max(AE274,AG274,AI274,AK274,AM274,AO274,AQ274,AS274,AU274,AW274,AY274,BA274,BC274)/min(AE274,AG274,AI274,AK274,AM274,AO274,AQ274,AS274,AU274,AW274,AY274,BA274,BC274))^(1/M274)-1</f>
        <v>0.3459001926</v>
      </c>
      <c r="Z274" s="692"/>
      <c r="AA274" s="665"/>
      <c r="AB274" s="326"/>
      <c r="AC274" s="326"/>
      <c r="AD274" s="322"/>
      <c r="AE274" s="323"/>
      <c r="AF274" s="320">
        <v>43931.0</v>
      </c>
      <c r="AG274" s="325">
        <v>5000000.0</v>
      </c>
      <c r="AH274" s="326"/>
      <c r="AI274" s="323"/>
      <c r="AJ274" s="322"/>
      <c r="AK274" s="323"/>
      <c r="AL274" s="328" t="str">
        <f>HYPERLINK("https://www.crunchbase.com/funding_round/acretrader-series-b--96efcb19","Jan 11, 2022")</f>
        <v>Jan 11, 2022</v>
      </c>
      <c r="AM274" s="325">
        <v>4.0E7</v>
      </c>
      <c r="AN274" s="322"/>
      <c r="AO274" s="323"/>
      <c r="AP274" s="322"/>
      <c r="AQ274" s="323"/>
      <c r="AR274" s="322"/>
      <c r="AS274" s="322"/>
      <c r="AT274" s="322"/>
      <c r="AU274" s="335"/>
      <c r="AV274" s="322"/>
      <c r="AW274" s="38"/>
      <c r="AX274" s="322"/>
      <c r="AY274" s="38"/>
      <c r="AZ274" s="322"/>
      <c r="BA274" s="335"/>
      <c r="BB274" s="322"/>
      <c r="BC274" s="335"/>
      <c r="BD274" s="322"/>
      <c r="BE274" s="323"/>
      <c r="BF274" s="326"/>
      <c r="BG274" s="115"/>
      <c r="BH274" s="115"/>
      <c r="BI274" s="115"/>
      <c r="BJ274" s="115"/>
      <c r="BK274" s="115"/>
      <c r="BL274" s="115"/>
      <c r="BM274" s="115"/>
      <c r="BN274" s="115"/>
      <c r="BO274" s="115"/>
      <c r="BP274" s="115"/>
      <c r="BQ274" s="115"/>
      <c r="BR274" s="115"/>
      <c r="BS274" s="115"/>
      <c r="BT274" s="115"/>
      <c r="BU274" s="115"/>
      <c r="BV274" s="115"/>
      <c r="BW274" s="115"/>
      <c r="BX274" s="115"/>
      <c r="BY274" s="115"/>
      <c r="BZ274" s="115"/>
      <c r="CA274" s="115"/>
      <c r="CB274" s="115"/>
      <c r="CC274" s="115"/>
      <c r="CD274" s="115"/>
      <c r="CE274" s="115"/>
      <c r="CF274" s="115"/>
      <c r="CG274" s="115"/>
      <c r="CH274" s="115"/>
      <c r="CI274" s="115"/>
      <c r="CJ274" s="115"/>
      <c r="CK274" s="115"/>
      <c r="CL274" s="115"/>
      <c r="CM274" s="115"/>
      <c r="CN274" s="115"/>
      <c r="CO274" s="115"/>
      <c r="CP274" s="115"/>
    </row>
    <row r="275" ht="15.75" customHeight="1">
      <c r="A275" s="21" t="s">
        <v>1493</v>
      </c>
      <c r="B275" s="17"/>
      <c r="C275" s="17" t="s">
        <v>267</v>
      </c>
      <c r="D275" s="192" t="s">
        <v>1494</v>
      </c>
      <c r="E275" s="138" t="s">
        <v>1495</v>
      </c>
      <c r="F275" s="173" t="s">
        <v>1496</v>
      </c>
      <c r="G275" s="317"/>
      <c r="H275" s="22" t="s">
        <v>99</v>
      </c>
      <c r="I275" s="23" t="s">
        <v>100</v>
      </c>
      <c r="J275" s="237"/>
      <c r="K275" s="26">
        <v>3.0</v>
      </c>
      <c r="L275" s="23">
        <v>2019.0</v>
      </c>
      <c r="M275" s="25"/>
      <c r="N275" s="26"/>
      <c r="O275" s="27" t="str">
        <f t="shared" si="3"/>
        <v>#N/A</v>
      </c>
      <c r="P275" s="28" t="str">
        <f t="shared" si="204"/>
        <v>#N/A</v>
      </c>
      <c r="Q275" s="28">
        <f t="shared" si="205"/>
        <v>272</v>
      </c>
      <c r="R275" s="28"/>
      <c r="S275" s="28"/>
      <c r="T275" s="28"/>
      <c r="U275" s="28"/>
      <c r="V275" s="30">
        <f t="shared" si="28"/>
        <v>45000000</v>
      </c>
      <c r="W275" s="30"/>
      <c r="X275" s="73"/>
      <c r="Y275" s="73"/>
      <c r="Z275" s="692"/>
      <c r="AA275" s="665"/>
      <c r="AB275" s="36"/>
      <c r="AC275" s="36"/>
      <c r="AD275" s="44"/>
      <c r="AE275" s="46"/>
      <c r="AF275" s="39"/>
      <c r="AG275" s="46"/>
      <c r="AH275" s="36"/>
      <c r="AI275" s="159"/>
      <c r="AJ275" s="43" t="str">
        <f>HYPERLINK("https://tech.eu/2021/05/27/berlin-based-procurement-proptech-cosuno-raises-15-million-in-series-a-round","May 27, 2021")</f>
        <v>May 27, 2021</v>
      </c>
      <c r="AK275" s="38">
        <v>1.5E7</v>
      </c>
      <c r="AL275" s="43" t="str">
        <f>HYPERLINK("https://techcrunch.com/2022/02/09/german-constructiontech-startup-cosuno-raises-30m-series-b-by-avenir-growth/2","Feb 9, 2022")</f>
        <v>Feb 9, 2022</v>
      </c>
      <c r="AM275" s="38">
        <v>3.0E7</v>
      </c>
      <c r="AN275" s="44"/>
      <c r="AO275" s="46"/>
      <c r="AP275" s="44"/>
      <c r="AQ275" s="46"/>
      <c r="AR275" s="44"/>
      <c r="AS275" s="44"/>
      <c r="AT275" s="44"/>
      <c r="AU275" s="45"/>
      <c r="AV275" s="44"/>
      <c r="AW275" s="38"/>
      <c r="AX275" s="44"/>
      <c r="AY275" s="38"/>
      <c r="AZ275" s="44"/>
      <c r="BA275" s="45"/>
      <c r="BB275" s="44"/>
      <c r="BC275" s="45"/>
      <c r="BD275" s="44"/>
      <c r="BE275" s="46"/>
      <c r="BF275" s="3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</row>
    <row r="276" ht="15.75" customHeight="1">
      <c r="A276" s="21" t="s">
        <v>1497</v>
      </c>
      <c r="B276" s="68"/>
      <c r="C276" s="69" t="s">
        <v>207</v>
      </c>
      <c r="D276" s="200" t="s">
        <v>1498</v>
      </c>
      <c r="E276" s="138" t="s">
        <v>1499</v>
      </c>
      <c r="F276" s="173" t="s">
        <v>1500</v>
      </c>
      <c r="G276" s="71"/>
      <c r="H276" s="71" t="s">
        <v>619</v>
      </c>
      <c r="I276" s="26" t="s">
        <v>257</v>
      </c>
      <c r="J276" s="72"/>
      <c r="K276" s="26">
        <v>2.0</v>
      </c>
      <c r="L276" s="26">
        <v>2015.0</v>
      </c>
      <c r="M276" s="25"/>
      <c r="N276" s="26"/>
      <c r="O276" s="27" t="str">
        <f t="shared" si="3"/>
        <v>#N/A</v>
      </c>
      <c r="P276" s="28" t="str">
        <f t="shared" si="204"/>
        <v>#N/A</v>
      </c>
      <c r="Q276" s="28">
        <f t="shared" si="205"/>
        <v>272</v>
      </c>
      <c r="R276" s="273"/>
      <c r="S276" s="273"/>
      <c r="T276" s="273"/>
      <c r="U276" s="273"/>
      <c r="V276" s="30">
        <f t="shared" si="28"/>
        <v>45000000</v>
      </c>
      <c r="W276" s="30"/>
      <c r="X276" s="73"/>
      <c r="Y276" s="73"/>
      <c r="Z276" s="692"/>
      <c r="AA276" s="665"/>
      <c r="AB276" s="74"/>
      <c r="AC276" s="74"/>
      <c r="AD276" s="279"/>
      <c r="AE276" s="76"/>
      <c r="AF276" s="338"/>
      <c r="AG276" s="84"/>
      <c r="AH276" s="74"/>
      <c r="AI276" s="78"/>
      <c r="AJ276" s="181" t="str">
        <f>HYPERLINK("https://www.crunchbase.com/funding_round/indiqube-series-a--cf82fc27","Jun 18, 2018")</f>
        <v>Jun 18, 2018</v>
      </c>
      <c r="AK276" s="76">
        <v>1.5E7</v>
      </c>
      <c r="AL276" s="181" t="str">
        <f>HYPERLINK("https://www.crunchbase.com/funding_round/indiqube-series-b--bb80ae03","Apr 6, 2022")</f>
        <v>Apr 6, 2022</v>
      </c>
      <c r="AM276" s="76">
        <v>3.0E7</v>
      </c>
      <c r="AN276" s="79"/>
      <c r="AO276" s="84"/>
      <c r="AP276" s="79"/>
      <c r="AQ276" s="84"/>
      <c r="AR276" s="79"/>
      <c r="AS276" s="79"/>
      <c r="AT276" s="79"/>
      <c r="AU276" s="80"/>
      <c r="AV276" s="79"/>
      <c r="AW276" s="38"/>
      <c r="AX276" s="79"/>
      <c r="AY276" s="38"/>
      <c r="AZ276" s="79"/>
      <c r="BA276" s="80"/>
      <c r="BB276" s="79"/>
      <c r="BC276" s="80"/>
      <c r="BD276" s="79"/>
      <c r="BE276" s="84"/>
      <c r="BF276" s="74"/>
      <c r="BG276" s="534"/>
      <c r="BH276" s="534"/>
      <c r="BI276" s="534"/>
      <c r="BJ276" s="534"/>
      <c r="BK276" s="534"/>
      <c r="BL276" s="534"/>
      <c r="BM276" s="534"/>
      <c r="BN276" s="534"/>
      <c r="BO276" s="534"/>
      <c r="BP276" s="534"/>
      <c r="BQ276" s="534"/>
      <c r="BR276" s="534"/>
      <c r="BS276" s="534"/>
      <c r="BT276" s="534"/>
      <c r="BU276" s="534"/>
      <c r="BV276" s="534"/>
      <c r="BW276" s="534"/>
      <c r="BX276" s="534"/>
      <c r="BY276" s="534"/>
      <c r="BZ276" s="534"/>
      <c r="CA276" s="534"/>
      <c r="CB276" s="534"/>
      <c r="CC276" s="534"/>
      <c r="CD276" s="534"/>
      <c r="CE276" s="534"/>
      <c r="CF276" s="534"/>
      <c r="CG276" s="534"/>
      <c r="CH276" s="534"/>
      <c r="CI276" s="534"/>
      <c r="CJ276" s="534"/>
      <c r="CK276" s="534"/>
      <c r="CL276" s="534"/>
      <c r="CM276" s="534"/>
      <c r="CN276" s="534"/>
      <c r="CO276" s="534"/>
      <c r="CP276" s="534"/>
    </row>
    <row r="277" ht="15.75" customHeight="1">
      <c r="A277" s="21" t="s">
        <v>1501</v>
      </c>
      <c r="B277" s="68"/>
      <c r="C277" s="69" t="s">
        <v>84</v>
      </c>
      <c r="D277" s="200" t="s">
        <v>1502</v>
      </c>
      <c r="E277" s="200" t="s">
        <v>1503</v>
      </c>
      <c r="F277" s="173" t="s">
        <v>1504</v>
      </c>
      <c r="G277" s="54" t="s">
        <v>1505</v>
      </c>
      <c r="H277" s="71" t="s">
        <v>271</v>
      </c>
      <c r="I277" s="26" t="s">
        <v>272</v>
      </c>
      <c r="J277" s="72" t="s">
        <v>342</v>
      </c>
      <c r="K277" s="26">
        <v>3.0</v>
      </c>
      <c r="L277" s="26">
        <v>2004.0</v>
      </c>
      <c r="M277" s="25">
        <f t="shared" ref="M277:M278" si="214">year(now()) -L277</f>
        <v>21</v>
      </c>
      <c r="N277" s="26">
        <f t="shared" ref="N277:N278" si="215">counta(AE277,AG277,AI277,AK277,AM277,AO277,AQ277,AS277,AU277,AW277,AY277,BA277,BC277)</f>
        <v>4</v>
      </c>
      <c r="O277" s="27" t="str">
        <f t="shared" si="3"/>
        <v>#N/A</v>
      </c>
      <c r="P277" s="28">
        <f t="shared" si="204"/>
        <v>215</v>
      </c>
      <c r="Q277" s="28">
        <f t="shared" si="205"/>
        <v>275</v>
      </c>
      <c r="R277" s="28"/>
      <c r="S277" s="28"/>
      <c r="T277" s="29">
        <f t="shared" ref="T277:T278" si="216">V277/M277</f>
        <v>2133333.333</v>
      </c>
      <c r="U277" s="28"/>
      <c r="V277" s="30">
        <f t="shared" si="28"/>
        <v>44800000</v>
      </c>
      <c r="W277" s="30"/>
      <c r="X277" s="32">
        <f t="shared" ref="X277:X278" si="217">(max(AE277,AG277,AI277,AK277,AM277,AO277,AQ277,AS277,AU277,AW277,AY277,BA277,BC277)/min(AE277,AG277,AI277,AK277,AM277,AO277,AQ277,AS277,AU277,AW277,AY277,BA277,BC277))^(1/N277)-1</f>
        <v>0.1662534248</v>
      </c>
      <c r="Y277" s="33">
        <f t="shared" ref="Y277:Y278" si="218">(max(AE277,AG277,AI277,AK277,AM277,AO277,AQ277,AS277,AU277,AW277,AY277,BA277,BC277)/min(AE277,AG277,AI277,AK277,AM277,AO277,AQ277,AS277,AU277,AW277,AY277,BA277,BC277))^(1/M277)-1</f>
        <v>0.02972786052</v>
      </c>
      <c r="Z277" s="692"/>
      <c r="AA277" s="665"/>
      <c r="AB277" s="74"/>
      <c r="AC277" s="74"/>
      <c r="AD277" s="279"/>
      <c r="AE277" s="76"/>
      <c r="AF277" s="810"/>
      <c r="AG277" s="76"/>
      <c r="AH277" s="74"/>
      <c r="AI277" s="78"/>
      <c r="AJ277" s="279"/>
      <c r="AK277" s="76"/>
      <c r="AL277" s="426" t="str">
        <f>HYPERLINK("https://www.crunchbase.com/funding_round/redfin-series-b--42023839","May 1, 2006")</f>
        <v>May 1, 2006</v>
      </c>
      <c r="AM277" s="76">
        <v>8000000.0</v>
      </c>
      <c r="AN277" s="426" t="str">
        <f>HYPERLINK("https://www.crunchbase.com/funding_round/redfin-series-c--550a1ea9","Jul 1, 2007")</f>
        <v>Jul 1, 2007</v>
      </c>
      <c r="AO277" s="76">
        <v>1.2E7</v>
      </c>
      <c r="AP277" s="181" t="str">
        <f>HYPERLINK("https://www.crunchbase.com/funding_round/redfin-series-d--6ee150eb","Nov 12, 2009")</f>
        <v>Nov 12, 2009</v>
      </c>
      <c r="AQ277" s="76">
        <v>1.0E7</v>
      </c>
      <c r="AR277" s="181" t="str">
        <f>HYPERLINK("https://www.crunchbase.com/funding_round/redfin-series-e--8971121c","Oct 27, 2011")</f>
        <v>Oct 27, 2011</v>
      </c>
      <c r="AS277" s="427">
        <v>1.48E7</v>
      </c>
      <c r="AT277" s="79"/>
      <c r="AU277" s="80"/>
      <c r="AV277" s="79"/>
      <c r="AW277" s="38"/>
      <c r="AX277" s="79"/>
      <c r="AY277" s="38"/>
      <c r="AZ277" s="79"/>
      <c r="BA277" s="80"/>
      <c r="BB277" s="79"/>
      <c r="BC277" s="80"/>
      <c r="BD277" s="79"/>
      <c r="BE277" s="84"/>
      <c r="BF277" s="74"/>
      <c r="BG277" s="534"/>
      <c r="BH277" s="534"/>
      <c r="BI277" s="534"/>
      <c r="BJ277" s="534"/>
      <c r="BK277" s="534"/>
      <c r="BL277" s="534"/>
      <c r="BM277" s="534"/>
      <c r="BN277" s="534"/>
      <c r="BO277" s="534"/>
      <c r="BP277" s="534"/>
      <c r="BQ277" s="534"/>
      <c r="BR277" s="534"/>
      <c r="BS277" s="534"/>
      <c r="BT277" s="534"/>
      <c r="BU277" s="534"/>
      <c r="BV277" s="534"/>
      <c r="BW277" s="534"/>
      <c r="BX277" s="534"/>
      <c r="BY277" s="534"/>
      <c r="BZ277" s="534"/>
      <c r="CA277" s="534"/>
      <c r="CB277" s="534"/>
      <c r="CC277" s="534"/>
      <c r="CD277" s="534"/>
      <c r="CE277" s="534"/>
      <c r="CF277" s="534"/>
      <c r="CG277" s="534"/>
      <c r="CH277" s="534"/>
      <c r="CI277" s="534"/>
      <c r="CJ277" s="534"/>
      <c r="CK277" s="534"/>
      <c r="CL277" s="534"/>
      <c r="CM277" s="534"/>
      <c r="CN277" s="534"/>
      <c r="CO277" s="534"/>
      <c r="CP277" s="534"/>
    </row>
    <row r="278" ht="15.75" customHeight="1">
      <c r="A278" s="21" t="s">
        <v>1506</v>
      </c>
      <c r="B278" s="17" t="s">
        <v>1507</v>
      </c>
      <c r="C278" s="17" t="s">
        <v>1508</v>
      </c>
      <c r="D278" s="200" t="s">
        <v>1509</v>
      </c>
      <c r="E278" s="492" t="s">
        <v>1510</v>
      </c>
      <c r="F278" s="173" t="s">
        <v>1511</v>
      </c>
      <c r="G278" s="958" t="s">
        <v>1512</v>
      </c>
      <c r="H278" s="22" t="s">
        <v>1513</v>
      </c>
      <c r="I278" s="23" t="s">
        <v>65</v>
      </c>
      <c r="J278" s="24" t="s">
        <v>1514</v>
      </c>
      <c r="K278" s="23">
        <v>2.0</v>
      </c>
      <c r="L278" s="23">
        <v>2013.0</v>
      </c>
      <c r="M278" s="25">
        <f t="shared" si="214"/>
        <v>12</v>
      </c>
      <c r="N278" s="26">
        <f t="shared" si="215"/>
        <v>2</v>
      </c>
      <c r="O278" s="27" t="str">
        <f t="shared" si="3"/>
        <v>#N/A</v>
      </c>
      <c r="P278" s="28">
        <f t="shared" si="204"/>
        <v>198</v>
      </c>
      <c r="Q278" s="28">
        <f t="shared" si="205"/>
        <v>276</v>
      </c>
      <c r="R278" s="28"/>
      <c r="S278" s="28"/>
      <c r="T278" s="29">
        <f t="shared" si="216"/>
        <v>3666666.667</v>
      </c>
      <c r="U278" s="28"/>
      <c r="V278" s="30">
        <f t="shared" si="28"/>
        <v>44000000</v>
      </c>
      <c r="W278" s="30"/>
      <c r="X278" s="32">
        <f t="shared" si="217"/>
        <v>0</v>
      </c>
      <c r="Y278" s="33">
        <f t="shared" si="218"/>
        <v>0</v>
      </c>
      <c r="Z278" s="692"/>
      <c r="AA278" s="665"/>
      <c r="AB278" s="36"/>
      <c r="AC278" s="886"/>
      <c r="AD278" s="44"/>
      <c r="AE278" s="46"/>
      <c r="AF278" s="158" t="str">
        <f>HYPERLINK("https://www.crunchbase.com/organization/beyond-pricing#section-funding-rounds","Mar 26, 2015")</f>
        <v>Mar 26, 2015</v>
      </c>
      <c r="AG278" s="38">
        <v>1500000.0</v>
      </c>
      <c r="AH278" s="959"/>
      <c r="AI278" s="41"/>
      <c r="AJ278" s="228" t="str">
        <f>HYPERLINK("https://www.crunchbase.com/funding_round/beyond-pricing-series-a--399fa511"," Sep 26, 2019")</f>
        <v> Sep 26, 2019</v>
      </c>
      <c r="AK278" s="846" t="str">
        <f>HYPERLINK("https://news.crunchbase.com/news/proptech-startup-beyond-pricing-raises-42-5m-series-a-from-bessemer-venture-partners/","$42,500,000")</f>
        <v>$42,500,000</v>
      </c>
      <c r="AL278" s="44"/>
      <c r="AM278" s="46"/>
      <c r="AN278" s="44"/>
      <c r="AO278" s="46"/>
      <c r="AP278" s="44"/>
      <c r="AQ278" s="46"/>
      <c r="AR278" s="44"/>
      <c r="AS278" s="44"/>
      <c r="AT278" s="44"/>
      <c r="AU278" s="45"/>
      <c r="AV278" s="44"/>
      <c r="AW278" s="38"/>
      <c r="AX278" s="44"/>
      <c r="AY278" s="38"/>
      <c r="AZ278" s="44"/>
      <c r="BA278" s="45"/>
      <c r="BB278" s="44"/>
      <c r="BC278" s="45"/>
      <c r="BD278" s="44"/>
      <c r="BE278" s="46"/>
      <c r="BF278" s="3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</row>
    <row r="279" ht="15.75" customHeight="1">
      <c r="A279" s="21" t="s">
        <v>1515</v>
      </c>
      <c r="B279" s="858"/>
      <c r="C279" s="69" t="s">
        <v>123</v>
      </c>
      <c r="D279" s="380"/>
      <c r="E279" s="492" t="s">
        <v>1516</v>
      </c>
      <c r="F279" s="173" t="s">
        <v>1517</v>
      </c>
      <c r="G279" s="71"/>
      <c r="H279" s="71" t="s">
        <v>205</v>
      </c>
      <c r="I279" s="26" t="s">
        <v>149</v>
      </c>
      <c r="J279" s="155"/>
      <c r="K279" s="26"/>
      <c r="L279" s="26">
        <v>2017.0</v>
      </c>
      <c r="M279" s="25"/>
      <c r="N279" s="26"/>
      <c r="O279" s="27" t="str">
        <f t="shared" si="3"/>
        <v>#N/A</v>
      </c>
      <c r="P279" s="28" t="str">
        <f t="shared" si="204"/>
        <v>#N/A</v>
      </c>
      <c r="Q279" s="28">
        <f t="shared" si="205"/>
        <v>276</v>
      </c>
      <c r="R279" s="273"/>
      <c r="S279" s="273"/>
      <c r="T279" s="273"/>
      <c r="U279" s="273"/>
      <c r="V279" s="30">
        <f t="shared" si="28"/>
        <v>44000000</v>
      </c>
      <c r="W279" s="30"/>
      <c r="X279" s="73"/>
      <c r="Y279" s="73"/>
      <c r="Z279" s="692"/>
      <c r="AA279" s="665"/>
      <c r="AB279" s="74"/>
      <c r="AC279" s="74"/>
      <c r="AD279" s="44"/>
      <c r="AE279" s="46"/>
      <c r="AF279" s="39"/>
      <c r="AG279" s="46"/>
      <c r="AH279" s="36"/>
      <c r="AI279" s="159"/>
      <c r="AJ279" s="43" t="str">
        <f>HYPERLINK("https://www.crunchbase.com/funding_round/foxen-series-a--c48ad00c","Jun 2, 2022")</f>
        <v>Jun 2, 2022</v>
      </c>
      <c r="AK279" s="38">
        <v>4.4E7</v>
      </c>
      <c r="AL279" s="44"/>
      <c r="AM279" s="46"/>
      <c r="AN279" s="44"/>
      <c r="AO279" s="46"/>
      <c r="AP279" s="44"/>
      <c r="AQ279" s="46"/>
      <c r="AR279" s="44"/>
      <c r="AS279" s="44"/>
      <c r="AT279" s="44"/>
      <c r="AU279" s="45"/>
      <c r="AV279" s="44"/>
      <c r="AW279" s="38"/>
      <c r="AX279" s="44"/>
      <c r="AY279" s="38"/>
      <c r="AZ279" s="44"/>
      <c r="BA279" s="45"/>
      <c r="BB279" s="44"/>
      <c r="BC279" s="45"/>
      <c r="BD279" s="44"/>
      <c r="BE279" s="46"/>
      <c r="BF279" s="36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</row>
    <row r="280" ht="15.75" customHeight="1">
      <c r="A280" s="47" t="s">
        <v>1518</v>
      </c>
      <c r="B280" s="115"/>
      <c r="C280" s="694" t="s">
        <v>123</v>
      </c>
      <c r="D280" s="48"/>
      <c r="E280" s="192" t="s">
        <v>1519</v>
      </c>
      <c r="F280" s="118" t="s">
        <v>1520</v>
      </c>
      <c r="G280" s="119" t="s">
        <v>1521</v>
      </c>
      <c r="H280" s="119" t="s">
        <v>357</v>
      </c>
      <c r="I280" s="25" t="s">
        <v>518</v>
      </c>
      <c r="J280" s="287"/>
      <c r="K280" s="123"/>
      <c r="L280" s="25">
        <v>2016.0</v>
      </c>
      <c r="M280" s="25">
        <f>year(now()) -L280</f>
        <v>9</v>
      </c>
      <c r="N280" s="26">
        <f>counta(AE280,AG280,AI280,AK280,AM280,AO280,AQ280,AS280,AU280,AW280,AY280,BA280,BC280)</f>
        <v>4</v>
      </c>
      <c r="O280" s="27" t="str">
        <f t="shared" si="3"/>
        <v>#N/A</v>
      </c>
      <c r="P280" s="28">
        <f t="shared" si="204"/>
        <v>177</v>
      </c>
      <c r="Q280" s="28">
        <f t="shared" si="205"/>
        <v>278</v>
      </c>
      <c r="R280" s="28"/>
      <c r="S280" s="28"/>
      <c r="T280" s="29">
        <f>V280/M280</f>
        <v>4875000</v>
      </c>
      <c r="U280" s="28"/>
      <c r="V280" s="30">
        <f t="shared" si="28"/>
        <v>43875000</v>
      </c>
      <c r="W280" s="30"/>
      <c r="X280" s="32">
        <f>(max(AE280,AG280,AI280,AK280,AM280,AO280,AQ280,AS280,AU280,AW280,AY280,BA280,BC280)/min(AE280,AG280,AI280,AK280,AM280,AO280,AQ280,AS280,AU280,AW280,AY280,BA280,BC280))^(1/N280)-1</f>
        <v>1.41979347</v>
      </c>
      <c r="Y280" s="33">
        <f>(max(AE280,AG280,AI280,AK280,AM280,AO280,AQ280,AS280,AU280,AW280,AY280,BA280,BC280)/min(AE280,AG280,AI280,AK280,AM280,AO280,AQ280,AS280,AU280,AW280,AY280,BA280,BC280))^(1/M280)-1</f>
        <v>0.4810445881</v>
      </c>
      <c r="Z280" s="692"/>
      <c r="AA280" s="665"/>
      <c r="AB280" s="123"/>
      <c r="AC280" s="123"/>
      <c r="AD280" s="855">
        <v>42767.0</v>
      </c>
      <c r="AE280" s="127">
        <v>875000.0</v>
      </c>
      <c r="AF280" s="920">
        <v>43477.0</v>
      </c>
      <c r="AG280" s="127">
        <v>3000000.0</v>
      </c>
      <c r="AH280" s="960"/>
      <c r="AI280" s="128"/>
      <c r="AJ280" s="855">
        <v>43873.0</v>
      </c>
      <c r="AK280" s="127">
        <v>1.0E7</v>
      </c>
      <c r="AL280" s="855">
        <v>43873.0</v>
      </c>
      <c r="AM280" s="127">
        <v>3.0E7</v>
      </c>
      <c r="AN280" s="124"/>
      <c r="AO280" s="125"/>
      <c r="AP280" s="124"/>
      <c r="AQ280" s="125"/>
      <c r="AR280" s="124"/>
      <c r="AS280" s="124"/>
      <c r="AT280" s="124"/>
      <c r="AU280" s="137"/>
      <c r="AV280" s="124"/>
      <c r="AW280" s="38"/>
      <c r="AX280" s="124"/>
      <c r="AY280" s="38"/>
      <c r="AZ280" s="124"/>
      <c r="BA280" s="137"/>
      <c r="BB280" s="124"/>
      <c r="BC280" s="137"/>
      <c r="BD280" s="124"/>
      <c r="BE280" s="125"/>
      <c r="BF280" s="123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</row>
    <row r="281" ht="15.75" customHeight="1">
      <c r="A281" s="47" t="s">
        <v>1522</v>
      </c>
      <c r="C281" s="48" t="s">
        <v>914</v>
      </c>
      <c r="D281" s="351"/>
      <c r="E281" s="49" t="s">
        <v>1523</v>
      </c>
      <c r="F281" s="352" t="s">
        <v>1524</v>
      </c>
      <c r="G281" s="353"/>
      <c r="H281" s="53" t="s">
        <v>1525</v>
      </c>
      <c r="I281" s="54" t="s">
        <v>218</v>
      </c>
      <c r="J281" s="55"/>
      <c r="K281" s="55"/>
      <c r="L281" s="961"/>
      <c r="M281" s="55"/>
      <c r="N281" s="55"/>
      <c r="O281" s="27" t="str">
        <f t="shared" si="3"/>
        <v>#N/A</v>
      </c>
      <c r="P281" s="55"/>
      <c r="Q281" s="55"/>
      <c r="R281" s="55"/>
      <c r="S281" s="55"/>
      <c r="T281" s="55"/>
      <c r="U281" s="55"/>
      <c r="V281" s="30">
        <f t="shared" si="28"/>
        <v>43800000</v>
      </c>
      <c r="W281" s="30"/>
      <c r="X281" s="58"/>
      <c r="Y281" s="58"/>
      <c r="Z281" s="692"/>
      <c r="AA281" s="665"/>
      <c r="AB281" s="55"/>
      <c r="AC281" s="55"/>
      <c r="AD281" s="355"/>
      <c r="AE281" s="55"/>
      <c r="AF281" s="355"/>
      <c r="AG281" s="55"/>
      <c r="AH281" s="55"/>
      <c r="AI281" s="55"/>
      <c r="AJ281" s="62">
        <v>44653.0</v>
      </c>
      <c r="AK281" s="55"/>
      <c r="AL281" s="62">
        <v>44930.0</v>
      </c>
      <c r="AM281" s="76">
        <v>4.38E7</v>
      </c>
      <c r="AN281" s="55"/>
      <c r="AO281" s="55"/>
      <c r="AP281" s="356"/>
      <c r="AQ281" s="356"/>
      <c r="AR281" s="55"/>
      <c r="AS281" s="55"/>
      <c r="AT281" s="55"/>
      <c r="AU281" s="722"/>
      <c r="AV281" s="55"/>
      <c r="AW281" s="38"/>
      <c r="AX281" s="55"/>
      <c r="AY281" s="38"/>
      <c r="AZ281" s="55"/>
      <c r="BA281" s="722"/>
      <c r="BB281" s="55"/>
      <c r="BC281" s="722"/>
      <c r="BD281" s="55"/>
      <c r="BE281" s="38"/>
      <c r="BF281" s="55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</row>
    <row r="282" ht="15.75" customHeight="1">
      <c r="A282" s="21" t="s">
        <v>1526</v>
      </c>
      <c r="B282" s="68"/>
      <c r="C282" s="69" t="s">
        <v>513</v>
      </c>
      <c r="D282" s="200" t="s">
        <v>1527</v>
      </c>
      <c r="E282" s="200" t="s">
        <v>1528</v>
      </c>
      <c r="F282" s="154" t="s">
        <v>1529</v>
      </c>
      <c r="G282" s="71"/>
      <c r="H282" s="71" t="s">
        <v>1098</v>
      </c>
      <c r="I282" s="26" t="s">
        <v>65</v>
      </c>
      <c r="J282" s="72"/>
      <c r="K282" s="26">
        <v>3.0</v>
      </c>
      <c r="L282" s="26">
        <v>2012.0</v>
      </c>
      <c r="M282" s="25"/>
      <c r="N282" s="26"/>
      <c r="O282" s="27" t="str">
        <f t="shared" si="3"/>
        <v>#N/A</v>
      </c>
      <c r="P282" s="28" t="str">
        <f t="shared" ref="P282:P286" si="219">RANK(T282,$T$2:$T$333)</f>
        <v>#N/A</v>
      </c>
      <c r="Q282" s="28">
        <f t="shared" ref="Q282:Q286" si="220">rank(V282,$V$2:$V$344)</f>
        <v>280</v>
      </c>
      <c r="R282" s="28"/>
      <c r="S282" s="28"/>
      <c r="T282" s="28"/>
      <c r="U282" s="28"/>
      <c r="V282" s="30">
        <f t="shared" si="28"/>
        <v>43250000</v>
      </c>
      <c r="W282" s="30"/>
      <c r="X282" s="73"/>
      <c r="Y282" s="73"/>
      <c r="Z282" s="692"/>
      <c r="AA282" s="665"/>
      <c r="AB282" s="74"/>
      <c r="AC282" s="74"/>
      <c r="AD282" s="79"/>
      <c r="AE282" s="84"/>
      <c r="AF282" s="175" t="str">
        <f>HYPERLINK("https://www.crunchbase.com/funding_round/analyticsmd-seed--bdc2259b","Oct 1, 2015")</f>
        <v>Oct 1, 2015</v>
      </c>
      <c r="AG282" s="76">
        <v>250000.0</v>
      </c>
      <c r="AH282" s="74"/>
      <c r="AI282" s="78"/>
      <c r="AJ282" s="181" t="str">
        <f>HYPERLINK("https://www.crunchbase.com/funding_round/analyticsmd-series-a--f2f28dc8","Nov 16, 2016")</f>
        <v>Nov 16, 2016</v>
      </c>
      <c r="AK282" s="76">
        <v>1.3E7</v>
      </c>
      <c r="AL282" s="181" t="str">
        <f>HYPERLINK("https://www.crunchbase.com/funding_round/analyticsmd-series-b--993f00fc","Sep 11, 2018")</f>
        <v>Sep 11, 2018</v>
      </c>
      <c r="AM282" s="76">
        <v>3.0E7</v>
      </c>
      <c r="AN282" s="79"/>
      <c r="AO282" s="84"/>
      <c r="AP282" s="79"/>
      <c r="AQ282" s="84"/>
      <c r="AR282" s="79"/>
      <c r="AS282" s="79"/>
      <c r="AT282" s="79"/>
      <c r="AU282" s="80"/>
      <c r="AV282" s="79"/>
      <c r="AW282" s="38"/>
      <c r="AX282" s="79"/>
      <c r="AY282" s="38"/>
      <c r="AZ282" s="79"/>
      <c r="BA282" s="80"/>
      <c r="BB282" s="79"/>
      <c r="BC282" s="80"/>
      <c r="BD282" s="79"/>
      <c r="BE282" s="84"/>
      <c r="BF282" s="74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</row>
    <row r="283" ht="15.75" customHeight="1">
      <c r="A283" s="442" t="s">
        <v>1530</v>
      </c>
      <c r="B283" s="68" t="s">
        <v>1531</v>
      </c>
      <c r="C283" s="69" t="s">
        <v>1186</v>
      </c>
      <c r="D283" s="231" t="s">
        <v>1532</v>
      </c>
      <c r="E283" s="236" t="s">
        <v>1533</v>
      </c>
      <c r="F283" s="757" t="s">
        <v>1534</v>
      </c>
      <c r="G283" s="186"/>
      <c r="H283" s="186"/>
      <c r="I283" s="74"/>
      <c r="J283" s="155"/>
      <c r="K283" s="74"/>
      <c r="L283" s="79"/>
      <c r="M283" s="169">
        <f t="shared" ref="M283:M285" si="221">year(now()) -L283</f>
        <v>2025</v>
      </c>
      <c r="N283" s="26">
        <f t="shared" ref="N283:N285" si="222">counta(AE283,AG283,AI283,AK283,AM283,AO283,AQ283,AS283,AU283,AW283,AY283,BA283,BC283)</f>
        <v>3</v>
      </c>
      <c r="O283" s="27" t="str">
        <f t="shared" si="3"/>
        <v>#N/A</v>
      </c>
      <c r="P283" s="28">
        <f t="shared" si="219"/>
        <v>218</v>
      </c>
      <c r="Q283" s="28">
        <f t="shared" si="220"/>
        <v>281</v>
      </c>
      <c r="R283" s="28"/>
      <c r="S283" s="28"/>
      <c r="T283" s="28">
        <f t="shared" ref="T283:T285" si="223">V283/M283</f>
        <v>21283.95062</v>
      </c>
      <c r="U283" s="28"/>
      <c r="V283" s="30">
        <f t="shared" si="28"/>
        <v>43100000</v>
      </c>
      <c r="W283" s="30"/>
      <c r="X283" s="32">
        <f t="shared" ref="X283:X285" si="224">(max(AE283,AG283,AI283,AK283,AM283,AO283,AQ283,AS283,AU283,AW283,AY283,BA283,BC283)/min(AE283,AG283,AI283,AK283,AM283,AO283,AQ283,AS283,AU283,AW283,AY283,BA283,BC283))^(1/N283)-1</f>
        <v>0.5107780535</v>
      </c>
      <c r="Y283" s="33">
        <f t="shared" ref="Y283:Y285" si="225">(max(AE283,AG283,AI283,AK283,AM283,AO283,AQ283,AS283,AU283,AW283,AY283,BA283,BC283)/min(AE283,AG283,AI283,AK283,AM283,AO283,AQ283,AS283,AU283,AW283,AY283,BA283,BC283))^(1/M283)-1</f>
        <v>0.0006114828577</v>
      </c>
      <c r="Z283" s="692"/>
      <c r="AA283" s="665"/>
      <c r="AB283" s="74"/>
      <c r="AC283" s="74"/>
      <c r="AD283" s="44"/>
      <c r="AE283" s="46"/>
      <c r="AF283" s="39"/>
      <c r="AG283" s="46"/>
      <c r="AH283" s="36"/>
      <c r="AI283" s="159"/>
      <c r="AJ283" s="228" t="str">
        <f>HYPERLINK("https://www.crunchbase.com/funding_round/euclid-series-a--e3d41231"," 11/3/2011")</f>
        <v> 11/3/2011</v>
      </c>
      <c r="AK283" s="38">
        <v>5800000.0</v>
      </c>
      <c r="AL283" s="43" t="str">
        <f>HYPERLINK("https://www.crunchbase.com/funding_round/euclid-series-b--13d9cbdb"," Feb 21, 2013        ")
</f>
        <v> Feb 21, 2013        </v>
      </c>
      <c r="AM283" s="38">
        <v>1.73E7</v>
      </c>
      <c r="AN283" s="43" t="str">
        <f>HYPERLINK("https://www.crunchbase.com/funding_round/euclid-series-c--7f3e1619"," Jan 14, 2016        
")</f>
        <v> Jan 14, 2016        
</v>
      </c>
      <c r="AO283" s="38">
        <v>2.0E7</v>
      </c>
      <c r="AP283" s="44"/>
      <c r="AQ283" s="46"/>
      <c r="AR283" s="44"/>
      <c r="AS283" s="44"/>
      <c r="AT283" s="44"/>
      <c r="AU283" s="45"/>
      <c r="AV283" s="44"/>
      <c r="AW283" s="38"/>
      <c r="AX283" s="44"/>
      <c r="AY283" s="38"/>
      <c r="AZ283" s="44"/>
      <c r="BA283" s="45"/>
      <c r="BB283" s="44"/>
      <c r="BC283" s="45"/>
      <c r="BD283" s="44"/>
      <c r="BE283" s="46"/>
      <c r="BF283" s="3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</row>
    <row r="284" ht="15.75" customHeight="1">
      <c r="A284" s="21" t="s">
        <v>1535</v>
      </c>
      <c r="B284" s="17" t="s">
        <v>1536</v>
      </c>
      <c r="C284" s="17" t="s">
        <v>123</v>
      </c>
      <c r="D284" s="192" t="s">
        <v>1537</v>
      </c>
      <c r="E284" s="192" t="s">
        <v>1538</v>
      </c>
      <c r="F284" s="118" t="s">
        <v>1539</v>
      </c>
      <c r="G284" s="54" t="s">
        <v>1540</v>
      </c>
      <c r="H284" s="22" t="s">
        <v>1541</v>
      </c>
      <c r="I284" s="23" t="s">
        <v>65</v>
      </c>
      <c r="J284" s="24" t="s">
        <v>1542</v>
      </c>
      <c r="K284" s="23">
        <v>2.0</v>
      </c>
      <c r="L284" s="23">
        <v>2018.0</v>
      </c>
      <c r="M284" s="25">
        <f t="shared" si="221"/>
        <v>7</v>
      </c>
      <c r="N284" s="26">
        <f t="shared" si="222"/>
        <v>3</v>
      </c>
      <c r="O284" s="27" t="str">
        <f t="shared" si="3"/>
        <v>#N/A</v>
      </c>
      <c r="P284" s="28">
        <f t="shared" si="219"/>
        <v>152</v>
      </c>
      <c r="Q284" s="28">
        <f t="shared" si="220"/>
        <v>282</v>
      </c>
      <c r="R284" s="28"/>
      <c r="S284" s="28"/>
      <c r="T284" s="29">
        <f t="shared" si="223"/>
        <v>6142857.143</v>
      </c>
      <c r="U284" s="28"/>
      <c r="V284" s="30">
        <f t="shared" si="28"/>
        <v>43000000</v>
      </c>
      <c r="W284" s="30"/>
      <c r="X284" s="32">
        <f t="shared" si="224"/>
        <v>1.15443469</v>
      </c>
      <c r="Y284" s="33">
        <f t="shared" si="225"/>
        <v>0.3894954944</v>
      </c>
      <c r="Z284" s="692"/>
      <c r="AA284" s="665"/>
      <c r="AB284" s="36"/>
      <c r="AC284" s="36"/>
      <c r="AD284" s="44"/>
      <c r="AE284" s="46"/>
      <c r="AF284" s="916">
        <v>43745.0</v>
      </c>
      <c r="AG284" s="38">
        <v>3000000.0</v>
      </c>
      <c r="AH284" s="36"/>
      <c r="AI284" s="159"/>
      <c r="AJ284" s="917">
        <v>43962.0</v>
      </c>
      <c r="AK284" s="38">
        <v>1.0E7</v>
      </c>
      <c r="AL284" s="43" t="str">
        <f>HYPERLINK("https://www.crunchbase.com/funding_round/brickschain-series-b--0baa9a96","Jun 7, 2021")</f>
        <v>Jun 7, 2021</v>
      </c>
      <c r="AM284" s="38">
        <v>3.0E7</v>
      </c>
      <c r="AN284" s="44"/>
      <c r="AO284" s="46"/>
      <c r="AP284" s="44"/>
      <c r="AQ284" s="46"/>
      <c r="AR284" s="44"/>
      <c r="AS284" s="44"/>
      <c r="AT284" s="44"/>
      <c r="AU284" s="45"/>
      <c r="AV284" s="44"/>
      <c r="AW284" s="38"/>
      <c r="AX284" s="44"/>
      <c r="AY284" s="38"/>
      <c r="AZ284" s="44"/>
      <c r="BA284" s="45"/>
      <c r="BB284" s="44"/>
      <c r="BC284" s="45"/>
      <c r="BD284" s="44"/>
      <c r="BE284" s="46"/>
      <c r="BF284" s="36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</row>
    <row r="285" ht="15.75" customHeight="1">
      <c r="A285" s="892" t="s">
        <v>1543</v>
      </c>
      <c r="B285" s="68"/>
      <c r="C285" s="69" t="s">
        <v>59</v>
      </c>
      <c r="D285" s="337"/>
      <c r="E285" s="192" t="s">
        <v>1544</v>
      </c>
      <c r="F285" s="118" t="s">
        <v>1545</v>
      </c>
      <c r="G285" s="186"/>
      <c r="H285" s="71" t="s">
        <v>1546</v>
      </c>
      <c r="I285" s="26" t="s">
        <v>1547</v>
      </c>
      <c r="J285" s="155"/>
      <c r="K285" s="74"/>
      <c r="L285" s="26">
        <v>2017.0</v>
      </c>
      <c r="M285" s="25">
        <f t="shared" si="221"/>
        <v>8</v>
      </c>
      <c r="N285" s="26">
        <f t="shared" si="222"/>
        <v>1</v>
      </c>
      <c r="O285" s="27" t="str">
        <f t="shared" si="3"/>
        <v>#N/A</v>
      </c>
      <c r="P285" s="28">
        <f t="shared" si="219"/>
        <v>171</v>
      </c>
      <c r="Q285" s="28">
        <f t="shared" si="220"/>
        <v>282</v>
      </c>
      <c r="R285" s="28"/>
      <c r="S285" s="28"/>
      <c r="T285" s="29">
        <f t="shared" si="223"/>
        <v>5375000</v>
      </c>
      <c r="U285" s="28"/>
      <c r="V285" s="30">
        <f t="shared" si="28"/>
        <v>43000000</v>
      </c>
      <c r="W285" s="30"/>
      <c r="X285" s="32">
        <f t="shared" si="224"/>
        <v>0</v>
      </c>
      <c r="Y285" s="33">
        <f t="shared" si="225"/>
        <v>0</v>
      </c>
      <c r="Z285" s="692"/>
      <c r="AA285" s="665"/>
      <c r="AB285" s="74"/>
      <c r="AC285" s="74"/>
      <c r="AD285" s="79"/>
      <c r="AE285" s="84"/>
      <c r="AF285" s="338"/>
      <c r="AG285" s="84"/>
      <c r="AH285" s="842" t="str">
        <f>HYPERLINK("https://www.cretech.com/news/willow-finalize-capital-raise-to-scale-deployment-of-digital-twin-software/","Oct 16, 2021")</f>
        <v>Oct 16, 2021</v>
      </c>
      <c r="AI285" s="435">
        <v>4.3E7</v>
      </c>
      <c r="AJ285" s="79"/>
      <c r="AK285" s="84"/>
      <c r="AL285" s="79"/>
      <c r="AM285" s="84"/>
      <c r="AN285" s="79"/>
      <c r="AO285" s="84"/>
      <c r="AP285" s="79"/>
      <c r="AQ285" s="84"/>
      <c r="AR285" s="79"/>
      <c r="AS285" s="79"/>
      <c r="AT285" s="79"/>
      <c r="AU285" s="80"/>
      <c r="AV285" s="79"/>
      <c r="AW285" s="38"/>
      <c r="AX285" s="79"/>
      <c r="AY285" s="38"/>
      <c r="AZ285" s="79"/>
      <c r="BA285" s="80"/>
      <c r="BB285" s="79"/>
      <c r="BC285" s="80"/>
      <c r="BD285" s="79"/>
      <c r="BE285" s="84"/>
      <c r="BF285" s="74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</row>
    <row r="286" ht="15.75" customHeight="1">
      <c r="A286" s="21" t="s">
        <v>1548</v>
      </c>
      <c r="B286" s="69"/>
      <c r="C286" s="69" t="s">
        <v>123</v>
      </c>
      <c r="D286" s="380"/>
      <c r="E286" s="796" t="s">
        <v>1549</v>
      </c>
      <c r="F286" s="154" t="s">
        <v>1550</v>
      </c>
      <c r="G286" s="71"/>
      <c r="H286" s="71" t="s">
        <v>128</v>
      </c>
      <c r="I286" s="26" t="s">
        <v>129</v>
      </c>
      <c r="J286" s="72"/>
      <c r="K286" s="26">
        <v>1.0</v>
      </c>
      <c r="L286" s="26">
        <v>2014.0</v>
      </c>
      <c r="M286" s="25"/>
      <c r="N286" s="26"/>
      <c r="O286" s="27" t="str">
        <f t="shared" si="3"/>
        <v>#N/A</v>
      </c>
      <c r="P286" s="28" t="str">
        <f t="shared" si="219"/>
        <v>#N/A</v>
      </c>
      <c r="Q286" s="28">
        <f t="shared" si="220"/>
        <v>282</v>
      </c>
      <c r="R286" s="28"/>
      <c r="S286" s="28"/>
      <c r="T286" s="28"/>
      <c r="U286" s="28"/>
      <c r="V286" s="30">
        <f t="shared" si="28"/>
        <v>43000000</v>
      </c>
      <c r="W286" s="30"/>
      <c r="X286" s="73"/>
      <c r="Y286" s="73"/>
      <c r="Z286" s="692"/>
      <c r="AA286" s="665"/>
      <c r="AB286" s="74"/>
      <c r="AC286" s="74"/>
      <c r="AD286" s="79"/>
      <c r="AE286" s="84"/>
      <c r="AF286" s="175" t="str">
        <f>HYPERLINK("https://www.crunchbase.com/funding_round/kaiyo-seed--b9b74108","Feb 2, 2018")</f>
        <v>Feb 2, 2018</v>
      </c>
      <c r="AG286" s="895">
        <v>2000000.0</v>
      </c>
      <c r="AH286" s="74"/>
      <c r="AI286" s="78"/>
      <c r="AJ286" s="426" t="str">
        <f>HYPERLINK("https://www.crunchbase.com/funding_round/kaiyo-series-a--08ff2477","May 17, 2021")</f>
        <v>May 17, 2021</v>
      </c>
      <c r="AK286" s="76">
        <v>5000000.0</v>
      </c>
      <c r="AL286" s="181" t="str">
        <f>HYPERLINK("https://www.crunchbase.com/funding_round/kaiyo-series-b--7c081798","Mar 29, 2022")</f>
        <v>Mar 29, 2022</v>
      </c>
      <c r="AM286" s="76">
        <v>3.6E7</v>
      </c>
      <c r="AN286" s="79"/>
      <c r="AO286" s="84"/>
      <c r="AP286" s="79"/>
      <c r="AQ286" s="84"/>
      <c r="AR286" s="79"/>
      <c r="AS286" s="79"/>
      <c r="AT286" s="79"/>
      <c r="AU286" s="80"/>
      <c r="AV286" s="79"/>
      <c r="AW286" s="38"/>
      <c r="AX286" s="79"/>
      <c r="AY286" s="38"/>
      <c r="AZ286" s="79"/>
      <c r="BA286" s="80"/>
      <c r="BB286" s="79"/>
      <c r="BC286" s="80"/>
      <c r="BD286" s="79"/>
      <c r="BE286" s="84"/>
      <c r="BF286" s="74"/>
      <c r="BG286" s="115"/>
      <c r="BH286" s="115"/>
      <c r="BI286" s="115"/>
      <c r="BJ286" s="115"/>
      <c r="BK286" s="115"/>
      <c r="BL286" s="115"/>
      <c r="BM286" s="115"/>
      <c r="BN286" s="115"/>
      <c r="BO286" s="115"/>
      <c r="BP286" s="115"/>
      <c r="BQ286" s="115"/>
      <c r="BR286" s="115"/>
      <c r="BS286" s="115"/>
      <c r="BT286" s="115"/>
      <c r="BU286" s="115"/>
      <c r="BV286" s="115"/>
      <c r="BW286" s="115"/>
      <c r="BX286" s="115"/>
      <c r="BY286" s="115"/>
      <c r="BZ286" s="115"/>
      <c r="CA286" s="115"/>
      <c r="CB286" s="115"/>
      <c r="CC286" s="115"/>
      <c r="CD286" s="115"/>
      <c r="CE286" s="115"/>
      <c r="CF286" s="115"/>
      <c r="CG286" s="115"/>
      <c r="CH286" s="115"/>
      <c r="CI286" s="115"/>
      <c r="CJ286" s="115"/>
      <c r="CK286" s="115"/>
      <c r="CL286" s="115"/>
      <c r="CM286" s="115"/>
      <c r="CN286" s="115"/>
      <c r="CO286" s="115"/>
      <c r="CP286" s="115"/>
    </row>
    <row r="287" ht="15.75" customHeight="1">
      <c r="A287" s="400" t="s">
        <v>1551</v>
      </c>
      <c r="B287" s="115"/>
      <c r="C287" s="116" t="s">
        <v>267</v>
      </c>
      <c r="D287" s="401" t="s">
        <v>1552</v>
      </c>
      <c r="E287" s="401" t="s">
        <v>1553</v>
      </c>
      <c r="F287" s="708" t="s">
        <v>1554</v>
      </c>
      <c r="G287" s="286"/>
      <c r="H287" s="119" t="s">
        <v>114</v>
      </c>
      <c r="I287" s="25" t="s">
        <v>115</v>
      </c>
      <c r="J287" s="287"/>
      <c r="K287" s="25">
        <v>3.0</v>
      </c>
      <c r="L287" s="25">
        <v>2021.0</v>
      </c>
      <c r="M287" s="123"/>
      <c r="N287" s="123"/>
      <c r="O287" s="27" t="str">
        <f t="shared" si="3"/>
        <v>#N/A</v>
      </c>
      <c r="P287" s="55"/>
      <c r="Q287" s="55"/>
      <c r="R287" s="55"/>
      <c r="S287" s="55"/>
      <c r="T287" s="55"/>
      <c r="U287" s="55"/>
      <c r="V287" s="30">
        <f t="shared" si="28"/>
        <v>43000000</v>
      </c>
      <c r="W287" s="30"/>
      <c r="X287" s="403"/>
      <c r="Y287" s="403"/>
      <c r="Z287" s="692"/>
      <c r="AA287" s="665"/>
      <c r="AB287" s="123"/>
      <c r="AC287" s="123"/>
      <c r="AD287" s="355"/>
      <c r="AE287" s="123"/>
      <c r="AF287" s="355"/>
      <c r="AG287" s="38"/>
      <c r="AH287" s="123"/>
      <c r="AI287" s="123"/>
      <c r="AJ287" s="404">
        <v>44902.0</v>
      </c>
      <c r="AK287" s="335">
        <v>4.3E7</v>
      </c>
      <c r="AL287" s="123"/>
      <c r="AM287" s="123"/>
      <c r="AN287" s="123"/>
      <c r="AO287" s="123"/>
      <c r="AP287" s="123"/>
      <c r="AQ287" s="123"/>
      <c r="AR287" s="123"/>
      <c r="AS287" s="123"/>
      <c r="AT287" s="123"/>
      <c r="AU287" s="137"/>
      <c r="AV287" s="123"/>
      <c r="AW287" s="38"/>
      <c r="AX287" s="123"/>
      <c r="AY287" s="38"/>
      <c r="AZ287" s="123"/>
      <c r="BA287" s="137"/>
      <c r="BB287" s="123"/>
      <c r="BC287" s="137"/>
      <c r="BD287" s="123"/>
      <c r="BE287" s="38"/>
      <c r="BF287" s="123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</row>
    <row r="288" ht="15.75" customHeight="1">
      <c r="A288" s="21" t="s">
        <v>1555</v>
      </c>
      <c r="B288" s="69"/>
      <c r="C288" s="69" t="s">
        <v>1556</v>
      </c>
      <c r="D288" s="192" t="s">
        <v>1557</v>
      </c>
      <c r="E288" s="192" t="s">
        <v>1558</v>
      </c>
      <c r="F288" s="154" t="s">
        <v>1559</v>
      </c>
      <c r="G288" s="186"/>
      <c r="H288" s="71" t="s">
        <v>129</v>
      </c>
      <c r="I288" s="26" t="s">
        <v>156</v>
      </c>
      <c r="J288" s="155"/>
      <c r="K288" s="74"/>
      <c r="L288" s="26">
        <v>2010.0</v>
      </c>
      <c r="M288" s="25">
        <f t="shared" ref="M288:M289" si="226">year(now()) -L288</f>
        <v>15</v>
      </c>
      <c r="N288" s="26">
        <f t="shared" ref="N288:N289" si="227">counta(AE288,AG288,AI288,AK288,AM288,AO288,AQ288,AS288,AU288,AW288,AY288,BA288,BC288)</f>
        <v>3</v>
      </c>
      <c r="O288" s="27" t="str">
        <f t="shared" si="3"/>
        <v>#N/A</v>
      </c>
      <c r="P288" s="28">
        <f t="shared" ref="P288:P292" si="228">RANK(T288,$T$2:$T$333)</f>
        <v>211</v>
      </c>
      <c r="Q288" s="28">
        <f t="shared" ref="Q288:Q292" si="229">rank(V288,$V$2:$V$344)</f>
        <v>286</v>
      </c>
      <c r="R288" s="28"/>
      <c r="S288" s="28"/>
      <c r="T288" s="29">
        <f t="shared" ref="T288:T289" si="230">V288/M288</f>
        <v>2840000</v>
      </c>
      <c r="U288" s="28"/>
      <c r="V288" s="30">
        <f t="shared" si="28"/>
        <v>42600000</v>
      </c>
      <c r="W288" s="30"/>
      <c r="X288" s="32">
        <f t="shared" ref="X288:X289" si="231">(max(AE288,AG288,AI288,AK288,AM288,AO288,AQ288,AS288,AU288,AW288,AY288,BA288,BC288)/min(AE288,AG288,AI288,AK288,AM288,AO288,AQ288,AS288,AU288,AW288,AY288,BA288,BC288))^(1/N288)-1</f>
        <v>1.836117985</v>
      </c>
      <c r="Y288" s="33">
        <f t="shared" ref="Y288:Y289" si="232">(max(AE288,AG288,AI288,AK288,AM288,AO288,AQ288,AS288,AU288,AW288,AY288,BA288,BC288)/min(AE288,AG288,AI288,AK288,AM288,AO288,AQ288,AS288,AU288,AW288,AY288,BA288,BC288))^(1/M288)-1</f>
        <v>0.2318132146</v>
      </c>
      <c r="Z288" s="692"/>
      <c r="AA288" s="665"/>
      <c r="AB288" s="74"/>
      <c r="AC288" s="74"/>
      <c r="AD288" s="44"/>
      <c r="AE288" s="46"/>
      <c r="AF288" s="869">
        <v>41976.0</v>
      </c>
      <c r="AG288" s="38">
        <v>1600000.0</v>
      </c>
      <c r="AH288" s="36"/>
      <c r="AI288" s="159"/>
      <c r="AJ288" s="917">
        <v>43292.0</v>
      </c>
      <c r="AK288" s="38">
        <v>4500000.0</v>
      </c>
      <c r="AL288" s="43" t="str">
        <f>HYPERLINK("https://www.crunchbase.com/funding_round/nestio-series-b--6c808673","Feb 22, 2022")</f>
        <v>Feb 22, 2022</v>
      </c>
      <c r="AM288" s="38">
        <v>3.65E7</v>
      </c>
      <c r="AN288" s="44"/>
      <c r="AO288" s="46"/>
      <c r="AP288" s="44"/>
      <c r="AQ288" s="46"/>
      <c r="AR288" s="44"/>
      <c r="AS288" s="44"/>
      <c r="AT288" s="44"/>
      <c r="AU288" s="45"/>
      <c r="AV288" s="44"/>
      <c r="AW288" s="38"/>
      <c r="AX288" s="44"/>
      <c r="AY288" s="38"/>
      <c r="AZ288" s="44"/>
      <c r="BA288" s="45"/>
      <c r="BB288" s="44"/>
      <c r="BC288" s="45"/>
      <c r="BD288" s="44"/>
      <c r="BE288" s="46"/>
      <c r="BF288" s="36"/>
      <c r="BG288" s="115"/>
      <c r="BH288" s="115"/>
      <c r="BI288" s="115"/>
      <c r="BJ288" s="115"/>
      <c r="BK288" s="115"/>
      <c r="BL288" s="115"/>
      <c r="BM288" s="115"/>
      <c r="BN288" s="115"/>
      <c r="BO288" s="115"/>
      <c r="BP288" s="115"/>
      <c r="BQ288" s="115"/>
      <c r="BR288" s="115"/>
      <c r="BS288" s="115"/>
      <c r="BT288" s="115"/>
      <c r="BU288" s="115"/>
      <c r="BV288" s="115"/>
      <c r="BW288" s="115"/>
      <c r="BX288" s="115"/>
      <c r="BY288" s="115"/>
      <c r="BZ288" s="115"/>
      <c r="CA288" s="115"/>
      <c r="CB288" s="115"/>
      <c r="CC288" s="115"/>
      <c r="CD288" s="115"/>
      <c r="CE288" s="115"/>
      <c r="CF288" s="115"/>
      <c r="CG288" s="115"/>
      <c r="CH288" s="115"/>
      <c r="CI288" s="115"/>
      <c r="CJ288" s="115"/>
      <c r="CK288" s="115"/>
      <c r="CL288" s="115"/>
      <c r="CM288" s="115"/>
      <c r="CN288" s="115"/>
      <c r="CO288" s="115"/>
      <c r="CP288" s="115"/>
    </row>
    <row r="289" ht="15.75" customHeight="1">
      <c r="A289" s="442" t="s">
        <v>1560</v>
      </c>
      <c r="B289" s="68" t="s">
        <v>1056</v>
      </c>
      <c r="C289" s="69" t="s">
        <v>123</v>
      </c>
      <c r="D289" s="184" t="s">
        <v>1561</v>
      </c>
      <c r="E289" s="184" t="s">
        <v>1562</v>
      </c>
      <c r="F289" s="185" t="s">
        <v>1563</v>
      </c>
      <c r="G289" s="186" t="s">
        <v>1564</v>
      </c>
      <c r="H289" s="186" t="s">
        <v>394</v>
      </c>
      <c r="I289" s="74" t="s">
        <v>1395</v>
      </c>
      <c r="J289" s="155" t="s">
        <v>1565</v>
      </c>
      <c r="K289" s="74">
        <v>4.0</v>
      </c>
      <c r="L289" s="26">
        <v>2017.0</v>
      </c>
      <c r="M289" s="25">
        <f t="shared" si="226"/>
        <v>8</v>
      </c>
      <c r="N289" s="26">
        <f t="shared" si="227"/>
        <v>2</v>
      </c>
      <c r="O289" s="27" t="str">
        <f t="shared" si="3"/>
        <v>#N/A</v>
      </c>
      <c r="P289" s="28">
        <f t="shared" si="228"/>
        <v>175</v>
      </c>
      <c r="Q289" s="28">
        <f t="shared" si="229"/>
        <v>287</v>
      </c>
      <c r="R289" s="28"/>
      <c r="S289" s="28"/>
      <c r="T289" s="29">
        <f t="shared" si="230"/>
        <v>5175000</v>
      </c>
      <c r="U289" s="28"/>
      <c r="V289" s="30">
        <f t="shared" si="28"/>
        <v>41400000</v>
      </c>
      <c r="W289" s="30"/>
      <c r="X289" s="32">
        <f t="shared" si="231"/>
        <v>1.338535867</v>
      </c>
      <c r="Y289" s="33">
        <f t="shared" si="232"/>
        <v>0.2366192673</v>
      </c>
      <c r="Z289" s="692"/>
      <c r="AA289" s="665"/>
      <c r="AB289" s="74"/>
      <c r="AC289" s="74"/>
      <c r="AD289" s="44"/>
      <c r="AE289" s="456"/>
      <c r="AF289" s="39"/>
      <c r="AG289" s="46"/>
      <c r="AH289" s="16"/>
      <c r="AI289" s="962"/>
      <c r="AJ289" s="43" t="str">
        <f>HYPERLINK("https://www.crunchbase.com/organization/facilio#section-funding-rounds"," 12/5/2018")</f>
        <v> 12/5/2018</v>
      </c>
      <c r="AK289" s="46">
        <v>6400000.0</v>
      </c>
      <c r="AL289" s="43" t="str">
        <f>HYPERLINK("https://venturebeat.com/2022/02/22/facilio-which-develops-ai-powered-property-management-software-nabs-35m/","Feb 22, 2022")</f>
        <v>Feb 22, 2022</v>
      </c>
      <c r="AM289" s="38">
        <v>3.5E7</v>
      </c>
      <c r="AN289" s="44"/>
      <c r="AO289" s="46"/>
      <c r="AP289" s="44"/>
      <c r="AQ289" s="46"/>
      <c r="AR289" s="44"/>
      <c r="AS289" s="44"/>
      <c r="AT289" s="44"/>
      <c r="AU289" s="45"/>
      <c r="AV289" s="44"/>
      <c r="AW289" s="38"/>
      <c r="AX289" s="44"/>
      <c r="AY289" s="38"/>
      <c r="AZ289" s="44"/>
      <c r="BA289" s="45"/>
      <c r="BB289" s="44"/>
      <c r="BC289" s="45"/>
      <c r="BD289" s="44"/>
      <c r="BE289" s="46"/>
      <c r="BF289" s="36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</row>
    <row r="290" ht="15.75" customHeight="1">
      <c r="A290" s="21" t="s">
        <v>1566</v>
      </c>
      <c r="B290" s="68"/>
      <c r="C290" s="69" t="s">
        <v>84</v>
      </c>
      <c r="D290" s="337"/>
      <c r="E290" s="138" t="s">
        <v>1567</v>
      </c>
      <c r="F290" s="173" t="s">
        <v>1568</v>
      </c>
      <c r="G290" s="71"/>
      <c r="H290" s="71" t="s">
        <v>226</v>
      </c>
      <c r="I290" s="26" t="s">
        <v>227</v>
      </c>
      <c r="J290" s="72"/>
      <c r="K290" s="26">
        <v>4.0</v>
      </c>
      <c r="L290" s="26">
        <v>2018.0</v>
      </c>
      <c r="M290" s="25"/>
      <c r="N290" s="26"/>
      <c r="O290" s="27" t="str">
        <f t="shared" si="3"/>
        <v>#N/A</v>
      </c>
      <c r="P290" s="28" t="str">
        <f t="shared" si="228"/>
        <v>#N/A</v>
      </c>
      <c r="Q290" s="28">
        <f t="shared" si="229"/>
        <v>288</v>
      </c>
      <c r="R290" s="273"/>
      <c r="S290" s="273"/>
      <c r="T290" s="273"/>
      <c r="U290" s="273"/>
      <c r="V290" s="30">
        <f t="shared" si="28"/>
        <v>41300000</v>
      </c>
      <c r="W290" s="30"/>
      <c r="X290" s="73"/>
      <c r="Y290" s="73"/>
      <c r="Z290" s="692"/>
      <c r="AA290" s="665"/>
      <c r="AB290" s="74"/>
      <c r="AC290" s="74"/>
      <c r="AD290" s="79"/>
      <c r="AE290" s="963"/>
      <c r="AF290" s="885">
        <v>43830.0</v>
      </c>
      <c r="AG290" s="76">
        <v>2300000.0</v>
      </c>
      <c r="AH290" s="74"/>
      <c r="AI290" s="78"/>
      <c r="AJ290" s="964">
        <v>44769.0</v>
      </c>
      <c r="AK290" s="76">
        <v>3.9E7</v>
      </c>
      <c r="AL290" s="965"/>
      <c r="AM290" s="84"/>
      <c r="AN290" s="79"/>
      <c r="AO290" s="84"/>
      <c r="AP290" s="79"/>
      <c r="AQ290" s="84"/>
      <c r="AR290" s="79"/>
      <c r="AS290" s="79"/>
      <c r="AT290" s="79"/>
      <c r="AU290" s="80"/>
      <c r="AV290" s="79"/>
      <c r="AW290" s="38"/>
      <c r="AX290" s="79"/>
      <c r="AY290" s="38"/>
      <c r="AZ290" s="79"/>
      <c r="BA290" s="80"/>
      <c r="BB290" s="79"/>
      <c r="BC290" s="80"/>
      <c r="BD290" s="79"/>
      <c r="BE290" s="84"/>
      <c r="BF290" s="74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</row>
    <row r="291" ht="15.75" customHeight="1">
      <c r="A291" s="442" t="s">
        <v>1569</v>
      </c>
      <c r="B291" s="68" t="s">
        <v>1156</v>
      </c>
      <c r="C291" s="68" t="s">
        <v>132</v>
      </c>
      <c r="D291" s="200" t="s">
        <v>1570</v>
      </c>
      <c r="E291" s="200" t="s">
        <v>1571</v>
      </c>
      <c r="F291" s="417" t="s">
        <v>1572</v>
      </c>
      <c r="G291" s="140" t="s">
        <v>1573</v>
      </c>
      <c r="H291" s="186" t="s">
        <v>128</v>
      </c>
      <c r="I291" s="74" t="s">
        <v>129</v>
      </c>
      <c r="J291" s="72" t="s">
        <v>550</v>
      </c>
      <c r="K291" s="26">
        <v>3.0</v>
      </c>
      <c r="L291" s="142">
        <v>2015.0</v>
      </c>
      <c r="M291" s="25">
        <f t="shared" ref="M291:M292" si="233">year(now()) -L291</f>
        <v>10</v>
      </c>
      <c r="N291" s="26">
        <f t="shared" ref="N291:N292" si="234">counta(AE291,AG291,AI291,AK291,AM291,AO291,AQ291,AS291,AU291,AW291,AY291,BA291,BC291)</f>
        <v>3</v>
      </c>
      <c r="O291" s="27" t="str">
        <f t="shared" si="3"/>
        <v>#N/A</v>
      </c>
      <c r="P291" s="28">
        <f t="shared" si="228"/>
        <v>189</v>
      </c>
      <c r="Q291" s="28">
        <f t="shared" si="229"/>
        <v>289</v>
      </c>
      <c r="R291" s="28"/>
      <c r="S291" s="28"/>
      <c r="T291" s="29">
        <f t="shared" ref="T291:T292" si="235">V291/M291</f>
        <v>4050000</v>
      </c>
      <c r="U291" s="28"/>
      <c r="V291" s="30">
        <f t="shared" si="28"/>
        <v>40500000</v>
      </c>
      <c r="W291" s="30"/>
      <c r="X291" s="32">
        <f t="shared" ref="X291:X292" si="236">(max(AE291,AG291,AI291,AK291,AM291,AO291,AQ291,AS291,AU291,AW291,AY291,BA291,BC291)/min(AE291,AG291,AI291,AK291,AM291,AO291,AQ291,AS291,AU291,AW291,AY291,BA291,BC291))^(1/N291)-1</f>
        <v>0.8420157493</v>
      </c>
      <c r="Y291" s="33">
        <f t="shared" ref="Y291:Y292" si="237">(max(AE291,AG291,AI291,AK291,AM291,AO291,AQ291,AS291,AU291,AW291,AY291,BA291,BC291)/min(AE291,AG291,AI291,AK291,AM291,AO291,AQ291,AS291,AU291,AW291,AY291,BA291,BC291))^(1/M291)-1</f>
        <v>0.201124434</v>
      </c>
      <c r="Z291" s="692"/>
      <c r="AA291" s="665"/>
      <c r="AB291" s="74"/>
      <c r="AC291" s="74"/>
      <c r="AD291" s="79"/>
      <c r="AE291" s="84"/>
      <c r="AF291" s="175" t="str">
        <f>HYPERLINK("https://www.crunchbase.com/organization/jetty-2#section-funding-rounds"," Jan 15, 2016")</f>
        <v> Jan 15, 2016</v>
      </c>
      <c r="AG291" s="84">
        <v>4000000.0</v>
      </c>
      <c r="AH291" s="77"/>
      <c r="AI291" s="78"/>
      <c r="AJ291" s="426" t="str">
        <f>HYPERLINK("https://www.crunchbase.com/funding_round/jetty-2-series-a--b198b746","Aug 8, 2017")</f>
        <v>Aug 8, 2017</v>
      </c>
      <c r="AK291" s="84">
        <v>1.15E7</v>
      </c>
      <c r="AL291" s="181" t="str">
        <f>HYPERLINK("https://www.crunchbase.com/funding_round/jetty-2-series-b--58b35f71","Feb 8, 2019")</f>
        <v>Feb 8, 2019</v>
      </c>
      <c r="AM291" s="84">
        <v>2.5E7</v>
      </c>
      <c r="AN291" s="79"/>
      <c r="AO291" s="84"/>
      <c r="AP291" s="79"/>
      <c r="AQ291" s="84"/>
      <c r="AR291" s="79"/>
      <c r="AS291" s="79"/>
      <c r="AT291" s="79"/>
      <c r="AU291" s="80"/>
      <c r="AV291" s="79"/>
      <c r="AW291" s="38"/>
      <c r="AX291" s="79"/>
      <c r="AY291" s="38"/>
      <c r="AZ291" s="79"/>
      <c r="BA291" s="80"/>
      <c r="BB291" s="79"/>
      <c r="BC291" s="80"/>
      <c r="BD291" s="79"/>
      <c r="BE291" s="84"/>
      <c r="BF291" s="74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</row>
    <row r="292" ht="15.75" customHeight="1">
      <c r="A292" s="442" t="s">
        <v>1574</v>
      </c>
      <c r="B292" s="16" t="s">
        <v>719</v>
      </c>
      <c r="C292" s="16" t="s">
        <v>384</v>
      </c>
      <c r="D292" s="184" t="s">
        <v>1575</v>
      </c>
      <c r="E292" s="184" t="s">
        <v>1576</v>
      </c>
      <c r="F292" s="185" t="s">
        <v>1577</v>
      </c>
      <c r="G292" s="317"/>
      <c r="H292" s="317" t="s">
        <v>194</v>
      </c>
      <c r="I292" s="36"/>
      <c r="J292" s="237"/>
      <c r="K292" s="36">
        <v>1.0</v>
      </c>
      <c r="L292" s="23">
        <v>2015.0</v>
      </c>
      <c r="M292" s="25">
        <f t="shared" si="233"/>
        <v>10</v>
      </c>
      <c r="N292" s="26">
        <f t="shared" si="234"/>
        <v>3</v>
      </c>
      <c r="O292" s="27" t="str">
        <f t="shared" si="3"/>
        <v>#N/A</v>
      </c>
      <c r="P292" s="28">
        <f t="shared" si="228"/>
        <v>190</v>
      </c>
      <c r="Q292" s="28">
        <f t="shared" si="229"/>
        <v>290</v>
      </c>
      <c r="R292" s="28"/>
      <c r="S292" s="28"/>
      <c r="T292" s="29">
        <f t="shared" si="235"/>
        <v>4033216.5</v>
      </c>
      <c r="U292" s="28"/>
      <c r="V292" s="30">
        <f t="shared" si="28"/>
        <v>40332165</v>
      </c>
      <c r="W292" s="30"/>
      <c r="X292" s="32">
        <f t="shared" si="236"/>
        <v>3.486652789</v>
      </c>
      <c r="Y292" s="33">
        <f t="shared" si="237"/>
        <v>0.5688330814</v>
      </c>
      <c r="Z292" s="692"/>
      <c r="AA292" s="665"/>
      <c r="AB292" s="36"/>
      <c r="AC292" s="36"/>
      <c r="AD292" s="44"/>
      <c r="AE292" s="38"/>
      <c r="AF292" s="918" t="str">
        <f>HYPERLINK("https://www.crunchbase.com/funding_round/badi-seed--58b9cd2d","Dec 1, 2015")</f>
        <v>Dec 1, 2015</v>
      </c>
      <c r="AG292" s="38">
        <v>332165.0</v>
      </c>
      <c r="AH292" s="919"/>
      <c r="AI292" s="159"/>
      <c r="AJ292" s="43" t="str">
        <f>HYPERLINK("https://www.crunchbase.com/funding_round/badi-series-a--0958d3172"," Feb 6, 2018")</f>
        <v> Feb 6, 2018</v>
      </c>
      <c r="AK292" s="46">
        <v>1.0E7</v>
      </c>
      <c r="AL292" s="43" t="str">
        <f>HYPERLINK("https://www.crunchbase.com/funding_round/badi-series-b--b52291c4"," Jan 10, 2019")</f>
        <v> Jan 10, 2019</v>
      </c>
      <c r="AM292" s="46">
        <v>3.0E7</v>
      </c>
      <c r="AN292" s="44"/>
      <c r="AO292" s="46"/>
      <c r="AP292" s="44"/>
      <c r="AQ292" s="46"/>
      <c r="AR292" s="44"/>
      <c r="AS292" s="44"/>
      <c r="AT292" s="44"/>
      <c r="AU292" s="45"/>
      <c r="AV292" s="44"/>
      <c r="AW292" s="38"/>
      <c r="AX292" s="44"/>
      <c r="AY292" s="38"/>
      <c r="AZ292" s="44"/>
      <c r="BA292" s="45"/>
      <c r="BB292" s="44"/>
      <c r="BC292" s="45"/>
      <c r="BD292" s="44"/>
      <c r="BE292" s="46"/>
      <c r="BF292" s="3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</row>
    <row r="293" ht="15.75" customHeight="1">
      <c r="A293" s="966" t="s">
        <v>1578</v>
      </c>
      <c r="C293" s="48" t="s">
        <v>190</v>
      </c>
      <c r="D293" s="49" t="s">
        <v>1579</v>
      </c>
      <c r="E293" s="49" t="s">
        <v>1580</v>
      </c>
      <c r="F293" s="749" t="s">
        <v>1581</v>
      </c>
      <c r="G293" s="353"/>
      <c r="H293" s="53" t="s">
        <v>1472</v>
      </c>
      <c r="I293" s="54" t="s">
        <v>639</v>
      </c>
      <c r="J293" s="55"/>
      <c r="K293" s="54">
        <v>3.0</v>
      </c>
      <c r="L293" s="56">
        <v>2016.0</v>
      </c>
      <c r="M293" s="55"/>
      <c r="N293" s="55"/>
      <c r="O293" s="27" t="str">
        <f t="shared" si="3"/>
        <v>#N/A</v>
      </c>
      <c r="P293" s="55"/>
      <c r="Q293" s="55"/>
      <c r="R293" s="55"/>
      <c r="S293" s="55"/>
      <c r="T293" s="55"/>
      <c r="U293" s="55"/>
      <c r="V293" s="30">
        <f t="shared" si="28"/>
        <v>40200000</v>
      </c>
      <c r="W293" s="30"/>
      <c r="X293" s="58"/>
      <c r="Y293" s="58"/>
      <c r="Z293" s="692"/>
      <c r="AA293" s="665"/>
      <c r="AB293" s="55"/>
      <c r="AC293" s="55"/>
      <c r="AD293" s="355"/>
      <c r="AE293" s="38"/>
      <c r="AF293" s="62">
        <v>43504.0</v>
      </c>
      <c r="AG293" s="38">
        <v>3000000.0</v>
      </c>
      <c r="AH293" s="55"/>
      <c r="AI293" s="38"/>
      <c r="AJ293" s="62">
        <v>44614.0</v>
      </c>
      <c r="AK293" s="38">
        <v>1.2E7</v>
      </c>
      <c r="AL293" s="62">
        <v>45005.0</v>
      </c>
      <c r="AM293" s="38">
        <v>2.52E7</v>
      </c>
      <c r="AN293" s="55"/>
      <c r="AO293" s="38"/>
      <c r="AP293" s="356"/>
      <c r="AQ293" s="38"/>
      <c r="AR293" s="55"/>
      <c r="AS293" s="38"/>
      <c r="AT293" s="55"/>
      <c r="AU293" s="38"/>
      <c r="AV293" s="55"/>
      <c r="AW293" s="38"/>
      <c r="AX293" s="55"/>
      <c r="AY293" s="38"/>
      <c r="AZ293" s="55"/>
      <c r="BA293" s="38"/>
      <c r="BB293" s="55"/>
      <c r="BC293" s="38"/>
      <c r="BD293" s="55"/>
      <c r="BE293" s="38"/>
      <c r="BF293" s="55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</row>
    <row r="294" ht="15.75" customHeight="1">
      <c r="A294" s="866" t="s">
        <v>1582</v>
      </c>
      <c r="B294" s="16"/>
      <c r="C294" s="17" t="s">
        <v>123</v>
      </c>
      <c r="D294" s="236" t="s">
        <v>1583</v>
      </c>
      <c r="E294" s="18" t="s">
        <v>1584</v>
      </c>
      <c r="F294" s="20" t="s">
        <v>1585</v>
      </c>
      <c r="G294" s="810"/>
      <c r="H294" s="317" t="s">
        <v>64</v>
      </c>
      <c r="I294" s="36" t="s">
        <v>65</v>
      </c>
      <c r="J294" s="527"/>
      <c r="K294" s="23"/>
      <c r="L294" s="712">
        <v>2014.0</v>
      </c>
      <c r="M294" s="25">
        <f t="shared" ref="M294:M297" si="238">year(now()) -L294</f>
        <v>11</v>
      </c>
      <c r="N294" s="26">
        <f t="shared" ref="N294:N297" si="239">counta(AE294,AG294,AI294,AK294,AM294,AO294,AQ294,AS294,AU294,AW294,AY294,BA294,BC294)</f>
        <v>2</v>
      </c>
      <c r="O294" s="27" t="str">
        <f t="shared" si="3"/>
        <v>#N/A</v>
      </c>
      <c r="P294" s="28">
        <f t="shared" ref="P294:P300" si="240">RANK(T294,$T$2:$T$333)</f>
        <v>199</v>
      </c>
      <c r="Q294" s="28">
        <f t="shared" ref="Q294:Q300" si="241">rank(V294,$V$2:$V$344)</f>
        <v>292</v>
      </c>
      <c r="R294" s="28"/>
      <c r="S294" s="28"/>
      <c r="T294" s="29">
        <f t="shared" ref="T294:T297" si="242">V294/M294</f>
        <v>3636363.636</v>
      </c>
      <c r="U294" s="28"/>
      <c r="V294" s="30">
        <f t="shared" si="28"/>
        <v>40000000</v>
      </c>
      <c r="W294" s="30"/>
      <c r="X294" s="32">
        <f t="shared" ref="X294:X297" si="243">(max(AE294,AG294,AI294,AK294,AM294,AO294,AQ294,AS294,AU294,AW294,AY294,BA294,BC294)/min(AE294,AG294,AI294,AK294,AM294,AO294,AQ294,AS294,AU294,AW294,AY294,BA294,BC294))^(1/N294)-1</f>
        <v>0.4010578014</v>
      </c>
      <c r="Y294" s="33">
        <f t="shared" ref="Y294:Y297" si="244">(max(AE294,AG294,AI294,AK294,AM294,AO294,AQ294,AS294,AU294,AW294,AY294,BA294,BC294)/min(AE294,AG294,AI294,AK294,AM294,AO294,AQ294,AS294,AU294,AW294,AY294,BA294,BC294))^(1/M294)-1</f>
        <v>0.0632328181</v>
      </c>
      <c r="Z294" s="692"/>
      <c r="AA294" s="665"/>
      <c r="AB294" s="36"/>
      <c r="AC294" s="36"/>
      <c r="AD294" s="37"/>
      <c r="AE294" s="38"/>
      <c r="AF294" s="39"/>
      <c r="AG294" s="38"/>
      <c r="AH294" s="36"/>
      <c r="AI294" s="46"/>
      <c r="AJ294" s="227">
        <v>42877.0</v>
      </c>
      <c r="AK294" s="38">
        <v>1.35E7</v>
      </c>
      <c r="AL294" s="227">
        <v>43509.0</v>
      </c>
      <c r="AM294" s="38">
        <v>2.65E7</v>
      </c>
      <c r="AN294" s="44"/>
      <c r="AO294" s="46"/>
      <c r="AP294" s="967"/>
      <c r="AQ294" s="968"/>
      <c r="AR294" s="967"/>
      <c r="AS294" s="38"/>
      <c r="AT294" s="44"/>
      <c r="AU294" s="45"/>
      <c r="AV294" s="44"/>
      <c r="AW294" s="38"/>
      <c r="AX294" s="44"/>
      <c r="AY294" s="38"/>
      <c r="AZ294" s="44"/>
      <c r="BA294" s="45"/>
      <c r="BB294" s="44"/>
      <c r="BC294" s="45"/>
      <c r="BD294" s="44"/>
      <c r="BE294" s="46"/>
      <c r="BF294" s="36"/>
      <c r="BG294" s="115"/>
      <c r="BH294" s="115"/>
      <c r="BI294" s="115"/>
      <c r="BJ294" s="115"/>
      <c r="BK294" s="115"/>
      <c r="BL294" s="115"/>
      <c r="BM294" s="115"/>
      <c r="BN294" s="115"/>
      <c r="BO294" s="115"/>
      <c r="BP294" s="115"/>
      <c r="BQ294" s="115"/>
      <c r="BR294" s="115"/>
      <c r="BS294" s="115"/>
      <c r="BT294" s="115"/>
      <c r="BU294" s="115"/>
      <c r="BV294" s="115"/>
      <c r="BW294" s="115"/>
      <c r="BX294" s="115"/>
      <c r="BY294" s="115"/>
      <c r="BZ294" s="115"/>
      <c r="CA294" s="115"/>
      <c r="CB294" s="115"/>
      <c r="CC294" s="115"/>
      <c r="CD294" s="115"/>
      <c r="CE294" s="115"/>
      <c r="CF294" s="115"/>
      <c r="CG294" s="115"/>
      <c r="CH294" s="115"/>
      <c r="CI294" s="115"/>
      <c r="CJ294" s="115"/>
      <c r="CK294" s="115"/>
      <c r="CL294" s="115"/>
      <c r="CM294" s="115"/>
      <c r="CN294" s="115"/>
      <c r="CO294" s="115"/>
      <c r="CP294" s="115"/>
    </row>
    <row r="295" ht="15.75" customHeight="1">
      <c r="A295" s="21" t="s">
        <v>1586</v>
      </c>
      <c r="B295" s="68"/>
      <c r="C295" s="69" t="s">
        <v>59</v>
      </c>
      <c r="D295" s="184"/>
      <c r="E295" s="138" t="s">
        <v>1587</v>
      </c>
      <c r="F295" s="173" t="s">
        <v>1588</v>
      </c>
      <c r="G295" s="71"/>
      <c r="H295" s="71" t="s">
        <v>128</v>
      </c>
      <c r="I295" s="26" t="s">
        <v>129</v>
      </c>
      <c r="J295" s="718"/>
      <c r="K295" s="26">
        <v>2.0</v>
      </c>
      <c r="L295" s="26">
        <v>2020.0</v>
      </c>
      <c r="M295" s="25">
        <f t="shared" si="238"/>
        <v>5</v>
      </c>
      <c r="N295" s="26">
        <f t="shared" si="239"/>
        <v>2</v>
      </c>
      <c r="O295" s="27" t="str">
        <f t="shared" si="3"/>
        <v>#N/A</v>
      </c>
      <c r="P295" s="28">
        <f t="shared" si="240"/>
        <v>127</v>
      </c>
      <c r="Q295" s="28">
        <f t="shared" si="241"/>
        <v>292</v>
      </c>
      <c r="R295" s="28"/>
      <c r="S295" s="28"/>
      <c r="T295" s="29">
        <f t="shared" si="242"/>
        <v>8000000</v>
      </c>
      <c r="U295" s="28"/>
      <c r="V295" s="30">
        <f t="shared" si="28"/>
        <v>40000000</v>
      </c>
      <c r="W295" s="30"/>
      <c r="X295" s="32">
        <f t="shared" si="243"/>
        <v>0.2909944487</v>
      </c>
      <c r="Y295" s="33">
        <f t="shared" si="244"/>
        <v>0.1075663432</v>
      </c>
      <c r="Z295" s="692"/>
      <c r="AA295" s="665"/>
      <c r="AB295" s="74"/>
      <c r="AC295" s="74"/>
      <c r="AD295" s="79"/>
      <c r="AE295" s="84"/>
      <c r="AF295" s="175" t="str">
        <f>HYPERLINK("https://www.crunchbase.com/funding_round/keyway-seed--2c0e1b6b","Nov 12, 2021")</f>
        <v>Nov 12, 2021</v>
      </c>
      <c r="AG295" s="76">
        <v>1.5E7</v>
      </c>
      <c r="AH295" s="434"/>
      <c r="AI295" s="435"/>
      <c r="AJ295" s="391">
        <v>44733.0</v>
      </c>
      <c r="AK295" s="76">
        <f>25000000</f>
        <v>25000000</v>
      </c>
      <c r="AL295" s="279"/>
      <c r="AM295" s="76"/>
      <c r="AN295" s="279"/>
      <c r="AO295" s="76"/>
      <c r="AP295" s="79"/>
      <c r="AQ295" s="84"/>
      <c r="AR295" s="79"/>
      <c r="AS295" s="79"/>
      <c r="AT295" s="79"/>
      <c r="AU295" s="80"/>
      <c r="AV295" s="79"/>
      <c r="AW295" s="38"/>
      <c r="AX295" s="79"/>
      <c r="AY295" s="38"/>
      <c r="AZ295" s="79"/>
      <c r="BA295" s="80"/>
      <c r="BB295" s="79"/>
      <c r="BC295" s="80"/>
      <c r="BD295" s="79"/>
      <c r="BE295" s="84"/>
      <c r="BF295" s="74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</row>
    <row r="296" ht="15.75" customHeight="1">
      <c r="A296" s="860" t="s">
        <v>1589</v>
      </c>
      <c r="B296" s="116"/>
      <c r="C296" s="116" t="s">
        <v>123</v>
      </c>
      <c r="D296" s="192" t="s">
        <v>1590</v>
      </c>
      <c r="E296" s="192" t="s">
        <v>1591</v>
      </c>
      <c r="F296" s="118" t="s">
        <v>1592</v>
      </c>
      <c r="G296" s="119"/>
      <c r="H296" s="119" t="s">
        <v>394</v>
      </c>
      <c r="I296" s="25" t="s">
        <v>1395</v>
      </c>
      <c r="J296" s="120"/>
      <c r="K296" s="25"/>
      <c r="L296" s="25">
        <v>2011.0</v>
      </c>
      <c r="M296" s="25">
        <f t="shared" si="238"/>
        <v>14</v>
      </c>
      <c r="N296" s="26">
        <f t="shared" si="239"/>
        <v>1</v>
      </c>
      <c r="O296" s="27" t="str">
        <f t="shared" si="3"/>
        <v>#N/A</v>
      </c>
      <c r="P296" s="28">
        <f t="shared" si="240"/>
        <v>210</v>
      </c>
      <c r="Q296" s="28">
        <f t="shared" si="241"/>
        <v>292</v>
      </c>
      <c r="R296" s="28"/>
      <c r="S296" s="28"/>
      <c r="T296" s="29">
        <f t="shared" si="242"/>
        <v>2857142.857</v>
      </c>
      <c r="U296" s="28"/>
      <c r="V296" s="30">
        <f t="shared" si="28"/>
        <v>40000000</v>
      </c>
      <c r="W296" s="30"/>
      <c r="X296" s="32">
        <f t="shared" si="243"/>
        <v>0</v>
      </c>
      <c r="Y296" s="33">
        <f t="shared" si="244"/>
        <v>0</v>
      </c>
      <c r="Z296" s="692"/>
      <c r="AA296" s="665"/>
      <c r="AB296" s="123"/>
      <c r="AC296" s="123"/>
      <c r="AD296" s="164"/>
      <c r="AE296" s="165"/>
      <c r="AF296" s="320">
        <v>43774.0</v>
      </c>
      <c r="AG296" s="127">
        <v>4.0E7</v>
      </c>
      <c r="AH296" s="123"/>
      <c r="AI296" s="128"/>
      <c r="AJ296" s="169"/>
      <c r="AK296" s="168"/>
      <c r="AL296" s="169"/>
      <c r="AM296" s="127"/>
      <c r="AN296" s="124"/>
      <c r="AO296" s="125"/>
      <c r="AP296" s="124"/>
      <c r="AQ296" s="125"/>
      <c r="AR296" s="169"/>
      <c r="AS296" s="169"/>
      <c r="AT296" s="169"/>
      <c r="AU296" s="170"/>
      <c r="AV296" s="169"/>
      <c r="AW296" s="38"/>
      <c r="AX296" s="169"/>
      <c r="AY296" s="38"/>
      <c r="AZ296" s="169"/>
      <c r="BA296" s="170"/>
      <c r="BB296" s="169"/>
      <c r="BC296" s="170"/>
      <c r="BD296" s="169"/>
      <c r="BE296" s="125"/>
      <c r="BF296" s="172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</row>
    <row r="297" ht="15.75" customHeight="1">
      <c r="A297" s="860" t="s">
        <v>1593</v>
      </c>
      <c r="B297" s="116"/>
      <c r="C297" s="116" t="s">
        <v>207</v>
      </c>
      <c r="D297" s="192" t="s">
        <v>1594</v>
      </c>
      <c r="E297" s="192" t="s">
        <v>1595</v>
      </c>
      <c r="F297" s="756" t="s">
        <v>1596</v>
      </c>
      <c r="G297" s="119"/>
      <c r="H297" s="119" t="s">
        <v>309</v>
      </c>
      <c r="I297" s="26" t="s">
        <v>1597</v>
      </c>
      <c r="J297" s="120"/>
      <c r="K297" s="25"/>
      <c r="L297" s="25">
        <v>2015.0</v>
      </c>
      <c r="M297" s="25">
        <f t="shared" si="238"/>
        <v>10</v>
      </c>
      <c r="N297" s="26">
        <f t="shared" si="239"/>
        <v>1</v>
      </c>
      <c r="O297" s="27" t="str">
        <f t="shared" si="3"/>
        <v>#N/A</v>
      </c>
      <c r="P297" s="28">
        <f t="shared" si="240"/>
        <v>191</v>
      </c>
      <c r="Q297" s="28">
        <f t="shared" si="241"/>
        <v>292</v>
      </c>
      <c r="R297" s="28"/>
      <c r="S297" s="28"/>
      <c r="T297" s="29">
        <f t="shared" si="242"/>
        <v>4000000</v>
      </c>
      <c r="U297" s="28"/>
      <c r="V297" s="30">
        <f t="shared" si="28"/>
        <v>40000000</v>
      </c>
      <c r="W297" s="30"/>
      <c r="X297" s="32">
        <f t="shared" si="243"/>
        <v>0</v>
      </c>
      <c r="Y297" s="33">
        <f t="shared" si="244"/>
        <v>0</v>
      </c>
      <c r="Z297" s="692"/>
      <c r="AA297" s="665"/>
      <c r="AB297" s="123"/>
      <c r="AC297" s="123"/>
      <c r="AD297" s="124"/>
      <c r="AE297" s="125"/>
      <c r="AF297" s="320">
        <v>42255.0</v>
      </c>
      <c r="AG297" s="127">
        <v>4.0E7</v>
      </c>
      <c r="AH297" s="123"/>
      <c r="AI297" s="128"/>
      <c r="AJ297" s="124"/>
      <c r="AK297" s="125"/>
      <c r="AL297" s="124"/>
      <c r="AM297" s="125"/>
      <c r="AN297" s="124"/>
      <c r="AO297" s="125"/>
      <c r="AP297" s="124"/>
      <c r="AQ297" s="125"/>
      <c r="AR297" s="124"/>
      <c r="AS297" s="124"/>
      <c r="AT297" s="124"/>
      <c r="AU297" s="137"/>
      <c r="AV297" s="124"/>
      <c r="AW297" s="38"/>
      <c r="AX297" s="124"/>
      <c r="AY297" s="38"/>
      <c r="AZ297" s="124"/>
      <c r="BA297" s="137"/>
      <c r="BB297" s="124"/>
      <c r="BC297" s="137"/>
      <c r="BD297" s="124"/>
      <c r="BE297" s="125"/>
      <c r="BF297" s="123"/>
      <c r="BG297" s="115"/>
      <c r="BH297" s="115"/>
      <c r="BI297" s="115"/>
      <c r="BJ297" s="115"/>
      <c r="BK297" s="115"/>
      <c r="BL297" s="115"/>
      <c r="BM297" s="115"/>
      <c r="BN297" s="115"/>
      <c r="BO297" s="115"/>
      <c r="BP297" s="115"/>
      <c r="BQ297" s="115"/>
      <c r="BR297" s="115"/>
      <c r="BS297" s="115"/>
      <c r="BT297" s="115"/>
      <c r="BU297" s="115"/>
      <c r="BV297" s="115"/>
      <c r="BW297" s="115"/>
      <c r="BX297" s="115"/>
      <c r="BY297" s="115"/>
      <c r="BZ297" s="115"/>
      <c r="CA297" s="115"/>
      <c r="CB297" s="115"/>
      <c r="CC297" s="115"/>
      <c r="CD297" s="115"/>
      <c r="CE297" s="115"/>
      <c r="CF297" s="115"/>
      <c r="CG297" s="115"/>
      <c r="CH297" s="115"/>
      <c r="CI297" s="115"/>
      <c r="CJ297" s="115"/>
      <c r="CK297" s="115"/>
      <c r="CL297" s="115"/>
      <c r="CM297" s="115"/>
      <c r="CN297" s="115"/>
      <c r="CO297" s="115"/>
      <c r="CP297" s="115"/>
    </row>
    <row r="298" ht="15.75" customHeight="1">
      <c r="A298" s="48" t="s">
        <v>1598</v>
      </c>
      <c r="B298" s="68"/>
      <c r="C298" s="69" t="s">
        <v>1599</v>
      </c>
      <c r="D298" s="48"/>
      <c r="E298" s="192" t="s">
        <v>1600</v>
      </c>
      <c r="F298" s="389" t="s">
        <v>1601</v>
      </c>
      <c r="G298" s="186"/>
      <c r="H298" s="71" t="s">
        <v>526</v>
      </c>
      <c r="I298" s="26" t="s">
        <v>65</v>
      </c>
      <c r="J298" s="155"/>
      <c r="K298" s="26">
        <v>2.0</v>
      </c>
      <c r="L298" s="26">
        <v>2018.0</v>
      </c>
      <c r="M298" s="25"/>
      <c r="N298" s="26"/>
      <c r="O298" s="27" t="str">
        <f t="shared" si="3"/>
        <v>#N/A</v>
      </c>
      <c r="P298" s="28" t="str">
        <f t="shared" si="240"/>
        <v>#N/A</v>
      </c>
      <c r="Q298" s="28">
        <f t="shared" si="241"/>
        <v>292</v>
      </c>
      <c r="R298" s="273"/>
      <c r="S298" s="273"/>
      <c r="T298" s="273"/>
      <c r="U298" s="273"/>
      <c r="V298" s="30">
        <f t="shared" si="28"/>
        <v>40000000</v>
      </c>
      <c r="W298" s="30"/>
      <c r="X298" s="73"/>
      <c r="Y298" s="73"/>
      <c r="Z298" s="692"/>
      <c r="AA298" s="665"/>
      <c r="AB298" s="74"/>
      <c r="AC298" s="74"/>
      <c r="AD298" s="44"/>
      <c r="AE298" s="46"/>
      <c r="AF298" s="39"/>
      <c r="AG298" s="38"/>
      <c r="AH298" s="36"/>
      <c r="AI298" s="159"/>
      <c r="AJ298" s="44"/>
      <c r="AK298" s="46"/>
      <c r="AL298" s="43" t="str">
        <f>HYPERLINK("https://techcrunch.com/2022/06/07/ergeon-series-b/","Jun 7, 2022")</f>
        <v>Jun 7, 2022</v>
      </c>
      <c r="AM298" s="38">
        <v>4.0E7</v>
      </c>
      <c r="AN298" s="44"/>
      <c r="AO298" s="38"/>
      <c r="AP298" s="44"/>
      <c r="AQ298" s="46"/>
      <c r="AR298" s="44"/>
      <c r="AS298" s="44"/>
      <c r="AT298" s="44"/>
      <c r="AU298" s="45"/>
      <c r="AV298" s="44"/>
      <c r="AW298" s="38"/>
      <c r="AX298" s="44"/>
      <c r="AY298" s="38"/>
      <c r="AZ298" s="44"/>
      <c r="BA298" s="45"/>
      <c r="BB298" s="44"/>
      <c r="BC298" s="45"/>
      <c r="BD298" s="44"/>
      <c r="BE298" s="46"/>
      <c r="BF298" s="36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</row>
    <row r="299" ht="15.75" customHeight="1">
      <c r="A299" s="47" t="s">
        <v>1602</v>
      </c>
      <c r="B299" s="68"/>
      <c r="C299" s="69" t="s">
        <v>132</v>
      </c>
      <c r="D299" s="192" t="s">
        <v>1603</v>
      </c>
      <c r="E299" s="192" t="s">
        <v>1604</v>
      </c>
      <c r="F299" s="118" t="s">
        <v>1605</v>
      </c>
      <c r="G299" s="186"/>
      <c r="H299" s="71" t="s">
        <v>1606</v>
      </c>
      <c r="I299" s="26" t="s">
        <v>272</v>
      </c>
      <c r="J299" s="155"/>
      <c r="K299" s="26">
        <v>2.0</v>
      </c>
      <c r="L299" s="26">
        <v>2015.0</v>
      </c>
      <c r="M299" s="25"/>
      <c r="N299" s="26"/>
      <c r="O299" s="27" t="str">
        <f t="shared" si="3"/>
        <v>#N/A</v>
      </c>
      <c r="P299" s="28" t="str">
        <f t="shared" si="240"/>
        <v>#N/A</v>
      </c>
      <c r="Q299" s="28">
        <f t="shared" si="241"/>
        <v>292</v>
      </c>
      <c r="R299" s="273"/>
      <c r="S299" s="273"/>
      <c r="T299" s="273"/>
      <c r="U299" s="273"/>
      <c r="V299" s="30">
        <f t="shared" si="28"/>
        <v>40000000</v>
      </c>
      <c r="W299" s="30"/>
      <c r="X299" s="73"/>
      <c r="Y299" s="73"/>
      <c r="Z299" s="692"/>
      <c r="AA299" s="665"/>
      <c r="AB299" s="74"/>
      <c r="AC299" s="74"/>
      <c r="AD299" s="79"/>
      <c r="AE299" s="84"/>
      <c r="AF299" s="320" t="str">
        <f>HYPERLINK("https://www.crunchbase.com/funding_round/modern-electron-seed--cff8163f","Jan 1, 2015")</f>
        <v>Jan 1, 2015</v>
      </c>
      <c r="AG299" s="76">
        <v>1.0E7</v>
      </c>
      <c r="AH299" s="74"/>
      <c r="AI299" s="78"/>
      <c r="AJ299" s="42"/>
      <c r="AK299" s="76"/>
      <c r="AL299" s="42" t="str">
        <f>HYPERLINK("https://techcrunch.com/2022/02/03/with-a-plan-to-decarbonize-home-heating-with-hydrogen-modern-electron-raises-30m/","Feb 3, 2022")</f>
        <v>Feb 3, 2022</v>
      </c>
      <c r="AM299" s="76">
        <v>3.0E7</v>
      </c>
      <c r="AN299" s="79"/>
      <c r="AO299" s="84"/>
      <c r="AP299" s="79"/>
      <c r="AQ299" s="84"/>
      <c r="AR299" s="79"/>
      <c r="AS299" s="79"/>
      <c r="AT299" s="79"/>
      <c r="AU299" s="80"/>
      <c r="AV299" s="79"/>
      <c r="AW299" s="38"/>
      <c r="AX299" s="79"/>
      <c r="AY299" s="38"/>
      <c r="AZ299" s="79"/>
      <c r="BA299" s="80"/>
      <c r="BB299" s="79"/>
      <c r="BC299" s="80"/>
      <c r="BD299" s="79"/>
      <c r="BE299" s="84"/>
      <c r="BF299" s="74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</row>
    <row r="300" ht="15.75" customHeight="1">
      <c r="A300" s="47" t="s">
        <v>1607</v>
      </c>
      <c r="B300" s="115"/>
      <c r="C300" s="116" t="s">
        <v>84</v>
      </c>
      <c r="D300" s="449"/>
      <c r="E300" s="50" t="s">
        <v>1608</v>
      </c>
      <c r="F300" s="118" t="s">
        <v>1609</v>
      </c>
      <c r="G300" s="119" t="s">
        <v>1610</v>
      </c>
      <c r="H300" s="119" t="s">
        <v>328</v>
      </c>
      <c r="I300" s="25" t="s">
        <v>329</v>
      </c>
      <c r="J300" s="120" t="s">
        <v>1611</v>
      </c>
      <c r="K300" s="25">
        <v>3.0</v>
      </c>
      <c r="L300" s="25">
        <v>2018.0</v>
      </c>
      <c r="M300" s="25"/>
      <c r="N300" s="25"/>
      <c r="O300" s="27" t="str">
        <f t="shared" si="3"/>
        <v>#N/A</v>
      </c>
      <c r="P300" s="28" t="str">
        <f t="shared" si="240"/>
        <v>#N/A</v>
      </c>
      <c r="Q300" s="28">
        <f t="shared" si="241"/>
        <v>292</v>
      </c>
      <c r="R300" s="55"/>
      <c r="S300" s="55"/>
      <c r="T300" s="55"/>
      <c r="U300" s="55"/>
      <c r="V300" s="30">
        <f t="shared" si="28"/>
        <v>40000000</v>
      </c>
      <c r="W300" s="30"/>
      <c r="X300" s="597"/>
      <c r="Y300" s="597"/>
      <c r="Z300" s="692"/>
      <c r="AA300" s="665"/>
      <c r="AB300" s="123"/>
      <c r="AC300" s="123"/>
      <c r="AD300" s="169"/>
      <c r="AE300" s="127"/>
      <c r="AF300" s="728">
        <v>44214.0</v>
      </c>
      <c r="AG300" s="127">
        <v>1.0E7</v>
      </c>
      <c r="AH300" s="25"/>
      <c r="AI300" s="759"/>
      <c r="AJ300" s="404">
        <v>44790.0</v>
      </c>
      <c r="AK300" s="127">
        <v>3.0E7</v>
      </c>
      <c r="AL300" s="55"/>
      <c r="AM300" s="125"/>
      <c r="AN300" s="124"/>
      <c r="AO300" s="125"/>
      <c r="AP300" s="124"/>
      <c r="AQ300" s="125"/>
      <c r="AR300" s="124"/>
      <c r="AS300" s="124"/>
      <c r="AT300" s="124"/>
      <c r="AU300" s="137"/>
      <c r="AV300" s="124"/>
      <c r="AW300" s="38"/>
      <c r="AX300" s="124"/>
      <c r="AY300" s="38"/>
      <c r="AZ300" s="124"/>
      <c r="BA300" s="137"/>
      <c r="BB300" s="124"/>
      <c r="BC300" s="137"/>
      <c r="BD300" s="124"/>
      <c r="BE300" s="125"/>
      <c r="BF300" s="123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</row>
    <row r="301" ht="15.75" customHeight="1">
      <c r="A301" s="47" t="s">
        <v>1612</v>
      </c>
      <c r="C301" s="48" t="s">
        <v>68</v>
      </c>
      <c r="D301" s="49" t="s">
        <v>1613</v>
      </c>
      <c r="E301" s="49" t="s">
        <v>1614</v>
      </c>
      <c r="F301" s="352" t="s">
        <v>1615</v>
      </c>
      <c r="G301" s="353"/>
      <c r="H301" s="53" t="s">
        <v>1616</v>
      </c>
      <c r="I301" s="54" t="s">
        <v>358</v>
      </c>
      <c r="J301" s="55"/>
      <c r="K301" s="54">
        <v>2.0</v>
      </c>
      <c r="L301" s="56">
        <v>2020.0</v>
      </c>
      <c r="M301" s="55"/>
      <c r="N301" s="55"/>
      <c r="O301" s="27" t="str">
        <f t="shared" si="3"/>
        <v>#N/A</v>
      </c>
      <c r="P301" s="55"/>
      <c r="Q301" s="55"/>
      <c r="R301" s="55"/>
      <c r="S301" s="55"/>
      <c r="T301" s="55"/>
      <c r="U301" s="55"/>
      <c r="V301" s="30">
        <f t="shared" si="28"/>
        <v>40000000</v>
      </c>
      <c r="W301" s="30"/>
      <c r="X301" s="58"/>
      <c r="Y301" s="58"/>
      <c r="Z301" s="692"/>
      <c r="AA301" s="665"/>
      <c r="AB301" s="55"/>
      <c r="AC301" s="55"/>
      <c r="AD301" s="453"/>
      <c r="AE301" s="55"/>
      <c r="AF301" s="62">
        <v>44197.0</v>
      </c>
      <c r="AG301" s="55"/>
      <c r="AH301" s="55"/>
      <c r="AI301" s="55"/>
      <c r="AJ301" s="62">
        <v>44943.0</v>
      </c>
      <c r="AK301" s="38">
        <v>4.0E7</v>
      </c>
      <c r="AL301" s="55"/>
      <c r="AM301" s="55"/>
      <c r="AN301" s="55"/>
      <c r="AO301" s="55"/>
      <c r="AP301" s="356"/>
      <c r="AQ301" s="356"/>
      <c r="AR301" s="55"/>
      <c r="AS301" s="55"/>
      <c r="AT301" s="55"/>
      <c r="AU301" s="722"/>
      <c r="AV301" s="55"/>
      <c r="AW301" s="38"/>
      <c r="AX301" s="55"/>
      <c r="AY301" s="38"/>
      <c r="AZ301" s="55"/>
      <c r="BA301" s="722"/>
      <c r="BB301" s="55"/>
      <c r="BC301" s="38"/>
      <c r="BD301" s="55"/>
      <c r="BE301" s="38"/>
      <c r="BF301" s="55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</row>
    <row r="302" ht="15.75" customHeight="1">
      <c r="A302" s="21" t="s">
        <v>1617</v>
      </c>
      <c r="B302" s="68"/>
      <c r="C302" s="69" t="s">
        <v>84</v>
      </c>
      <c r="D302" s="138" t="s">
        <v>1618</v>
      </c>
      <c r="E302" s="138" t="s">
        <v>1619</v>
      </c>
      <c r="F302" s="154" t="s">
        <v>1620</v>
      </c>
      <c r="G302" s="71" t="s">
        <v>1621</v>
      </c>
      <c r="H302" s="71" t="s">
        <v>128</v>
      </c>
      <c r="I302" s="26" t="s">
        <v>129</v>
      </c>
      <c r="J302" s="141" t="s">
        <v>798</v>
      </c>
      <c r="K302" s="26">
        <v>3.0</v>
      </c>
      <c r="L302" s="142">
        <v>2018.0</v>
      </c>
      <c r="M302" s="25">
        <f>year(now()) -L302</f>
        <v>7</v>
      </c>
      <c r="N302" s="26">
        <f>counta(AE302,AG302,AI302,AK302,AM302,AO302,AQ302,AS302,AU302,AW302,AY302,BA302,BC302)</f>
        <v>2</v>
      </c>
      <c r="O302" s="27" t="str">
        <f t="shared" si="3"/>
        <v>#N/A</v>
      </c>
      <c r="P302" s="28">
        <f>RANK(T302,$T$2:$T$333)</f>
        <v>163</v>
      </c>
      <c r="Q302" s="28">
        <f>rank(V302,$V$2:$V$344)</f>
        <v>300</v>
      </c>
      <c r="R302" s="28"/>
      <c r="S302" s="28"/>
      <c r="T302" s="29">
        <f>V302/M302</f>
        <v>5642857.143</v>
      </c>
      <c r="U302" s="28"/>
      <c r="V302" s="30">
        <f t="shared" si="28"/>
        <v>39500000</v>
      </c>
      <c r="W302" s="30"/>
      <c r="X302" s="32">
        <f>(max(AE302,AG302,AI302,AK302,AM302,AO302,AQ302,AS302,AU302,AW302,AY302,BA302,BC302)/min(AE302,AG302,AI302,AK302,AM302,AO302,AQ302,AS302,AU302,AW302,AY302,BA302,BC302))^(1/N302)-1</f>
        <v>1.065591118</v>
      </c>
      <c r="Y302" s="33">
        <f>(max(AE302,AG302,AI302,AK302,AM302,AO302,AQ302,AS302,AU302,AW302,AY302,BA302,BC302)/min(AE302,AG302,AI302,AK302,AM302,AO302,AQ302,AS302,AU302,AW302,AY302,BA302,BC302))^(1/M302)-1</f>
        <v>0.230304673</v>
      </c>
      <c r="Z302" s="692"/>
      <c r="AA302" s="665"/>
      <c r="AB302" s="74"/>
      <c r="AC302" s="74"/>
      <c r="AD302" s="44"/>
      <c r="AE302" s="46"/>
      <c r="AF302" s="158" t="str">
        <f>HYPERLINK("https://www.crunchbase.com/funding_round/entera-holdings-seed--a806d402","Nov 25, 2019")</f>
        <v>Nov 25, 2019</v>
      </c>
      <c r="AG302" s="38">
        <v>7500000.0</v>
      </c>
      <c r="AH302" s="36"/>
      <c r="AI302" s="159"/>
      <c r="AJ302" s="228" t="str">
        <f>HYPERLINK("https://www.crunchbase.com/funding_round/entera-holdings-series-a--af44c050","Jun 30, 2021")</f>
        <v>Jun 30, 2021</v>
      </c>
      <c r="AK302" s="38">
        <v>3.2E7</v>
      </c>
      <c r="AL302" s="44"/>
      <c r="AM302" s="46"/>
      <c r="AN302" s="44"/>
      <c r="AO302" s="46"/>
      <c r="AP302" s="44"/>
      <c r="AQ302" s="46"/>
      <c r="AR302" s="44"/>
      <c r="AS302" s="44"/>
      <c r="AT302" s="44"/>
      <c r="AU302" s="45"/>
      <c r="AV302" s="44"/>
      <c r="AW302" s="38"/>
      <c r="AX302" s="44"/>
      <c r="AY302" s="38"/>
      <c r="AZ302" s="44"/>
      <c r="BA302" s="45"/>
      <c r="BB302" s="44"/>
      <c r="BC302" s="45"/>
      <c r="BD302" s="44"/>
      <c r="BE302" s="46"/>
      <c r="BF302" s="36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</row>
    <row r="303" ht="15.75" customHeight="1">
      <c r="A303" s="21" t="s">
        <v>1622</v>
      </c>
      <c r="B303" s="68"/>
      <c r="C303" s="69" t="s">
        <v>403</v>
      </c>
      <c r="D303" s="385"/>
      <c r="E303" s="192" t="s">
        <v>1623</v>
      </c>
      <c r="F303" s="118" t="s">
        <v>1624</v>
      </c>
      <c r="G303" s="71"/>
      <c r="H303" s="71" t="s">
        <v>194</v>
      </c>
      <c r="I303" s="969" t="s">
        <v>195</v>
      </c>
      <c r="J303" s="72"/>
      <c r="K303" s="26">
        <v>2.0</v>
      </c>
      <c r="L303" s="26">
        <v>2020.0</v>
      </c>
      <c r="M303" s="25"/>
      <c r="N303" s="26"/>
      <c r="O303" s="27" t="str">
        <f t="shared" si="3"/>
        <v>#N/A</v>
      </c>
      <c r="P303" s="273"/>
      <c r="Q303" s="273"/>
      <c r="R303" s="273"/>
      <c r="S303" s="273"/>
      <c r="T303" s="273"/>
      <c r="U303" s="273"/>
      <c r="V303" s="30">
        <f t="shared" si="28"/>
        <v>39500000</v>
      </c>
      <c r="W303" s="31">
        <v>7500000.0</v>
      </c>
      <c r="X303" s="73"/>
      <c r="Y303" s="73"/>
      <c r="Z303" s="692"/>
      <c r="AA303" s="665"/>
      <c r="AB303" s="74"/>
      <c r="AC303" s="74"/>
      <c r="AD303" s="79"/>
      <c r="AE303" s="84"/>
      <c r="AF303" s="175" t="str">
        <f>HYPERLINK("https://www.crunchbase.com/funding_round/ukio-seed--73bca6b1","Sep 24,2021")</f>
        <v>Sep 24,2021</v>
      </c>
      <c r="AG303" s="76">
        <v>9000000.0</v>
      </c>
      <c r="AH303" s="77"/>
      <c r="AI303" s="435"/>
      <c r="AJ303" s="75">
        <v>44887.0</v>
      </c>
      <c r="AK303" s="76">
        <v>1.75E7</v>
      </c>
      <c r="AL303" s="79"/>
      <c r="AM303" s="76"/>
      <c r="AN303" s="79"/>
      <c r="AO303" s="76"/>
      <c r="AP303" s="79"/>
      <c r="AQ303" s="84"/>
      <c r="AR303" s="79"/>
      <c r="AS303" s="79"/>
      <c r="AT303" s="79"/>
      <c r="AU303" s="80"/>
      <c r="AV303" s="79"/>
      <c r="AW303" s="38"/>
      <c r="AX303" s="79"/>
      <c r="AY303" s="38"/>
      <c r="AZ303" s="79"/>
      <c r="BA303" s="80"/>
      <c r="BB303" s="75">
        <v>44887.0</v>
      </c>
      <c r="BC303" s="80">
        <f>13000000</f>
        <v>13000000</v>
      </c>
      <c r="BD303" s="79"/>
      <c r="BE303" s="84"/>
      <c r="BF303" s="74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</row>
    <row r="304" ht="15.75" customHeight="1">
      <c r="A304" s="400" t="s">
        <v>1625</v>
      </c>
      <c r="B304" s="115"/>
      <c r="C304" s="116" t="s">
        <v>84</v>
      </c>
      <c r="D304" s="161" t="s">
        <v>1626</v>
      </c>
      <c r="E304" s="161" t="s">
        <v>1627</v>
      </c>
      <c r="F304" s="402" t="s">
        <v>1628</v>
      </c>
      <c r="G304" s="119" t="s">
        <v>1629</v>
      </c>
      <c r="H304" s="119" t="s">
        <v>64</v>
      </c>
      <c r="I304" s="25" t="s">
        <v>826</v>
      </c>
      <c r="J304" s="120" t="s">
        <v>1630</v>
      </c>
      <c r="K304" s="25">
        <v>3.0</v>
      </c>
      <c r="L304" s="25">
        <v>2017.0</v>
      </c>
      <c r="M304" s="123"/>
      <c r="N304" s="123"/>
      <c r="O304" s="27" t="str">
        <f t="shared" si="3"/>
        <v>#N/A</v>
      </c>
      <c r="P304" s="55"/>
      <c r="Q304" s="55"/>
      <c r="R304" s="55"/>
      <c r="S304" s="55"/>
      <c r="T304" s="55"/>
      <c r="U304" s="55"/>
      <c r="V304" s="30">
        <f t="shared" si="28"/>
        <v>39500000</v>
      </c>
      <c r="W304" s="30"/>
      <c r="X304" s="403"/>
      <c r="Y304" s="403"/>
      <c r="Z304" s="692"/>
      <c r="AA304" s="665"/>
      <c r="AB304" s="123"/>
      <c r="AC304" s="123"/>
      <c r="AD304" s="404">
        <v>43528.0</v>
      </c>
      <c r="AE304" s="38">
        <v>100000.0</v>
      </c>
      <c r="AF304" s="880">
        <v>43819.0</v>
      </c>
      <c r="AG304" s="38">
        <v>5900000.0</v>
      </c>
      <c r="AH304" s="123"/>
      <c r="AI304" s="128"/>
      <c r="AJ304" s="404">
        <v>44959.0</v>
      </c>
      <c r="AK304" s="38">
        <v>1.8E7</v>
      </c>
      <c r="AL304" s="123"/>
      <c r="AM304" s="123"/>
      <c r="AN304" s="123"/>
      <c r="AO304" s="123"/>
      <c r="AP304" s="123"/>
      <c r="AQ304" s="123"/>
      <c r="AR304" s="123"/>
      <c r="AS304" s="123"/>
      <c r="AT304" s="123"/>
      <c r="AU304" s="137"/>
      <c r="AV304" s="123"/>
      <c r="AW304" s="38"/>
      <c r="AX304" s="123"/>
      <c r="AY304" s="38"/>
      <c r="AZ304" s="123"/>
      <c r="BA304" s="137"/>
      <c r="BB304" s="404">
        <v>44959.0</v>
      </c>
      <c r="BC304" s="170">
        <v>1.55E7</v>
      </c>
      <c r="BD304" s="123"/>
      <c r="BE304" s="38"/>
      <c r="BF304" s="123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</row>
    <row r="305" ht="15.75" customHeight="1">
      <c r="A305" s="442" t="s">
        <v>1631</v>
      </c>
      <c r="B305" s="16" t="s">
        <v>1632</v>
      </c>
      <c r="C305" s="16" t="s">
        <v>1633</v>
      </c>
      <c r="D305" s="184" t="s">
        <v>1634</v>
      </c>
      <c r="E305" s="184" t="s">
        <v>1635</v>
      </c>
      <c r="F305" s="185" t="s">
        <v>1636</v>
      </c>
      <c r="G305" s="317" t="s">
        <v>1637</v>
      </c>
      <c r="H305" s="317" t="s">
        <v>128</v>
      </c>
      <c r="I305" s="36" t="s">
        <v>129</v>
      </c>
      <c r="J305" s="237" t="s">
        <v>689</v>
      </c>
      <c r="K305" s="36">
        <v>4.0</v>
      </c>
      <c r="L305" s="23">
        <v>2013.0</v>
      </c>
      <c r="M305" s="25">
        <f>year(now()) -L305</f>
        <v>12</v>
      </c>
      <c r="N305" s="26">
        <f>counta(AE305,AG305,AI305,AK305,AM305,AO305,AQ305,AS305,AU305,AW305,AY305,BA305,BC305)</f>
        <v>4</v>
      </c>
      <c r="O305" s="27" t="str">
        <f t="shared" si="3"/>
        <v>#N/A</v>
      </c>
      <c r="P305" s="28">
        <f>RANK(T305,$T$2:$T$333)</f>
        <v>204</v>
      </c>
      <c r="Q305" s="28">
        <f>rank(V305,$V$2:$V$344)</f>
        <v>303</v>
      </c>
      <c r="R305" s="28"/>
      <c r="S305" s="28"/>
      <c r="T305" s="29">
        <f>V305/M305</f>
        <v>3250000</v>
      </c>
      <c r="U305" s="28"/>
      <c r="V305" s="30">
        <f t="shared" si="28"/>
        <v>39000000</v>
      </c>
      <c r="W305" s="30"/>
      <c r="X305" s="32">
        <f>(max(AE305,AG305,AI305,AK305,AM305,AO305,AQ305,AS305,AU305,AW305,AY305,BA305,BC305)/min(AE305,AG305,AI305,AK305,AM305,AO305,AQ305,AS305,AU305,AW305,AY305,BA305,BC305))^(1/N305)-1</f>
        <v>1.685349614</v>
      </c>
      <c r="Y305" s="33">
        <f>(max(AE305,AG305,AI305,AK305,AM305,AO305,AQ305,AS305,AU305,AW305,AY305,BA305,BC305)/min(AE305,AG305,AI305,AK305,AM305,AO305,AQ305,AS305,AU305,AW305,AY305,BA305,BC305))^(1/M305)-1</f>
        <v>0.389953523</v>
      </c>
      <c r="Z305" s="692"/>
      <c r="AA305" s="665"/>
      <c r="AB305" s="36"/>
      <c r="AC305" s="36"/>
      <c r="AD305" s="228" t="str">
        <f>HYPERLINK("https://www.crunchbase.com/funding_round/alice-app-angel--a3200af5"," Jun 1, 2013")</f>
        <v> Jun 1, 2013</v>
      </c>
      <c r="AE305" s="38">
        <v>500000.0</v>
      </c>
      <c r="AF305" s="158" t="str">
        <f>HYPERLINK("https://www.crunchbase.com/funding_round/alice-app-seed--87fe526b"," Feb 9, 2015")</f>
        <v> Feb 9, 2015</v>
      </c>
      <c r="AG305" s="38">
        <v>3000000.0</v>
      </c>
      <c r="AH305" s="36"/>
      <c r="AI305" s="46"/>
      <c r="AJ305" s="228" t="str">
        <f>HYPERLINK("https://www.crunchbase.com/funding_round/alice-app-series-a--25d2ed7c"," Jan 19, 2016")</f>
        <v> Jan 19, 2016</v>
      </c>
      <c r="AK305" s="38">
        <v>9500000.0</v>
      </c>
      <c r="AL305" s="228" t="str">
        <f>HYPERLINK("https://www.crunchbase.com/funding_round/alice-app-series-b--da72c4d0"," Aug 30, 2017")</f>
        <v> Aug 30, 2017</v>
      </c>
      <c r="AM305" s="38">
        <v>2.6E7</v>
      </c>
      <c r="AN305" s="44"/>
      <c r="AO305" s="46"/>
      <c r="AP305" s="44"/>
      <c r="AQ305" s="46"/>
      <c r="AR305" s="44"/>
      <c r="AS305" s="44"/>
      <c r="AT305" s="44"/>
      <c r="AU305" s="45"/>
      <c r="AV305" s="44"/>
      <c r="AW305" s="38"/>
      <c r="AX305" s="44"/>
      <c r="AY305" s="38"/>
      <c r="AZ305" s="44"/>
      <c r="BA305" s="45"/>
      <c r="BB305" s="44"/>
      <c r="BC305" s="45"/>
      <c r="BD305" s="44"/>
      <c r="BE305" s="46"/>
      <c r="BF305" s="36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</row>
    <row r="306" ht="15.75" customHeight="1">
      <c r="A306" s="47" t="s">
        <v>1638</v>
      </c>
      <c r="C306" s="48" t="s">
        <v>76</v>
      </c>
      <c r="D306" s="351"/>
      <c r="E306" s="49" t="s">
        <v>1639</v>
      </c>
      <c r="F306" s="352" t="s">
        <v>1640</v>
      </c>
      <c r="G306" s="353"/>
      <c r="H306" s="53" t="s">
        <v>1641</v>
      </c>
      <c r="I306" s="54" t="s">
        <v>1642</v>
      </c>
      <c r="J306" s="55"/>
      <c r="K306" s="55"/>
      <c r="L306" s="56">
        <v>2020.0</v>
      </c>
      <c r="M306" s="55"/>
      <c r="N306" s="55"/>
      <c r="O306" s="27" t="str">
        <f t="shared" si="3"/>
        <v>#N/A</v>
      </c>
      <c r="P306" s="55"/>
      <c r="Q306" s="55"/>
      <c r="R306" s="55"/>
      <c r="S306" s="55"/>
      <c r="T306" s="55"/>
      <c r="U306" s="55"/>
      <c r="V306" s="30">
        <f t="shared" si="28"/>
        <v>39000000</v>
      </c>
      <c r="W306" s="30"/>
      <c r="X306" s="58"/>
      <c r="Y306" s="58"/>
      <c r="Z306" s="692"/>
      <c r="AA306" s="665"/>
      <c r="AB306" s="55"/>
      <c r="AC306" s="55"/>
      <c r="AD306" s="453"/>
      <c r="AE306" s="38"/>
      <c r="AF306" s="62">
        <v>44460.0</v>
      </c>
      <c r="AG306" s="38">
        <v>6000000.0</v>
      </c>
      <c r="AH306" s="55"/>
      <c r="AI306" s="55"/>
      <c r="AJ306" s="62">
        <v>44931.0</v>
      </c>
      <c r="AK306" s="38">
        <v>3.3E7</v>
      </c>
      <c r="AL306" s="55"/>
      <c r="AM306" s="55"/>
      <c r="AN306" s="55"/>
      <c r="AO306" s="55"/>
      <c r="AP306" s="356"/>
      <c r="AQ306" s="38"/>
      <c r="AR306" s="55"/>
      <c r="AS306" s="38"/>
      <c r="AT306" s="55"/>
      <c r="AU306" s="38"/>
      <c r="AV306" s="55"/>
      <c r="AW306" s="38"/>
      <c r="AX306" s="55"/>
      <c r="AY306" s="38"/>
      <c r="AZ306" s="55"/>
      <c r="BA306" s="722"/>
      <c r="BB306" s="55"/>
      <c r="BC306" s="38"/>
      <c r="BD306" s="55"/>
      <c r="BE306" s="38"/>
      <c r="BF306" s="55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</row>
    <row r="307" ht="15.75" customHeight="1">
      <c r="A307" s="462" t="s">
        <v>1643</v>
      </c>
      <c r="B307" s="16"/>
      <c r="C307" s="116" t="s">
        <v>84</v>
      </c>
      <c r="D307" s="138" t="s">
        <v>1644</v>
      </c>
      <c r="E307" s="18" t="s">
        <v>1645</v>
      </c>
      <c r="F307" s="910" t="s">
        <v>1646</v>
      </c>
      <c r="G307" s="317"/>
      <c r="H307" s="22" t="s">
        <v>235</v>
      </c>
      <c r="I307" s="23" t="s">
        <v>236</v>
      </c>
      <c r="J307" s="237"/>
      <c r="K307" s="23">
        <v>3.0</v>
      </c>
      <c r="L307" s="23">
        <v>2021.0</v>
      </c>
      <c r="M307" s="222"/>
      <c r="N307" s="23"/>
      <c r="O307" s="27" t="str">
        <f t="shared" si="3"/>
        <v>#N/A</v>
      </c>
      <c r="P307" s="28" t="str">
        <f t="shared" ref="P307:P313" si="245">RANK(T307,$T$2:$T$333)</f>
        <v>#N/A</v>
      </c>
      <c r="Q307" s="28">
        <f t="shared" ref="Q307:Q313" si="246">rank(V307,$V$2:$V$344)</f>
        <v>305</v>
      </c>
      <c r="R307" s="28"/>
      <c r="S307" s="28"/>
      <c r="T307" s="28"/>
      <c r="U307" s="28"/>
      <c r="V307" s="30">
        <f t="shared" si="28"/>
        <v>38800000</v>
      </c>
      <c r="W307" s="30"/>
      <c r="X307" s="33"/>
      <c r="Y307" s="33"/>
      <c r="Z307" s="692"/>
      <c r="AA307" s="665"/>
      <c r="AB307" s="36"/>
      <c r="AC307" s="36"/>
      <c r="AD307" s="43" t="str">
        <f>HYPERLINK("https://www.crunchbase.com/funding_round/acasa-pre-seed--318fc230","Jun 29, 2021")</f>
        <v>Jun 29, 2021</v>
      </c>
      <c r="AE307" s="38">
        <v>1100000.0</v>
      </c>
      <c r="AF307" s="158" t="str">
        <f>HYPERLINK("https://www.crunchbase.com/funding_round/acasa-seed--369947f8","Feb 22, 2022")</f>
        <v>Feb 22, 2022</v>
      </c>
      <c r="AG307" s="38">
        <v>4700000.0</v>
      </c>
      <c r="AH307" s="36"/>
      <c r="AI307" s="46"/>
      <c r="AJ307" s="44"/>
      <c r="AK307" s="46"/>
      <c r="AL307" s="44"/>
      <c r="AM307" s="46"/>
      <c r="AN307" s="44"/>
      <c r="AO307" s="46"/>
      <c r="AP307" s="44"/>
      <c r="AQ307" s="46"/>
      <c r="AR307" s="44"/>
      <c r="AS307" s="44"/>
      <c r="AT307" s="44"/>
      <c r="AU307" s="45"/>
      <c r="AV307" s="44"/>
      <c r="AW307" s="38"/>
      <c r="AX307" s="44"/>
      <c r="AY307" s="38"/>
      <c r="AZ307" s="44"/>
      <c r="BA307" s="45"/>
      <c r="BB307" s="75">
        <v>44628.0</v>
      </c>
      <c r="BC307" s="229">
        <v>3.3E7</v>
      </c>
      <c r="BD307" s="44"/>
      <c r="BE307" s="46"/>
      <c r="BF307" s="36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</row>
    <row r="308" ht="15.75" customHeight="1">
      <c r="A308" s="21" t="s">
        <v>1647</v>
      </c>
      <c r="B308" s="68"/>
      <c r="C308" s="69" t="s">
        <v>207</v>
      </c>
      <c r="D308" s="192" t="s">
        <v>1648</v>
      </c>
      <c r="E308" s="139" t="s">
        <v>1649</v>
      </c>
      <c r="F308" s="173" t="s">
        <v>1650</v>
      </c>
      <c r="G308" s="140"/>
      <c r="H308" s="286" t="s">
        <v>64</v>
      </c>
      <c r="I308" s="123" t="s">
        <v>65</v>
      </c>
      <c r="J308" s="72"/>
      <c r="K308" s="74"/>
      <c r="L308" s="26">
        <v>2015.0</v>
      </c>
      <c r="M308" s="25">
        <f t="shared" ref="M308:M312" si="247">year(now()) -L308</f>
        <v>10</v>
      </c>
      <c r="N308" s="26">
        <f t="shared" ref="N308:N312" si="248">counta(AE308,AG308,AI308,AK308,AM308,AO308,AQ308,AS308,AU308,AW308,AY308,BA308,BC308)</f>
        <v>3</v>
      </c>
      <c r="O308" s="27" t="str">
        <f t="shared" si="3"/>
        <v>#N/A</v>
      </c>
      <c r="P308" s="28">
        <f t="shared" si="245"/>
        <v>194</v>
      </c>
      <c r="Q308" s="28">
        <f t="shared" si="246"/>
        <v>306</v>
      </c>
      <c r="R308" s="28"/>
      <c r="S308" s="28"/>
      <c r="T308" s="29">
        <f t="shared" ref="T308:T312" si="249">V308/M308</f>
        <v>3870000</v>
      </c>
      <c r="U308" s="28"/>
      <c r="V308" s="30">
        <f t="shared" si="28"/>
        <v>38700000</v>
      </c>
      <c r="W308" s="30"/>
      <c r="X308" s="32">
        <f t="shared" ref="X308:X312" si="250">(max(AE308,AG308,AI308,AK308,AM308,AO308,AQ308,AS308,AU308,AW308,AY308,BA308,BC308)/min(AE308,AG308,AI308,AK308,AM308,AO308,AQ308,AS308,AU308,AW308,AY308,BA308,BC308))^(1/N308)-1</f>
        <v>0.8905119557</v>
      </c>
      <c r="Y308" s="33">
        <f t="shared" ref="Y308:Y312" si="251">(max(AE308,AG308,AI308,AK308,AM308,AO308,AQ308,AS308,AU308,AW308,AY308,BA308,BC308)/min(AE308,AG308,AI308,AK308,AM308,AO308,AQ308,AS308,AU308,AW308,AY308,BA308,BC308))^(1/M308)-1</f>
        <v>0.2105251824</v>
      </c>
      <c r="Z308" s="692"/>
      <c r="AA308" s="665"/>
      <c r="AB308" s="74"/>
      <c r="AC308" s="74"/>
      <c r="AD308" s="44"/>
      <c r="AE308" s="46"/>
      <c r="AF308" s="970">
        <v>42255.0</v>
      </c>
      <c r="AG308" s="971">
        <v>3700000.0</v>
      </c>
      <c r="AH308" s="36"/>
      <c r="AI308" s="159"/>
      <c r="AJ308" s="972">
        <v>43005.0</v>
      </c>
      <c r="AK308" s="971">
        <v>1.0E7</v>
      </c>
      <c r="AL308" s="972">
        <v>43788.0</v>
      </c>
      <c r="AM308" s="971">
        <v>2.5E7</v>
      </c>
      <c r="AN308" s="44"/>
      <c r="AO308" s="46"/>
      <c r="AP308" s="44"/>
      <c r="AQ308" s="46"/>
      <c r="AR308" s="44"/>
      <c r="AS308" s="44"/>
      <c r="AT308" s="44"/>
      <c r="AU308" s="45"/>
      <c r="AV308" s="44"/>
      <c r="AW308" s="38"/>
      <c r="AX308" s="44"/>
      <c r="AY308" s="38"/>
      <c r="AZ308" s="44"/>
      <c r="BA308" s="45"/>
      <c r="BB308" s="44"/>
      <c r="BC308" s="45"/>
      <c r="BD308" s="44"/>
      <c r="BE308" s="46"/>
      <c r="BF308" s="36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</row>
    <row r="309" ht="15.75" customHeight="1">
      <c r="A309" s="21" t="s">
        <v>1651</v>
      </c>
      <c r="B309" s="69" t="s">
        <v>1652</v>
      </c>
      <c r="C309" s="69" t="s">
        <v>84</v>
      </c>
      <c r="D309" s="200" t="s">
        <v>1653</v>
      </c>
      <c r="E309" s="200" t="s">
        <v>1654</v>
      </c>
      <c r="F309" s="841" t="s">
        <v>1655</v>
      </c>
      <c r="G309" s="54" t="s">
        <v>1656</v>
      </c>
      <c r="H309" s="71" t="s">
        <v>114</v>
      </c>
      <c r="I309" s="26" t="s">
        <v>115</v>
      </c>
      <c r="J309" s="72" t="s">
        <v>1657</v>
      </c>
      <c r="K309" s="26">
        <v>2.0</v>
      </c>
      <c r="L309" s="26">
        <v>2016.0</v>
      </c>
      <c r="M309" s="25">
        <f t="shared" si="247"/>
        <v>9</v>
      </c>
      <c r="N309" s="26">
        <f t="shared" si="248"/>
        <v>4</v>
      </c>
      <c r="O309" s="27" t="str">
        <f t="shared" si="3"/>
        <v>#N/A</v>
      </c>
      <c r="P309" s="28">
        <f t="shared" si="245"/>
        <v>185</v>
      </c>
      <c r="Q309" s="28">
        <f t="shared" si="246"/>
        <v>307</v>
      </c>
      <c r="R309" s="28"/>
      <c r="S309" s="28"/>
      <c r="T309" s="29">
        <f t="shared" si="249"/>
        <v>4288888.889</v>
      </c>
      <c r="U309" s="28"/>
      <c r="V309" s="30">
        <f t="shared" si="28"/>
        <v>38600000</v>
      </c>
      <c r="W309" s="30"/>
      <c r="X309" s="32">
        <f t="shared" si="250"/>
        <v>1.007767136</v>
      </c>
      <c r="Y309" s="33">
        <f t="shared" si="251"/>
        <v>0.3631362363</v>
      </c>
      <c r="Z309" s="692"/>
      <c r="AA309" s="665"/>
      <c r="AB309" s="74"/>
      <c r="AC309" s="74"/>
      <c r="AD309" s="164"/>
      <c r="AE309" s="973"/>
      <c r="AF309" s="175" t="str">
        <f>HYPERLINK("https://www.crunchbase.com/funding_round/spruce-inc-seed--31dd13e2","May 8, 2017")</f>
        <v>May 8, 2017</v>
      </c>
      <c r="AG309" s="76">
        <v>1600000.0</v>
      </c>
      <c r="AH309" s="974" t="str">
        <f>HYPERLINK("https://www.crunchbase.com/funding_round/spruce-inc-series-unknown--c0a3f7ac","Jul 17, 2019")</f>
        <v>Jul 17, 2019</v>
      </c>
      <c r="AI309" s="435">
        <v>3000000.0</v>
      </c>
      <c r="AJ309" s="975" t="str">
        <f>HYPERLINK("https://www.crunchbase.com/funding_round/spruce-inc-series-a--5238cbff","Nov 11, 2020")</f>
        <v>Nov 11, 2020</v>
      </c>
      <c r="AK309" s="928">
        <v>8000000.0</v>
      </c>
      <c r="AL309" s="391">
        <v>44761.0</v>
      </c>
      <c r="AM309" s="76">
        <v>2.6E7</v>
      </c>
      <c r="AN309" s="79"/>
      <c r="AO309" s="76"/>
      <c r="AP309" s="79"/>
      <c r="AQ309" s="84"/>
      <c r="AR309" s="79"/>
      <c r="AS309" s="79"/>
      <c r="AT309" s="79"/>
      <c r="AU309" s="80"/>
      <c r="AV309" s="79"/>
      <c r="AW309" s="38"/>
      <c r="AX309" s="79"/>
      <c r="AY309" s="38"/>
      <c r="AZ309" s="79"/>
      <c r="BA309" s="80"/>
      <c r="BB309" s="79"/>
      <c r="BC309" s="80"/>
      <c r="BD309" s="79"/>
      <c r="BE309" s="84"/>
      <c r="BF309" s="74"/>
      <c r="BG309" s="976"/>
      <c r="BH309" s="976"/>
      <c r="BI309" s="976"/>
      <c r="BJ309" s="976"/>
      <c r="BK309" s="976"/>
      <c r="BL309" s="976"/>
      <c r="BM309" s="976"/>
      <c r="BN309" s="976"/>
      <c r="BO309" s="976"/>
      <c r="BP309" s="976"/>
      <c r="BQ309" s="976"/>
      <c r="BR309" s="976"/>
      <c r="BS309" s="976"/>
      <c r="BT309" s="976"/>
      <c r="BU309" s="976"/>
      <c r="BV309" s="976"/>
      <c r="BW309" s="976"/>
      <c r="BX309" s="976"/>
      <c r="BY309" s="976"/>
      <c r="BZ309" s="976"/>
      <c r="CA309" s="976"/>
      <c r="CB309" s="976"/>
      <c r="CC309" s="976"/>
      <c r="CD309" s="976"/>
      <c r="CE309" s="976"/>
      <c r="CF309" s="976"/>
      <c r="CG309" s="976"/>
      <c r="CH309" s="976"/>
      <c r="CI309" s="976"/>
      <c r="CJ309" s="976"/>
      <c r="CK309" s="976"/>
      <c r="CL309" s="976"/>
      <c r="CM309" s="976"/>
      <c r="CN309" s="976"/>
      <c r="CO309" s="976"/>
      <c r="CP309" s="976"/>
    </row>
    <row r="310" ht="15.75" customHeight="1">
      <c r="A310" s="21" t="s">
        <v>1658</v>
      </c>
      <c r="B310" s="68"/>
      <c r="C310" s="69" t="s">
        <v>59</v>
      </c>
      <c r="D310" s="138" t="s">
        <v>1659</v>
      </c>
      <c r="E310" s="138" t="s">
        <v>1660</v>
      </c>
      <c r="F310" s="138" t="s">
        <v>1661</v>
      </c>
      <c r="G310" s="407" t="s">
        <v>1662</v>
      </c>
      <c r="H310" s="71" t="s">
        <v>771</v>
      </c>
      <c r="I310" s="26" t="s">
        <v>772</v>
      </c>
      <c r="J310" s="72" t="s">
        <v>1663</v>
      </c>
      <c r="K310" s="26">
        <v>3.0</v>
      </c>
      <c r="L310" s="142">
        <v>2015.0</v>
      </c>
      <c r="M310" s="25">
        <f t="shared" si="247"/>
        <v>10</v>
      </c>
      <c r="N310" s="26">
        <f t="shared" si="248"/>
        <v>3</v>
      </c>
      <c r="O310" s="27" t="str">
        <f t="shared" si="3"/>
        <v>#N/A</v>
      </c>
      <c r="P310" s="28">
        <f t="shared" si="245"/>
        <v>195</v>
      </c>
      <c r="Q310" s="28">
        <f t="shared" si="246"/>
        <v>308</v>
      </c>
      <c r="R310" s="28"/>
      <c r="S310" s="28"/>
      <c r="T310" s="29">
        <f t="shared" si="249"/>
        <v>3850000</v>
      </c>
      <c r="U310" s="28"/>
      <c r="V310" s="30">
        <f t="shared" si="28"/>
        <v>38500000</v>
      </c>
      <c r="W310" s="30"/>
      <c r="X310" s="32">
        <f t="shared" si="250"/>
        <v>0.7863159877</v>
      </c>
      <c r="Y310" s="33">
        <f t="shared" si="251"/>
        <v>0.1901110445</v>
      </c>
      <c r="Z310" s="692"/>
      <c r="AA310" s="665"/>
      <c r="AB310" s="74"/>
      <c r="AC310" s="74"/>
      <c r="AD310" s="79"/>
      <c r="AE310" s="84"/>
      <c r="AF310" s="875" t="str">
        <f>HYPERLINK("https://www.crunchbase.com/funding_round/maxwell-financial-labs-inc-seed--834af164","Dec 4, 2017")</f>
        <v>Dec 4, 2017</v>
      </c>
      <c r="AG310" s="76">
        <v>5000000.0</v>
      </c>
      <c r="AH310" s="77"/>
      <c r="AI310" s="78"/>
      <c r="AJ310" s="977" t="str">
        <f>HYPERLINK("https://www.crunchbase.com/funding_round/maxwell-financial-labs-inc-series-a--1ae16378","Jun 30, 2020")</f>
        <v>Jun 30, 2020</v>
      </c>
      <c r="AK310" s="76">
        <v>5000000.0</v>
      </c>
      <c r="AL310" s="181" t="str">
        <f>HYPERLINK("https://www.crunchbase.com/funding_round/maxwell-financial-labs-inc-series-b--6c488077","Oct 26, 2021")</f>
        <v>Oct 26, 2021</v>
      </c>
      <c r="AM310" s="76">
        <v>2.85E7</v>
      </c>
      <c r="AN310" s="79"/>
      <c r="AO310" s="84"/>
      <c r="AP310" s="79"/>
      <c r="AQ310" s="84"/>
      <c r="AR310" s="79"/>
      <c r="AS310" s="79"/>
      <c r="AT310" s="79"/>
      <c r="AU310" s="80"/>
      <c r="AV310" s="79"/>
      <c r="AW310" s="38"/>
      <c r="AX310" s="79"/>
      <c r="AY310" s="38"/>
      <c r="AZ310" s="79"/>
      <c r="BA310" s="80"/>
      <c r="BB310" s="79"/>
      <c r="BC310" s="80"/>
      <c r="BD310" s="79"/>
      <c r="BE310" s="84"/>
      <c r="BF310" s="74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</row>
    <row r="311" ht="15.75" customHeight="1">
      <c r="A311" s="978" t="s">
        <v>1664</v>
      </c>
      <c r="B311" s="979"/>
      <c r="C311" s="980" t="s">
        <v>59</v>
      </c>
      <c r="D311" s="981" t="s">
        <v>1665</v>
      </c>
      <c r="E311" s="982" t="s">
        <v>1666</v>
      </c>
      <c r="F311" s="118" t="s">
        <v>1667</v>
      </c>
      <c r="G311" s="174"/>
      <c r="H311" s="71" t="s">
        <v>80</v>
      </c>
      <c r="I311" s="26" t="s">
        <v>65</v>
      </c>
      <c r="J311" s="155"/>
      <c r="K311" s="74"/>
      <c r="L311" s="26">
        <v>2012.0</v>
      </c>
      <c r="M311" s="25">
        <f t="shared" si="247"/>
        <v>13</v>
      </c>
      <c r="N311" s="26">
        <f t="shared" si="248"/>
        <v>3</v>
      </c>
      <c r="O311" s="27" t="str">
        <f t="shared" si="3"/>
        <v>#N/A</v>
      </c>
      <c r="P311" s="28">
        <f t="shared" si="245"/>
        <v>208</v>
      </c>
      <c r="Q311" s="28">
        <f t="shared" si="246"/>
        <v>309</v>
      </c>
      <c r="R311" s="28"/>
      <c r="S311" s="28"/>
      <c r="T311" s="29">
        <f t="shared" si="249"/>
        <v>2923076.923</v>
      </c>
      <c r="U311" s="28"/>
      <c r="V311" s="30">
        <f t="shared" si="28"/>
        <v>38000000</v>
      </c>
      <c r="W311" s="30"/>
      <c r="X311" s="32">
        <f t="shared" si="250"/>
        <v>2.072316826</v>
      </c>
      <c r="Y311" s="33">
        <f t="shared" si="251"/>
        <v>0.2956632888</v>
      </c>
      <c r="Z311" s="692"/>
      <c r="AA311" s="665"/>
      <c r="AB311" s="74"/>
      <c r="AC311" s="74"/>
      <c r="AD311" s="79"/>
      <c r="AE311" s="84"/>
      <c r="AF311" s="320">
        <v>43941.0</v>
      </c>
      <c r="AG311" s="76">
        <v>1000000.0</v>
      </c>
      <c r="AH311" s="74"/>
      <c r="AI311" s="78"/>
      <c r="AJ311" s="42">
        <v>41765.0</v>
      </c>
      <c r="AK311" s="76">
        <v>8000000.0</v>
      </c>
      <c r="AL311" s="42">
        <v>42359.0</v>
      </c>
      <c r="AM311" s="76">
        <v>2.9E7</v>
      </c>
      <c r="AN311" s="79"/>
      <c r="AO311" s="84"/>
      <c r="AP311" s="79"/>
      <c r="AQ311" s="84"/>
      <c r="AR311" s="79"/>
      <c r="AS311" s="79"/>
      <c r="AT311" s="79"/>
      <c r="AU311" s="80"/>
      <c r="AV311" s="79"/>
      <c r="AW311" s="38"/>
      <c r="AX311" s="79"/>
      <c r="AY311" s="38"/>
      <c r="AZ311" s="79"/>
      <c r="BA311" s="80"/>
      <c r="BB311" s="79"/>
      <c r="BC311" s="80"/>
      <c r="BD311" s="79"/>
      <c r="BE311" s="84"/>
      <c r="BF311" s="74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</row>
    <row r="312" ht="15.75" customHeight="1">
      <c r="A312" s="983" t="s">
        <v>1668</v>
      </c>
      <c r="B312" s="984" t="s">
        <v>676</v>
      </c>
      <c r="C312" s="985" t="s">
        <v>123</v>
      </c>
      <c r="D312" s="986" t="s">
        <v>1669</v>
      </c>
      <c r="E312" s="987" t="s">
        <v>1670</v>
      </c>
      <c r="F312" s="668" t="s">
        <v>1671</v>
      </c>
      <c r="G312" s="543" t="s">
        <v>1672</v>
      </c>
      <c r="H312" s="286" t="s">
        <v>64</v>
      </c>
      <c r="I312" s="123" t="s">
        <v>65</v>
      </c>
      <c r="J312" s="120" t="s">
        <v>1673</v>
      </c>
      <c r="K312" s="123">
        <v>2.0</v>
      </c>
      <c r="L312" s="25">
        <v>2018.0</v>
      </c>
      <c r="M312" s="25">
        <f t="shared" si="247"/>
        <v>7</v>
      </c>
      <c r="N312" s="26">
        <f t="shared" si="248"/>
        <v>2</v>
      </c>
      <c r="O312" s="27" t="str">
        <f t="shared" si="3"/>
        <v>#N/A</v>
      </c>
      <c r="P312" s="28">
        <f t="shared" si="245"/>
        <v>170</v>
      </c>
      <c r="Q312" s="28">
        <f t="shared" si="246"/>
        <v>309</v>
      </c>
      <c r="R312" s="28"/>
      <c r="S312" s="28"/>
      <c r="T312" s="29">
        <f t="shared" si="249"/>
        <v>5428571.429</v>
      </c>
      <c r="U312" s="28"/>
      <c r="V312" s="30">
        <f t="shared" si="28"/>
        <v>38000000</v>
      </c>
      <c r="W312" s="30"/>
      <c r="X312" s="32">
        <f t="shared" si="250"/>
        <v>0.9364916731</v>
      </c>
      <c r="Y312" s="33">
        <f t="shared" si="251"/>
        <v>0.2078262578</v>
      </c>
      <c r="Z312" s="692"/>
      <c r="AA312" s="665"/>
      <c r="AB312" s="123"/>
      <c r="AC312" s="123"/>
      <c r="AD312" s="124"/>
      <c r="AE312" s="125"/>
      <c r="AF312" s="166"/>
      <c r="AG312" s="125"/>
      <c r="AH312" s="123"/>
      <c r="AI312" s="128"/>
      <c r="AJ312" s="455" t="str">
        <f>HYPERLINK("https://www.crunchbase.com/organization/loansnap#section-funding-rounds"," 7/20/2018")</f>
        <v> 7/20/2018</v>
      </c>
      <c r="AK312" s="125">
        <v>8000000.0</v>
      </c>
      <c r="AL312" s="167" t="str">
        <f>HYPERLINK("https://www.crunchbase.com/funding_round/loansnap-series-b--42a92df0","May 4, 2021")</f>
        <v>May 4, 2021</v>
      </c>
      <c r="AM312" s="127">
        <v>3.0E7</v>
      </c>
      <c r="AN312" s="124"/>
      <c r="AO312" s="125"/>
      <c r="AP312" s="124"/>
      <c r="AQ312" s="125"/>
      <c r="AR312" s="124"/>
      <c r="AS312" s="124"/>
      <c r="AT312" s="124"/>
      <c r="AU312" s="137"/>
      <c r="AV312" s="124"/>
      <c r="AW312" s="38"/>
      <c r="AX312" s="124"/>
      <c r="AY312" s="38"/>
      <c r="AZ312" s="124"/>
      <c r="BA312" s="137"/>
      <c r="BB312" s="124"/>
      <c r="BC312" s="137"/>
      <c r="BD312" s="124"/>
      <c r="BE312" s="125"/>
      <c r="BF312" s="123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</row>
    <row r="313" ht="15.75" customHeight="1">
      <c r="A313" s="978" t="s">
        <v>1674</v>
      </c>
      <c r="B313" s="988"/>
      <c r="C313" s="989" t="s">
        <v>68</v>
      </c>
      <c r="D313" s="990" t="s">
        <v>1675</v>
      </c>
      <c r="E313" s="991" t="s">
        <v>1676</v>
      </c>
      <c r="F313" s="173" t="s">
        <v>1677</v>
      </c>
      <c r="G313" s="21" t="s">
        <v>1678</v>
      </c>
      <c r="H313" s="317" t="s">
        <v>128</v>
      </c>
      <c r="I313" s="36" t="s">
        <v>129</v>
      </c>
      <c r="J313" s="24" t="s">
        <v>1679</v>
      </c>
      <c r="K313" s="26">
        <v>2.0</v>
      </c>
      <c r="L313" s="23">
        <v>2018.0</v>
      </c>
      <c r="M313" s="25"/>
      <c r="N313" s="26"/>
      <c r="O313" s="27" t="str">
        <f t="shared" si="3"/>
        <v>#N/A</v>
      </c>
      <c r="P313" s="28" t="str">
        <f t="shared" si="245"/>
        <v>#N/A</v>
      </c>
      <c r="Q313" s="28">
        <f t="shared" si="246"/>
        <v>309</v>
      </c>
      <c r="R313" s="28"/>
      <c r="S313" s="28"/>
      <c r="T313" s="28"/>
      <c r="U313" s="28"/>
      <c r="V313" s="30">
        <f t="shared" si="28"/>
        <v>38000000</v>
      </c>
      <c r="W313" s="30"/>
      <c r="X313" s="73"/>
      <c r="Y313" s="73"/>
      <c r="Z313" s="692"/>
      <c r="AA313" s="665"/>
      <c r="AB313" s="36"/>
      <c r="AC313" s="36"/>
      <c r="AD313" s="44"/>
      <c r="AE313" s="38"/>
      <c r="AF313" s="39"/>
      <c r="AG313" s="38"/>
      <c r="AH313" s="919"/>
      <c r="AI313" s="41"/>
      <c r="AJ313" s="992">
        <v>44754.0</v>
      </c>
      <c r="AK313" s="38">
        <v>3.8E7</v>
      </c>
      <c r="AL313" s="44"/>
      <c r="AM313" s="46"/>
      <c r="AN313" s="44"/>
      <c r="AO313" s="46"/>
      <c r="AP313" s="44"/>
      <c r="AQ313" s="46"/>
      <c r="AR313" s="44"/>
      <c r="AS313" s="44"/>
      <c r="AT313" s="44"/>
      <c r="AU313" s="45"/>
      <c r="AV313" s="44"/>
      <c r="AW313" s="38"/>
      <c r="AX313" s="44"/>
      <c r="AY313" s="38"/>
      <c r="AZ313" s="44"/>
      <c r="BA313" s="45"/>
      <c r="BB313" s="44"/>
      <c r="BC313" s="45"/>
      <c r="BD313" s="44"/>
      <c r="BE313" s="46"/>
      <c r="BF313" s="3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</row>
    <row r="314" ht="15.75" customHeight="1">
      <c r="A314" s="993" t="s">
        <v>1680</v>
      </c>
      <c r="B314" s="984"/>
      <c r="C314" s="985" t="s">
        <v>190</v>
      </c>
      <c r="D314" s="994" t="s">
        <v>1681</v>
      </c>
      <c r="E314" s="995" t="s">
        <v>1682</v>
      </c>
      <c r="F314" s="708" t="s">
        <v>1683</v>
      </c>
      <c r="G314" s="286"/>
      <c r="H314" s="119" t="s">
        <v>128</v>
      </c>
      <c r="I314" s="25" t="s">
        <v>129</v>
      </c>
      <c r="J314" s="287"/>
      <c r="K314" s="25">
        <v>1.0</v>
      </c>
      <c r="L314" s="25">
        <v>2016.0</v>
      </c>
      <c r="M314" s="123"/>
      <c r="N314" s="123"/>
      <c r="O314" s="27" t="str">
        <f t="shared" si="3"/>
        <v>#N/A</v>
      </c>
      <c r="P314" s="55"/>
      <c r="Q314" s="55"/>
      <c r="R314" s="55"/>
      <c r="S314" s="55"/>
      <c r="T314" s="55"/>
      <c r="U314" s="55"/>
      <c r="V314" s="30">
        <f t="shared" si="28"/>
        <v>37700000</v>
      </c>
      <c r="W314" s="31">
        <v>4000000.0</v>
      </c>
      <c r="X314" s="403"/>
      <c r="Y314" s="403"/>
      <c r="Z314" s="692"/>
      <c r="AA314" s="665"/>
      <c r="AB314" s="123"/>
      <c r="AC314" s="123"/>
      <c r="AD314" s="62">
        <v>43100.0</v>
      </c>
      <c r="AE314" s="38">
        <v>600000.0</v>
      </c>
      <c r="AF314" s="62">
        <v>43221.0</v>
      </c>
      <c r="AG314" s="38">
        <v>2100000.0</v>
      </c>
      <c r="AH314" s="123"/>
      <c r="AI314" s="123"/>
      <c r="AJ314" s="404">
        <v>43696.0</v>
      </c>
      <c r="AK314" s="38">
        <v>9000000.0</v>
      </c>
      <c r="AL314" s="62">
        <v>44895.0</v>
      </c>
      <c r="AM314" s="38">
        <v>2.6E7</v>
      </c>
      <c r="AN314" s="123"/>
      <c r="AO314" s="123"/>
      <c r="AP314" s="123"/>
      <c r="AQ314" s="123"/>
      <c r="AR314" s="123"/>
      <c r="AS314" s="123"/>
      <c r="AT314" s="123"/>
      <c r="AU314" s="137"/>
      <c r="AV314" s="123"/>
      <c r="AW314" s="38"/>
      <c r="AX314" s="123"/>
      <c r="AY314" s="38"/>
      <c r="AZ314" s="123"/>
      <c r="BA314" s="137"/>
      <c r="BB314" s="123"/>
      <c r="BC314" s="137"/>
      <c r="BD314" s="123"/>
      <c r="BE314" s="125"/>
      <c r="BF314" s="123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</row>
    <row r="315" ht="15.75" customHeight="1">
      <c r="A315" s="996" t="s">
        <v>1684</v>
      </c>
      <c r="B315" s="997"/>
      <c r="C315" s="998" t="s">
        <v>84</v>
      </c>
      <c r="D315" s="999" t="s">
        <v>1685</v>
      </c>
      <c r="E315" s="1000" t="s">
        <v>1686</v>
      </c>
      <c r="F315" s="749" t="s">
        <v>1687</v>
      </c>
      <c r="G315" s="353"/>
      <c r="H315" s="53" t="s">
        <v>217</v>
      </c>
      <c r="I315" s="54" t="s">
        <v>218</v>
      </c>
      <c r="J315" s="55"/>
      <c r="K315" s="54">
        <v>4.0</v>
      </c>
      <c r="L315" s="56">
        <v>2013.0</v>
      </c>
      <c r="M315" s="55"/>
      <c r="N315" s="55"/>
      <c r="O315" s="27" t="str">
        <f t="shared" si="3"/>
        <v>#N/A</v>
      </c>
      <c r="P315" s="55"/>
      <c r="Q315" s="55"/>
      <c r="R315" s="55"/>
      <c r="S315" s="55"/>
      <c r="T315" s="55"/>
      <c r="U315" s="55"/>
      <c r="V315" s="30">
        <f t="shared" si="28"/>
        <v>37600000</v>
      </c>
      <c r="W315" s="30"/>
      <c r="X315" s="58"/>
      <c r="Y315" s="58"/>
      <c r="Z315" s="692"/>
      <c r="AA315" s="665"/>
      <c r="AB315" s="55"/>
      <c r="AC315" s="55"/>
      <c r="AD315" s="870"/>
      <c r="AE315" s="38"/>
      <c r="AF315" s="62">
        <v>44314.0</v>
      </c>
      <c r="AG315" s="38">
        <v>7800000.0</v>
      </c>
      <c r="AH315" s="55"/>
      <c r="AI315" s="55"/>
      <c r="AJ315" s="62">
        <v>44378.0</v>
      </c>
      <c r="AK315" s="55"/>
      <c r="AL315" s="55"/>
      <c r="AM315" s="55"/>
      <c r="AN315" s="55"/>
      <c r="AO315" s="55"/>
      <c r="AP315" s="356"/>
      <c r="AQ315" s="356"/>
      <c r="AR315" s="55"/>
      <c r="AS315" s="55"/>
      <c r="AT315" s="55"/>
      <c r="AU315" s="722"/>
      <c r="AV315" s="55"/>
      <c r="AW315" s="38"/>
      <c r="AX315" s="55"/>
      <c r="AY315" s="38"/>
      <c r="AZ315" s="62">
        <v>44215.0</v>
      </c>
      <c r="BA315" s="743">
        <v>2.98E7</v>
      </c>
      <c r="BB315" s="55"/>
      <c r="BC315" s="38"/>
      <c r="BD315" s="55"/>
      <c r="BE315" s="38"/>
      <c r="BF315" s="55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</row>
    <row r="316" ht="15.75" customHeight="1">
      <c r="A316" s="978" t="s">
        <v>1688</v>
      </c>
      <c r="B316" s="980"/>
      <c r="C316" s="980" t="s">
        <v>132</v>
      </c>
      <c r="D316" s="1001" t="s">
        <v>1689</v>
      </c>
      <c r="E316" s="991" t="s">
        <v>1690</v>
      </c>
      <c r="F316" s="173" t="s">
        <v>1691</v>
      </c>
      <c r="G316" s="71" t="s">
        <v>1692</v>
      </c>
      <c r="H316" s="71" t="s">
        <v>64</v>
      </c>
      <c r="I316" s="26" t="s">
        <v>65</v>
      </c>
      <c r="J316" s="72" t="s">
        <v>1693</v>
      </c>
      <c r="K316" s="26">
        <v>3.0</v>
      </c>
      <c r="L316" s="26">
        <v>2019.0</v>
      </c>
      <c r="M316" s="25">
        <f>year(now()) -L316</f>
        <v>6</v>
      </c>
      <c r="N316" s="26">
        <f>counta(AE316,AG316,AI316,AK316,AM316,AO316,AQ316,AS316,AU316,AW316,AY316,BA316,BC316)</f>
        <v>3</v>
      </c>
      <c r="O316" s="27" t="str">
        <f t="shared" si="3"/>
        <v>#N/A</v>
      </c>
      <c r="P316" s="28">
        <f>RANK(T316,$T$8:$T$333)</f>
        <v>145</v>
      </c>
      <c r="Q316" s="28">
        <f>rank(V316,$V$8:$V$344)</f>
        <v>308</v>
      </c>
      <c r="R316" s="28"/>
      <c r="S316" s="28"/>
      <c r="T316" s="29">
        <f>V316/M316</f>
        <v>6216666.667</v>
      </c>
      <c r="U316" s="28"/>
      <c r="V316" s="30">
        <f t="shared" si="28"/>
        <v>37300000</v>
      </c>
      <c r="W316" s="30"/>
      <c r="X316" s="32">
        <f>(max(AE316,AG316,AI316,AK316,AM316,AO316,AQ316,AS316,AU316,AW316,AY316,BA316,BC316)/min(AE316,AG316,AI316,AK316,AM316,AO316,AQ316,AS316,AU316,AW316,AY316,BA316,BC316))^(1/N316)-1</f>
        <v>0.8677045352</v>
      </c>
      <c r="Y316" s="33">
        <f>(max(AE316,AG316,AI316,AK316,AM316,AO316,AQ316,AS316,AU316,AW316,AY316,BA316,BC316)/min(AE316,AG316,AI316,AK316,AM316,AO316,AQ316,AS316,AU316,AW316,AY316,BA316,BC316))^(1/M316)-1</f>
        <v>0.3666398703</v>
      </c>
      <c r="Z316" s="692"/>
      <c r="AA316" s="665"/>
      <c r="AB316" s="74"/>
      <c r="AC316" s="74"/>
      <c r="AD316" s="37"/>
      <c r="AE316" s="38"/>
      <c r="AF316" s="918" t="str">
        <f>HYPERLINK("https://www.crunchbase.com/funding_round/doorstead-seed--804849bf","Oct 7, 2019")</f>
        <v>Oct 7, 2019</v>
      </c>
      <c r="AG316" s="1002">
        <v>3300000.0</v>
      </c>
      <c r="AH316" s="36"/>
      <c r="AI316" s="159"/>
      <c r="AJ316" s="43" t="str">
        <f>HYPERLINK("https://www.crunchbase.com/funding_round/doorstead-series-a--17201272","Apr 15, 2021")</f>
        <v>Apr 15, 2021</v>
      </c>
      <c r="AK316" s="38">
        <v>1.25E7</v>
      </c>
      <c r="AL316" s="75">
        <v>44932.0</v>
      </c>
      <c r="AM316" s="38">
        <v>2.15E7</v>
      </c>
      <c r="AN316" s="44"/>
      <c r="AO316" s="46"/>
      <c r="AP316" s="44"/>
      <c r="AQ316" s="46"/>
      <c r="AR316" s="44"/>
      <c r="AS316" s="44"/>
      <c r="AT316" s="44"/>
      <c r="AU316" s="45"/>
      <c r="AV316" s="44"/>
      <c r="AW316" s="38"/>
      <c r="AX316" s="44"/>
      <c r="AY316" s="38"/>
      <c r="AZ316" s="44"/>
      <c r="BA316" s="45"/>
      <c r="BB316" s="44"/>
      <c r="BC316" s="45"/>
      <c r="BD316" s="44"/>
      <c r="BE316" s="38"/>
      <c r="BF316" s="3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</row>
    <row r="317" ht="15.75" customHeight="1">
      <c r="A317" s="996" t="s">
        <v>1694</v>
      </c>
      <c r="B317" s="1003"/>
      <c r="C317" s="1004" t="s">
        <v>190</v>
      </c>
      <c r="D317" s="1005" t="s">
        <v>1695</v>
      </c>
      <c r="E317" s="1006" t="s">
        <v>1696</v>
      </c>
      <c r="F317" s="118" t="s">
        <v>1697</v>
      </c>
      <c r="G317" s="54"/>
      <c r="H317" s="850" t="s">
        <v>194</v>
      </c>
      <c r="I317" s="222" t="s">
        <v>195</v>
      </c>
      <c r="J317" s="953"/>
      <c r="K317" s="222">
        <v>3.0</v>
      </c>
      <c r="L317" s="222">
        <v>2017.0</v>
      </c>
      <c r="M317" s="222"/>
      <c r="N317" s="222"/>
      <c r="O317" s="27" t="str">
        <f t="shared" si="3"/>
        <v>#N/A</v>
      </c>
      <c r="P317" s="28" t="str">
        <f t="shared" ref="P317:P321" si="252">RANK(T317,$T$2:$T$333)</f>
        <v>#N/A</v>
      </c>
      <c r="Q317" s="28">
        <f t="shared" ref="Q317:Q321" si="253">rank(V317,$V$2:$V$344)</f>
        <v>315</v>
      </c>
      <c r="R317" s="851"/>
      <c r="S317" s="851"/>
      <c r="T317" s="851"/>
      <c r="U317" s="851"/>
      <c r="V317" s="30">
        <f t="shared" si="28"/>
        <v>37120000</v>
      </c>
      <c r="W317" s="30"/>
      <c r="X317" s="852"/>
      <c r="Y317" s="852"/>
      <c r="Z317" s="692"/>
      <c r="AA317" s="665"/>
      <c r="AB317" s="326"/>
      <c r="AC317" s="326"/>
      <c r="AD317" s="328" t="str">
        <f>HYPERLINK("https://www.crunchbase.com/funding_round/amenitiz-pre-seed--1ca6f842","Jul 23, 2019")</f>
        <v>Jul 23, 2019</v>
      </c>
      <c r="AE317" s="1007">
        <v>620000.0</v>
      </c>
      <c r="AF317" s="324" t="str">
        <f>HYPERLINK("https://www.crunchbase.com/funding_round/amenitiz-seed--19141574","Nov 10, 2021")</f>
        <v>Nov 10, 2021</v>
      </c>
      <c r="AG317" s="1007">
        <v>6500000.0</v>
      </c>
      <c r="AH317" s="326"/>
      <c r="AI317" s="323"/>
      <c r="AJ317" s="328" t="str">
        <f>HYPERLINK("https://www.crunchbase.com/funding_round/amenitiz-series-a--461cf8bd","Apr 5, 2022")</f>
        <v>Apr 5, 2022</v>
      </c>
      <c r="AK317" s="325">
        <v>3.0E7</v>
      </c>
      <c r="AL317" s="322"/>
      <c r="AM317" s="323"/>
      <c r="AN317" s="322"/>
      <c r="AO317" s="323"/>
      <c r="AP317" s="322"/>
      <c r="AQ317" s="323"/>
      <c r="AR317" s="322"/>
      <c r="AS317" s="322"/>
      <c r="AT317" s="322"/>
      <c r="AU317" s="335"/>
      <c r="AV317" s="322"/>
      <c r="AW317" s="38"/>
      <c r="AX317" s="322"/>
      <c r="AY317" s="38"/>
      <c r="AZ317" s="322"/>
      <c r="BA317" s="335"/>
      <c r="BB317" s="322"/>
      <c r="BC317" s="335"/>
      <c r="BD317" s="322"/>
      <c r="BE317" s="323"/>
      <c r="BF317" s="32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</row>
    <row r="318" ht="15.75" customHeight="1">
      <c r="A318" s="1008" t="s">
        <v>1698</v>
      </c>
      <c r="B318" s="988"/>
      <c r="C318" s="989" t="s">
        <v>132</v>
      </c>
      <c r="D318" s="1009" t="s">
        <v>1699</v>
      </c>
      <c r="E318" s="1010" t="s">
        <v>1700</v>
      </c>
      <c r="F318" s="20" t="s">
        <v>1701</v>
      </c>
      <c r="G318" s="317"/>
      <c r="H318" s="22" t="s">
        <v>1702</v>
      </c>
      <c r="I318" s="23" t="s">
        <v>1703</v>
      </c>
      <c r="J318" s="237"/>
      <c r="K318" s="23">
        <v>1.0</v>
      </c>
      <c r="L318" s="23">
        <v>2015.0</v>
      </c>
      <c r="M318" s="25">
        <f t="shared" ref="M318:M319" si="254">year(now()) -L318</f>
        <v>10</v>
      </c>
      <c r="N318" s="26">
        <f t="shared" ref="N318:N319" si="255">counta(AE318,AG318,AI318,AK318,AM318,AO318,AQ318,AS318,AU318,AW318,AY318,BA318,BC318)</f>
        <v>3</v>
      </c>
      <c r="O318" s="27" t="str">
        <f t="shared" si="3"/>
        <v>#N/A</v>
      </c>
      <c r="P318" s="28">
        <f t="shared" si="252"/>
        <v>197</v>
      </c>
      <c r="Q318" s="28">
        <f t="shared" si="253"/>
        <v>316</v>
      </c>
      <c r="R318" s="28"/>
      <c r="S318" s="28"/>
      <c r="T318" s="29">
        <f t="shared" ref="T318:T319" si="256">V318/M318</f>
        <v>3700000</v>
      </c>
      <c r="U318" s="28"/>
      <c r="V318" s="30">
        <f t="shared" si="28"/>
        <v>37000000</v>
      </c>
      <c r="W318" s="30"/>
      <c r="X318" s="32">
        <f t="shared" ref="X318:X319" si="257">(max(AE318,AG318,AI318,AK318,AM318,AO318,AQ318,AS318,AU318,AW318,AY318,BA318,BC318)/min(AE318,AG318,AI318,AK318,AM318,AO318,AQ318,AS318,AU318,AW318,AY318,BA318,BC318))^(1/N318)-1</f>
        <v>2.107232506</v>
      </c>
      <c r="Y318" s="33">
        <f t="shared" ref="Y318:Y319" si="258">(max(AE318,AG318,AI318,AK318,AM318,AO318,AQ318,AS318,AU318,AW318,AY318,BA318,BC318)/min(AE318,AG318,AI318,AK318,AM318,AO318,AQ318,AS318,AU318,AW318,AY318,BA318,BC318))^(1/M318)-1</f>
        <v>0.4051158265</v>
      </c>
      <c r="Z318" s="692"/>
      <c r="AA318" s="665"/>
      <c r="AB318" s="36"/>
      <c r="AC318" s="36"/>
      <c r="AD318" s="44"/>
      <c r="AE318" s="46"/>
      <c r="AF318" s="158" t="str">
        <f>HYPERLINK("https://www.crunchbase.com/funding_round/companycam-seed--1308ae90","Nov 8, 2019")</f>
        <v>Nov 8, 2019</v>
      </c>
      <c r="AG318" s="887">
        <v>1000000.0</v>
      </c>
      <c r="AH318" s="36"/>
      <c r="AI318" s="159"/>
      <c r="AJ318" s="43" t="str">
        <f>HYPERLINK("https://www.crunchbase.com/funding_round/companycam-series-a--f3ad4e1b","Jun 29, 2020")</f>
        <v>Jun 29, 2020</v>
      </c>
      <c r="AK318" s="38">
        <v>6000000.0</v>
      </c>
      <c r="AL318" s="43" t="str">
        <f>HYPERLINK("https://www.crunchbase.com/funding_round/companycam-series-b--89080514","Oct 26, 2021")</f>
        <v>Oct 26, 2021</v>
      </c>
      <c r="AM318" s="38">
        <v>3.0E7</v>
      </c>
      <c r="AN318" s="44"/>
      <c r="AO318" s="46"/>
      <c r="AP318" s="44"/>
      <c r="AQ318" s="46"/>
      <c r="AR318" s="44"/>
      <c r="AS318" s="44"/>
      <c r="AT318" s="44"/>
      <c r="AU318" s="45"/>
      <c r="AV318" s="44"/>
      <c r="AW318" s="38"/>
      <c r="AX318" s="44"/>
      <c r="AY318" s="38"/>
      <c r="AZ318" s="44"/>
      <c r="BA318" s="45"/>
      <c r="BB318" s="44"/>
      <c r="BC318" s="45"/>
      <c r="BD318" s="44"/>
      <c r="BE318" s="46"/>
      <c r="BF318" s="36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</row>
    <row r="319" ht="15.75" customHeight="1">
      <c r="A319" s="21" t="s">
        <v>1704</v>
      </c>
      <c r="B319" s="979"/>
      <c r="C319" s="980" t="s">
        <v>1705</v>
      </c>
      <c r="D319" s="1011" t="s">
        <v>1706</v>
      </c>
      <c r="E319" s="1012" t="s">
        <v>1707</v>
      </c>
      <c r="F319" s="841" t="s">
        <v>1708</v>
      </c>
      <c r="G319" s="54" t="s">
        <v>1709</v>
      </c>
      <c r="H319" s="186" t="s">
        <v>64</v>
      </c>
      <c r="I319" s="74" t="s">
        <v>65</v>
      </c>
      <c r="J319" s="178" t="s">
        <v>66</v>
      </c>
      <c r="K319" s="26">
        <v>3.0</v>
      </c>
      <c r="L319" s="26">
        <v>2008.0</v>
      </c>
      <c r="M319" s="25">
        <f t="shared" si="254"/>
        <v>17</v>
      </c>
      <c r="N319" s="26">
        <f t="shared" si="255"/>
        <v>5</v>
      </c>
      <c r="O319" s="27" t="str">
        <f t="shared" si="3"/>
        <v>#N/A</v>
      </c>
      <c r="P319" s="28">
        <f t="shared" si="252"/>
        <v>214</v>
      </c>
      <c r="Q319" s="28">
        <f t="shared" si="253"/>
        <v>317</v>
      </c>
      <c r="R319" s="28"/>
      <c r="S319" s="28"/>
      <c r="T319" s="29">
        <f t="shared" si="256"/>
        <v>2157352.941</v>
      </c>
      <c r="U319" s="28"/>
      <c r="V319" s="30">
        <f t="shared" si="28"/>
        <v>36675000</v>
      </c>
      <c r="W319" s="30"/>
      <c r="X319" s="32">
        <f t="shared" si="257"/>
        <v>2.719597942</v>
      </c>
      <c r="Y319" s="33">
        <f t="shared" si="258"/>
        <v>0.4716107132</v>
      </c>
      <c r="Z319" s="692"/>
      <c r="AA319" s="665"/>
      <c r="AB319" s="74"/>
      <c r="AC319" s="74"/>
      <c r="AD319" s="426" t="str">
        <f>HYPERLINK("https://www.crunchbase.com/organization/taskrabbit#section-funding-rounds"," May 28, 2009")</f>
        <v> May 28, 2009</v>
      </c>
      <c r="AE319" s="76">
        <v>25000.0</v>
      </c>
      <c r="AF319" s="175" t="str">
        <f>HYPERLINK("https://www.crunchbase.com/funding_round/taskrabbit-seed--10aa71ca","Aug 25, 2010")</f>
        <v>Aug 25, 2010</v>
      </c>
      <c r="AG319" s="76">
        <v>850000.0</v>
      </c>
      <c r="AH319" s="929"/>
      <c r="AI319" s="435"/>
      <c r="AJ319" s="426" t="str">
        <f>HYPERLINK("https://www.crunchbase.com/funding_round/taskrabbit-series-a--c4f64249","May 4, 2011")</f>
        <v>May 4, 2011</v>
      </c>
      <c r="AK319" s="435">
        <v>5000000.0</v>
      </c>
      <c r="AL319" s="426" t="str">
        <f>HYPERLINK("https://www.crunchbase.com/funding_round/taskrabbit-series-b--78fef548","Dec 13, 2011")</f>
        <v>Dec 13, 2011</v>
      </c>
      <c r="AM319" s="76">
        <v>1.78E7</v>
      </c>
      <c r="AN319" s="426" t="str">
        <f>HYPERLINK("https://www.crunchbase.com/funding_round/taskrabbit-series-c--3c4df85a","Jul 23, 2012")</f>
        <v>Jul 23, 2012</v>
      </c>
      <c r="AO319" s="76">
        <v>1.3E7</v>
      </c>
      <c r="AP319" s="79"/>
      <c r="AQ319" s="84"/>
      <c r="AR319" s="79"/>
      <c r="AS319" s="79"/>
      <c r="AT319" s="79"/>
      <c r="AU319" s="80"/>
      <c r="AV319" s="79"/>
      <c r="AW319" s="38"/>
      <c r="AX319" s="79"/>
      <c r="AY319" s="38"/>
      <c r="AZ319" s="79"/>
      <c r="BA319" s="80"/>
      <c r="BB319" s="79"/>
      <c r="BC319" s="80"/>
      <c r="BD319" s="79"/>
      <c r="BE319" s="84"/>
      <c r="BF319" s="74"/>
      <c r="BG319" s="115"/>
      <c r="BH319" s="115"/>
      <c r="BI319" s="115"/>
      <c r="BJ319" s="115"/>
      <c r="BK319" s="115"/>
      <c r="BL319" s="115"/>
      <c r="BM319" s="115"/>
      <c r="BN319" s="115"/>
      <c r="BO319" s="115"/>
      <c r="BP319" s="115"/>
      <c r="BQ319" s="115"/>
      <c r="BR319" s="115"/>
      <c r="BS319" s="115"/>
      <c r="BT319" s="115"/>
      <c r="BU319" s="115"/>
      <c r="BV319" s="115"/>
      <c r="BW319" s="115"/>
      <c r="BX319" s="115"/>
      <c r="BY319" s="115"/>
      <c r="BZ319" s="115"/>
      <c r="CA319" s="115"/>
      <c r="CB319" s="115"/>
      <c r="CC319" s="115"/>
      <c r="CD319" s="115"/>
      <c r="CE319" s="115"/>
      <c r="CF319" s="115"/>
      <c r="CG319" s="115"/>
      <c r="CH319" s="115"/>
      <c r="CI319" s="115"/>
      <c r="CJ319" s="115"/>
      <c r="CK319" s="115"/>
      <c r="CL319" s="115"/>
      <c r="CM319" s="115"/>
      <c r="CN319" s="115"/>
      <c r="CO319" s="115"/>
      <c r="CP319" s="115"/>
    </row>
    <row r="320" ht="15.75" customHeight="1">
      <c r="A320" s="978" t="s">
        <v>1710</v>
      </c>
      <c r="B320" s="979"/>
      <c r="C320" s="980" t="s">
        <v>59</v>
      </c>
      <c r="D320" s="1001" t="s">
        <v>1711</v>
      </c>
      <c r="E320" s="1013" t="s">
        <v>1712</v>
      </c>
      <c r="F320" s="154" t="s">
        <v>1713</v>
      </c>
      <c r="G320" s="861"/>
      <c r="H320" s="71" t="s">
        <v>1714</v>
      </c>
      <c r="I320" s="26" t="s">
        <v>109</v>
      </c>
      <c r="J320" s="72" t="s">
        <v>1715</v>
      </c>
      <c r="K320" s="26">
        <v>1.0</v>
      </c>
      <c r="L320" s="26">
        <v>2018.0</v>
      </c>
      <c r="M320" s="25"/>
      <c r="N320" s="26"/>
      <c r="O320" s="27" t="str">
        <f t="shared" si="3"/>
        <v>#N/A</v>
      </c>
      <c r="P320" s="28" t="str">
        <f t="shared" si="252"/>
        <v>#N/A</v>
      </c>
      <c r="Q320" s="28">
        <f t="shared" si="253"/>
        <v>318</v>
      </c>
      <c r="R320" s="28"/>
      <c r="S320" s="28"/>
      <c r="T320" s="28"/>
      <c r="U320" s="28"/>
      <c r="V320" s="30">
        <f t="shared" si="28"/>
        <v>36670000</v>
      </c>
      <c r="W320" s="30"/>
      <c r="X320" s="73"/>
      <c r="Y320" s="73"/>
      <c r="Z320" s="692"/>
      <c r="AA320" s="665"/>
      <c r="AB320" s="74"/>
      <c r="AC320" s="74"/>
      <c r="AD320" s="44"/>
      <c r="AE320" s="46"/>
      <c r="AF320" s="158" t="str">
        <f>HYPERLINK("https://pitchbook.com/profiles/company/265181-14#funding","Sep 10, 2018")</f>
        <v>Sep 10, 2018</v>
      </c>
      <c r="AG320" s="38">
        <v>6670000.0</v>
      </c>
      <c r="AH320" s="36"/>
      <c r="AI320" s="159"/>
      <c r="AJ320" s="862" t="str">
        <f>HYPERLINK("https://culdesac.com/blog/post/announcing-our-30m-series-a","Jan 20, 2022")</f>
        <v>Jan 20, 2022</v>
      </c>
      <c r="AK320" s="715">
        <v>3.0E7</v>
      </c>
      <c r="AL320" s="44"/>
      <c r="AM320" s="38"/>
      <c r="AN320" s="44"/>
      <c r="AO320" s="46"/>
      <c r="AP320" s="44"/>
      <c r="AQ320" s="46"/>
      <c r="AR320" s="44"/>
      <c r="AS320" s="44"/>
      <c r="AT320" s="44"/>
      <c r="AU320" s="45"/>
      <c r="AV320" s="44"/>
      <c r="AW320" s="38"/>
      <c r="AX320" s="44"/>
      <c r="AY320" s="38"/>
      <c r="AZ320" s="44"/>
      <c r="BA320" s="45"/>
      <c r="BB320" s="44"/>
      <c r="BC320" s="45"/>
      <c r="BD320" s="44"/>
      <c r="BE320" s="46"/>
      <c r="BF320" s="36"/>
      <c r="BG320" s="115"/>
      <c r="BH320" s="115"/>
      <c r="BI320" s="115"/>
      <c r="BJ320" s="115"/>
      <c r="BK320" s="115"/>
      <c r="BL320" s="115"/>
      <c r="BM320" s="115"/>
      <c r="BN320" s="115"/>
      <c r="BO320" s="115"/>
      <c r="BP320" s="115"/>
      <c r="BQ320" s="115"/>
      <c r="BR320" s="115"/>
      <c r="BS320" s="115"/>
      <c r="BT320" s="115"/>
      <c r="BU320" s="115"/>
      <c r="BV320" s="115"/>
      <c r="BW320" s="115"/>
      <c r="BX320" s="115"/>
      <c r="BY320" s="115"/>
      <c r="BZ320" s="115"/>
      <c r="CA320" s="115"/>
      <c r="CB320" s="115"/>
      <c r="CC320" s="115"/>
      <c r="CD320" s="115"/>
      <c r="CE320" s="115"/>
      <c r="CF320" s="115"/>
      <c r="CG320" s="115"/>
      <c r="CH320" s="115"/>
      <c r="CI320" s="115"/>
      <c r="CJ320" s="115"/>
      <c r="CK320" s="115"/>
      <c r="CL320" s="115"/>
      <c r="CM320" s="115"/>
      <c r="CN320" s="115"/>
      <c r="CO320" s="115"/>
      <c r="CP320" s="115"/>
    </row>
    <row r="321" ht="15.75" customHeight="1">
      <c r="A321" s="993" t="s">
        <v>1716</v>
      </c>
      <c r="B321" s="984"/>
      <c r="C321" s="985" t="s">
        <v>190</v>
      </c>
      <c r="D321" s="1005" t="s">
        <v>1717</v>
      </c>
      <c r="E321" s="1006" t="s">
        <v>1718</v>
      </c>
      <c r="F321" s="708" t="s">
        <v>1719</v>
      </c>
      <c r="G321" s="286"/>
      <c r="H321" s="119" t="s">
        <v>194</v>
      </c>
      <c r="I321" s="25" t="s">
        <v>195</v>
      </c>
      <c r="J321" s="287"/>
      <c r="K321" s="25">
        <v>2.0</v>
      </c>
      <c r="L321" s="25">
        <v>2012.0</v>
      </c>
      <c r="M321" s="123"/>
      <c r="N321" s="123"/>
      <c r="O321" s="27" t="str">
        <f t="shared" si="3"/>
        <v>#N/A</v>
      </c>
      <c r="P321" s="28" t="str">
        <f t="shared" si="252"/>
        <v>#N/A</v>
      </c>
      <c r="Q321" s="28">
        <f t="shared" si="253"/>
        <v>319</v>
      </c>
      <c r="R321" s="55"/>
      <c r="S321" s="55"/>
      <c r="T321" s="55"/>
      <c r="U321" s="55"/>
      <c r="V321" s="30">
        <f t="shared" si="28"/>
        <v>36600000</v>
      </c>
      <c r="W321" s="30"/>
      <c r="X321" s="403"/>
      <c r="Y321" s="403"/>
      <c r="Z321" s="692"/>
      <c r="AA321" s="665"/>
      <c r="AB321" s="123"/>
      <c r="AC321" s="123"/>
      <c r="AD321" s="452"/>
      <c r="AE321" s="123"/>
      <c r="AF321" s="62">
        <v>42480.0</v>
      </c>
      <c r="AG321" s="170">
        <v>1600000.0</v>
      </c>
      <c r="AH321" s="123"/>
      <c r="AI321" s="123"/>
      <c r="AJ321" s="404">
        <v>43289.0</v>
      </c>
      <c r="AK321" s="170">
        <v>5000000.0</v>
      </c>
      <c r="AL321" s="404">
        <v>44868.0</v>
      </c>
      <c r="AM321" s="170">
        <v>3.0E7</v>
      </c>
      <c r="AN321" s="123"/>
      <c r="AO321" s="123"/>
      <c r="AP321" s="123"/>
      <c r="AQ321" s="123"/>
      <c r="AR321" s="123"/>
      <c r="AS321" s="123"/>
      <c r="AT321" s="123"/>
      <c r="AU321" s="137"/>
      <c r="AV321" s="123"/>
      <c r="AW321" s="38"/>
      <c r="AX321" s="123"/>
      <c r="AY321" s="38"/>
      <c r="AZ321" s="123"/>
      <c r="BA321" s="137"/>
      <c r="BB321" s="123"/>
      <c r="BC321" s="137"/>
      <c r="BD321" s="123"/>
      <c r="BE321" s="125"/>
      <c r="BF321" s="123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</row>
    <row r="322" ht="15.75" customHeight="1">
      <c r="A322" s="996" t="s">
        <v>1720</v>
      </c>
      <c r="B322" s="984"/>
      <c r="C322" s="985" t="s">
        <v>59</v>
      </c>
      <c r="D322" s="1014"/>
      <c r="E322" s="982" t="s">
        <v>1721</v>
      </c>
      <c r="F322" s="389" t="s">
        <v>1722</v>
      </c>
      <c r="G322" s="119"/>
      <c r="H322" s="119" t="s">
        <v>1723</v>
      </c>
      <c r="I322" s="25" t="s">
        <v>65</v>
      </c>
      <c r="J322" s="287"/>
      <c r="K322" s="25">
        <v>3.0</v>
      </c>
      <c r="L322" s="25">
        <v>2022.0</v>
      </c>
      <c r="M322" s="25"/>
      <c r="N322" s="25"/>
      <c r="O322" s="27" t="str">
        <f t="shared" si="3"/>
        <v>#N/A</v>
      </c>
      <c r="P322" s="55"/>
      <c r="Q322" s="55"/>
      <c r="R322" s="55"/>
      <c r="S322" s="55"/>
      <c r="T322" s="55"/>
      <c r="U322" s="55"/>
      <c r="V322" s="30">
        <f t="shared" si="28"/>
        <v>36600000</v>
      </c>
      <c r="W322" s="30"/>
      <c r="X322" s="597"/>
      <c r="Y322" s="597"/>
      <c r="Z322" s="692"/>
      <c r="AA322" s="665"/>
      <c r="AB322" s="123"/>
      <c r="AC322" s="123"/>
      <c r="AD322" s="124"/>
      <c r="AE322" s="125"/>
      <c r="AF322" s="194" t="str">
        <f>HYPERLINK("https://www.crunchbase.com/funding_round/solarcycle-inc-seed-db1dba61","Jun 1, 2022")</f>
        <v>Jun 1, 2022</v>
      </c>
      <c r="AG322" s="127">
        <v>6600000.0</v>
      </c>
      <c r="AH322" s="123"/>
      <c r="AI322" s="128"/>
      <c r="AJ322" s="729">
        <v>45000.0</v>
      </c>
      <c r="AK322" s="196">
        <v>3.0E7</v>
      </c>
      <c r="AL322" s="195"/>
      <c r="AM322" s="730"/>
      <c r="AN322" s="195"/>
      <c r="AO322" s="730"/>
      <c r="AP322" s="195"/>
      <c r="AQ322" s="730"/>
      <c r="AR322" s="195"/>
      <c r="AS322" s="197"/>
      <c r="AT322" s="124"/>
      <c r="AU322" s="137"/>
      <c r="AV322" s="124"/>
      <c r="AW322" s="38"/>
      <c r="AX322" s="124"/>
      <c r="AY322" s="38"/>
      <c r="AZ322" s="124"/>
      <c r="BA322" s="137"/>
      <c r="BB322" s="124"/>
      <c r="BC322" s="137"/>
      <c r="BD322" s="124"/>
      <c r="BE322" s="38"/>
      <c r="BF322" s="123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</row>
    <row r="323" ht="15.75" customHeight="1">
      <c r="A323" s="978" t="s">
        <v>1724</v>
      </c>
      <c r="B323" s="980" t="s">
        <v>1725</v>
      </c>
      <c r="C323" s="980" t="s">
        <v>123</v>
      </c>
      <c r="D323" s="1009" t="s">
        <v>1726</v>
      </c>
      <c r="E323" s="1015" t="s">
        <v>1727</v>
      </c>
      <c r="F323" s="271" t="s">
        <v>1728</v>
      </c>
      <c r="G323" s="1016" t="s">
        <v>1304</v>
      </c>
      <c r="H323" s="71" t="s">
        <v>1304</v>
      </c>
      <c r="I323" s="26" t="s">
        <v>65</v>
      </c>
      <c r="J323" s="72"/>
      <c r="K323" s="26">
        <v>2.0</v>
      </c>
      <c r="L323" s="26">
        <v>2014.0</v>
      </c>
      <c r="M323" s="25">
        <f>year(now()) -L323</f>
        <v>11</v>
      </c>
      <c r="N323" s="26">
        <f>counta(AE323,AG323,AI323,AK323,AM323,AO323,AQ323,AS323,AU323,AW323,AY323,BA323,BC323)</f>
        <v>2</v>
      </c>
      <c r="O323" s="27" t="str">
        <f t="shared" si="3"/>
        <v>#N/A</v>
      </c>
      <c r="P323" s="28">
        <f>RANK(T323,$T$2:$T$333)</f>
        <v>203</v>
      </c>
      <c r="Q323" s="28">
        <f>rank(V323,$V$2:$V$344)</f>
        <v>321</v>
      </c>
      <c r="R323" s="28"/>
      <c r="S323" s="28"/>
      <c r="T323" s="29">
        <f>V323/M323</f>
        <v>3318181.818</v>
      </c>
      <c r="U323" s="28"/>
      <c r="V323" s="30">
        <f t="shared" si="28"/>
        <v>36500000</v>
      </c>
      <c r="W323" s="30"/>
      <c r="X323" s="32">
        <f>(max(AE323,AG323,AI323,AK323,AM323,AO323,AQ323,AS323,AU323,AW323,AY323,BA323,BC323)/min(AE323,AG323,AI323,AK323,AM323,AO323,AQ323,AS323,AU323,AW323,AY323,BA323,BC323))^(1/N323)-1</f>
        <v>0.4744195615</v>
      </c>
      <c r="Y323" s="33">
        <f>(max(AE323,AG323,AI323,AK323,AM323,AO323,AQ323,AS323,AU323,AW323,AY323,BA323,BC323)/min(AE323,AG323,AI323,AK323,AM323,AO323,AQ323,AS323,AU323,AW323,AY323,BA323,BC323))^(1/M323)-1</f>
        <v>0.07314493203</v>
      </c>
      <c r="Z323" s="692"/>
      <c r="AA323" s="665"/>
      <c r="AB323" s="74"/>
      <c r="AC323" s="74"/>
      <c r="AD323" s="79"/>
      <c r="AE323" s="84"/>
      <c r="AF323" s="338"/>
      <c r="AG323" s="84"/>
      <c r="AH323" s="77"/>
      <c r="AI323" s="435"/>
      <c r="AJ323" s="181" t="str">
        <f>HYPERLINK("https://www.crunchbase.com/funding_round/calthorpe-analytics-series-a--17d6187c"," Feb 13, 2020        
")</f>
        <v> Feb 13, 2020        
</v>
      </c>
      <c r="AK323" s="76">
        <v>1.15E7</v>
      </c>
      <c r="AL323" s="181" t="str">
        <f>HYPERLINK("https://www.crunchbase.com/funding_round/calthorpe-analytics-series-b--a47615f2","May 18, 2022")</f>
        <v>May 18, 2022</v>
      </c>
      <c r="AM323" s="76">
        <v>2.5E7</v>
      </c>
      <c r="AN323" s="79"/>
      <c r="AO323" s="76"/>
      <c r="AP323" s="79"/>
      <c r="AQ323" s="84"/>
      <c r="AR323" s="79"/>
      <c r="AS323" s="79"/>
      <c r="AT323" s="79"/>
      <c r="AU323" s="80"/>
      <c r="AV323" s="79"/>
      <c r="AW323" s="38"/>
      <c r="AX323" s="79"/>
      <c r="AY323" s="38"/>
      <c r="AZ323" s="79"/>
      <c r="BA323" s="80"/>
      <c r="BB323" s="79"/>
      <c r="BC323" s="80"/>
      <c r="BD323" s="79"/>
      <c r="BE323" s="84"/>
      <c r="BF323" s="74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</row>
    <row r="324" ht="15.75" customHeight="1">
      <c r="A324" s="996" t="s">
        <v>1729</v>
      </c>
      <c r="B324" s="979"/>
      <c r="C324" s="980" t="s">
        <v>702</v>
      </c>
      <c r="D324" s="1017" t="s">
        <v>1730</v>
      </c>
      <c r="E324" s="1018" t="s">
        <v>1731</v>
      </c>
      <c r="F324" s="389" t="s">
        <v>1732</v>
      </c>
      <c r="G324" s="71" t="s">
        <v>1733</v>
      </c>
      <c r="H324" s="71" t="s">
        <v>752</v>
      </c>
      <c r="I324" s="26" t="s">
        <v>753</v>
      </c>
      <c r="J324" s="72" t="s">
        <v>1734</v>
      </c>
      <c r="K324" s="26">
        <v>1.0</v>
      </c>
      <c r="L324" s="26">
        <v>2015.0</v>
      </c>
      <c r="M324" s="25"/>
      <c r="N324" s="26"/>
      <c r="O324" s="27" t="str">
        <f t="shared" si="3"/>
        <v>#N/A</v>
      </c>
      <c r="P324" s="273"/>
      <c r="Q324" s="273"/>
      <c r="R324" s="273"/>
      <c r="S324" s="273"/>
      <c r="T324" s="273"/>
      <c r="U324" s="273"/>
      <c r="V324" s="30">
        <f t="shared" si="28"/>
        <v>36200000</v>
      </c>
      <c r="W324" s="30"/>
      <c r="X324" s="73"/>
      <c r="Y324" s="73"/>
      <c r="Z324" s="692"/>
      <c r="AA324" s="665"/>
      <c r="AB324" s="74"/>
      <c r="AC324" s="74"/>
      <c r="AD324" s="79"/>
      <c r="AE324" s="84"/>
      <c r="AF324" s="885">
        <v>42991.0</v>
      </c>
      <c r="AG324" s="76">
        <v>1200000.0</v>
      </c>
      <c r="AH324" s="74"/>
      <c r="AI324" s="78"/>
      <c r="AJ324" s="391">
        <v>43739.0</v>
      </c>
      <c r="AK324" s="1019">
        <v>3300000.0</v>
      </c>
      <c r="AL324" s="75">
        <v>44886.0</v>
      </c>
      <c r="AM324" s="76">
        <v>3.17E7</v>
      </c>
      <c r="AN324" s="79"/>
      <c r="AO324" s="84"/>
      <c r="AP324" s="79"/>
      <c r="AQ324" s="84"/>
      <c r="AR324" s="79"/>
      <c r="AS324" s="79"/>
      <c r="AT324" s="79"/>
      <c r="AU324" s="80"/>
      <c r="AV324" s="79"/>
      <c r="AW324" s="38"/>
      <c r="AX324" s="79"/>
      <c r="AY324" s="38"/>
      <c r="AZ324" s="79"/>
      <c r="BA324" s="80"/>
      <c r="BB324" s="79"/>
      <c r="BC324" s="80"/>
      <c r="BD324" s="79"/>
      <c r="BE324" s="84"/>
      <c r="BF324" s="74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</row>
    <row r="325" ht="15.75" customHeight="1">
      <c r="A325" s="993" t="s">
        <v>1735</v>
      </c>
      <c r="B325" s="984"/>
      <c r="C325" s="985" t="s">
        <v>267</v>
      </c>
      <c r="D325" s="1005" t="s">
        <v>1736</v>
      </c>
      <c r="E325" s="1006" t="s">
        <v>1737</v>
      </c>
      <c r="F325" s="402" t="s">
        <v>1738</v>
      </c>
      <c r="G325" s="286"/>
      <c r="H325" s="119" t="s">
        <v>365</v>
      </c>
      <c r="I325" s="25" t="s">
        <v>65</v>
      </c>
      <c r="J325" s="287"/>
      <c r="K325" s="25">
        <v>2.0</v>
      </c>
      <c r="L325" s="25">
        <v>2019.0</v>
      </c>
      <c r="M325" s="123"/>
      <c r="N325" s="123"/>
      <c r="O325" s="27" t="str">
        <f t="shared" si="3"/>
        <v>#N/A</v>
      </c>
      <c r="P325" s="55"/>
      <c r="Q325" s="55"/>
      <c r="R325" s="55"/>
      <c r="S325" s="55"/>
      <c r="T325" s="55"/>
      <c r="U325" s="55"/>
      <c r="V325" s="30">
        <f t="shared" si="28"/>
        <v>36200000</v>
      </c>
      <c r="W325" s="31">
        <v>2600000.0</v>
      </c>
      <c r="X325" s="403"/>
      <c r="Y325" s="403"/>
      <c r="Z325" s="692"/>
      <c r="AA325" s="665"/>
      <c r="AB325" s="123"/>
      <c r="AC325" s="123"/>
      <c r="AD325" s="355"/>
      <c r="AE325" s="38"/>
      <c r="AF325" s="355"/>
      <c r="AG325" s="38"/>
      <c r="AH325" s="123"/>
      <c r="AI325" s="123"/>
      <c r="AJ325" s="123"/>
      <c r="AK325" s="123"/>
      <c r="AL325" s="123"/>
      <c r="AM325" s="123"/>
      <c r="AN325" s="123"/>
      <c r="AO325" s="123"/>
      <c r="AP325" s="123"/>
      <c r="AQ325" s="123"/>
      <c r="AR325" s="123"/>
      <c r="AS325" s="123"/>
      <c r="AT325" s="123"/>
      <c r="AU325" s="137"/>
      <c r="AV325" s="123"/>
      <c r="AW325" s="38"/>
      <c r="AX325" s="123"/>
      <c r="AY325" s="38"/>
      <c r="AZ325" s="404">
        <v>44503.0</v>
      </c>
      <c r="BA325" s="170">
        <v>1.62E7</v>
      </c>
      <c r="BB325" s="404">
        <v>44882.0</v>
      </c>
      <c r="BC325" s="170">
        <v>2.0E7</v>
      </c>
      <c r="BD325" s="123"/>
      <c r="BE325" s="125"/>
      <c r="BF325" s="123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</row>
    <row r="326" ht="15.75" customHeight="1">
      <c r="A326" s="1020" t="s">
        <v>1739</v>
      </c>
      <c r="B326" s="989" t="s">
        <v>1740</v>
      </c>
      <c r="C326" s="989" t="s">
        <v>123</v>
      </c>
      <c r="D326" s="245"/>
      <c r="E326" s="982" t="s">
        <v>1741</v>
      </c>
      <c r="F326" s="118" t="s">
        <v>1742</v>
      </c>
      <c r="G326" s="22" t="s">
        <v>1743</v>
      </c>
      <c r="H326" s="22" t="s">
        <v>394</v>
      </c>
      <c r="I326" s="23" t="s">
        <v>1395</v>
      </c>
      <c r="J326" s="24"/>
      <c r="K326" s="23"/>
      <c r="L326" s="23">
        <v>2017.0</v>
      </c>
      <c r="M326" s="25">
        <f t="shared" ref="M326:M330" si="259">year(now()) -L326</f>
        <v>8</v>
      </c>
      <c r="N326" s="26">
        <f t="shared" ref="N326:N330" si="260">counta(AE326,AG326,AI326,AK326,AM326,AO326,AQ326,AS326,AU326,AW326,AY326,BA326,BC326)</f>
        <v>4</v>
      </c>
      <c r="O326" s="27" t="str">
        <f t="shared" si="3"/>
        <v>#N/A</v>
      </c>
      <c r="P326" s="28">
        <f t="shared" ref="P326:P360" si="261">RANK(T326,$T$2:$T$333)</f>
        <v>181</v>
      </c>
      <c r="Q326" s="28">
        <f t="shared" ref="Q326:Q360" si="262">rank(V326,$V$2:$V$344)</f>
        <v>324</v>
      </c>
      <c r="R326" s="28"/>
      <c r="S326" s="28"/>
      <c r="T326" s="29">
        <f t="shared" ref="T326:T330" si="263">V326/M326</f>
        <v>4493750</v>
      </c>
      <c r="U326" s="28"/>
      <c r="V326" s="30">
        <f t="shared" si="28"/>
        <v>35950000</v>
      </c>
      <c r="W326" s="30"/>
      <c r="X326" s="32">
        <f t="shared" ref="X326:X330" si="264">(max(AE326,AG326,AI326,AK326,AM326,AO326,AQ326,AS326,AU326,AW326,AY326,BA326,BC326)/min(AE326,AG326,AI326,AK326,AM326,AO326,AQ326,AS326,AU326,AW326,AY326,BA326,BC326))^(1/N326)-1</f>
        <v>3.16179145</v>
      </c>
      <c r="Y326" s="33">
        <f t="shared" ref="Y326:Y330" si="265">(max(AE326,AG326,AI326,AK326,AM326,AO326,AQ326,AS326,AU326,AW326,AY326,BA326,BC326)/min(AE326,AG326,AI326,AK326,AM326,AO326,AQ326,AS326,AU326,AW326,AY326,BA326,BC326))^(1/M326)-1</f>
        <v>1.040046924</v>
      </c>
      <c r="Z326" s="692"/>
      <c r="AA326" s="665"/>
      <c r="AB326" s="36"/>
      <c r="AC326" s="36"/>
      <c r="AD326" s="227">
        <v>43238.0</v>
      </c>
      <c r="AE326" s="38">
        <v>100000.0</v>
      </c>
      <c r="AF326" s="225">
        <v>43734.0</v>
      </c>
      <c r="AG326" s="38">
        <v>150000.0</v>
      </c>
      <c r="AH326" s="36"/>
      <c r="AI326" s="159"/>
      <c r="AJ326" s="42">
        <v>44118.0</v>
      </c>
      <c r="AK326" s="38">
        <v>5700000.0</v>
      </c>
      <c r="AL326" s="43" t="str">
        <f>HYPERLINK("https://techcrunch.com/2021/12/17/cove-tool-raises-30m/?guccounter=1&amp;guce_referrer=aHR0cHM6Ly92ZXJ0aWNhbHRlY2guc3Vic3RhY2suY29tLw&amp;guce_referrer_sig=AQAAAHlQzWADWz5dk0wqUFX9-lP1GDSnpnEenH2V2-70WU2zkLhYYCYP3zr8ITHBusuKqwB3Rg7kmuxOehE2oouh6RThz_j1ISflZ6tVil1"&amp;"sxQ79TzNTOvbbzbbFXKP_XFyRABsIUlBDQzD2WebkFiT7HRBUeqI4uUIf7E_WgjzGmCB4","Dec 17, 2021")</f>
        <v>Dec 17, 2021</v>
      </c>
      <c r="AM326" s="38">
        <v>3.0E7</v>
      </c>
      <c r="AN326" s="23"/>
      <c r="AO326" s="46"/>
      <c r="AP326" s="44"/>
      <c r="AQ326" s="46"/>
      <c r="AR326" s="44"/>
      <c r="AS326" s="44"/>
      <c r="AT326" s="44"/>
      <c r="AU326" s="45"/>
      <c r="AV326" s="44"/>
      <c r="AW326" s="38"/>
      <c r="AX326" s="44"/>
      <c r="AY326" s="38"/>
      <c r="AZ326" s="44"/>
      <c r="BA326" s="45"/>
      <c r="BB326" s="44"/>
      <c r="BC326" s="45"/>
      <c r="BD326" s="44"/>
      <c r="BE326" s="46"/>
      <c r="BF326" s="36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</row>
    <row r="327" ht="15.75" customHeight="1">
      <c r="A327" s="978" t="s">
        <v>1744</v>
      </c>
      <c r="B327" s="979"/>
      <c r="C327" s="1004" t="s">
        <v>1745</v>
      </c>
      <c r="D327" s="981" t="s">
        <v>1746</v>
      </c>
      <c r="E327" s="982" t="s">
        <v>1747</v>
      </c>
      <c r="F327" s="118" t="s">
        <v>1748</v>
      </c>
      <c r="G327" s="71" t="s">
        <v>1749</v>
      </c>
      <c r="H327" s="71" t="s">
        <v>64</v>
      </c>
      <c r="I327" s="26" t="s">
        <v>65</v>
      </c>
      <c r="J327" s="72" t="s">
        <v>1750</v>
      </c>
      <c r="K327" s="26">
        <v>2.0</v>
      </c>
      <c r="L327" s="26">
        <v>2016.0</v>
      </c>
      <c r="M327" s="25">
        <f t="shared" si="259"/>
        <v>9</v>
      </c>
      <c r="N327" s="26">
        <f t="shared" si="260"/>
        <v>2</v>
      </c>
      <c r="O327" s="27" t="str">
        <f t="shared" si="3"/>
        <v>#N/A</v>
      </c>
      <c r="P327" s="28">
        <f t="shared" si="261"/>
        <v>193</v>
      </c>
      <c r="Q327" s="28">
        <f t="shared" si="262"/>
        <v>325</v>
      </c>
      <c r="R327" s="28"/>
      <c r="S327" s="28"/>
      <c r="T327" s="29">
        <f t="shared" si="263"/>
        <v>3900000</v>
      </c>
      <c r="U327" s="28"/>
      <c r="V327" s="30">
        <f t="shared" si="28"/>
        <v>35100000</v>
      </c>
      <c r="W327" s="30"/>
      <c r="X327" s="32">
        <f t="shared" si="264"/>
        <v>0.5732919388</v>
      </c>
      <c r="Y327" s="33">
        <f t="shared" si="265"/>
        <v>0.1059497731</v>
      </c>
      <c r="Z327" s="692"/>
      <c r="AA327" s="665"/>
      <c r="AB327" s="74"/>
      <c r="AC327" s="74"/>
      <c r="AD327" s="79"/>
      <c r="AE327" s="84"/>
      <c r="AF327" s="338"/>
      <c r="AG327" s="84"/>
      <c r="AH327" s="74"/>
      <c r="AI327" s="78"/>
      <c r="AJ327" s="1021">
        <v>43031.0</v>
      </c>
      <c r="AK327" s="971">
        <v>1.01E7</v>
      </c>
      <c r="AL327" s="42">
        <v>44133.0</v>
      </c>
      <c r="AM327" s="76">
        <v>2.5E7</v>
      </c>
      <c r="AN327" s="79"/>
      <c r="AO327" s="84"/>
      <c r="AP327" s="79"/>
      <c r="AQ327" s="84"/>
      <c r="AR327" s="79"/>
      <c r="AS327" s="79"/>
      <c r="AT327" s="79"/>
      <c r="AU327" s="80"/>
      <c r="AV327" s="79"/>
      <c r="AW327" s="38"/>
      <c r="AX327" s="79"/>
      <c r="AY327" s="38"/>
      <c r="AZ327" s="79"/>
      <c r="BA327" s="80"/>
      <c r="BB327" s="79"/>
      <c r="BC327" s="80"/>
      <c r="BD327" s="79"/>
      <c r="BE327" s="84"/>
      <c r="BF327" s="74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</row>
    <row r="328" ht="15.75" customHeight="1">
      <c r="A328" s="1022" t="s">
        <v>1751</v>
      </c>
      <c r="B328" s="988"/>
      <c r="C328" s="989" t="s">
        <v>84</v>
      </c>
      <c r="D328" s="1001"/>
      <c r="E328" s="1010" t="s">
        <v>1752</v>
      </c>
      <c r="F328" s="803" t="s">
        <v>1753</v>
      </c>
      <c r="G328" s="22"/>
      <c r="H328" s="22" t="s">
        <v>271</v>
      </c>
      <c r="I328" s="23" t="s">
        <v>272</v>
      </c>
      <c r="J328" s="24"/>
      <c r="K328" s="23"/>
      <c r="L328" s="23">
        <v>2019.0</v>
      </c>
      <c r="M328" s="25">
        <f t="shared" si="259"/>
        <v>6</v>
      </c>
      <c r="N328" s="26">
        <f t="shared" si="260"/>
        <v>2</v>
      </c>
      <c r="O328" s="27" t="str">
        <f t="shared" si="3"/>
        <v>#N/A</v>
      </c>
      <c r="P328" s="28">
        <f t="shared" si="261"/>
        <v>158</v>
      </c>
      <c r="Q328" s="28">
        <f t="shared" si="262"/>
        <v>326</v>
      </c>
      <c r="R328" s="28"/>
      <c r="S328" s="28"/>
      <c r="T328" s="29">
        <f t="shared" si="263"/>
        <v>5833333.333</v>
      </c>
      <c r="U328" s="28"/>
      <c r="V328" s="30">
        <f t="shared" si="28"/>
        <v>35000000</v>
      </c>
      <c r="W328" s="30"/>
      <c r="X328" s="32">
        <f t="shared" si="264"/>
        <v>0.5811388301</v>
      </c>
      <c r="Y328" s="33">
        <f t="shared" si="265"/>
        <v>0.1649930508</v>
      </c>
      <c r="Z328" s="692"/>
      <c r="AA328" s="665"/>
      <c r="AB328" s="36"/>
      <c r="AC328" s="36"/>
      <c r="AD328" s="1023">
        <v>44025.0</v>
      </c>
      <c r="AE328" s="38"/>
      <c r="AF328" s="158" t="str">
        <f>HYPERLINK("https://www.crunchbase.com/funding_round/arrived-homes-seed--010a9f53","Jun 16, 2021")</f>
        <v>Jun 16, 2021</v>
      </c>
      <c r="AG328" s="38">
        <v>1.0E7</v>
      </c>
      <c r="AH328" s="226"/>
      <c r="AI328" s="38"/>
      <c r="AJ328" s="228" t="str">
        <f>HYPERLINK("https://www.crunchbase.com/funding_round/arrived-homes-series-a--1cc960d0","May 17, 2022")</f>
        <v>May 17, 2022</v>
      </c>
      <c r="AK328" s="38">
        <v>2.5E7</v>
      </c>
      <c r="AL328" s="37"/>
      <c r="AM328" s="38"/>
      <c r="AN328" s="44"/>
      <c r="AO328" s="46"/>
      <c r="AP328" s="44"/>
      <c r="AQ328" s="46"/>
      <c r="AR328" s="44"/>
      <c r="AS328" s="44"/>
      <c r="AT328" s="44"/>
      <c r="AU328" s="45"/>
      <c r="AV328" s="44"/>
      <c r="AW328" s="38"/>
      <c r="AX328" s="44"/>
      <c r="AY328" s="38"/>
      <c r="AZ328" s="44"/>
      <c r="BA328" s="45"/>
      <c r="BB328" s="44"/>
      <c r="BC328" s="45"/>
      <c r="BD328" s="44"/>
      <c r="BE328" s="46"/>
      <c r="BF328" s="3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</row>
    <row r="329" ht="15.75" customHeight="1">
      <c r="A329" s="978" t="s">
        <v>1754</v>
      </c>
      <c r="B329" s="979"/>
      <c r="C329" s="980" t="s">
        <v>59</v>
      </c>
      <c r="D329" s="1001" t="s">
        <v>1755</v>
      </c>
      <c r="E329" s="991" t="s">
        <v>1756</v>
      </c>
      <c r="F329" s="173" t="s">
        <v>1757</v>
      </c>
      <c r="G329" s="273"/>
      <c r="H329" s="810"/>
      <c r="I329" s="810"/>
      <c r="J329" s="273"/>
      <c r="K329" s="26">
        <v>1.0</v>
      </c>
      <c r="L329" s="26">
        <v>2015.0</v>
      </c>
      <c r="M329" s="25">
        <f t="shared" si="259"/>
        <v>10</v>
      </c>
      <c r="N329" s="26">
        <f t="shared" si="260"/>
        <v>2</v>
      </c>
      <c r="O329" s="27" t="str">
        <f t="shared" si="3"/>
        <v>#N/A</v>
      </c>
      <c r="P329" s="28">
        <f t="shared" si="261"/>
        <v>202</v>
      </c>
      <c r="Q329" s="28">
        <f t="shared" si="262"/>
        <v>326</v>
      </c>
      <c r="R329" s="28"/>
      <c r="S329" s="28"/>
      <c r="T329" s="29">
        <f t="shared" si="263"/>
        <v>3500000</v>
      </c>
      <c r="U329" s="28"/>
      <c r="V329" s="30">
        <f t="shared" si="28"/>
        <v>35000000</v>
      </c>
      <c r="W329" s="30"/>
      <c r="X329" s="32">
        <f t="shared" si="264"/>
        <v>1.449489743</v>
      </c>
      <c r="Y329" s="33">
        <f t="shared" si="265"/>
        <v>0.1962311989</v>
      </c>
      <c r="Z329" s="692"/>
      <c r="AA329" s="665"/>
      <c r="AB329" s="74"/>
      <c r="AC329" s="74"/>
      <c r="AD329" s="79"/>
      <c r="AE329" s="84"/>
      <c r="AF329" s="856" t="str">
        <f>HYPERLINK("https://www.crunchbase.com/funding_round/haulhub-seed--338ff25f"," 11/1/2018")</f>
        <v> 11/1/2018</v>
      </c>
      <c r="AG329" s="76">
        <v>5000000.0</v>
      </c>
      <c r="AH329" s="74"/>
      <c r="AI329" s="78"/>
      <c r="AJ329" s="79"/>
      <c r="AK329" s="84"/>
      <c r="AL329" s="181" t="str">
        <f>HYPERLINK("https://www.crunchbase.com/funding_round/haulhub-series-b--4de89ba4","2 Mar 5, 2020")</f>
        <v>2 Mar 5, 2020</v>
      </c>
      <c r="AM329" s="76">
        <v>3.0E7</v>
      </c>
      <c r="AN329" s="79"/>
      <c r="AO329" s="84"/>
      <c r="AP329" s="79"/>
      <c r="AQ329" s="84"/>
      <c r="AR329" s="79"/>
      <c r="AS329" s="79"/>
      <c r="AT329" s="79"/>
      <c r="AU329" s="80"/>
      <c r="AV329" s="79"/>
      <c r="AW329" s="38"/>
      <c r="AX329" s="79"/>
      <c r="AY329" s="38"/>
      <c r="AZ329" s="79"/>
      <c r="BA329" s="80"/>
      <c r="BB329" s="79"/>
      <c r="BC329" s="80"/>
      <c r="BD329" s="79"/>
      <c r="BE329" s="84"/>
      <c r="BF329" s="74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</row>
    <row r="330" ht="15.75" customHeight="1">
      <c r="A330" s="1024" t="s">
        <v>1758</v>
      </c>
      <c r="B330" s="979" t="s">
        <v>719</v>
      </c>
      <c r="C330" s="980" t="s">
        <v>207</v>
      </c>
      <c r="D330" s="1025" t="s">
        <v>1759</v>
      </c>
      <c r="E330" s="1026" t="s">
        <v>1760</v>
      </c>
      <c r="F330" s="185" t="s">
        <v>1761</v>
      </c>
      <c r="G330" s="186" t="s">
        <v>1762</v>
      </c>
      <c r="H330" s="186" t="s">
        <v>1763</v>
      </c>
      <c r="I330" s="74" t="s">
        <v>1764</v>
      </c>
      <c r="J330" s="155" t="s">
        <v>1765</v>
      </c>
      <c r="K330" s="74">
        <v>2.0</v>
      </c>
      <c r="L330" s="26">
        <v>2014.0</v>
      </c>
      <c r="M330" s="25">
        <f t="shared" si="259"/>
        <v>11</v>
      </c>
      <c r="N330" s="26">
        <f t="shared" si="260"/>
        <v>1</v>
      </c>
      <c r="O330" s="27" t="str">
        <f t="shared" si="3"/>
        <v>#N/A</v>
      </c>
      <c r="P330" s="28">
        <f t="shared" si="261"/>
        <v>205</v>
      </c>
      <c r="Q330" s="28">
        <f t="shared" si="262"/>
        <v>326</v>
      </c>
      <c r="R330" s="28"/>
      <c r="S330" s="28"/>
      <c r="T330" s="29">
        <f t="shared" si="263"/>
        <v>3181818.182</v>
      </c>
      <c r="U330" s="28"/>
      <c r="V330" s="30">
        <f t="shared" si="28"/>
        <v>35000000</v>
      </c>
      <c r="W330" s="30"/>
      <c r="X330" s="32">
        <f t="shared" si="264"/>
        <v>0</v>
      </c>
      <c r="Y330" s="33">
        <f t="shared" si="265"/>
        <v>0</v>
      </c>
      <c r="Z330" s="692"/>
      <c r="AA330" s="665"/>
      <c r="AB330" s="74"/>
      <c r="AC330" s="74"/>
      <c r="AD330" s="79"/>
      <c r="AE330" s="84"/>
      <c r="AF330" s="338"/>
      <c r="AG330" s="84"/>
      <c r="AH330" s="74"/>
      <c r="AI330" s="78"/>
      <c r="AJ330" s="1027" t="str">
        <f>HYPERLINK("https://www.crunchbase.com/organization/mindspace#section-funding-rounds"," Mar 1, 2017")</f>
        <v> Mar 1, 2017</v>
      </c>
      <c r="AK330" s="1028">
        <v>3.5E7</v>
      </c>
      <c r="AL330" s="1029"/>
      <c r="AM330" s="1028"/>
      <c r="AN330" s="79"/>
      <c r="AO330" s="84"/>
      <c r="AP330" s="79"/>
      <c r="AQ330" s="84"/>
      <c r="AR330" s="79"/>
      <c r="AS330" s="79"/>
      <c r="AT330" s="79"/>
      <c r="AU330" s="80"/>
      <c r="AV330" s="79"/>
      <c r="AW330" s="38"/>
      <c r="AX330" s="79"/>
      <c r="AY330" s="38"/>
      <c r="AZ330" s="79"/>
      <c r="BA330" s="80"/>
      <c r="BB330" s="79"/>
      <c r="BC330" s="80"/>
      <c r="BD330" s="79"/>
      <c r="BE330" s="84"/>
      <c r="BF330" s="74"/>
      <c r="BG330" s="115"/>
      <c r="BH330" s="115"/>
      <c r="BI330" s="115"/>
      <c r="BJ330" s="115"/>
      <c r="BK330" s="115"/>
      <c r="BL330" s="115"/>
      <c r="BM330" s="115"/>
      <c r="BN330" s="115"/>
      <c r="BO330" s="115"/>
      <c r="BP330" s="115"/>
      <c r="BQ330" s="115"/>
      <c r="BR330" s="115"/>
      <c r="BS330" s="115"/>
      <c r="BT330" s="115"/>
      <c r="BU330" s="115"/>
      <c r="BV330" s="115"/>
      <c r="BW330" s="115"/>
      <c r="BX330" s="115"/>
      <c r="BY330" s="115"/>
      <c r="BZ330" s="115"/>
      <c r="CA330" s="115"/>
      <c r="CB330" s="115"/>
      <c r="CC330" s="115"/>
      <c r="CD330" s="115"/>
      <c r="CE330" s="115"/>
      <c r="CF330" s="115"/>
      <c r="CG330" s="115"/>
      <c r="CH330" s="115"/>
      <c r="CI330" s="115"/>
      <c r="CJ330" s="115"/>
      <c r="CK330" s="115"/>
      <c r="CL330" s="115"/>
      <c r="CM330" s="115"/>
      <c r="CN330" s="115"/>
      <c r="CO330" s="115"/>
      <c r="CP330" s="115"/>
    </row>
    <row r="331" ht="15.75" customHeight="1">
      <c r="A331" s="978" t="s">
        <v>1766</v>
      </c>
      <c r="B331" s="988"/>
      <c r="C331" s="989" t="s">
        <v>84</v>
      </c>
      <c r="D331" s="1030" t="s">
        <v>1767</v>
      </c>
      <c r="E331" s="1031" t="s">
        <v>1768</v>
      </c>
      <c r="F331" s="118" t="s">
        <v>1769</v>
      </c>
      <c r="G331" s="186"/>
      <c r="H331" s="71" t="s">
        <v>64</v>
      </c>
      <c r="I331" s="26" t="s">
        <v>65</v>
      </c>
      <c r="J331" s="155"/>
      <c r="K331" s="26">
        <v>1.0</v>
      </c>
      <c r="L331" s="26"/>
      <c r="M331" s="25"/>
      <c r="N331" s="26"/>
      <c r="O331" s="27" t="str">
        <f t="shared" si="3"/>
        <v>#N/A</v>
      </c>
      <c r="P331" s="28" t="str">
        <f t="shared" si="261"/>
        <v>#N/A</v>
      </c>
      <c r="Q331" s="28">
        <f t="shared" si="262"/>
        <v>326</v>
      </c>
      <c r="R331" s="273"/>
      <c r="S331" s="273"/>
      <c r="T331" s="273"/>
      <c r="U331" s="273"/>
      <c r="V331" s="30">
        <f t="shared" si="28"/>
        <v>35000000</v>
      </c>
      <c r="W331" s="30"/>
      <c r="X331" s="73"/>
      <c r="Y331" s="73"/>
      <c r="Z331" s="692"/>
      <c r="AA331" s="665"/>
      <c r="AB331" s="74"/>
      <c r="AC331" s="74"/>
      <c r="AD331" s="79"/>
      <c r="AE331" s="84"/>
      <c r="AF331" s="175" t="str">
        <f>HYPERLINK("https://angel.co/company/vesta/funding","Dec 2020")</f>
        <v>Dec 2020</v>
      </c>
      <c r="AG331" s="38">
        <v>5000000.0</v>
      </c>
      <c r="AH331" s="46"/>
      <c r="AI331" s="78"/>
      <c r="AJ331" s="426" t="str">
        <f>HYPERLINK("https://techcrunch.com/2022/01/27/vesta-closes-on-30m-in-an-a16z-led-series-a-to-build-a-new-kind-of-mortgage-infrastructure/","Jan 27, 2022")</f>
        <v>Jan 27, 2022</v>
      </c>
      <c r="AK331" s="76">
        <v>3.0E7</v>
      </c>
      <c r="AL331" s="279"/>
      <c r="AM331" s="76"/>
      <c r="AN331" s="279"/>
      <c r="AO331" s="76"/>
      <c r="AP331" s="279"/>
      <c r="AQ331" s="76"/>
      <c r="AR331" s="227"/>
      <c r="AS331" s="427"/>
      <c r="AT331" s="79"/>
      <c r="AU331" s="80"/>
      <c r="AV331" s="79"/>
      <c r="AW331" s="38"/>
      <c r="AX331" s="79"/>
      <c r="AY331" s="38"/>
      <c r="AZ331" s="79"/>
      <c r="BA331" s="80"/>
      <c r="BB331" s="79"/>
      <c r="BC331" s="80"/>
      <c r="BD331" s="79"/>
      <c r="BE331" s="84"/>
      <c r="BF331" s="74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</row>
    <row r="332" ht="15.75" customHeight="1">
      <c r="A332" s="983" t="s">
        <v>1770</v>
      </c>
      <c r="B332" s="984" t="s">
        <v>719</v>
      </c>
      <c r="C332" s="984" t="s">
        <v>207</v>
      </c>
      <c r="D332" s="981" t="s">
        <v>1771</v>
      </c>
      <c r="E332" s="1032" t="s">
        <v>1772</v>
      </c>
      <c r="F332" s="893" t="s">
        <v>1773</v>
      </c>
      <c r="G332" s="286"/>
      <c r="H332" s="286" t="s">
        <v>328</v>
      </c>
      <c r="I332" s="123"/>
      <c r="J332" s="287"/>
      <c r="K332" s="25">
        <v>3.0</v>
      </c>
      <c r="L332" s="25">
        <v>2013.0</v>
      </c>
      <c r="M332" s="25">
        <f t="shared" ref="M332:M336" si="266">year(now()) -L332</f>
        <v>12</v>
      </c>
      <c r="N332" s="26">
        <f t="shared" ref="N332:N336" si="267">counta(AE332,AG332,AI332,AK332,AM332,AO332,AQ332,AS332,AU332,AW332,AY332,BA332,BC332)</f>
        <v>1</v>
      </c>
      <c r="O332" s="27" t="str">
        <f t="shared" si="3"/>
        <v>#N/A</v>
      </c>
      <c r="P332" s="28">
        <f t="shared" si="261"/>
        <v>209</v>
      </c>
      <c r="Q332" s="28">
        <f t="shared" si="262"/>
        <v>330</v>
      </c>
      <c r="R332" s="28"/>
      <c r="S332" s="28"/>
      <c r="T332" s="29">
        <f t="shared" ref="T332:T336" si="268">V332/M332</f>
        <v>2858333.333</v>
      </c>
      <c r="U332" s="28"/>
      <c r="V332" s="30">
        <f t="shared" si="28"/>
        <v>34300000</v>
      </c>
      <c r="W332" s="30"/>
      <c r="X332" s="32">
        <f t="shared" ref="X332:X336" si="269">(max(AE332,AG332,AI332,AK332,AM332,AO332,AQ332,AS332,AU332,AW332,AY332,BA332,BC332)/min(AE332,AG332,AI332,AK332,AM332,AO332,AQ332,AS332,AU332,AW332,AY332,BA332,BC332))^(1/N332)-1</f>
        <v>0</v>
      </c>
      <c r="Y332" s="33">
        <f t="shared" ref="Y332:Y336" si="270">(max(AE332,AG332,AI332,AK332,AM332,AO332,AQ332,AS332,AU332,AW332,AY332,BA332,BC332)/min(AE332,AG332,AI332,AK332,AM332,AO332,AQ332,AS332,AU332,AW332,AY332,BA332,BC332))^(1/M332)-1</f>
        <v>0</v>
      </c>
      <c r="Z332" s="692"/>
      <c r="AA332" s="665"/>
      <c r="AB332" s="123"/>
      <c r="AC332" s="123"/>
      <c r="AD332" s="124"/>
      <c r="AE332" s="125"/>
      <c r="AF332" s="55"/>
      <c r="AG332" s="127"/>
      <c r="AH332" s="881"/>
      <c r="AI332" s="128"/>
      <c r="AJ332" s="124"/>
      <c r="AK332" s="125"/>
      <c r="AL332" s="1033" t="str">
        <f>HYPERLINK("https://www.crunchbase.com/funding_round/hqo-series-b--3db9bb8e"," 12/17/2019")</f>
        <v> 12/17/2019</v>
      </c>
      <c r="AM332" s="1034">
        <v>3.43E7</v>
      </c>
      <c r="AN332" s="124"/>
      <c r="AO332" s="125"/>
      <c r="AP332" s="124"/>
      <c r="AQ332" s="125"/>
      <c r="AR332" s="124"/>
      <c r="AS332" s="124"/>
      <c r="AT332" s="124"/>
      <c r="AU332" s="137"/>
      <c r="AV332" s="124"/>
      <c r="AW332" s="38"/>
      <c r="AX332" s="124"/>
      <c r="AY332" s="38"/>
      <c r="AZ332" s="124"/>
      <c r="BA332" s="137"/>
      <c r="BB332" s="124"/>
      <c r="BC332" s="137"/>
      <c r="BD332" s="124"/>
      <c r="BE332" s="125"/>
      <c r="BF332" s="123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</row>
    <row r="333" ht="15.75" customHeight="1">
      <c r="A333" s="1024" t="s">
        <v>1774</v>
      </c>
      <c r="B333" s="979" t="s">
        <v>719</v>
      </c>
      <c r="C333" s="979" t="s">
        <v>755</v>
      </c>
      <c r="D333" s="1025" t="s">
        <v>1775</v>
      </c>
      <c r="E333" s="1026" t="s">
        <v>1776</v>
      </c>
      <c r="F333" s="185" t="s">
        <v>1777</v>
      </c>
      <c r="G333" s="71" t="s">
        <v>1778</v>
      </c>
      <c r="H333" s="186" t="s">
        <v>64</v>
      </c>
      <c r="I333" s="74" t="s">
        <v>65</v>
      </c>
      <c r="J333" s="72" t="s">
        <v>142</v>
      </c>
      <c r="K333" s="74">
        <v>2.0</v>
      </c>
      <c r="L333" s="26">
        <v>2014.0</v>
      </c>
      <c r="M333" s="25">
        <f t="shared" si="266"/>
        <v>11</v>
      </c>
      <c r="N333" s="26">
        <f t="shared" si="267"/>
        <v>3</v>
      </c>
      <c r="O333" s="27" t="str">
        <f t="shared" si="3"/>
        <v>#N/A</v>
      </c>
      <c r="P333" s="28">
        <f t="shared" si="261"/>
        <v>207</v>
      </c>
      <c r="Q333" s="28">
        <f t="shared" si="262"/>
        <v>331</v>
      </c>
      <c r="R333" s="28"/>
      <c r="S333" s="28"/>
      <c r="T333" s="29">
        <f t="shared" si="268"/>
        <v>3090909.091</v>
      </c>
      <c r="U333" s="28"/>
      <c r="V333" s="30">
        <f t="shared" si="28"/>
        <v>34000000</v>
      </c>
      <c r="W333" s="30"/>
      <c r="X333" s="32">
        <f t="shared" si="269"/>
        <v>1</v>
      </c>
      <c r="Y333" s="33">
        <f t="shared" si="270"/>
        <v>0.2080894444</v>
      </c>
      <c r="Z333" s="692"/>
      <c r="AA333" s="665"/>
      <c r="AB333" s="74"/>
      <c r="AC333" s="74"/>
      <c r="AD333" s="79"/>
      <c r="AE333" s="84"/>
      <c r="AF333" s="175" t="str">
        <f>HYPERLINK("https://www.crunchbase.com/organization/peerspace#section-funding-rounds"," Sep 17, 2014")</f>
        <v> Sep 17, 2014</v>
      </c>
      <c r="AG333" s="84">
        <v>2000000.0</v>
      </c>
      <c r="AH333" s="77"/>
      <c r="AI333" s="78"/>
      <c r="AJ333" s="181" t="str">
        <f>HYPERLINK("https://www.crunchbase.com/funding_round/peerspace-series-a--42297eff","Mar 6, 2017")</f>
        <v>Mar 6, 2017</v>
      </c>
      <c r="AK333" s="76">
        <v>1.6E7</v>
      </c>
      <c r="AL333" s="181" t="str">
        <f>HYPERLINK("https://www.crunchbase.com/funding_round/peerspace-series-b--97a01dbc","Jul 17, 2018")</f>
        <v>Jul 17, 2018</v>
      </c>
      <c r="AM333" s="84">
        <v>1.6E7</v>
      </c>
      <c r="AN333" s="79"/>
      <c r="AO333" s="84"/>
      <c r="AP333" s="79"/>
      <c r="AQ333" s="84"/>
      <c r="AR333" s="79"/>
      <c r="AS333" s="79"/>
      <c r="AT333" s="79"/>
      <c r="AU333" s="80"/>
      <c r="AV333" s="79"/>
      <c r="AW333" s="38"/>
      <c r="AX333" s="79"/>
      <c r="AY333" s="38"/>
      <c r="AZ333" s="79"/>
      <c r="BA333" s="80"/>
      <c r="BB333" s="79"/>
      <c r="BC333" s="80"/>
      <c r="BD333" s="79"/>
      <c r="BE333" s="84"/>
      <c r="BF333" s="74"/>
      <c r="BG333" s="115"/>
      <c r="BH333" s="115"/>
      <c r="BI333" s="115"/>
      <c r="BJ333" s="115"/>
      <c r="BK333" s="115"/>
      <c r="BL333" s="115"/>
      <c r="BM333" s="115"/>
      <c r="BN333" s="115"/>
      <c r="BO333" s="115"/>
      <c r="BP333" s="115"/>
      <c r="BQ333" s="115"/>
      <c r="BR333" s="115"/>
      <c r="BS333" s="115"/>
      <c r="BT333" s="115"/>
      <c r="BU333" s="115"/>
      <c r="BV333" s="115"/>
      <c r="BW333" s="115"/>
      <c r="BX333" s="115"/>
      <c r="BY333" s="115"/>
      <c r="BZ333" s="115"/>
      <c r="CA333" s="115"/>
      <c r="CB333" s="115"/>
      <c r="CC333" s="115"/>
      <c r="CD333" s="115"/>
      <c r="CE333" s="115"/>
      <c r="CF333" s="115"/>
      <c r="CG333" s="115"/>
      <c r="CH333" s="115"/>
      <c r="CI333" s="115"/>
      <c r="CJ333" s="115"/>
      <c r="CK333" s="115"/>
      <c r="CL333" s="115"/>
      <c r="CM333" s="115"/>
      <c r="CN333" s="115"/>
      <c r="CO333" s="115"/>
      <c r="CP333" s="115"/>
    </row>
    <row r="334" ht="15.75" customHeight="1">
      <c r="A334" s="1024" t="s">
        <v>1779</v>
      </c>
      <c r="B334" s="979" t="s">
        <v>122</v>
      </c>
      <c r="C334" s="980" t="s">
        <v>132</v>
      </c>
      <c r="D334" s="1025" t="s">
        <v>1780</v>
      </c>
      <c r="E334" s="1026" t="s">
        <v>1781</v>
      </c>
      <c r="F334" s="185" t="s">
        <v>1782</v>
      </c>
      <c r="G334" s="186"/>
      <c r="H334" s="186" t="s">
        <v>163</v>
      </c>
      <c r="I334" s="74" t="s">
        <v>164</v>
      </c>
      <c r="J334" s="237"/>
      <c r="K334" s="74">
        <v>2.0</v>
      </c>
      <c r="L334" s="26">
        <v>1905.0</v>
      </c>
      <c r="M334" s="25">
        <f t="shared" si="266"/>
        <v>120</v>
      </c>
      <c r="N334" s="26">
        <f t="shared" si="267"/>
        <v>3</v>
      </c>
      <c r="O334" s="27" t="str">
        <f t="shared" si="3"/>
        <v>#N/A</v>
      </c>
      <c r="P334" s="28" t="str">
        <f t="shared" si="261"/>
        <v>#N/A</v>
      </c>
      <c r="Q334" s="28">
        <f t="shared" si="262"/>
        <v>332</v>
      </c>
      <c r="R334" s="28"/>
      <c r="S334" s="28"/>
      <c r="T334" s="29">
        <f t="shared" si="268"/>
        <v>282500</v>
      </c>
      <c r="U334" s="28"/>
      <c r="V334" s="30">
        <f t="shared" si="28"/>
        <v>33900000</v>
      </c>
      <c r="W334" s="30"/>
      <c r="X334" s="32">
        <f t="shared" si="269"/>
        <v>0.7244679592</v>
      </c>
      <c r="Y334" s="33">
        <f t="shared" si="270"/>
        <v>0.01371617972</v>
      </c>
      <c r="Z334" s="692"/>
      <c r="AA334" s="665"/>
      <c r="AB334" s="74"/>
      <c r="AC334" s="74"/>
      <c r="AD334" s="79"/>
      <c r="AE334" s="84"/>
      <c r="AF334" s="1035" t="str">
        <f>HYPERLINK("https://www.crunchbase.com/funding_round/whyhotel-seed--b4d5eb79"," Jun 7, 2018        
")</f>
        <v> Jun 7, 2018        
</v>
      </c>
      <c r="AG334" s="84">
        <v>3900000.0</v>
      </c>
      <c r="AH334" s="74"/>
      <c r="AI334" s="78"/>
      <c r="AJ334" s="181" t="str">
        <f>HYPERLINK("https://www.crunchbase.com/funding_round/whyhotel-series-a--ec8f54a5"," 12/11/2018")</f>
        <v> 12/11/2018</v>
      </c>
      <c r="AK334" s="84">
        <v>1.0E7</v>
      </c>
      <c r="AL334" s="426" t="str">
        <f>HYPERLINK("https://www.crunchbase.com/funding_round/whyhotel-series-b--f95b05b6"," 12/11/2019")</f>
        <v> 12/11/2019</v>
      </c>
      <c r="AM334" s="76">
        <v>2.0E7</v>
      </c>
      <c r="AN334" s="79"/>
      <c r="AO334" s="84"/>
      <c r="AP334" s="79"/>
      <c r="AQ334" s="84"/>
      <c r="AR334" s="79"/>
      <c r="AS334" s="79"/>
      <c r="AT334" s="79"/>
      <c r="AU334" s="80"/>
      <c r="AV334" s="79"/>
      <c r="AW334" s="38"/>
      <c r="AX334" s="79"/>
      <c r="AY334" s="38"/>
      <c r="AZ334" s="79"/>
      <c r="BA334" s="80"/>
      <c r="BB334" s="79"/>
      <c r="BC334" s="80"/>
      <c r="BD334" s="79"/>
      <c r="BE334" s="84"/>
      <c r="BF334" s="74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</row>
    <row r="335" ht="15.75" customHeight="1">
      <c r="A335" s="993" t="s">
        <v>1783</v>
      </c>
      <c r="B335" s="985" t="s">
        <v>829</v>
      </c>
      <c r="C335" s="985" t="s">
        <v>59</v>
      </c>
      <c r="D335" s="1005" t="s">
        <v>1784</v>
      </c>
      <c r="E335" s="1006" t="s">
        <v>1785</v>
      </c>
      <c r="F335" s="922" t="s">
        <v>1786</v>
      </c>
      <c r="G335" s="119" t="s">
        <v>1787</v>
      </c>
      <c r="H335" s="119" t="s">
        <v>328</v>
      </c>
      <c r="I335" s="25" t="s">
        <v>1788</v>
      </c>
      <c r="J335" s="120" t="s">
        <v>1789</v>
      </c>
      <c r="K335" s="25">
        <v>2.0</v>
      </c>
      <c r="L335" s="25">
        <v>2015.0</v>
      </c>
      <c r="M335" s="25">
        <f t="shared" si="266"/>
        <v>10</v>
      </c>
      <c r="N335" s="26">
        <f t="shared" si="267"/>
        <v>4</v>
      </c>
      <c r="O335" s="27" t="str">
        <f t="shared" si="3"/>
        <v>#N/A</v>
      </c>
      <c r="P335" s="28" t="str">
        <f t="shared" si="261"/>
        <v>#N/A</v>
      </c>
      <c r="Q335" s="28">
        <f t="shared" si="262"/>
        <v>333</v>
      </c>
      <c r="R335" s="28"/>
      <c r="S335" s="28"/>
      <c r="T335" s="29">
        <f t="shared" si="268"/>
        <v>3373511.7</v>
      </c>
      <c r="U335" s="28"/>
      <c r="V335" s="30">
        <f t="shared" si="28"/>
        <v>33735117</v>
      </c>
      <c r="W335" s="30"/>
      <c r="X335" s="32">
        <f t="shared" si="269"/>
        <v>1.431354105</v>
      </c>
      <c r="Y335" s="33">
        <f t="shared" si="270"/>
        <v>0.4267217626</v>
      </c>
      <c r="Z335" s="692"/>
      <c r="AA335" s="665"/>
      <c r="AB335" s="123"/>
      <c r="AC335" s="123"/>
      <c r="AD335" s="124"/>
      <c r="AE335" s="125"/>
      <c r="AF335" s="126" t="str">
        <f>HYPERLINK("https://www.crunchbase.com/funding_round/sensat-seed--fe2467a1","Aug 10, 2018")</f>
        <v>Aug 10, 2018</v>
      </c>
      <c r="AG335" s="127">
        <v>4500000.0</v>
      </c>
      <c r="AH335" s="1036" t="str">
        <f>HYPERLINK("https://www.crunchbase.com/funding_round/sensat-grant--8e5ddbcf","Oct 4, 2018")</f>
        <v>Oct 4, 2018</v>
      </c>
      <c r="AI335" s="759">
        <v>535117.0</v>
      </c>
      <c r="AJ335" s="167" t="str">
        <f>HYPERLINK("https://www.crunchbase.com/funding_round/sensat-series-a--1e595aca","Oct 1, 2019")</f>
        <v>Oct 1, 2019</v>
      </c>
      <c r="AK335" s="165">
        <v>1.0E7</v>
      </c>
      <c r="AL335" s="171">
        <v>44854.0</v>
      </c>
      <c r="AM335" s="127">
        <v>1.87E7</v>
      </c>
      <c r="AN335" s="124"/>
      <c r="AO335" s="125"/>
      <c r="AP335" s="124"/>
      <c r="AQ335" s="125"/>
      <c r="AR335" s="124"/>
      <c r="AS335" s="124"/>
      <c r="AT335" s="124"/>
      <c r="AU335" s="137"/>
      <c r="AV335" s="124"/>
      <c r="AW335" s="38"/>
      <c r="AX335" s="124"/>
      <c r="AY335" s="38"/>
      <c r="AZ335" s="124"/>
      <c r="BA335" s="137"/>
      <c r="BB335" s="124"/>
      <c r="BC335" s="137"/>
      <c r="BD335" s="124"/>
      <c r="BE335" s="125"/>
      <c r="BF335" s="123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</row>
    <row r="336" ht="15.75" customHeight="1">
      <c r="A336" s="978" t="s">
        <v>1790</v>
      </c>
      <c r="B336" s="980"/>
      <c r="C336" s="980" t="s">
        <v>132</v>
      </c>
      <c r="D336" s="1037"/>
      <c r="E336" s="1012" t="s">
        <v>1791</v>
      </c>
      <c r="F336" s="154" t="s">
        <v>1792</v>
      </c>
      <c r="G336" s="71" t="s">
        <v>1793</v>
      </c>
      <c r="H336" s="71" t="s">
        <v>526</v>
      </c>
      <c r="I336" s="26" t="s">
        <v>65</v>
      </c>
      <c r="J336" s="72" t="s">
        <v>1794</v>
      </c>
      <c r="K336" s="26">
        <v>1.0</v>
      </c>
      <c r="L336" s="26">
        <v>2015.0</v>
      </c>
      <c r="M336" s="25">
        <f t="shared" si="266"/>
        <v>10</v>
      </c>
      <c r="N336" s="26">
        <f t="shared" si="267"/>
        <v>2</v>
      </c>
      <c r="O336" s="27" t="str">
        <f t="shared" si="3"/>
        <v>#N/A</v>
      </c>
      <c r="P336" s="28" t="str">
        <f t="shared" si="261"/>
        <v>#N/A</v>
      </c>
      <c r="Q336" s="28">
        <f t="shared" si="262"/>
        <v>334</v>
      </c>
      <c r="R336" s="28"/>
      <c r="S336" s="28"/>
      <c r="T336" s="29">
        <f t="shared" si="268"/>
        <v>3370000</v>
      </c>
      <c r="U336" s="28"/>
      <c r="V336" s="30">
        <f t="shared" si="28"/>
        <v>33700000</v>
      </c>
      <c r="W336" s="30"/>
      <c r="X336" s="32">
        <f t="shared" si="269"/>
        <v>0.8375590811</v>
      </c>
      <c r="Y336" s="33">
        <f t="shared" si="270"/>
        <v>0.1294012453</v>
      </c>
      <c r="Z336" s="692"/>
      <c r="AA336" s="665"/>
      <c r="AB336" s="74"/>
      <c r="AC336" s="74"/>
      <c r="AD336" s="79"/>
      <c r="AE336" s="84"/>
      <c r="AF336" s="338"/>
      <c r="AG336" s="84"/>
      <c r="AH336" s="74"/>
      <c r="AI336" s="78"/>
      <c r="AJ336" s="181" t="str">
        <f>HYPERLINK("https://www.crunchbase.com/funding_round/clipcall-series-a--c2005b6b","Apr 19, 2019")</f>
        <v>Apr 19, 2019</v>
      </c>
      <c r="AK336" s="76">
        <v>7700000.0</v>
      </c>
      <c r="AL336" s="181" t="str">
        <f>HYPERLINK("https://www.crunchbase.com/funding_round/clipcall-series-b--03bdd40e","Mar 29, 2022")</f>
        <v>Mar 29, 2022</v>
      </c>
      <c r="AM336" s="76">
        <v>2.6E7</v>
      </c>
      <c r="AN336" s="79"/>
      <c r="AO336" s="84"/>
      <c r="AP336" s="79"/>
      <c r="AQ336" s="84"/>
      <c r="AR336" s="79"/>
      <c r="AS336" s="79"/>
      <c r="AT336" s="79"/>
      <c r="AU336" s="80"/>
      <c r="AV336" s="79"/>
      <c r="AW336" s="38"/>
      <c r="AX336" s="79"/>
      <c r="AY336" s="38"/>
      <c r="AZ336" s="79"/>
      <c r="BA336" s="80"/>
      <c r="BB336" s="79"/>
      <c r="BC336" s="80"/>
      <c r="BD336" s="79"/>
      <c r="BE336" s="84"/>
      <c r="BF336" s="74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</row>
    <row r="337" ht="15.75" customHeight="1">
      <c r="A337" s="993" t="s">
        <v>1795</v>
      </c>
      <c r="B337" s="984"/>
      <c r="C337" s="985" t="s">
        <v>68</v>
      </c>
      <c r="D337" s="161" t="s">
        <v>1796</v>
      </c>
      <c r="E337" s="401" t="s">
        <v>1797</v>
      </c>
      <c r="F337" s="402" t="s">
        <v>1798</v>
      </c>
      <c r="G337" s="286"/>
      <c r="H337" s="119" t="s">
        <v>1799</v>
      </c>
      <c r="I337" s="25" t="s">
        <v>100</v>
      </c>
      <c r="J337" s="287"/>
      <c r="K337" s="25">
        <v>1.0</v>
      </c>
      <c r="L337" s="25">
        <v>1987.0</v>
      </c>
      <c r="M337" s="123"/>
      <c r="N337" s="123"/>
      <c r="O337" s="27" t="str">
        <f t="shared" si="3"/>
        <v>#N/A</v>
      </c>
      <c r="P337" s="28" t="str">
        <f t="shared" si="261"/>
        <v>#N/A</v>
      </c>
      <c r="Q337" s="28">
        <f t="shared" si="262"/>
        <v>335</v>
      </c>
      <c r="R337" s="55"/>
      <c r="S337" s="55"/>
      <c r="T337" s="55"/>
      <c r="U337" s="55"/>
      <c r="V337" s="30">
        <f t="shared" si="28"/>
        <v>33165000</v>
      </c>
      <c r="W337" s="30"/>
      <c r="X337" s="403"/>
      <c r="Y337" s="403"/>
      <c r="Z337" s="692"/>
      <c r="AA337" s="665"/>
      <c r="AB337" s="123"/>
      <c r="AC337" s="123"/>
      <c r="AD337" s="452"/>
      <c r="AE337" s="123"/>
      <c r="AF337" s="453"/>
      <c r="AG337" s="123"/>
      <c r="AH337" s="123"/>
      <c r="AI337" s="123"/>
      <c r="AJ337" s="123"/>
      <c r="AK337" s="123"/>
      <c r="AL337" s="123"/>
      <c r="AM337" s="123"/>
      <c r="AN337" s="123"/>
      <c r="AO337" s="123"/>
      <c r="AP337" s="123"/>
      <c r="AQ337" s="123"/>
      <c r="AR337" s="123"/>
      <c r="AS337" s="123"/>
      <c r="AT337" s="123"/>
      <c r="AU337" s="137"/>
      <c r="AV337" s="123"/>
      <c r="AW337" s="38"/>
      <c r="AX337" s="123"/>
      <c r="AY337" s="38"/>
      <c r="AZ337" s="404">
        <v>44858.0</v>
      </c>
      <c r="BA337" s="137">
        <f>33500000*0.99</f>
        <v>33165000</v>
      </c>
      <c r="BB337" s="123"/>
      <c r="BC337" s="137"/>
      <c r="BD337" s="123"/>
      <c r="BE337" s="125"/>
      <c r="BF337" s="123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</row>
    <row r="338" ht="15.75" customHeight="1">
      <c r="A338" s="978" t="s">
        <v>1800</v>
      </c>
      <c r="B338" s="1038"/>
      <c r="C338" s="989" t="s">
        <v>123</v>
      </c>
      <c r="D338" s="1037"/>
      <c r="E338" s="1013" t="s">
        <v>1801</v>
      </c>
      <c r="F338" s="1039" t="s">
        <v>1802</v>
      </c>
      <c r="G338" s="22" t="s">
        <v>1803</v>
      </c>
      <c r="H338" s="317" t="s">
        <v>187</v>
      </c>
      <c r="I338" s="36" t="s">
        <v>188</v>
      </c>
      <c r="J338" s="24" t="s">
        <v>1804</v>
      </c>
      <c r="K338" s="23">
        <v>1.0</v>
      </c>
      <c r="L338" s="23">
        <v>2017.0</v>
      </c>
      <c r="M338" s="25">
        <f t="shared" ref="M338:M340" si="271">year(now()) -L338</f>
        <v>8</v>
      </c>
      <c r="N338" s="26">
        <f t="shared" ref="N338:N340" si="272">counta(AE338,AG338,AI338,AK338,AM338,AO338,AQ338,AS338,AU338,AW338,AY338,BA338,BC338)</f>
        <v>3</v>
      </c>
      <c r="O338" s="27" t="str">
        <f t="shared" si="3"/>
        <v>#N/A</v>
      </c>
      <c r="P338" s="28" t="str">
        <f t="shared" si="261"/>
        <v>#N/A</v>
      </c>
      <c r="Q338" s="28">
        <f t="shared" si="262"/>
        <v>336</v>
      </c>
      <c r="R338" s="28"/>
      <c r="S338" s="28"/>
      <c r="T338" s="29">
        <f t="shared" ref="T338:T340" si="273">V338/M338</f>
        <v>4125000</v>
      </c>
      <c r="U338" s="28"/>
      <c r="V338" s="30">
        <f t="shared" si="28"/>
        <v>33000000</v>
      </c>
      <c r="W338" s="30"/>
      <c r="X338" s="32" t="str">
        <f t="shared" ref="X338:X340" si="274">(max(AE338,AG338,AI338,AK338,AM338,AO338,AQ338,AS338,AU338,AW338,AY338,BA338,BC338)/min(AE338,AG338,AI338,AK338,AM338,AO338,AQ338,AS338,AU338,AW338,AY338,BA338,BC338))^(1/N338)-1</f>
        <v>#DIV/0!</v>
      </c>
      <c r="Y338" s="33"/>
      <c r="Z338" s="692"/>
      <c r="AA338" s="665"/>
      <c r="AB338" s="36"/>
      <c r="AC338" s="1040"/>
      <c r="AD338" s="898"/>
      <c r="AE338" s="24"/>
      <c r="AF338" s="158" t="str">
        <f>HYPERLINK("https://www.crunchbase.com/funding_round/arturo-inc-seed--4a0b73af", "May 28, 2019")</f>
        <v>May 28, 2019</v>
      </c>
      <c r="AG338" s="1041">
        <v>0.0</v>
      </c>
      <c r="AH338" s="1042"/>
      <c r="AI338" s="1043"/>
      <c r="AJ338" s="228" t="str">
        <f>HYPERLINK("https://www.crunchbase.com/funding_round/arturo-inc-series-a--c89d2e1f"," Apr 7, 2020")</f>
        <v> Apr 7, 2020</v>
      </c>
      <c r="AK338" s="38">
        <v>8000000.0</v>
      </c>
      <c r="AL338" s="43" t="str">
        <f>HYPERLINK("https://www.crunchbase.com/funding_round/arturo-inc-series-b--407e5fc3","Apr 27, 2021")</f>
        <v>Apr 27, 2021</v>
      </c>
      <c r="AM338" s="38">
        <v>2.5E7</v>
      </c>
      <c r="AN338" s="44"/>
      <c r="AO338" s="46"/>
      <c r="AP338" s="44"/>
      <c r="AQ338" s="46"/>
      <c r="AR338" s="44"/>
      <c r="AS338" s="44"/>
      <c r="AT338" s="44"/>
      <c r="AU338" s="45"/>
      <c r="AV338" s="44"/>
      <c r="AW338" s="38"/>
      <c r="AX338" s="44"/>
      <c r="AY338" s="38"/>
      <c r="AZ338" s="44"/>
      <c r="BA338" s="45"/>
      <c r="BB338" s="44"/>
      <c r="BC338" s="45"/>
      <c r="BD338" s="44"/>
      <c r="BE338" s="46"/>
      <c r="BF338" s="36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</row>
    <row r="339" ht="15.75" customHeight="1">
      <c r="A339" s="978" t="s">
        <v>1805</v>
      </c>
      <c r="B339" s="980" t="s">
        <v>1806</v>
      </c>
      <c r="C339" s="980" t="s">
        <v>123</v>
      </c>
      <c r="D339" s="1011" t="s">
        <v>1807</v>
      </c>
      <c r="E339" s="1013" t="s">
        <v>1808</v>
      </c>
      <c r="F339" s="154" t="s">
        <v>1809</v>
      </c>
      <c r="G339" s="71" t="s">
        <v>1810</v>
      </c>
      <c r="H339" s="71" t="s">
        <v>1811</v>
      </c>
      <c r="I339" s="74"/>
      <c r="J339" s="72" t="s">
        <v>1812</v>
      </c>
      <c r="K339" s="26">
        <v>4.0</v>
      </c>
      <c r="L339" s="26">
        <v>2010.0</v>
      </c>
      <c r="M339" s="25">
        <f t="shared" si="271"/>
        <v>15</v>
      </c>
      <c r="N339" s="26">
        <f t="shared" si="272"/>
        <v>2</v>
      </c>
      <c r="O339" s="27" t="str">
        <f t="shared" si="3"/>
        <v>#N/A</v>
      </c>
      <c r="P339" s="28" t="str">
        <f t="shared" si="261"/>
        <v>#N/A</v>
      </c>
      <c r="Q339" s="28">
        <f t="shared" si="262"/>
        <v>336</v>
      </c>
      <c r="R339" s="28"/>
      <c r="S339" s="28"/>
      <c r="T339" s="29">
        <f t="shared" si="273"/>
        <v>2200000</v>
      </c>
      <c r="U339" s="28"/>
      <c r="V339" s="30">
        <f t="shared" si="28"/>
        <v>33000000</v>
      </c>
      <c r="W339" s="30"/>
      <c r="X339" s="32">
        <f t="shared" si="274"/>
        <v>2.937003937</v>
      </c>
      <c r="Y339" s="33">
        <f t="shared" ref="Y339:Y340" si="275">(max(AE339,AG339,AI339,AK339,AM339,AO339,AQ339,AS339,AU339,AW339,AY339,BA339,BC339)/min(AE339,AG339,AI339,AK339,AM339,AO339,AQ339,AS339,AU339,AW339,AY339,BA339,BC339))^(1/M339)-1</f>
        <v>0.2004814303</v>
      </c>
      <c r="Z339" s="692"/>
      <c r="AA339" s="665"/>
      <c r="AB339" s="74"/>
      <c r="AC339" s="74"/>
      <c r="AD339" s="44"/>
      <c r="AE339" s="46"/>
      <c r="AF339" s="158" t="str">
        <f>HYPERLINK("https://www.crunchbase.com/organization/fundrise#section-funding-rounds"," Jan 1, 2011")</f>
        <v> Jan 1, 2011</v>
      </c>
      <c r="AG339" s="38">
        <v>2000000.0</v>
      </c>
      <c r="AH339" s="36"/>
      <c r="AI339" s="159"/>
      <c r="AJ339" s="228" t="str">
        <f>HYPERLINK("https://www.crunchbase.com/funding_round/fundrise-series-a--073c8b9a"," 5/28/2014")</f>
        <v> 5/28/2014</v>
      </c>
      <c r="AK339" s="38">
        <v>3.1E7</v>
      </c>
      <c r="AL339" s="37"/>
      <c r="AM339" s="38"/>
      <c r="AN339" s="37"/>
      <c r="AO339" s="38"/>
      <c r="AP339" s="1044"/>
      <c r="AQ339" s="805"/>
      <c r="AR339" s="44"/>
      <c r="AS339" s="44"/>
      <c r="AT339" s="44"/>
      <c r="AU339" s="45"/>
      <c r="AV339" s="44"/>
      <c r="AW339" s="38"/>
      <c r="AX339" s="44"/>
      <c r="AY339" s="38"/>
      <c r="AZ339" s="44"/>
      <c r="BA339" s="45"/>
      <c r="BB339" s="44"/>
      <c r="BC339" s="45"/>
      <c r="BD339" s="44"/>
      <c r="BE339" s="46"/>
      <c r="BF339" s="36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</row>
    <row r="340" ht="15.75" customHeight="1">
      <c r="A340" s="1024" t="s">
        <v>1813</v>
      </c>
      <c r="B340" s="1045" t="s">
        <v>1814</v>
      </c>
      <c r="C340" s="980" t="s">
        <v>132</v>
      </c>
      <c r="D340" s="1011" t="s">
        <v>1815</v>
      </c>
      <c r="E340" s="1012" t="s">
        <v>1816</v>
      </c>
      <c r="F340" s="154" t="s">
        <v>1817</v>
      </c>
      <c r="G340" s="140" t="s">
        <v>1818</v>
      </c>
      <c r="H340" s="140" t="s">
        <v>1819</v>
      </c>
      <c r="I340" s="74"/>
      <c r="J340" s="72" t="s">
        <v>1820</v>
      </c>
      <c r="K340" s="26">
        <v>2.0</v>
      </c>
      <c r="L340" s="26">
        <v>2014.0</v>
      </c>
      <c r="M340" s="25">
        <f t="shared" si="271"/>
        <v>11</v>
      </c>
      <c r="N340" s="26">
        <f t="shared" si="272"/>
        <v>1</v>
      </c>
      <c r="O340" s="27" t="str">
        <f t="shared" si="3"/>
        <v>#N/A</v>
      </c>
      <c r="P340" s="28" t="str">
        <f t="shared" si="261"/>
        <v>#N/A</v>
      </c>
      <c r="Q340" s="28">
        <f t="shared" si="262"/>
        <v>336</v>
      </c>
      <c r="R340" s="28"/>
      <c r="S340" s="28"/>
      <c r="T340" s="29">
        <f t="shared" si="273"/>
        <v>3000000</v>
      </c>
      <c r="U340" s="28"/>
      <c r="V340" s="30">
        <f t="shared" si="28"/>
        <v>33000000</v>
      </c>
      <c r="W340" s="30"/>
      <c r="X340" s="32">
        <f t="shared" si="274"/>
        <v>0</v>
      </c>
      <c r="Y340" s="33">
        <f t="shared" si="275"/>
        <v>0</v>
      </c>
      <c r="Z340" s="692"/>
      <c r="AA340" s="665"/>
      <c r="AB340" s="74"/>
      <c r="AC340" s="74"/>
      <c r="AD340" s="44"/>
      <c r="AE340" s="46"/>
      <c r="AF340" s="39"/>
      <c r="AG340" s="46"/>
      <c r="AH340" s="36"/>
      <c r="AI340" s="159"/>
      <c r="AJ340" s="44"/>
      <c r="AK340" s="46"/>
      <c r="AL340" s="43" t="str">
        <f>HYPERLINK("https://www.crunchbase.com/funding_round/officerank-series-b--138a310f"," Jan 24, 2019        
")</f>
        <v> Jan 24, 2019        
</v>
      </c>
      <c r="AM340" s="46">
        <v>3.3E7</v>
      </c>
      <c r="AN340" s="44"/>
      <c r="AO340" s="46"/>
      <c r="AP340" s="44"/>
      <c r="AQ340" s="46"/>
      <c r="AR340" s="44"/>
      <c r="AS340" s="44"/>
      <c r="AT340" s="44"/>
      <c r="AU340" s="45"/>
      <c r="AV340" s="44"/>
      <c r="AW340" s="38"/>
      <c r="AX340" s="44"/>
      <c r="AY340" s="38"/>
      <c r="AZ340" s="44"/>
      <c r="BA340" s="45"/>
      <c r="BB340" s="44"/>
      <c r="BC340" s="45"/>
      <c r="BD340" s="44"/>
      <c r="BE340" s="46"/>
      <c r="BF340" s="3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</row>
    <row r="341" ht="15.75" customHeight="1">
      <c r="A341" s="996" t="s">
        <v>1821</v>
      </c>
      <c r="B341" s="984"/>
      <c r="C341" s="985" t="s">
        <v>513</v>
      </c>
      <c r="D341" s="981" t="s">
        <v>1822</v>
      </c>
      <c r="E341" s="981" t="s">
        <v>1823</v>
      </c>
      <c r="F341" s="118" t="s">
        <v>1824</v>
      </c>
      <c r="G341" s="286"/>
      <c r="H341" s="71" t="s">
        <v>128</v>
      </c>
      <c r="I341" s="26" t="s">
        <v>156</v>
      </c>
      <c r="J341" s="287"/>
      <c r="K341" s="25">
        <v>2.0</v>
      </c>
      <c r="L341" s="25">
        <v>2019.0</v>
      </c>
      <c r="M341" s="25"/>
      <c r="N341" s="25"/>
      <c r="O341" s="27" t="str">
        <f t="shared" si="3"/>
        <v>#N/A</v>
      </c>
      <c r="P341" s="28" t="str">
        <f t="shared" si="261"/>
        <v>#N/A</v>
      </c>
      <c r="Q341" s="28">
        <f t="shared" si="262"/>
        <v>336</v>
      </c>
      <c r="R341" s="55"/>
      <c r="S341" s="55"/>
      <c r="T341" s="55"/>
      <c r="U341" s="55"/>
      <c r="V341" s="30">
        <f t="shared" si="28"/>
        <v>33000000</v>
      </c>
      <c r="W341" s="30"/>
      <c r="X341" s="597"/>
      <c r="Y341" s="597"/>
      <c r="Z341" s="692"/>
      <c r="AA341" s="665"/>
      <c r="AB341" s="123"/>
      <c r="AC341" s="123"/>
      <c r="AD341" s="124"/>
      <c r="AE341" s="125"/>
      <c r="AF341" s="1046">
        <v>43749.0</v>
      </c>
      <c r="AG341" s="127">
        <v>8000000.0</v>
      </c>
      <c r="AH341" s="123"/>
      <c r="AI341" s="128"/>
      <c r="AJ341" s="171">
        <v>44584.0</v>
      </c>
      <c r="AK341" s="127">
        <v>2.5E7</v>
      </c>
      <c r="AL341" s="124"/>
      <c r="AM341" s="125"/>
      <c r="AN341" s="124"/>
      <c r="AO341" s="125"/>
      <c r="AP341" s="124"/>
      <c r="AQ341" s="125"/>
      <c r="AR341" s="124"/>
      <c r="AS341" s="124"/>
      <c r="AT341" s="124"/>
      <c r="AU341" s="137"/>
      <c r="AV341" s="124"/>
      <c r="AW341" s="38"/>
      <c r="AX341" s="124"/>
      <c r="AY341" s="38"/>
      <c r="AZ341" s="124"/>
      <c r="BA341" s="137"/>
      <c r="BB341" s="124"/>
      <c r="BC341" s="137"/>
      <c r="BD341" s="124"/>
      <c r="BE341" s="125"/>
      <c r="BF341" s="123"/>
      <c r="BG341" s="115"/>
      <c r="BH341" s="115"/>
      <c r="BI341" s="115"/>
      <c r="BJ341" s="115"/>
      <c r="BK341" s="115"/>
      <c r="BL341" s="115"/>
      <c r="BM341" s="115"/>
      <c r="BN341" s="115"/>
      <c r="BO341" s="115"/>
      <c r="BP341" s="115"/>
      <c r="BQ341" s="115"/>
      <c r="BR341" s="115"/>
      <c r="BS341" s="115"/>
      <c r="BT341" s="115"/>
      <c r="BU341" s="115"/>
      <c r="BV341" s="115"/>
      <c r="BW341" s="115"/>
      <c r="BX341" s="115"/>
      <c r="BY341" s="115"/>
      <c r="BZ341" s="115"/>
      <c r="CA341" s="115"/>
      <c r="CB341" s="115"/>
      <c r="CC341" s="115"/>
      <c r="CD341" s="115"/>
      <c r="CE341" s="115"/>
      <c r="CF341" s="115"/>
      <c r="CG341" s="115"/>
      <c r="CH341" s="115"/>
      <c r="CI341" s="115"/>
      <c r="CJ341" s="115"/>
      <c r="CK341" s="115"/>
      <c r="CL341" s="115"/>
      <c r="CM341" s="115"/>
      <c r="CN341" s="115"/>
      <c r="CO341" s="115"/>
      <c r="CP341" s="115"/>
    </row>
    <row r="342" ht="15.75" customHeight="1">
      <c r="A342" s="1008" t="s">
        <v>1825</v>
      </c>
      <c r="B342" s="988"/>
      <c r="C342" s="989" t="s">
        <v>207</v>
      </c>
      <c r="D342" s="236" t="s">
        <v>1826</v>
      </c>
      <c r="E342" s="270" t="s">
        <v>1827</v>
      </c>
      <c r="F342" s="1047" t="s">
        <v>1828</v>
      </c>
      <c r="G342" s="317"/>
      <c r="H342" s="22" t="s">
        <v>1829</v>
      </c>
      <c r="I342" s="23" t="s">
        <v>65</v>
      </c>
      <c r="J342" s="237"/>
      <c r="K342" s="23">
        <v>2.0</v>
      </c>
      <c r="L342" s="23">
        <v>2019.0</v>
      </c>
      <c r="M342" s="222"/>
      <c r="N342" s="23"/>
      <c r="O342" s="27" t="str">
        <f t="shared" si="3"/>
        <v>#N/A</v>
      </c>
      <c r="P342" s="28" t="str">
        <f t="shared" si="261"/>
        <v>#N/A</v>
      </c>
      <c r="Q342" s="28">
        <f t="shared" si="262"/>
        <v>336</v>
      </c>
      <c r="R342" s="464"/>
      <c r="S342" s="464"/>
      <c r="T342" s="464"/>
      <c r="U342" s="464"/>
      <c r="V342" s="30">
        <f t="shared" si="28"/>
        <v>33000000</v>
      </c>
      <c r="W342" s="30"/>
      <c r="X342" s="33"/>
      <c r="Y342" s="33"/>
      <c r="Z342" s="692"/>
      <c r="AA342" s="665"/>
      <c r="AB342" s="36"/>
      <c r="AC342" s="36"/>
      <c r="AD342" s="391">
        <v>44075.0</v>
      </c>
      <c r="AE342" s="38"/>
      <c r="AF342" s="225">
        <v>44319.0</v>
      </c>
      <c r="AG342" s="38">
        <v>8000000.0</v>
      </c>
      <c r="AH342" s="36"/>
      <c r="AI342" s="159"/>
      <c r="AJ342" s="227">
        <v>44768.0</v>
      </c>
      <c r="AK342" s="38">
        <v>2.0E7</v>
      </c>
      <c r="AL342" s="227"/>
      <c r="AM342" s="805"/>
      <c r="AN342" s="42"/>
      <c r="AO342" s="805"/>
      <c r="AP342" s="44"/>
      <c r="AQ342" s="46"/>
      <c r="AR342" s="44"/>
      <c r="AS342" s="44"/>
      <c r="AT342" s="44"/>
      <c r="AU342" s="45"/>
      <c r="AV342" s="44"/>
      <c r="AW342" s="38"/>
      <c r="AX342" s="44"/>
      <c r="AY342" s="38"/>
      <c r="AZ342" s="75">
        <v>45007.0</v>
      </c>
      <c r="BA342" s="229">
        <v>5000000.0</v>
      </c>
      <c r="BB342" s="44"/>
      <c r="BC342" s="45"/>
      <c r="BD342" s="44"/>
      <c r="BE342" s="46"/>
      <c r="BF342" s="36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</row>
    <row r="343" ht="15.75" customHeight="1">
      <c r="A343" s="978" t="s">
        <v>1830</v>
      </c>
      <c r="B343" s="979"/>
      <c r="C343" s="980" t="s">
        <v>84</v>
      </c>
      <c r="D343" s="1025"/>
      <c r="E343" s="1012" t="s">
        <v>1831</v>
      </c>
      <c r="F343" s="173" t="s">
        <v>1832</v>
      </c>
      <c r="G343" s="186"/>
      <c r="H343" s="71" t="s">
        <v>1833</v>
      </c>
      <c r="I343" s="26" t="s">
        <v>651</v>
      </c>
      <c r="J343" s="155"/>
      <c r="K343" s="26">
        <v>2.0</v>
      </c>
      <c r="L343" s="142">
        <v>2015.0</v>
      </c>
      <c r="M343" s="25"/>
      <c r="N343" s="26"/>
      <c r="O343" s="27" t="str">
        <f t="shared" si="3"/>
        <v>#N/A</v>
      </c>
      <c r="P343" s="28" t="str">
        <f t="shared" si="261"/>
        <v>#N/A</v>
      </c>
      <c r="Q343" s="28">
        <f t="shared" si="262"/>
        <v>341</v>
      </c>
      <c r="R343" s="28"/>
      <c r="S343" s="28"/>
      <c r="T343" s="28"/>
      <c r="U343" s="28"/>
      <c r="V343" s="30">
        <f t="shared" si="28"/>
        <v>32800000</v>
      </c>
      <c r="W343" s="30"/>
      <c r="X343" s="73"/>
      <c r="Y343" s="73"/>
      <c r="Z343" s="692"/>
      <c r="AA343" s="665"/>
      <c r="AB343" s="74"/>
      <c r="AC343" s="74"/>
      <c r="AD343" s="79"/>
      <c r="AE343" s="84"/>
      <c r="AF343" s="175" t="str">
        <f>HYPERLINK("https://www.crunchbase.com/funding_round/houwzer-2-seed--9642a799","Jan 6, 2019")</f>
        <v>Jan 6, 2019</v>
      </c>
      <c r="AG343" s="76">
        <v>5300000.0</v>
      </c>
      <c r="AH343" s="77"/>
      <c r="AI343" s="78"/>
      <c r="AJ343" s="426" t="str">
        <f>HYPERLINK("https://www.crunchbase.com/funding_round/houwzer-2-series-a--48cc7944","Feb 5, 2020")</f>
        <v>Feb 5, 2020</v>
      </c>
      <c r="AK343" s="76">
        <v>9500000.0</v>
      </c>
      <c r="AL343" s="181" t="str">
        <f>HYPERLINK("https://www.crunchbase.com/funding_round/houwzer-2-series-b--adbb787f","Feb 8, 2022")</f>
        <v>Feb 8, 2022</v>
      </c>
      <c r="AM343" s="76">
        <v>1.8E7</v>
      </c>
      <c r="AN343" s="79"/>
      <c r="AO343" s="76"/>
      <c r="AP343" s="79"/>
      <c r="AQ343" s="84"/>
      <c r="AR343" s="79"/>
      <c r="AS343" s="79"/>
      <c r="AT343" s="79"/>
      <c r="AU343" s="80"/>
      <c r="AV343" s="79"/>
      <c r="AW343" s="38"/>
      <c r="AX343" s="79"/>
      <c r="AY343" s="38"/>
      <c r="AZ343" s="79"/>
      <c r="BA343" s="80"/>
      <c r="BB343" s="79"/>
      <c r="BC343" s="80"/>
      <c r="BD343" s="79"/>
      <c r="BE343" s="84"/>
      <c r="BF343" s="74"/>
      <c r="BG343" s="115"/>
      <c r="BH343" s="115"/>
      <c r="BI343" s="115"/>
      <c r="BJ343" s="115"/>
      <c r="BK343" s="115"/>
      <c r="BL343" s="115"/>
      <c r="BM343" s="115"/>
      <c r="BN343" s="115"/>
      <c r="BO343" s="115"/>
      <c r="BP343" s="115"/>
      <c r="BQ343" s="115"/>
      <c r="BR343" s="115"/>
      <c r="BS343" s="115"/>
      <c r="BT343" s="115"/>
      <c r="BU343" s="115"/>
      <c r="BV343" s="115"/>
      <c r="BW343" s="115"/>
      <c r="BX343" s="115"/>
      <c r="BY343" s="115"/>
      <c r="BZ343" s="115"/>
      <c r="CA343" s="115"/>
      <c r="CB343" s="115"/>
      <c r="CC343" s="115"/>
      <c r="CD343" s="115"/>
      <c r="CE343" s="115"/>
      <c r="CF343" s="115"/>
      <c r="CG343" s="115"/>
      <c r="CH343" s="115"/>
      <c r="CI343" s="115"/>
      <c r="CJ343" s="115"/>
      <c r="CK343" s="115"/>
      <c r="CL343" s="115"/>
      <c r="CM343" s="115"/>
      <c r="CN343" s="115"/>
      <c r="CO343" s="115"/>
      <c r="CP343" s="115"/>
    </row>
    <row r="344" ht="15.75" customHeight="1">
      <c r="A344" s="978" t="s">
        <v>1834</v>
      </c>
      <c r="B344" s="979"/>
      <c r="C344" s="980" t="s">
        <v>123</v>
      </c>
      <c r="D344" s="990" t="s">
        <v>1835</v>
      </c>
      <c r="E344" s="1031" t="s">
        <v>1836</v>
      </c>
      <c r="F344" s="177" t="s">
        <v>1837</v>
      </c>
      <c r="G344" s="71" t="s">
        <v>1838</v>
      </c>
      <c r="H344" s="186" t="s">
        <v>128</v>
      </c>
      <c r="I344" s="74" t="s">
        <v>129</v>
      </c>
      <c r="J344" s="155"/>
      <c r="K344" s="74" t="s">
        <v>723</v>
      </c>
      <c r="L344" s="26">
        <v>2017.0</v>
      </c>
      <c r="M344" s="25">
        <f t="shared" ref="M344:M346" si="276">year(now()) -L344</f>
        <v>8</v>
      </c>
      <c r="N344" s="26">
        <f t="shared" ref="N344:N346" si="277">counta(AE344,AG344,AI344,AK344,AM344,AO344,AQ344,AS344,AU344,AW344,AY344,BA344,BC344)</f>
        <v>2</v>
      </c>
      <c r="O344" s="27" t="str">
        <f t="shared" si="3"/>
        <v>#N/A</v>
      </c>
      <c r="P344" s="28" t="str">
        <f t="shared" si="261"/>
        <v>#N/A</v>
      </c>
      <c r="Q344" s="28">
        <f t="shared" si="262"/>
        <v>342</v>
      </c>
      <c r="R344" s="28"/>
      <c r="S344" s="28"/>
      <c r="T344" s="29">
        <f t="shared" ref="T344:T346" si="278">V344/M344</f>
        <v>4062500</v>
      </c>
      <c r="U344" s="28"/>
      <c r="V344" s="30">
        <f t="shared" si="28"/>
        <v>32500000</v>
      </c>
      <c r="W344" s="30"/>
      <c r="X344" s="32">
        <f t="shared" ref="X344:X346" si="279">(max(AE344,AG344,AI344,AK344,AM344,AO344,AQ344,AS344,AU344,AW344,AY344,BA344,BC344)/min(AE344,AG344,AI344,AK344,AM344,AO344,AQ344,AS344,AU344,AW344,AY344,BA344,BC344))^(1/N344)-1</f>
        <v>0.8257418584</v>
      </c>
      <c r="Y344" s="33">
        <f t="shared" ref="Y344:Y346" si="280">(max(AE344,AG344,AI344,AK344,AM344,AO344,AQ344,AS344,AU344,AW344,AY344,BA344,BC344)/min(AE344,AG344,AI344,AK344,AM344,AO344,AQ344,AS344,AU344,AW344,AY344,BA344,BC344))^(1/M344)-1</f>
        <v>0.1624113535</v>
      </c>
      <c r="Z344" s="692"/>
      <c r="AA344" s="665"/>
      <c r="AB344" s="74"/>
      <c r="AC344" s="74"/>
      <c r="AD344" s="79"/>
      <c r="AE344" s="84"/>
      <c r="AF344" s="810" t="s">
        <v>1839</v>
      </c>
      <c r="AG344" s="76"/>
      <c r="AH344" s="74"/>
      <c r="AI344" s="78"/>
      <c r="AJ344" s="181" t="str">
        <f>HYPERLINK("https://www.crunchbase.com/funding_round/northspyre-series-a--03150237"," May 12, 2020")</f>
        <v> May 12, 2020</v>
      </c>
      <c r="AK344" s="76">
        <v>7500000.0</v>
      </c>
      <c r="AL344" s="181" t="str">
        <f>HYPERLINK("https://www.businesswire.com/news/home/20220211005112/en/Northspyre-Raises-25-Million-in-Series-B-Funding-To-Fuel-Its-AI-Powered-Solution-for-Real-Estate-Developers","Feb 15, 2022")</f>
        <v>Feb 15, 2022</v>
      </c>
      <c r="AM344" s="76">
        <v>2.5E7</v>
      </c>
      <c r="AN344" s="79"/>
      <c r="AO344" s="84"/>
      <c r="AP344" s="79"/>
      <c r="AQ344" s="84"/>
      <c r="AR344" s="79"/>
      <c r="AS344" s="79"/>
      <c r="AT344" s="79"/>
      <c r="AU344" s="80"/>
      <c r="AV344" s="79"/>
      <c r="AW344" s="38"/>
      <c r="AX344" s="79"/>
      <c r="AY344" s="38"/>
      <c r="AZ344" s="79"/>
      <c r="BA344" s="80"/>
      <c r="BB344" s="79"/>
      <c r="BC344" s="80"/>
      <c r="BD344" s="79"/>
      <c r="BE344" s="84"/>
      <c r="BF344" s="74"/>
      <c r="BG344" s="115"/>
      <c r="BH344" s="115"/>
      <c r="BI344" s="115"/>
      <c r="BJ344" s="115"/>
      <c r="BK344" s="115"/>
      <c r="BL344" s="115"/>
      <c r="BM344" s="115"/>
      <c r="BN344" s="115"/>
      <c r="BO344" s="115"/>
      <c r="BP344" s="115"/>
      <c r="BQ344" s="115"/>
      <c r="BR344" s="115"/>
      <c r="BS344" s="115"/>
      <c r="BT344" s="115"/>
      <c r="BU344" s="115"/>
      <c r="BV344" s="115"/>
      <c r="BW344" s="115"/>
      <c r="BX344" s="115"/>
      <c r="BY344" s="115"/>
      <c r="BZ344" s="115"/>
      <c r="CA344" s="115"/>
      <c r="CB344" s="115"/>
      <c r="CC344" s="115"/>
      <c r="CD344" s="115"/>
      <c r="CE344" s="115"/>
      <c r="CF344" s="115"/>
      <c r="CG344" s="115"/>
      <c r="CH344" s="115"/>
      <c r="CI344" s="115"/>
      <c r="CJ344" s="115"/>
      <c r="CK344" s="115"/>
      <c r="CL344" s="115"/>
      <c r="CM344" s="115"/>
      <c r="CN344" s="115"/>
      <c r="CO344" s="115"/>
      <c r="CP344" s="115"/>
    </row>
    <row r="345" ht="15.75" customHeight="1">
      <c r="A345" s="978" t="s">
        <v>1840</v>
      </c>
      <c r="B345" s="979"/>
      <c r="C345" s="980" t="s">
        <v>207</v>
      </c>
      <c r="D345" s="990" t="s">
        <v>1841</v>
      </c>
      <c r="E345" s="1012" t="s">
        <v>1842</v>
      </c>
      <c r="F345" s="118" t="s">
        <v>1843</v>
      </c>
      <c r="G345" s="54"/>
      <c r="H345" s="71" t="s">
        <v>128</v>
      </c>
      <c r="I345" s="26" t="s">
        <v>129</v>
      </c>
      <c r="J345" s="178"/>
      <c r="K345" s="26">
        <v>2.0</v>
      </c>
      <c r="L345" s="142">
        <v>2018.0</v>
      </c>
      <c r="M345" s="25">
        <f t="shared" si="276"/>
        <v>7</v>
      </c>
      <c r="N345" s="26">
        <f t="shared" si="277"/>
        <v>2</v>
      </c>
      <c r="O345" s="27" t="str">
        <f t="shared" si="3"/>
        <v>#N/A</v>
      </c>
      <c r="P345" s="28" t="str">
        <f t="shared" si="261"/>
        <v>#N/A</v>
      </c>
      <c r="Q345" s="28">
        <f t="shared" si="262"/>
        <v>342</v>
      </c>
      <c r="R345" s="28"/>
      <c r="S345" s="28"/>
      <c r="T345" s="29">
        <f t="shared" si="278"/>
        <v>4642857.143</v>
      </c>
      <c r="U345" s="28"/>
      <c r="V345" s="30">
        <f t="shared" si="28"/>
        <v>32500000</v>
      </c>
      <c r="W345" s="30"/>
      <c r="X345" s="32">
        <f t="shared" si="279"/>
        <v>2.464101615</v>
      </c>
      <c r="Y345" s="33">
        <f t="shared" si="280"/>
        <v>0.4261616352</v>
      </c>
      <c r="Z345" s="692"/>
      <c r="AA345" s="665"/>
      <c r="AB345" s="74"/>
      <c r="AC345" s="74"/>
      <c r="AD345" s="79"/>
      <c r="AE345" s="84"/>
      <c r="AF345" s="232" t="str">
        <f>HYPERLINK("https://www.crunchbase.com/funding_round/upflex-seed--116e6085","Aug 30, 2019")</f>
        <v>Aug 30, 2019</v>
      </c>
      <c r="AG345" s="76">
        <v>2500000.0</v>
      </c>
      <c r="AH345" s="77"/>
      <c r="AI345" s="78"/>
      <c r="AJ345" s="181" t="str">
        <f>HYPERLINK("https://www.crunchbase.com/funding_round/upflex-series-a--6579029d","May 25, 2022")</f>
        <v>May 25, 2022</v>
      </c>
      <c r="AK345" s="76">
        <v>3.0E7</v>
      </c>
      <c r="AL345" s="79"/>
      <c r="AM345" s="76"/>
      <c r="AN345" s="79"/>
      <c r="AO345" s="84"/>
      <c r="AP345" s="79"/>
      <c r="AQ345" s="84"/>
      <c r="AR345" s="79"/>
      <c r="AS345" s="79"/>
      <c r="AT345" s="79"/>
      <c r="AU345" s="80"/>
      <c r="AV345" s="79"/>
      <c r="AW345" s="38"/>
      <c r="AX345" s="79"/>
      <c r="AY345" s="38"/>
      <c r="AZ345" s="79"/>
      <c r="BA345" s="80"/>
      <c r="BB345" s="79"/>
      <c r="BC345" s="80"/>
      <c r="BD345" s="79"/>
      <c r="BE345" s="84"/>
      <c r="BF345" s="74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</row>
    <row r="346" ht="15.75" customHeight="1">
      <c r="A346" s="1024" t="s">
        <v>1844</v>
      </c>
      <c r="B346" s="979" t="s">
        <v>1845</v>
      </c>
      <c r="C346" s="980" t="s">
        <v>207</v>
      </c>
      <c r="D346" s="200" t="s">
        <v>1846</v>
      </c>
      <c r="E346" s="1012" t="s">
        <v>1847</v>
      </c>
      <c r="F346" s="417" t="s">
        <v>1848</v>
      </c>
      <c r="G346" s="71" t="s">
        <v>1849</v>
      </c>
      <c r="H346" s="186" t="s">
        <v>128</v>
      </c>
      <c r="I346" s="74" t="s">
        <v>156</v>
      </c>
      <c r="J346" s="72" t="s">
        <v>798</v>
      </c>
      <c r="K346" s="26">
        <v>1.0</v>
      </c>
      <c r="L346" s="26">
        <v>2014.0</v>
      </c>
      <c r="M346" s="25">
        <f t="shared" si="276"/>
        <v>11</v>
      </c>
      <c r="N346" s="26">
        <f t="shared" si="277"/>
        <v>3</v>
      </c>
      <c r="O346" s="27" t="str">
        <f t="shared" si="3"/>
        <v>#N/A</v>
      </c>
      <c r="P346" s="28" t="str">
        <f t="shared" si="261"/>
        <v>#N/A</v>
      </c>
      <c r="Q346" s="28" t="str">
        <f t="shared" si="262"/>
        <v>#N/A</v>
      </c>
      <c r="R346" s="28"/>
      <c r="S346" s="28"/>
      <c r="T346" s="29">
        <f t="shared" si="278"/>
        <v>2936363.636</v>
      </c>
      <c r="U346" s="28"/>
      <c r="V346" s="30">
        <f t="shared" si="28"/>
        <v>32300000</v>
      </c>
      <c r="W346" s="30"/>
      <c r="X346" s="32">
        <f t="shared" si="279"/>
        <v>0.7270768406</v>
      </c>
      <c r="Y346" s="33">
        <f t="shared" si="280"/>
        <v>0.1607036816</v>
      </c>
      <c r="Z346" s="692"/>
      <c r="AA346" s="665"/>
      <c r="AB346" s="74"/>
      <c r="AC346" s="74"/>
      <c r="AD346" s="79"/>
      <c r="AE346" s="84"/>
      <c r="AF346" s="175" t="str">
        <f>HYPERLINK("https://www.crunchbase.com/organization/pilot-2#section-funding-rounds"," May 1, 2015")</f>
        <v> May 1, 2015</v>
      </c>
      <c r="AG346" s="76">
        <v>3300000.0</v>
      </c>
      <c r="AH346" s="434"/>
      <c r="AI346" s="435"/>
      <c r="AJ346" s="426" t="str">
        <f>HYPERLINK("https://www.crunchbase.com/funding_round/pilot-2-series-a--a64eecf2","Nov 1, 2016")</f>
        <v>Nov 1, 2016</v>
      </c>
      <c r="AK346" s="76">
        <v>1.2E7</v>
      </c>
      <c r="AL346" s="181" t="str">
        <f>HYPERLINK("https://www.crunchbase.com/funding_round/pilot-2-series-b--f529a007","Sep 21, 2017")</f>
        <v>Sep 21, 2017</v>
      </c>
      <c r="AM346" s="76">
        <v>1.7E7</v>
      </c>
      <c r="AN346" s="79"/>
      <c r="AO346" s="84"/>
      <c r="AP346" s="79"/>
      <c r="AQ346" s="84"/>
      <c r="AR346" s="79"/>
      <c r="AS346" s="79"/>
      <c r="AT346" s="79"/>
      <c r="AU346" s="80"/>
      <c r="AV346" s="79"/>
      <c r="AW346" s="38"/>
      <c r="AX346" s="79"/>
      <c r="AY346" s="38"/>
      <c r="AZ346" s="79"/>
      <c r="BA346" s="80"/>
      <c r="BB346" s="79"/>
      <c r="BC346" s="80"/>
      <c r="BD346" s="79"/>
      <c r="BE346" s="84"/>
      <c r="BF346" s="74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</row>
    <row r="347" ht="15.75" customHeight="1">
      <c r="A347" s="978" t="s">
        <v>1850</v>
      </c>
      <c r="B347" s="979"/>
      <c r="C347" s="980" t="s">
        <v>76</v>
      </c>
      <c r="D347" s="1001" t="s">
        <v>1851</v>
      </c>
      <c r="E347" s="991" t="s">
        <v>1852</v>
      </c>
      <c r="F347" s="177" t="s">
        <v>1853</v>
      </c>
      <c r="G347" s="71"/>
      <c r="H347" s="71" t="s">
        <v>128</v>
      </c>
      <c r="I347" s="26" t="s">
        <v>129</v>
      </c>
      <c r="J347" s="72"/>
      <c r="K347" s="26">
        <v>2.0</v>
      </c>
      <c r="L347" s="26">
        <v>2019.0</v>
      </c>
      <c r="M347" s="25"/>
      <c r="N347" s="26"/>
      <c r="O347" s="27" t="str">
        <f t="shared" si="3"/>
        <v>#N/A</v>
      </c>
      <c r="P347" s="28" t="str">
        <f t="shared" si="261"/>
        <v>#N/A</v>
      </c>
      <c r="Q347" s="28" t="str">
        <f t="shared" si="262"/>
        <v>#N/A</v>
      </c>
      <c r="R347" s="273"/>
      <c r="S347" s="273"/>
      <c r="T347" s="273"/>
      <c r="U347" s="273"/>
      <c r="V347" s="30">
        <f t="shared" si="28"/>
        <v>32000000</v>
      </c>
      <c r="W347" s="30"/>
      <c r="X347" s="73"/>
      <c r="Y347" s="73"/>
      <c r="Z347" s="692"/>
      <c r="AA347" s="665"/>
      <c r="AB347" s="74"/>
      <c r="AC347" s="74"/>
      <c r="AD347" s="79"/>
      <c r="AE347" s="84"/>
      <c r="AF347" s="338"/>
      <c r="AG347" s="76"/>
      <c r="AH347" s="74"/>
      <c r="AI347" s="78"/>
      <c r="AJ347" s="181" t="str">
        <f>HYPERLINK("https://techcrunch.com/2022/02/01/withco-closes-on-32m-to-help-smbs-own-and-not-lease-the-buildings-they-occupy/","Feb 1, 2022")</f>
        <v>Feb 1, 2022</v>
      </c>
      <c r="AK347" s="76">
        <v>3.2E7</v>
      </c>
      <c r="AL347" s="79"/>
      <c r="AM347" s="84"/>
      <c r="AN347" s="79"/>
      <c r="AO347" s="84"/>
      <c r="AP347" s="79"/>
      <c r="AQ347" s="84"/>
      <c r="AR347" s="79"/>
      <c r="AS347" s="79"/>
      <c r="AT347" s="79"/>
      <c r="AU347" s="80"/>
      <c r="AV347" s="79"/>
      <c r="AW347" s="38"/>
      <c r="AX347" s="79"/>
      <c r="AY347" s="38"/>
      <c r="AZ347" s="79"/>
      <c r="BA347" s="80"/>
      <c r="BB347" s="79"/>
      <c r="BC347" s="80"/>
      <c r="BD347" s="79"/>
      <c r="BE347" s="84"/>
      <c r="BF347" s="74"/>
      <c r="BG347" s="534"/>
      <c r="BH347" s="534"/>
      <c r="BI347" s="534"/>
      <c r="BJ347" s="534"/>
      <c r="BK347" s="534"/>
      <c r="BL347" s="534"/>
      <c r="BM347" s="534"/>
      <c r="BN347" s="534"/>
      <c r="BO347" s="534"/>
      <c r="BP347" s="534"/>
      <c r="BQ347" s="534"/>
      <c r="BR347" s="534"/>
      <c r="BS347" s="534"/>
      <c r="BT347" s="534"/>
      <c r="BU347" s="534"/>
      <c r="BV347" s="534"/>
      <c r="BW347" s="534"/>
      <c r="BX347" s="534"/>
      <c r="BY347" s="534"/>
      <c r="BZ347" s="534"/>
      <c r="CA347" s="534"/>
      <c r="CB347" s="534"/>
      <c r="CC347" s="534"/>
      <c r="CD347" s="534"/>
      <c r="CE347" s="534"/>
      <c r="CF347" s="534"/>
      <c r="CG347" s="534"/>
      <c r="CH347" s="534"/>
      <c r="CI347" s="534"/>
      <c r="CJ347" s="534"/>
      <c r="CK347" s="534"/>
      <c r="CL347" s="534"/>
      <c r="CM347" s="534"/>
      <c r="CN347" s="534"/>
      <c r="CO347" s="534"/>
      <c r="CP347" s="534"/>
    </row>
    <row r="348" ht="15.75" customHeight="1">
      <c r="A348" s="978" t="s">
        <v>1854</v>
      </c>
      <c r="B348" s="980" t="s">
        <v>1855</v>
      </c>
      <c r="C348" s="980" t="s">
        <v>132</v>
      </c>
      <c r="D348" s="1011" t="s">
        <v>1856</v>
      </c>
      <c r="E348" s="1012" t="s">
        <v>1857</v>
      </c>
      <c r="F348" s="1048" t="s">
        <v>1858</v>
      </c>
      <c r="G348" s="71" t="s">
        <v>1859</v>
      </c>
      <c r="H348" s="71" t="s">
        <v>163</v>
      </c>
      <c r="I348" s="26" t="s">
        <v>164</v>
      </c>
      <c r="J348" s="155"/>
      <c r="K348" s="26">
        <v>2.0</v>
      </c>
      <c r="L348" s="26">
        <v>2017.0</v>
      </c>
      <c r="M348" s="25">
        <f t="shared" ref="M348:M354" si="281">year(now()) -L348</f>
        <v>8</v>
      </c>
      <c r="N348" s="26">
        <f t="shared" ref="N348:N354" si="282">counta(AE348,AG348,AI348,AK348,AM348,AO348,AQ348,AS348,AU348,AW348,AY348,BA348,BC348)</f>
        <v>4</v>
      </c>
      <c r="O348" s="27" t="str">
        <f t="shared" si="3"/>
        <v>#N/A</v>
      </c>
      <c r="P348" s="28" t="str">
        <f t="shared" si="261"/>
        <v>#N/A</v>
      </c>
      <c r="Q348" s="28" t="str">
        <f t="shared" si="262"/>
        <v>#N/A</v>
      </c>
      <c r="R348" s="28"/>
      <c r="S348" s="28"/>
      <c r="T348" s="29">
        <f t="shared" ref="T348:T354" si="283">V348/M348</f>
        <v>8362500</v>
      </c>
      <c r="U348" s="28"/>
      <c r="V348" s="30">
        <f t="shared" si="28"/>
        <v>66900000</v>
      </c>
      <c r="W348" s="30"/>
      <c r="X348" s="32">
        <f t="shared" ref="X348:X354" si="284">(max(AE348,AG348,AI348,AK348,AM348,AO348,AQ348,AS348,AU348,AW348,AY348,BA348,BC348)/min(AE348,AG348,AI348,AK348,AM348,AO348,AQ348,AS348,AU348,AW348,AY348,BA348,BC348))^(1/N348)-1</f>
        <v>1.071708323</v>
      </c>
      <c r="Y348" s="33">
        <f t="shared" ref="Y348:Y349" si="285">(max(AE348,AG348,AI348,AK348,AM348,AO348,AQ348,AS348,AU348,AW348,AY348,BA348,BC348)/min(AE348,AG348,AI348,AK348,AM348,AO348,AQ348,AS348,AU348,AW348,AY348,BA348,BC348))^(1/M348)-1</f>
        <v>0.4393430179</v>
      </c>
      <c r="Z348" s="692"/>
      <c r="AA348" s="665"/>
      <c r="AB348" s="74"/>
      <c r="AC348" s="74"/>
      <c r="AD348" s="79"/>
      <c r="AE348" s="84"/>
      <c r="AF348" s="175" t="str">
        <f>HYPERLINK("https://www.crunchbase.com/organization/meetelise","Sep 10, 2019")</f>
        <v>Sep 10, 2019</v>
      </c>
      <c r="AG348" s="928">
        <v>1900000.0</v>
      </c>
      <c r="AH348" s="77"/>
      <c r="AI348" s="78"/>
      <c r="AJ348" s="181" t="str">
        <f>HYPERLINK("https://www.crunchbase.com/funding_round/meetelise-series-a--6ef98bf2"," Jul 21, 2020")        
</f>
        <v> Jul 21, 2020</v>
      </c>
      <c r="AK348" s="76">
        <v>6500000.0</v>
      </c>
      <c r="AL348" s="181" t="str">
        <f>HYPERLINK("https://www.marketwatch.com/press-release/meetelise-the-leading-proptech-ai-leasing-software-raises-235m-in-series-b-funding-2021-12-02","Dec 2, 2021")</f>
        <v>Dec 2, 2021</v>
      </c>
      <c r="AM348" s="76">
        <v>2.35E7</v>
      </c>
      <c r="AN348" s="75">
        <v>45084.0</v>
      </c>
      <c r="AO348" s="76">
        <v>3.5E7</v>
      </c>
      <c r="AP348" s="79"/>
      <c r="AQ348" s="84"/>
      <c r="AR348" s="79"/>
      <c r="AS348" s="79"/>
      <c r="AT348" s="79"/>
      <c r="AU348" s="80"/>
      <c r="AV348" s="79"/>
      <c r="AW348" s="38"/>
      <c r="AX348" s="79"/>
      <c r="AY348" s="38"/>
      <c r="AZ348" s="79"/>
      <c r="BA348" s="80"/>
      <c r="BB348" s="79"/>
      <c r="BC348" s="80"/>
      <c r="BD348" s="79"/>
      <c r="BE348" s="84"/>
      <c r="BF348" s="74"/>
      <c r="BG348" s="115"/>
      <c r="BH348" s="115"/>
      <c r="BI348" s="115"/>
      <c r="BJ348" s="115"/>
      <c r="BK348" s="115"/>
      <c r="BL348" s="115"/>
      <c r="BM348" s="115"/>
      <c r="BN348" s="115"/>
      <c r="BO348" s="115"/>
      <c r="BP348" s="115"/>
      <c r="BQ348" s="115"/>
      <c r="BR348" s="115"/>
      <c r="BS348" s="115"/>
      <c r="BT348" s="115"/>
      <c r="BU348" s="115"/>
      <c r="BV348" s="115"/>
      <c r="BW348" s="115"/>
      <c r="BX348" s="115"/>
      <c r="BY348" s="115"/>
      <c r="BZ348" s="115"/>
      <c r="CA348" s="115"/>
      <c r="CB348" s="115"/>
      <c r="CC348" s="115"/>
      <c r="CD348" s="115"/>
      <c r="CE348" s="115"/>
      <c r="CF348" s="115"/>
      <c r="CG348" s="115"/>
      <c r="CH348" s="115"/>
      <c r="CI348" s="115"/>
      <c r="CJ348" s="115"/>
      <c r="CK348" s="115"/>
      <c r="CL348" s="115"/>
      <c r="CM348" s="115"/>
      <c r="CN348" s="115"/>
      <c r="CO348" s="115"/>
      <c r="CP348" s="115"/>
    </row>
    <row r="349" ht="15.75" customHeight="1">
      <c r="A349" s="978" t="s">
        <v>1860</v>
      </c>
      <c r="B349" s="979"/>
      <c r="C349" s="980" t="s">
        <v>1556</v>
      </c>
      <c r="D349" s="1001" t="s">
        <v>1861</v>
      </c>
      <c r="E349" s="1012" t="s">
        <v>1862</v>
      </c>
      <c r="F349" s="1049" t="s">
        <v>1863</v>
      </c>
      <c r="G349" s="186"/>
      <c r="H349" s="71" t="s">
        <v>114</v>
      </c>
      <c r="I349" s="26" t="s">
        <v>115</v>
      </c>
      <c r="J349" s="155"/>
      <c r="K349" s="26">
        <v>2.0</v>
      </c>
      <c r="L349" s="26">
        <v>2020.0</v>
      </c>
      <c r="M349" s="25">
        <f t="shared" si="281"/>
        <v>5</v>
      </c>
      <c r="N349" s="26">
        <f t="shared" si="282"/>
        <v>2</v>
      </c>
      <c r="O349" s="27" t="str">
        <f t="shared" si="3"/>
        <v>#N/A</v>
      </c>
      <c r="P349" s="28" t="str">
        <f t="shared" si="261"/>
        <v>#N/A</v>
      </c>
      <c r="Q349" s="28" t="str">
        <f t="shared" si="262"/>
        <v>#N/A</v>
      </c>
      <c r="R349" s="28"/>
      <c r="S349" s="28"/>
      <c r="T349" s="29">
        <f t="shared" si="283"/>
        <v>6320000</v>
      </c>
      <c r="U349" s="28"/>
      <c r="V349" s="30">
        <f t="shared" si="28"/>
        <v>31600000</v>
      </c>
      <c r="W349" s="30"/>
      <c r="X349" s="32">
        <f t="shared" si="284"/>
        <v>1.704771612</v>
      </c>
      <c r="Y349" s="33">
        <f t="shared" si="285"/>
        <v>0.4888544381</v>
      </c>
      <c r="Z349" s="692"/>
      <c r="AA349" s="665"/>
      <c r="AB349" s="74"/>
      <c r="AC349" s="74"/>
      <c r="AD349" s="79"/>
      <c r="AE349" s="84"/>
      <c r="AF349" s="175" t="str">
        <f>HYPERLINK("https://www.crunchbase.com/funding_round/steadily-seed--ca1dfc29","Oct 29, 2020")</f>
        <v>Oct 29, 2020</v>
      </c>
      <c r="AG349" s="76">
        <v>3800000.0</v>
      </c>
      <c r="AH349" s="74"/>
      <c r="AI349" s="78"/>
      <c r="AJ349" s="426" t="str">
        <f>HYPERLINK("https://www.crunchbase.com/funding_round/steadily-series-a--37d88542","Nov 16, 2021")</f>
        <v>Nov 16, 2021</v>
      </c>
      <c r="AK349" s="76">
        <v>2.78E7</v>
      </c>
      <c r="AL349" s="79"/>
      <c r="AM349" s="76"/>
      <c r="AN349" s="79"/>
      <c r="AO349" s="76"/>
      <c r="AP349" s="79"/>
      <c r="AQ349" s="84"/>
      <c r="AR349" s="79"/>
      <c r="AS349" s="79"/>
      <c r="AT349" s="79"/>
      <c r="AU349" s="80"/>
      <c r="AV349" s="79"/>
      <c r="AW349" s="38"/>
      <c r="AX349" s="79"/>
      <c r="AY349" s="38"/>
      <c r="AZ349" s="79"/>
      <c r="BA349" s="80"/>
      <c r="BB349" s="79"/>
      <c r="BC349" s="80"/>
      <c r="BD349" s="79"/>
      <c r="BE349" s="84"/>
      <c r="BF349" s="74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</row>
    <row r="350" ht="15.75" customHeight="1">
      <c r="A350" s="1024" t="s">
        <v>1864</v>
      </c>
      <c r="B350" s="979" t="s">
        <v>1372</v>
      </c>
      <c r="C350" s="980" t="s">
        <v>1865</v>
      </c>
      <c r="D350" s="981" t="s">
        <v>1866</v>
      </c>
      <c r="E350" s="1026" t="s">
        <v>1867</v>
      </c>
      <c r="F350" s="185" t="s">
        <v>1868</v>
      </c>
      <c r="G350" s="186" t="s">
        <v>1869</v>
      </c>
      <c r="H350" s="186" t="s">
        <v>256</v>
      </c>
      <c r="I350" s="444" t="s">
        <v>557</v>
      </c>
      <c r="J350" s="155" t="s">
        <v>1870</v>
      </c>
      <c r="K350" s="74">
        <v>4.0</v>
      </c>
      <c r="L350" s="26">
        <v>2016.0</v>
      </c>
      <c r="M350" s="25">
        <f t="shared" si="281"/>
        <v>9</v>
      </c>
      <c r="N350" s="26">
        <f t="shared" si="282"/>
        <v>5</v>
      </c>
      <c r="O350" s="27" t="str">
        <f t="shared" si="3"/>
        <v>#N/A</v>
      </c>
      <c r="P350" s="28" t="str">
        <f t="shared" si="261"/>
        <v>#N/A</v>
      </c>
      <c r="Q350" s="28" t="str">
        <f t="shared" si="262"/>
        <v>#N/A</v>
      </c>
      <c r="R350" s="28"/>
      <c r="S350" s="28"/>
      <c r="T350" s="29">
        <f t="shared" si="283"/>
        <v>3498978.667</v>
      </c>
      <c r="U350" s="28"/>
      <c r="V350" s="30">
        <f t="shared" si="28"/>
        <v>31490808</v>
      </c>
      <c r="W350" s="30"/>
      <c r="X350" s="32" t="str">
        <f t="shared" si="284"/>
        <v>#DIV/0!</v>
      </c>
      <c r="Y350" s="33"/>
      <c r="Z350" s="692"/>
      <c r="AA350" s="665"/>
      <c r="AB350" s="74"/>
      <c r="AC350" s="74"/>
      <c r="AD350" s="79"/>
      <c r="AE350" s="84"/>
      <c r="AF350" s="175" t="str">
        <f>HYPERLINK("https://www.crunchbase.com/organization/the-porter#section-funding-rounds"," Apr 13, 2015")</f>
        <v> Apr 13, 2015</v>
      </c>
      <c r="AG350" s="76">
        <v>500000.0</v>
      </c>
      <c r="AH350" s="434"/>
      <c r="AI350" s="435"/>
      <c r="AJ350" s="426" t="str">
        <f>HYPERLINK("https://www.crunchbase.com/funding_round/the-porter-series-a--b101bb29","Jun 24, 2015")</f>
        <v>Jun 24, 2015</v>
      </c>
      <c r="AK350" s="427">
        <v>5500000.0</v>
      </c>
      <c r="AL350" s="426" t="str">
        <f>HYPERLINK("https://www.crunchbase.com/funding_round/the-porter-series-b--9a1706b8","Dec 1, 2016")</f>
        <v>Dec 1, 2016</v>
      </c>
      <c r="AM350" s="76">
        <v>0.0</v>
      </c>
      <c r="AN350" s="426" t="str">
        <f>HYPERLINK("https://www.crunchbase.com/funding_round/the-porter-series-c--6f515cc7","Apr 4, 2018")</f>
        <v>Apr 4, 2018</v>
      </c>
      <c r="AO350" s="427">
        <v>6968010.0</v>
      </c>
      <c r="AP350" s="181" t="str">
        <f>HYPERLINK("https://www.crunchbase.com/funding_round/the-porter-series-d--eacc70b6","Apr 11, 2020")</f>
        <v>Apr 11, 2020</v>
      </c>
      <c r="AQ350" s="76">
        <v>1.8522798E7</v>
      </c>
      <c r="AR350" s="79"/>
      <c r="AS350" s="79"/>
      <c r="AT350" s="79"/>
      <c r="AU350" s="80"/>
      <c r="AV350" s="79"/>
      <c r="AW350" s="38"/>
      <c r="AX350" s="79"/>
      <c r="AY350" s="38"/>
      <c r="AZ350" s="79"/>
      <c r="BA350" s="80"/>
      <c r="BB350" s="79"/>
      <c r="BC350" s="80"/>
      <c r="BD350" s="79"/>
      <c r="BE350" s="84"/>
      <c r="BF350" s="74"/>
      <c r="BG350" s="115"/>
      <c r="BH350" s="115"/>
      <c r="BI350" s="115"/>
      <c r="BJ350" s="115"/>
      <c r="BK350" s="115"/>
      <c r="BL350" s="115"/>
      <c r="BM350" s="115"/>
      <c r="BN350" s="115"/>
      <c r="BO350" s="115"/>
      <c r="BP350" s="115"/>
      <c r="BQ350" s="115"/>
      <c r="BR350" s="115"/>
      <c r="BS350" s="115"/>
      <c r="BT350" s="115"/>
      <c r="BU350" s="115"/>
      <c r="BV350" s="115"/>
      <c r="BW350" s="115"/>
      <c r="BX350" s="115"/>
      <c r="BY350" s="115"/>
      <c r="BZ350" s="115"/>
      <c r="CA350" s="115"/>
      <c r="CB350" s="115"/>
      <c r="CC350" s="115"/>
      <c r="CD350" s="115"/>
      <c r="CE350" s="115"/>
      <c r="CF350" s="115"/>
      <c r="CG350" s="115"/>
      <c r="CH350" s="115"/>
      <c r="CI350" s="115"/>
      <c r="CJ350" s="115"/>
      <c r="CK350" s="115"/>
      <c r="CL350" s="115"/>
      <c r="CM350" s="115"/>
      <c r="CN350" s="115"/>
      <c r="CO350" s="115"/>
      <c r="CP350" s="115"/>
    </row>
    <row r="351" ht="15.75" customHeight="1">
      <c r="A351" s="1050" t="s">
        <v>1871</v>
      </c>
      <c r="B351" s="979"/>
      <c r="C351" s="980" t="s">
        <v>123</v>
      </c>
      <c r="D351" s="192" t="s">
        <v>1872</v>
      </c>
      <c r="E351" s="982" t="s">
        <v>1873</v>
      </c>
      <c r="F351" s="118" t="s">
        <v>1874</v>
      </c>
      <c r="G351" s="186"/>
      <c r="H351" s="71" t="s">
        <v>328</v>
      </c>
      <c r="I351" s="26" t="s">
        <v>329</v>
      </c>
      <c r="J351" s="155"/>
      <c r="K351" s="26"/>
      <c r="L351" s="26">
        <v>2015.0</v>
      </c>
      <c r="M351" s="25">
        <f t="shared" si="281"/>
        <v>10</v>
      </c>
      <c r="N351" s="26">
        <f t="shared" si="282"/>
        <v>3</v>
      </c>
      <c r="O351" s="27" t="str">
        <f t="shared" si="3"/>
        <v>#N/A</v>
      </c>
      <c r="P351" s="28" t="str">
        <f t="shared" si="261"/>
        <v>#N/A</v>
      </c>
      <c r="Q351" s="28" t="str">
        <f t="shared" si="262"/>
        <v>#N/A</v>
      </c>
      <c r="R351" s="28"/>
      <c r="S351" s="28"/>
      <c r="T351" s="29">
        <f t="shared" si="283"/>
        <v>3146000</v>
      </c>
      <c r="U351" s="28"/>
      <c r="V351" s="30">
        <f t="shared" si="28"/>
        <v>31460000</v>
      </c>
      <c r="W351" s="30"/>
      <c r="X351" s="32">
        <f t="shared" si="284"/>
        <v>2.264279846</v>
      </c>
      <c r="Y351" s="33">
        <f t="shared" ref="Y351:Y354" si="286">(max(AE351,AG351,AI351,AK351,AM351,AO351,AQ351,AS351,AU351,AW351,AY351,BA351,BC351)/min(AE351,AG351,AI351,AK351,AM351,AO351,AQ351,AS351,AU351,AW351,AY351,BA351,BC351))^(1/M351)-1</f>
        <v>0.4260548011</v>
      </c>
      <c r="Z351" s="692"/>
      <c r="AA351" s="665"/>
      <c r="AB351" s="74"/>
      <c r="AC351" s="74"/>
      <c r="AD351" s="37"/>
      <c r="AE351" s="38"/>
      <c r="AF351" s="320">
        <v>42338.0</v>
      </c>
      <c r="AG351" s="38">
        <v>460000.0</v>
      </c>
      <c r="AH351" s="36"/>
      <c r="AI351" s="159"/>
      <c r="AJ351" s="227">
        <v>43760.0</v>
      </c>
      <c r="AK351" s="38">
        <v>1.5E7</v>
      </c>
      <c r="AL351" s="75">
        <v>44830.0</v>
      </c>
      <c r="AM351" s="38">
        <v>1.6E7</v>
      </c>
      <c r="AN351" s="44"/>
      <c r="AO351" s="46"/>
      <c r="AP351" s="44"/>
      <c r="AQ351" s="46"/>
      <c r="AR351" s="44"/>
      <c r="AS351" s="44"/>
      <c r="AT351" s="44"/>
      <c r="AU351" s="45"/>
      <c r="AV351" s="44"/>
      <c r="AW351" s="38"/>
      <c r="AX351" s="44"/>
      <c r="AY351" s="38"/>
      <c r="AZ351" s="44"/>
      <c r="BA351" s="45"/>
      <c r="BB351" s="44"/>
      <c r="BC351" s="45"/>
      <c r="BD351" s="44"/>
      <c r="BE351" s="46"/>
      <c r="BF351" s="36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</row>
    <row r="352" ht="15.75" customHeight="1">
      <c r="A352" s="978" t="s">
        <v>1875</v>
      </c>
      <c r="B352" s="979"/>
      <c r="C352" s="980" t="s">
        <v>132</v>
      </c>
      <c r="D352" s="998"/>
      <c r="E352" s="982" t="s">
        <v>1876</v>
      </c>
      <c r="F352" s="757" t="s">
        <v>1877</v>
      </c>
      <c r="G352" s="1051"/>
      <c r="H352" s="71" t="s">
        <v>64</v>
      </c>
      <c r="I352" s="26" t="s">
        <v>65</v>
      </c>
      <c r="J352" s="72"/>
      <c r="K352" s="26">
        <v>4.0</v>
      </c>
      <c r="L352" s="26">
        <v>2019.0</v>
      </c>
      <c r="M352" s="25">
        <f t="shared" si="281"/>
        <v>6</v>
      </c>
      <c r="N352" s="26">
        <f t="shared" si="282"/>
        <v>2</v>
      </c>
      <c r="O352" s="27" t="str">
        <f t="shared" si="3"/>
        <v>#N/A</v>
      </c>
      <c r="P352" s="28" t="str">
        <f t="shared" si="261"/>
        <v>#N/A</v>
      </c>
      <c r="Q352" s="28" t="str">
        <f t="shared" si="262"/>
        <v>#N/A</v>
      </c>
      <c r="R352" s="28"/>
      <c r="S352" s="28"/>
      <c r="T352" s="29">
        <f t="shared" si="283"/>
        <v>5166666.667</v>
      </c>
      <c r="U352" s="28"/>
      <c r="V352" s="30">
        <f t="shared" si="28"/>
        <v>31000000</v>
      </c>
      <c r="W352" s="30"/>
      <c r="X352" s="32">
        <f t="shared" si="284"/>
        <v>0.3483997249</v>
      </c>
      <c r="Y352" s="33">
        <f t="shared" si="286"/>
        <v>0.1047725759</v>
      </c>
      <c r="Z352" s="692"/>
      <c r="AA352" s="665"/>
      <c r="AB352" s="74"/>
      <c r="AC352" s="74"/>
      <c r="AD352" s="79"/>
      <c r="AE352" s="84"/>
      <c r="AF352" s="175" t="str">
        <f>HYPERLINK("https://www.crunchbase.com/funding_round/juno-residential-seed--67eb5610","Jul 7, 2020")</f>
        <v>Jul 7, 2020</v>
      </c>
      <c r="AG352" s="76">
        <v>1.1E7</v>
      </c>
      <c r="AH352" s="74"/>
      <c r="AI352" s="78"/>
      <c r="AJ352" s="426" t="str">
        <f>HYPERLINK("https://www.crunchbase.com/funding_round/juno-residential-series-a--d222ac80","Sep 9, 2021")</f>
        <v>Sep 9, 2021</v>
      </c>
      <c r="AK352" s="76">
        <v>2.0E7</v>
      </c>
      <c r="AL352" s="279"/>
      <c r="AM352" s="887"/>
      <c r="AN352" s="279"/>
      <c r="AO352" s="76"/>
      <c r="AP352" s="79"/>
      <c r="AQ352" s="84"/>
      <c r="AR352" s="79"/>
      <c r="AS352" s="79"/>
      <c r="AT352" s="79"/>
      <c r="AU352" s="80"/>
      <c r="AV352" s="79"/>
      <c r="AW352" s="38"/>
      <c r="AX352" s="79"/>
      <c r="AY352" s="38"/>
      <c r="AZ352" s="79"/>
      <c r="BA352" s="80"/>
      <c r="BB352" s="79"/>
      <c r="BC352" s="80"/>
      <c r="BD352" s="79"/>
      <c r="BE352" s="84"/>
      <c r="BF352" s="74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</row>
    <row r="353" ht="15.75" customHeight="1">
      <c r="A353" s="1024" t="s">
        <v>1878</v>
      </c>
      <c r="B353" s="979" t="s">
        <v>266</v>
      </c>
      <c r="C353" s="979" t="s">
        <v>267</v>
      </c>
      <c r="D353" s="1025" t="s">
        <v>1879</v>
      </c>
      <c r="E353" s="1026" t="s">
        <v>1880</v>
      </c>
      <c r="F353" s="185" t="s">
        <v>1881</v>
      </c>
      <c r="G353" s="186"/>
      <c r="H353" s="186" t="s">
        <v>736</v>
      </c>
      <c r="I353" s="74" t="s">
        <v>358</v>
      </c>
      <c r="J353" s="155"/>
      <c r="K353" s="74">
        <v>1.0</v>
      </c>
      <c r="L353" s="26">
        <v>2014.0</v>
      </c>
      <c r="M353" s="25">
        <f t="shared" si="281"/>
        <v>11</v>
      </c>
      <c r="N353" s="26">
        <f t="shared" si="282"/>
        <v>2</v>
      </c>
      <c r="O353" s="27" t="str">
        <f t="shared" si="3"/>
        <v>#N/A</v>
      </c>
      <c r="P353" s="28" t="str">
        <f t="shared" si="261"/>
        <v>#N/A</v>
      </c>
      <c r="Q353" s="28" t="str">
        <f t="shared" si="262"/>
        <v>#N/A</v>
      </c>
      <c r="R353" s="28"/>
      <c r="S353" s="28"/>
      <c r="T353" s="29">
        <f t="shared" si="283"/>
        <v>2818181.818</v>
      </c>
      <c r="U353" s="28"/>
      <c r="V353" s="30">
        <f t="shared" si="28"/>
        <v>31000000</v>
      </c>
      <c r="W353" s="30"/>
      <c r="X353" s="32">
        <f t="shared" si="284"/>
        <v>0.6955824958</v>
      </c>
      <c r="Y353" s="33">
        <f t="shared" si="286"/>
        <v>0.1007643351</v>
      </c>
      <c r="Z353" s="692"/>
      <c r="AA353" s="665"/>
      <c r="AB353" s="74"/>
      <c r="AC353" s="74"/>
      <c r="AD353" s="44"/>
      <c r="AE353" s="46"/>
      <c r="AF353" s="39"/>
      <c r="AG353" s="1052"/>
      <c r="AH353" s="36"/>
      <c r="AI353" s="159"/>
      <c r="AJ353" s="43" t="str">
        <f>HYPERLINK("https://www.crunchbase.com/funding_round/righthand-robotics-series-a--3f3871dc#section-overview","Mar 28, 2017")</f>
        <v>Mar 28, 2017</v>
      </c>
      <c r="AK353" s="46">
        <v>8000000.0</v>
      </c>
      <c r="AL353" s="43" t="str">
        <f>HYPERLINK("https://www.crunchbase.com/funding_round/righthand-robotics-series-b--37d281a5","Dec 17, 2018")</f>
        <v>Dec 17, 2018</v>
      </c>
      <c r="AM353" s="84">
        <v>2.3E7</v>
      </c>
      <c r="AN353" s="79"/>
      <c r="AO353" s="84"/>
      <c r="AP353" s="79"/>
      <c r="AQ353" s="84"/>
      <c r="AR353" s="79"/>
      <c r="AS353" s="79"/>
      <c r="AT353" s="79"/>
      <c r="AU353" s="80"/>
      <c r="AV353" s="79"/>
      <c r="AW353" s="38"/>
      <c r="AX353" s="79"/>
      <c r="AY353" s="38"/>
      <c r="AZ353" s="79"/>
      <c r="BA353" s="80"/>
      <c r="BB353" s="79"/>
      <c r="BC353" s="80"/>
      <c r="BD353" s="79"/>
      <c r="BE353" s="84"/>
      <c r="BF353" s="74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</row>
    <row r="354" ht="15.75" customHeight="1">
      <c r="A354" s="1053" t="s">
        <v>1882</v>
      </c>
      <c r="B354" s="1054"/>
      <c r="C354" s="1055" t="s">
        <v>59</v>
      </c>
      <c r="D354" s="1056" t="s">
        <v>1883</v>
      </c>
      <c r="E354" s="1057" t="s">
        <v>1884</v>
      </c>
      <c r="F354" s="1058" t="s">
        <v>1885</v>
      </c>
      <c r="G354" s="1059" t="s">
        <v>1886</v>
      </c>
      <c r="H354" s="1059" t="s">
        <v>771</v>
      </c>
      <c r="I354" s="1060" t="s">
        <v>772</v>
      </c>
      <c r="J354" s="1061" t="s">
        <v>1663</v>
      </c>
      <c r="K354" s="1060">
        <v>2.0</v>
      </c>
      <c r="L354" s="1060">
        <v>2014.0</v>
      </c>
      <c r="M354" s="25">
        <f t="shared" si="281"/>
        <v>11</v>
      </c>
      <c r="N354" s="26">
        <f t="shared" si="282"/>
        <v>3</v>
      </c>
      <c r="O354" s="27" t="str">
        <f t="shared" si="3"/>
        <v>#N/A</v>
      </c>
      <c r="P354" s="28" t="str">
        <f t="shared" si="261"/>
        <v>#N/A</v>
      </c>
      <c r="Q354" s="28" t="str">
        <f t="shared" si="262"/>
        <v>#N/A</v>
      </c>
      <c r="R354" s="28"/>
      <c r="S354" s="28"/>
      <c r="T354" s="29">
        <f t="shared" si="283"/>
        <v>2790909.091</v>
      </c>
      <c r="U354" s="28"/>
      <c r="V354" s="30">
        <f t="shared" si="28"/>
        <v>30700000</v>
      </c>
      <c r="W354" s="30"/>
      <c r="X354" s="32">
        <f t="shared" si="284"/>
        <v>0.6441413829</v>
      </c>
      <c r="Y354" s="33">
        <f t="shared" si="286"/>
        <v>0.1452294258</v>
      </c>
      <c r="Z354" s="692"/>
      <c r="AA354" s="665"/>
      <c r="AB354" s="1062"/>
      <c r="AC354" s="1062"/>
      <c r="AD354" s="1063"/>
      <c r="AE354" s="1064"/>
      <c r="AF354" s="1065" t="str">
        <f>HYPERLINK("https://www.crunchbase.com/funding_round/assignar-seed--86784a40","Jul 6, 2017")</f>
        <v>Jul 6, 2017</v>
      </c>
      <c r="AG354" s="1064">
        <v>4500000.0</v>
      </c>
      <c r="AH354" s="1062"/>
      <c r="AI354" s="1066"/>
      <c r="AJ354" s="1067" t="str">
        <f>HYPERLINK("https://www.crunchbase.com/funding_round/assignar-series-a--04b10fc1","Aug 1, 2018")</f>
        <v>Aug 1, 2018</v>
      </c>
      <c r="AK354" s="1064">
        <v>6200000.0</v>
      </c>
      <c r="AL354" s="1067" t="str">
        <f>HYPERLINK("https://www.crunchbase.com/funding_round/assignar-series-b--8bba887b","May 19, 2021")</f>
        <v>May 19, 2021</v>
      </c>
      <c r="AM354" s="1064">
        <v>2.0E7</v>
      </c>
      <c r="AN354" s="1068"/>
      <c r="AO354" s="1069"/>
      <c r="AP354" s="1068"/>
      <c r="AQ354" s="1069"/>
      <c r="AR354" s="1068"/>
      <c r="AS354" s="1068"/>
      <c r="AT354" s="1068"/>
      <c r="AU354" s="1070"/>
      <c r="AV354" s="1068"/>
      <c r="AW354" s="38"/>
      <c r="AX354" s="1068"/>
      <c r="AY354" s="38"/>
      <c r="AZ354" s="1068"/>
      <c r="BA354" s="1070"/>
      <c r="BB354" s="1068"/>
      <c r="BC354" s="1070"/>
      <c r="BD354" s="1068"/>
      <c r="BE354" s="1069"/>
      <c r="BF354" s="1062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</row>
    <row r="355" ht="15.75" customHeight="1">
      <c r="A355" s="978" t="s">
        <v>1887</v>
      </c>
      <c r="B355" s="979"/>
      <c r="C355" s="980" t="s">
        <v>267</v>
      </c>
      <c r="D355" s="990"/>
      <c r="E355" s="1031" t="s">
        <v>1888</v>
      </c>
      <c r="F355" s="177" t="s">
        <v>1889</v>
      </c>
      <c r="G355" s="71" t="s">
        <v>1890</v>
      </c>
      <c r="H355" s="71" t="s">
        <v>1891</v>
      </c>
      <c r="I355" s="26" t="s">
        <v>1892</v>
      </c>
      <c r="J355" s="155"/>
      <c r="K355" s="26">
        <v>3.0</v>
      </c>
      <c r="L355" s="26">
        <v>2017.0</v>
      </c>
      <c r="M355" s="25"/>
      <c r="N355" s="26"/>
      <c r="O355" s="27" t="str">
        <f t="shared" si="3"/>
        <v>#N/A</v>
      </c>
      <c r="P355" s="28" t="str">
        <f t="shared" si="261"/>
        <v>#N/A</v>
      </c>
      <c r="Q355" s="28" t="str">
        <f t="shared" si="262"/>
        <v>#N/A</v>
      </c>
      <c r="R355" s="273"/>
      <c r="S355" s="273"/>
      <c r="T355" s="273"/>
      <c r="U355" s="273"/>
      <c r="V355" s="30">
        <f t="shared" si="28"/>
        <v>30600000</v>
      </c>
      <c r="W355" s="30"/>
      <c r="X355" s="73"/>
      <c r="Y355" s="73"/>
      <c r="Z355" s="692"/>
      <c r="AA355" s="665"/>
      <c r="AB355" s="74"/>
      <c r="AC355" s="74"/>
      <c r="AD355" s="79"/>
      <c r="AE355" s="84"/>
      <c r="AF355" s="803" t="str">
        <f>HYPERLINK("https://www.crunchbase.com/funding_round/nomagic-seed--9cfa4858","Feb 4, 2020")</f>
        <v>Feb 4, 2020</v>
      </c>
      <c r="AG355" s="76">
        <v>8600000.0</v>
      </c>
      <c r="AH355" s="74"/>
      <c r="AI355" s="78"/>
      <c r="AJ355" s="181" t="str">
        <f>HYPERLINK("https://www.crunchbase.com/funding_round/nomagic-series-a--2a917a34","May 24, 2022")</f>
        <v>May 24, 2022</v>
      </c>
      <c r="AK355" s="76">
        <v>2.2E7</v>
      </c>
      <c r="AL355" s="79"/>
      <c r="AM355" s="76"/>
      <c r="AN355" s="79"/>
      <c r="AO355" s="84"/>
      <c r="AP355" s="79"/>
      <c r="AQ355" s="84"/>
      <c r="AR355" s="79"/>
      <c r="AS355" s="79"/>
      <c r="AT355" s="79"/>
      <c r="AU355" s="80"/>
      <c r="AV355" s="79"/>
      <c r="AW355" s="38"/>
      <c r="AX355" s="79"/>
      <c r="AY355" s="38"/>
      <c r="AZ355" s="79"/>
      <c r="BA355" s="80"/>
      <c r="BB355" s="79"/>
      <c r="BC355" s="80"/>
      <c r="BD355" s="79"/>
      <c r="BE355" s="84"/>
      <c r="BF355" s="74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</row>
    <row r="356" ht="15.75" customHeight="1">
      <c r="A356" s="978" t="s">
        <v>1893</v>
      </c>
      <c r="B356" s="979"/>
      <c r="C356" s="980" t="s">
        <v>84</v>
      </c>
      <c r="D356" s="1011" t="s">
        <v>1894</v>
      </c>
      <c r="E356" s="1012" t="s">
        <v>1895</v>
      </c>
      <c r="F356" s="757" t="s">
        <v>1896</v>
      </c>
      <c r="G356" s="140"/>
      <c r="H356" s="71" t="s">
        <v>328</v>
      </c>
      <c r="I356" s="26" t="s">
        <v>329</v>
      </c>
      <c r="J356" s="72"/>
      <c r="K356" s="26"/>
      <c r="L356" s="26">
        <v>2019.0</v>
      </c>
      <c r="M356" s="25"/>
      <c r="N356" s="26"/>
      <c r="O356" s="27" t="str">
        <f t="shared" si="3"/>
        <v>#N/A</v>
      </c>
      <c r="P356" s="28" t="str">
        <f t="shared" si="261"/>
        <v>#N/A</v>
      </c>
      <c r="Q356" s="28" t="str">
        <f t="shared" si="262"/>
        <v>#N/A</v>
      </c>
      <c r="R356" s="273"/>
      <c r="S356" s="273"/>
      <c r="T356" s="273"/>
      <c r="U356" s="273"/>
      <c r="V356" s="30">
        <f t="shared" si="28"/>
        <v>30400000</v>
      </c>
      <c r="W356" s="30"/>
      <c r="X356" s="73"/>
      <c r="Y356" s="73"/>
      <c r="Z356" s="692"/>
      <c r="AA356" s="665"/>
      <c r="AB356" s="74"/>
      <c r="AC356" s="74"/>
      <c r="AD356" s="37"/>
      <c r="AE356" s="38"/>
      <c r="AF356" s="39"/>
      <c r="AG356" s="38"/>
      <c r="AH356" s="36"/>
      <c r="AI356" s="159"/>
      <c r="AJ356" s="43" t="str">
        <f>HYPERLINK("https://www.altfi.com/article/8004_generation-home-scoops-304m-series-a-and-300m-debt-facility-in-bumper-raise","Jun 16, 2021")</f>
        <v>Jun 16, 2021</v>
      </c>
      <c r="AK356" s="38">
        <v>3.04E7</v>
      </c>
      <c r="AL356" s="44"/>
      <c r="AM356" s="46"/>
      <c r="AN356" s="1071"/>
      <c r="AO356" s="46"/>
      <c r="AP356" s="44"/>
      <c r="AQ356" s="46"/>
      <c r="AR356" s="44"/>
      <c r="AS356" s="44"/>
      <c r="AT356" s="44"/>
      <c r="AU356" s="45"/>
      <c r="AV356" s="44"/>
      <c r="AW356" s="38"/>
      <c r="AX356" s="44"/>
      <c r="AY356" s="38"/>
      <c r="AZ356" s="44"/>
      <c r="BA356" s="45"/>
      <c r="BB356" s="44"/>
      <c r="BC356" s="45"/>
      <c r="BD356" s="44"/>
      <c r="BE356" s="46"/>
      <c r="BF356" s="3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</row>
    <row r="357" ht="15.75" customHeight="1">
      <c r="A357" s="978" t="s">
        <v>1897</v>
      </c>
      <c r="B357" s="988" t="s">
        <v>1135</v>
      </c>
      <c r="C357" s="989" t="s">
        <v>123</v>
      </c>
      <c r="D357" s="1009" t="s">
        <v>1898</v>
      </c>
      <c r="E357" s="1072" t="s">
        <v>1899</v>
      </c>
      <c r="F357" s="173" t="s">
        <v>1900</v>
      </c>
      <c r="G357" s="22" t="s">
        <v>1901</v>
      </c>
      <c r="H357" s="23" t="s">
        <v>1902</v>
      </c>
      <c r="I357" s="23" t="s">
        <v>1902</v>
      </c>
      <c r="J357" s="24"/>
      <c r="K357" s="26">
        <v>4.0</v>
      </c>
      <c r="L357" s="23">
        <v>2015.0</v>
      </c>
      <c r="M357" s="25">
        <f t="shared" ref="M357:M361" si="287">year(now()) -L357</f>
        <v>10</v>
      </c>
      <c r="N357" s="26">
        <f t="shared" ref="N357:N361" si="288">counta(AE357,AG357,AI357,AK357,AM357,AO357,AQ357,AS357,AU357,AW357,AY357,BA357,BC357)</f>
        <v>3</v>
      </c>
      <c r="O357" s="27" t="str">
        <f t="shared" si="3"/>
        <v>#N/A</v>
      </c>
      <c r="P357" s="28" t="str">
        <f t="shared" si="261"/>
        <v>#N/A</v>
      </c>
      <c r="Q357" s="28" t="str">
        <f t="shared" si="262"/>
        <v>#N/A</v>
      </c>
      <c r="R357" s="28"/>
      <c r="S357" s="28"/>
      <c r="T357" s="29">
        <f t="shared" ref="T357:T361" si="289">V357/M357</f>
        <v>3020000</v>
      </c>
      <c r="U357" s="28"/>
      <c r="V357" s="30">
        <f t="shared" si="28"/>
        <v>30200000</v>
      </c>
      <c r="W357" s="30"/>
      <c r="X357" s="32">
        <f t="shared" ref="X357:X360" si="290">(max(AE357,AG357,AI357,AK357,AM357,AO357,AQ357,AS357,AU357,AW357,AY357,BA357,BC357)/min(AE357,AG357,AI357,AK357,AM357,AO357,AQ357,AS357,AU357,AW357,AY357,BA357,BC357))^(1/N357)-1</f>
        <v>1.767655007</v>
      </c>
      <c r="Y357" s="33">
        <f t="shared" ref="Y357:Y360" si="291">(max(AE357,AG357,AI357,AK357,AM357,AO357,AQ357,AS357,AU357,AW357,AY357,BA357,BC357)/min(AE357,AG357,AI357,AK357,AM357,AO357,AQ357,AS357,AU357,AW357,AY357,BA357,BC357))^(1/M357)-1</f>
        <v>0.3571679219</v>
      </c>
      <c r="Z357" s="692"/>
      <c r="AA357" s="665"/>
      <c r="AB357" s="36"/>
      <c r="AC357" s="36"/>
      <c r="AD357" s="44"/>
      <c r="AE357" s="46"/>
      <c r="AF357" s="158" t="str">
        <f>HYPERLINK("https://www.crunchbase.com/funding_round/breezeway-seed--1d862178"," Dec 15, 2016")        
</f>
        <v> Dec 15, 2016</v>
      </c>
      <c r="AG357" s="38">
        <v>1000000.0</v>
      </c>
      <c r="AH357" s="36"/>
      <c r="AI357" s="159"/>
      <c r="AJ357" s="228" t="str">
        <f>HYPERLINK("https://www.crunchbase.com/funding_round/breezeway-series-a--8b7646c5"," Aug 4, 2020")        
</f>
        <v> Aug 4, 2020</v>
      </c>
      <c r="AK357" s="38">
        <v>8000000.0</v>
      </c>
      <c r="AL357" s="75">
        <v>44838.0</v>
      </c>
      <c r="AM357" s="38">
        <v>2.12E7</v>
      </c>
      <c r="AN357" s="44"/>
      <c r="AO357" s="46"/>
      <c r="AP357" s="44"/>
      <c r="AQ357" s="46"/>
      <c r="AR357" s="44"/>
      <c r="AS357" s="44"/>
      <c r="AT357" s="44"/>
      <c r="AU357" s="45"/>
      <c r="AV357" s="44"/>
      <c r="AW357" s="38"/>
      <c r="AX357" s="44"/>
      <c r="AY357" s="38"/>
      <c r="AZ357" s="44"/>
      <c r="BA357" s="45"/>
      <c r="BB357" s="44"/>
      <c r="BC357" s="45"/>
      <c r="BD357" s="44"/>
      <c r="BE357" s="46"/>
      <c r="BF357" s="36"/>
      <c r="BG357" s="115"/>
      <c r="BH357" s="115"/>
      <c r="BI357" s="115"/>
      <c r="BJ357" s="115"/>
      <c r="BK357" s="115"/>
      <c r="BL357" s="115"/>
      <c r="BM357" s="115"/>
      <c r="BN357" s="115"/>
      <c r="BO357" s="115"/>
      <c r="BP357" s="115"/>
      <c r="BQ357" s="115"/>
      <c r="BR357" s="115"/>
      <c r="BS357" s="115"/>
      <c r="BT357" s="115"/>
      <c r="BU357" s="115"/>
      <c r="BV357" s="115"/>
      <c r="BW357" s="115"/>
      <c r="BX357" s="115"/>
      <c r="BY357" s="115"/>
      <c r="BZ357" s="115"/>
      <c r="CA357" s="115"/>
      <c r="CB357" s="115"/>
      <c r="CC357" s="115"/>
      <c r="CD357" s="115"/>
      <c r="CE357" s="115"/>
      <c r="CF357" s="115"/>
      <c r="CG357" s="115"/>
      <c r="CH357" s="115"/>
      <c r="CI357" s="115"/>
      <c r="CJ357" s="115"/>
      <c r="CK357" s="115"/>
      <c r="CL357" s="115"/>
      <c r="CM357" s="115"/>
      <c r="CN357" s="115"/>
      <c r="CO357" s="115"/>
      <c r="CP357" s="115"/>
    </row>
    <row r="358" ht="15.75" customHeight="1">
      <c r="A358" s="978" t="s">
        <v>1903</v>
      </c>
      <c r="B358" s="980" t="s">
        <v>820</v>
      </c>
      <c r="C358" s="980" t="s">
        <v>276</v>
      </c>
      <c r="D358" s="1011" t="s">
        <v>1904</v>
      </c>
      <c r="E358" s="1012" t="s">
        <v>1905</v>
      </c>
      <c r="F358" s="154" t="s">
        <v>1906</v>
      </c>
      <c r="G358" s="1073" t="s">
        <v>1907</v>
      </c>
      <c r="H358" s="71" t="s">
        <v>64</v>
      </c>
      <c r="I358" s="26" t="s">
        <v>65</v>
      </c>
      <c r="J358" s="155"/>
      <c r="K358" s="26">
        <v>1.0</v>
      </c>
      <c r="L358" s="26">
        <v>2017.0</v>
      </c>
      <c r="M358" s="25">
        <f t="shared" si="287"/>
        <v>8</v>
      </c>
      <c r="N358" s="26">
        <f t="shared" si="288"/>
        <v>4</v>
      </c>
      <c r="O358" s="27" t="str">
        <f t="shared" si="3"/>
        <v>#N/A</v>
      </c>
      <c r="P358" s="28" t="str">
        <f t="shared" si="261"/>
        <v>#N/A</v>
      </c>
      <c r="Q358" s="28" t="str">
        <f t="shared" si="262"/>
        <v>#N/A</v>
      </c>
      <c r="R358" s="28"/>
      <c r="S358" s="28"/>
      <c r="T358" s="29">
        <f t="shared" si="289"/>
        <v>3771250</v>
      </c>
      <c r="U358" s="28"/>
      <c r="V358" s="30">
        <f t="shared" si="28"/>
        <v>30170000</v>
      </c>
      <c r="W358" s="30"/>
      <c r="X358" s="32">
        <f t="shared" si="290"/>
        <v>1.969708915</v>
      </c>
      <c r="Y358" s="33">
        <f t="shared" si="291"/>
        <v>0.7232843394</v>
      </c>
      <c r="Z358" s="692"/>
      <c r="AA358" s="665"/>
      <c r="AB358" s="74"/>
      <c r="AC358" s="74"/>
      <c r="AD358" s="228" t="str">
        <f> HYPERLINK("https://www.crunchbase.com/organization/darkstore#section-funding-rounds","Oct 26, 2016")</f>
        <v>Oct 26, 2016</v>
      </c>
      <c r="AE358" s="38">
        <v>270000.0</v>
      </c>
      <c r="AF358" s="158" t="str">
        <f>HYPERLINK("https://www.crunchbase.com/funding_round/darkstore-seed--f99ac090", "Apr 12, 2017")</f>
        <v>Apr 12, 2017</v>
      </c>
      <c r="AG358" s="38">
        <v>1400000.0</v>
      </c>
      <c r="AH358" s="36"/>
      <c r="AI358" s="159"/>
      <c r="AJ358" s="228" t="str">
        <f>HYPERLINK("https://www.crunchbase.com/funding_round/darkstore-series-a--b28ce4d2","Jan 29, 2019")</f>
        <v>Jan 29, 2019</v>
      </c>
      <c r="AK358" s="38">
        <v>7500000.0</v>
      </c>
      <c r="AL358" s="228" t="str">
        <f>HYPERLINK("https://www.crunchbase.com/funding_round/darkstore-series-b--2df1094f","Sep 19, 2019")</f>
        <v>Sep 19, 2019</v>
      </c>
      <c r="AM358" s="715">
        <v>2.1E7</v>
      </c>
      <c r="AN358" s="44"/>
      <c r="AO358" s="46"/>
      <c r="AP358" s="44"/>
      <c r="AQ358" s="46"/>
      <c r="AR358" s="44"/>
      <c r="AS358" s="44"/>
      <c r="AT358" s="44"/>
      <c r="AU358" s="45"/>
      <c r="AV358" s="44"/>
      <c r="AW358" s="38"/>
      <c r="AX358" s="44"/>
      <c r="AY358" s="38"/>
      <c r="AZ358" s="44"/>
      <c r="BA358" s="45"/>
      <c r="BB358" s="44"/>
      <c r="BC358" s="45"/>
      <c r="BD358" s="44"/>
      <c r="BE358" s="46"/>
      <c r="BF358" s="3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</row>
    <row r="359" ht="15.75" customHeight="1">
      <c r="A359" s="1024" t="s">
        <v>1908</v>
      </c>
      <c r="B359" s="988" t="s">
        <v>944</v>
      </c>
      <c r="C359" s="988" t="s">
        <v>384</v>
      </c>
      <c r="D359" s="1025" t="s">
        <v>1909</v>
      </c>
      <c r="E359" s="1026" t="s">
        <v>1910</v>
      </c>
      <c r="F359" s="185" t="s">
        <v>1911</v>
      </c>
      <c r="G359" s="317" t="s">
        <v>1912</v>
      </c>
      <c r="H359" s="317" t="s">
        <v>1541</v>
      </c>
      <c r="I359" s="36" t="s">
        <v>65</v>
      </c>
      <c r="J359" s="237" t="s">
        <v>1913</v>
      </c>
      <c r="K359" s="36">
        <v>1.0</v>
      </c>
      <c r="L359" s="23">
        <v>2006.0</v>
      </c>
      <c r="M359" s="25">
        <f t="shared" si="287"/>
        <v>19</v>
      </c>
      <c r="N359" s="26">
        <f t="shared" si="288"/>
        <v>3</v>
      </c>
      <c r="O359" s="27" t="str">
        <f t="shared" si="3"/>
        <v>#N/A</v>
      </c>
      <c r="P359" s="28" t="str">
        <f t="shared" si="261"/>
        <v>#N/A</v>
      </c>
      <c r="Q359" s="28" t="str">
        <f t="shared" si="262"/>
        <v>#N/A</v>
      </c>
      <c r="R359" s="28"/>
      <c r="S359" s="28"/>
      <c r="T359" s="29">
        <f t="shared" si="289"/>
        <v>1578947.368</v>
      </c>
      <c r="U359" s="28"/>
      <c r="V359" s="30">
        <f t="shared" si="28"/>
        <v>30000000</v>
      </c>
      <c r="W359" s="30"/>
      <c r="X359" s="32">
        <f t="shared" si="290"/>
        <v>0.5036945962</v>
      </c>
      <c r="Y359" s="33">
        <f t="shared" si="291"/>
        <v>0.06652876849</v>
      </c>
      <c r="Z359" s="692"/>
      <c r="AA359" s="665"/>
      <c r="AB359" s="36"/>
      <c r="AC359" s="36"/>
      <c r="AD359" s="44"/>
      <c r="AE359" s="46"/>
      <c r="AF359" s="804"/>
      <c r="AG359" s="38"/>
      <c r="AH359" s="36"/>
      <c r="AI359" s="46"/>
      <c r="AJ359" s="228" t="str">
        <f>HYPERLINK("https://www.crunchbase.com/funding_round/appfolio-series-a--b4704e8e"," Feb 20, 2007")</f>
        <v> Feb 20, 2007</v>
      </c>
      <c r="AK359" s="38">
        <v>5000000.0</v>
      </c>
      <c r="AL359" s="228" t="str">
        <f>HYPERLINK("https://www.crunchbase.com/funding_round/appfolio-series-b--2bf33706"," Apr 16, 2008")</f>
        <v> Apr 16, 2008</v>
      </c>
      <c r="AM359" s="38">
        <v>1.7E7</v>
      </c>
      <c r="AN359" s="228" t="str">
        <f>HYPERLINK("https://www.crunchbase.com/funding_round/appfolio-series-c--40d1f363"," Aug 18, 2009")</f>
        <v> Aug 18, 2009</v>
      </c>
      <c r="AO359" s="38">
        <v>8000000.0</v>
      </c>
      <c r="AP359" s="37"/>
      <c r="AQ359" s="46"/>
      <c r="AR359" s="44"/>
      <c r="AS359" s="44"/>
      <c r="AT359" s="44"/>
      <c r="AU359" s="45"/>
      <c r="AV359" s="44"/>
      <c r="AW359" s="38"/>
      <c r="AX359" s="44"/>
      <c r="AY359" s="38"/>
      <c r="AZ359" s="44"/>
      <c r="BA359" s="45"/>
      <c r="BB359" s="44"/>
      <c r="BC359" s="45"/>
      <c r="BD359" s="44"/>
      <c r="BE359" s="46"/>
      <c r="BF359" s="36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</row>
    <row r="360" ht="15.75" customHeight="1">
      <c r="A360" s="978" t="s">
        <v>1914</v>
      </c>
      <c r="B360" s="980"/>
      <c r="C360" s="980" t="s">
        <v>84</v>
      </c>
      <c r="D360" s="1001" t="s">
        <v>1915</v>
      </c>
      <c r="E360" s="991" t="s">
        <v>1916</v>
      </c>
      <c r="F360" s="173" t="s">
        <v>1917</v>
      </c>
      <c r="G360" s="71"/>
      <c r="H360" s="71" t="s">
        <v>1918</v>
      </c>
      <c r="I360" s="26" t="s">
        <v>1384</v>
      </c>
      <c r="J360" s="72"/>
      <c r="K360" s="26">
        <v>4.0</v>
      </c>
      <c r="L360" s="26">
        <v>2019.0</v>
      </c>
      <c r="M360" s="25">
        <f t="shared" si="287"/>
        <v>6</v>
      </c>
      <c r="N360" s="26">
        <f t="shared" si="288"/>
        <v>2</v>
      </c>
      <c r="O360" s="27" t="str">
        <f t="shared" si="3"/>
        <v>#N/A</v>
      </c>
      <c r="P360" s="28">
        <f t="shared" si="261"/>
        <v>176</v>
      </c>
      <c r="Q360" s="28" t="str">
        <f t="shared" si="262"/>
        <v>#N/A</v>
      </c>
      <c r="R360" s="28"/>
      <c r="S360" s="28"/>
      <c r="T360" s="29">
        <f t="shared" si="289"/>
        <v>5000000</v>
      </c>
      <c r="U360" s="28"/>
      <c r="V360" s="30">
        <f t="shared" si="28"/>
        <v>30000000</v>
      </c>
      <c r="W360" s="30"/>
      <c r="X360" s="32">
        <f t="shared" si="290"/>
        <v>0.4142135624</v>
      </c>
      <c r="Y360" s="33">
        <f t="shared" si="291"/>
        <v>0.1224620483</v>
      </c>
      <c r="Z360" s="692"/>
      <c r="AA360" s="665"/>
      <c r="AB360" s="74"/>
      <c r="AC360" s="74"/>
      <c r="AD360" s="37"/>
      <c r="AE360" s="38"/>
      <c r="AF360" s="918" t="str">
        <f>HYPERLINK("https://www.crunchbase.com/funding_round/doorloop-seed--d804c685","Sep 21, 2021")</f>
        <v>Sep 21, 2021</v>
      </c>
      <c r="AG360" s="1002">
        <v>1.0E7</v>
      </c>
      <c r="AH360" s="36"/>
      <c r="AI360" s="159"/>
      <c r="AJ360" s="75">
        <v>44824.0</v>
      </c>
      <c r="AK360" s="38">
        <v>2.0E7</v>
      </c>
      <c r="AL360" s="44"/>
      <c r="AM360" s="46"/>
      <c r="AN360" s="44"/>
      <c r="AO360" s="46"/>
      <c r="AP360" s="44"/>
      <c r="AQ360" s="46"/>
      <c r="AR360" s="44"/>
      <c r="AS360" s="44"/>
      <c r="AT360" s="44"/>
      <c r="AU360" s="45"/>
      <c r="AV360" s="44"/>
      <c r="AW360" s="38"/>
      <c r="AX360" s="44"/>
      <c r="AY360" s="38"/>
      <c r="AZ360" s="44"/>
      <c r="BA360" s="45"/>
      <c r="BB360" s="44"/>
      <c r="BC360" s="45"/>
      <c r="BD360" s="44"/>
      <c r="BE360" s="46"/>
      <c r="BF360" s="36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</row>
    <row r="361" ht="15.75" customHeight="1">
      <c r="A361" s="978" t="s">
        <v>1919</v>
      </c>
      <c r="B361" s="979"/>
      <c r="C361" s="980" t="s">
        <v>84</v>
      </c>
      <c r="D361" s="981" t="s">
        <v>1920</v>
      </c>
      <c r="E361" s="982" t="s">
        <v>1921</v>
      </c>
      <c r="F361" s="173" t="s">
        <v>1922</v>
      </c>
      <c r="G361" s="186"/>
      <c r="H361" s="71" t="s">
        <v>1923</v>
      </c>
      <c r="I361" s="26" t="s">
        <v>115</v>
      </c>
      <c r="J361" s="155"/>
      <c r="K361" s="26"/>
      <c r="L361" s="26">
        <v>2016.0</v>
      </c>
      <c r="M361" s="25">
        <f t="shared" si="287"/>
        <v>9</v>
      </c>
      <c r="N361" s="26">
        <f t="shared" si="288"/>
        <v>2</v>
      </c>
      <c r="O361" s="27" t="str">
        <f t="shared" si="3"/>
        <v>#N/A</v>
      </c>
      <c r="P361" s="28"/>
      <c r="Q361" s="28"/>
      <c r="R361" s="28"/>
      <c r="S361" s="28"/>
      <c r="T361" s="29">
        <f t="shared" si="289"/>
        <v>3333333.333</v>
      </c>
      <c r="U361" s="28"/>
      <c r="V361" s="30">
        <f t="shared" si="28"/>
        <v>30000000</v>
      </c>
      <c r="W361" s="30"/>
      <c r="X361" s="73"/>
      <c r="Y361" s="33">
        <f>(max(AE361,AG361,AI361,AK361,AM361,AO361,AQ361,AS361,AU361,AW361,AY361,BA361,BC361)/min(AE361,AG361,AI361,AK361))^(1/M361)-1</f>
        <v>0.08005973889</v>
      </c>
      <c r="Z361" s="692"/>
      <c r="AA361" s="665"/>
      <c r="AB361" s="74"/>
      <c r="AC361" s="74"/>
      <c r="AD361" s="79"/>
      <c r="AE361" s="84"/>
      <c r="AF361" s="338"/>
      <c r="AG361" s="84"/>
      <c r="AH361" s="74"/>
      <c r="AI361" s="78"/>
      <c r="AJ361" s="227">
        <v>43929.0</v>
      </c>
      <c r="AK361" s="76">
        <v>1.0E7</v>
      </c>
      <c r="AL361" s="75">
        <v>44896.0</v>
      </c>
      <c r="AM361" s="76">
        <v>2.0E7</v>
      </c>
      <c r="AN361" s="79"/>
      <c r="AO361" s="84"/>
      <c r="AP361" s="79"/>
      <c r="AQ361" s="84"/>
      <c r="AR361" s="79"/>
      <c r="AS361" s="79"/>
      <c r="AT361" s="79"/>
      <c r="AU361" s="80"/>
      <c r="AV361" s="79"/>
      <c r="AW361" s="38"/>
      <c r="AX361" s="79"/>
      <c r="AY361" s="38"/>
      <c r="AZ361" s="79"/>
      <c r="BA361" s="80"/>
      <c r="BB361" s="79"/>
      <c r="BC361" s="80"/>
      <c r="BD361" s="79"/>
      <c r="BE361" s="38"/>
      <c r="BF361" s="74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</row>
    <row r="362" ht="15.75" customHeight="1">
      <c r="A362" s="996" t="s">
        <v>1924</v>
      </c>
      <c r="B362" s="997"/>
      <c r="C362" s="998" t="s">
        <v>513</v>
      </c>
      <c r="D362" s="1074"/>
      <c r="E362" s="1000" t="s">
        <v>1925</v>
      </c>
      <c r="F362" s="352" t="s">
        <v>1926</v>
      </c>
      <c r="G362" s="353"/>
      <c r="H362" s="53" t="s">
        <v>1927</v>
      </c>
      <c r="I362" s="54" t="s">
        <v>329</v>
      </c>
      <c r="J362" s="55"/>
      <c r="K362" s="55"/>
      <c r="L362" s="56">
        <v>2020.0</v>
      </c>
      <c r="M362" s="55"/>
      <c r="N362" s="55"/>
      <c r="O362" s="27" t="str">
        <f t="shared" si="3"/>
        <v>#N/A</v>
      </c>
      <c r="P362" s="55"/>
      <c r="Q362" s="55"/>
      <c r="R362" s="55"/>
      <c r="S362" s="55"/>
      <c r="T362" s="55"/>
      <c r="U362" s="55"/>
      <c r="V362" s="30">
        <f t="shared" si="28"/>
        <v>30000000</v>
      </c>
      <c r="W362" s="30"/>
      <c r="X362" s="58"/>
      <c r="Y362" s="58"/>
      <c r="Z362" s="692"/>
      <c r="AA362" s="665"/>
      <c r="AB362" s="55"/>
      <c r="AC362" s="55"/>
      <c r="AD362" s="355"/>
      <c r="AE362" s="55"/>
      <c r="AF362" s="62">
        <v>44935.0</v>
      </c>
      <c r="AG362" s="76">
        <v>3.0E7</v>
      </c>
      <c r="AH362" s="55"/>
      <c r="AI362" s="55"/>
      <c r="AJ362" s="55"/>
      <c r="AK362" s="55"/>
      <c r="AL362" s="55"/>
      <c r="AM362" s="55"/>
      <c r="AN362" s="55"/>
      <c r="AO362" s="55"/>
      <c r="AP362" s="356"/>
      <c r="AQ362" s="356"/>
      <c r="AR362" s="55"/>
      <c r="AS362" s="55"/>
      <c r="AT362" s="55"/>
      <c r="AU362" s="722"/>
      <c r="AV362" s="55"/>
      <c r="AW362" s="38"/>
      <c r="AX362" s="55"/>
      <c r="AY362" s="38"/>
      <c r="AZ362" s="55"/>
      <c r="BA362" s="722"/>
      <c r="BB362" s="62">
        <v>44935.0</v>
      </c>
      <c r="BC362" s="722"/>
      <c r="BD362" s="55"/>
      <c r="BE362" s="38"/>
      <c r="BF362" s="55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</row>
    <row r="363" ht="15.75" customHeight="1">
      <c r="A363" s="1008" t="s">
        <v>1928</v>
      </c>
      <c r="B363" s="988"/>
      <c r="C363" s="989" t="s">
        <v>513</v>
      </c>
      <c r="D363" s="998"/>
      <c r="E363" s="1075" t="s">
        <v>1929</v>
      </c>
      <c r="F363" s="118" t="s">
        <v>1930</v>
      </c>
      <c r="G363" s="810"/>
      <c r="H363" s="810" t="s">
        <v>371</v>
      </c>
      <c r="I363" s="23" t="s">
        <v>372</v>
      </c>
      <c r="J363" s="24"/>
      <c r="K363" s="23">
        <v>3.0</v>
      </c>
      <c r="L363" s="712">
        <v>2018.0</v>
      </c>
      <c r="M363" s="222"/>
      <c r="N363" s="23"/>
      <c r="O363" s="27" t="str">
        <f t="shared" si="3"/>
        <v>#N/A</v>
      </c>
      <c r="P363" s="28" t="str">
        <f t="shared" ref="P363:P365" si="292">RANK(T363,$T$2:$T$333)</f>
        <v>#N/A</v>
      </c>
      <c r="Q363" s="28" t="str">
        <f t="shared" ref="Q363:Q366" si="293">rank(V363,$V$2:$V$344)</f>
        <v>#N/A</v>
      </c>
      <c r="R363" s="464"/>
      <c r="S363" s="464"/>
      <c r="T363" s="464"/>
      <c r="U363" s="464"/>
      <c r="V363" s="30">
        <f t="shared" si="28"/>
        <v>29890000</v>
      </c>
      <c r="W363" s="30"/>
      <c r="X363" s="33"/>
      <c r="Y363" s="33"/>
      <c r="Z363" s="692"/>
      <c r="AA363" s="665"/>
      <c r="AB363" s="36"/>
      <c r="AC363" s="36"/>
      <c r="AD363" s="37"/>
      <c r="AE363" s="38"/>
      <c r="AF363" s="1076">
        <v>44503.0</v>
      </c>
      <c r="AG363" s="38">
        <v>9890000.0</v>
      </c>
      <c r="AH363" s="36"/>
      <c r="AI363" s="46"/>
      <c r="AJ363" s="387">
        <v>44790.0</v>
      </c>
      <c r="AK363" s="38">
        <v>2.0E7</v>
      </c>
      <c r="AL363" s="37"/>
      <c r="AM363" s="38"/>
      <c r="AN363" s="44"/>
      <c r="AO363" s="46"/>
      <c r="AP363" s="967"/>
      <c r="AQ363" s="968"/>
      <c r="AR363" s="967"/>
      <c r="AS363" s="38"/>
      <c r="AT363" s="44"/>
      <c r="AU363" s="45"/>
      <c r="AV363" s="44"/>
      <c r="AW363" s="38"/>
      <c r="AX363" s="44"/>
      <c r="AY363" s="38"/>
      <c r="AZ363" s="44"/>
      <c r="BA363" s="45"/>
      <c r="BB363" s="44"/>
      <c r="BC363" s="45"/>
      <c r="BD363" s="44"/>
      <c r="BE363" s="46"/>
      <c r="BF363" s="36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</row>
    <row r="364" ht="31.5" customHeight="1">
      <c r="A364" s="1077" t="s">
        <v>1931</v>
      </c>
      <c r="B364" s="1078"/>
      <c r="C364" s="980" t="s">
        <v>513</v>
      </c>
      <c r="D364" s="981" t="s">
        <v>1932</v>
      </c>
      <c r="E364" s="982" t="s">
        <v>1933</v>
      </c>
      <c r="F364" s="118" t="s">
        <v>1934</v>
      </c>
      <c r="G364" s="140"/>
      <c r="H364" s="71" t="s">
        <v>1935</v>
      </c>
      <c r="I364" s="26" t="s">
        <v>639</v>
      </c>
      <c r="J364" s="72"/>
      <c r="K364" s="74"/>
      <c r="L364" s="26">
        <v>2016.0</v>
      </c>
      <c r="M364" s="25">
        <f t="shared" ref="M364:M368" si="294">year(now()) -L364</f>
        <v>9</v>
      </c>
      <c r="N364" s="26">
        <f t="shared" ref="N364:N368" si="295">counta(AE364,AG364,AI364,AK364,AM364,AO364,AQ364,AS364,AU364,AW364,AY364,BA364,BC364)</f>
        <v>2</v>
      </c>
      <c r="O364" s="27" t="str">
        <f t="shared" si="3"/>
        <v>#N/A</v>
      </c>
      <c r="P364" s="28" t="str">
        <f t="shared" si="292"/>
        <v>#N/A</v>
      </c>
      <c r="Q364" s="28" t="str">
        <f t="shared" si="293"/>
        <v>#N/A</v>
      </c>
      <c r="R364" s="28"/>
      <c r="S364" s="28"/>
      <c r="T364" s="29">
        <f t="shared" ref="T364:T368" si="296">V364/M364</f>
        <v>3311111.111</v>
      </c>
      <c r="U364" s="28"/>
      <c r="V364" s="30">
        <f t="shared" si="28"/>
        <v>29800000</v>
      </c>
      <c r="W364" s="30"/>
      <c r="X364" s="32">
        <f t="shared" ref="X364:X366" si="297">(max(AE364,AG364,AI364,AK364,AM364,AO364,AQ364,AS364,AU364,AW364,AY364,BA364,BC364)/min(AE364,AG364,AI364,AK364,AM364,AO364,AQ364,AS364,AU364,AW364,AY364,BA364,BC364))^(1/N364)-1</f>
        <v>0.4285714286</v>
      </c>
      <c r="Y364" s="33">
        <f t="shared" ref="Y364:Y366" si="298">(max(AE364,AG364,AI364,AK364,AM364,AO364,AQ364,AS364,AU364,AW364,AY364,BA364,BC364)/min(AE364,AG364,AI364,AK364,AM364,AO364,AQ364,AS364,AU364,AW364,AY364,BA364,BC364))^(1/M364)-1</f>
        <v>0.08248692105</v>
      </c>
      <c r="Z364" s="692"/>
      <c r="AA364" s="665"/>
      <c r="AB364" s="74"/>
      <c r="AC364" s="74"/>
      <c r="AD364" s="44"/>
      <c r="AE364" s="46"/>
      <c r="AF364" s="320">
        <v>43999.0</v>
      </c>
      <c r="AG364" s="1079">
        <v>9800000.0</v>
      </c>
      <c r="AH364" s="36"/>
      <c r="AI364" s="159"/>
      <c r="AJ364" s="227">
        <v>44179.0</v>
      </c>
      <c r="AK364" s="1080">
        <v>2.0E7</v>
      </c>
      <c r="AL364" s="44"/>
      <c r="AM364" s="46"/>
      <c r="AN364" s="44"/>
      <c r="AO364" s="46"/>
      <c r="AP364" s="44"/>
      <c r="AQ364" s="46"/>
      <c r="AR364" s="44"/>
      <c r="AS364" s="44"/>
      <c r="AT364" s="44"/>
      <c r="AU364" s="45"/>
      <c r="AV364" s="44"/>
      <c r="AW364" s="38"/>
      <c r="AX364" s="44"/>
      <c r="AY364" s="38"/>
      <c r="AZ364" s="44"/>
      <c r="BA364" s="45"/>
      <c r="BB364" s="44"/>
      <c r="BC364" s="45"/>
      <c r="BD364" s="44"/>
      <c r="BE364" s="46"/>
      <c r="BF364" s="36"/>
      <c r="BG364" s="1081"/>
      <c r="BH364" s="1081"/>
      <c r="BI364" s="1081"/>
      <c r="BJ364" s="1081"/>
      <c r="BK364" s="1081"/>
      <c r="BL364" s="1081"/>
      <c r="BM364" s="1081"/>
      <c r="BN364" s="1081"/>
      <c r="BO364" s="1081"/>
      <c r="BP364" s="1081"/>
      <c r="BQ364" s="1081"/>
      <c r="BR364" s="1081"/>
      <c r="BS364" s="1081"/>
      <c r="BT364" s="1081"/>
      <c r="BU364" s="1081"/>
      <c r="BV364" s="1081"/>
      <c r="BW364" s="1081"/>
      <c r="BX364" s="1081"/>
      <c r="BY364" s="1081"/>
      <c r="BZ364" s="1081"/>
      <c r="CA364" s="1081"/>
      <c r="CB364" s="1081"/>
      <c r="CC364" s="1081"/>
      <c r="CD364" s="1081"/>
      <c r="CE364" s="1081"/>
      <c r="CF364" s="1081"/>
      <c r="CG364" s="1081"/>
      <c r="CH364" s="1081"/>
      <c r="CI364" s="1081"/>
      <c r="CJ364" s="1081"/>
      <c r="CK364" s="1081"/>
      <c r="CL364" s="1081"/>
      <c r="CM364" s="1081"/>
      <c r="CN364" s="1081"/>
      <c r="CO364" s="1081"/>
      <c r="CP364" s="1081"/>
    </row>
    <row r="365" ht="15.75" customHeight="1">
      <c r="A365" s="978" t="s">
        <v>1936</v>
      </c>
      <c r="B365" s="979"/>
      <c r="C365" s="980" t="s">
        <v>132</v>
      </c>
      <c r="D365" s="990"/>
      <c r="E365" s="1082" t="s">
        <v>1937</v>
      </c>
      <c r="F365" s="173" t="s">
        <v>1938</v>
      </c>
      <c r="G365" s="186"/>
      <c r="H365" s="71" t="s">
        <v>357</v>
      </c>
      <c r="I365" s="26" t="s">
        <v>358</v>
      </c>
      <c r="J365" s="155"/>
      <c r="K365" s="26">
        <v>3.0</v>
      </c>
      <c r="L365" s="26">
        <v>2019.0</v>
      </c>
      <c r="M365" s="25">
        <f t="shared" si="294"/>
        <v>6</v>
      </c>
      <c r="N365" s="26">
        <f t="shared" si="295"/>
        <v>3</v>
      </c>
      <c r="O365" s="27" t="str">
        <f t="shared" si="3"/>
        <v>#N/A</v>
      </c>
      <c r="P365" s="28" t="str">
        <f t="shared" si="292"/>
        <v>#N/A</v>
      </c>
      <c r="Q365" s="28" t="str">
        <f t="shared" si="293"/>
        <v>#N/A</v>
      </c>
      <c r="R365" s="28"/>
      <c r="S365" s="28"/>
      <c r="T365" s="29">
        <f t="shared" si="296"/>
        <v>4966666.667</v>
      </c>
      <c r="U365" s="28"/>
      <c r="V365" s="30">
        <f t="shared" si="28"/>
        <v>29800000</v>
      </c>
      <c r="W365" s="30"/>
      <c r="X365" s="32">
        <f t="shared" si="297"/>
        <v>1.403749284</v>
      </c>
      <c r="Y365" s="33">
        <f t="shared" si="298"/>
        <v>0.5504029424</v>
      </c>
      <c r="Z365" s="692"/>
      <c r="AA365" s="665"/>
      <c r="AB365" s="74"/>
      <c r="AC365" s="74"/>
      <c r="AD365" s="181" t="str">
        <f>HYPERLINK("https://www.crunchbase.com/funding_round/tulou-pre-seed--8d8233d8","Mar 1, 2019")</f>
        <v>Mar 1, 2019</v>
      </c>
      <c r="AE365" s="76">
        <v>1800000.0</v>
      </c>
      <c r="AF365" s="175" t="str">
        <f>HYPERLINK("https://www.crunchbase.com/funding_round/tulou-seed--62b454a3","Apr 13, 2021")</f>
        <v>Apr 13, 2021</v>
      </c>
      <c r="AG365" s="76">
        <v>3000000.0</v>
      </c>
      <c r="AH365" s="77"/>
      <c r="AI365" s="78"/>
      <c r="AJ365" s="75">
        <v>44825.0</v>
      </c>
      <c r="AK365" s="76">
        <v>2.5E7</v>
      </c>
      <c r="AL365" s="79"/>
      <c r="AM365" s="84"/>
      <c r="AN365" s="79"/>
      <c r="AO365" s="84"/>
      <c r="AP365" s="79"/>
      <c r="AQ365" s="84"/>
      <c r="AR365" s="79"/>
      <c r="AS365" s="79"/>
      <c r="AT365" s="79"/>
      <c r="AU365" s="80"/>
      <c r="AV365" s="79"/>
      <c r="AW365" s="38"/>
      <c r="AX365" s="79"/>
      <c r="AY365" s="38"/>
      <c r="AZ365" s="79"/>
      <c r="BA365" s="80"/>
      <c r="BB365" s="79"/>
      <c r="BC365" s="80"/>
      <c r="BD365" s="79"/>
      <c r="BE365" s="84"/>
      <c r="BF365" s="74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</row>
    <row r="366" ht="15.75" customHeight="1">
      <c r="A366" s="978" t="s">
        <v>1939</v>
      </c>
      <c r="B366" s="988"/>
      <c r="C366" s="989" t="s">
        <v>123</v>
      </c>
      <c r="D366" s="1083"/>
      <c r="E366" s="1072" t="s">
        <v>1940</v>
      </c>
      <c r="F366" s="177" t="s">
        <v>1941</v>
      </c>
      <c r="G366" s="22" t="s">
        <v>187</v>
      </c>
      <c r="H366" s="22" t="s">
        <v>187</v>
      </c>
      <c r="I366" s="23" t="s">
        <v>188</v>
      </c>
      <c r="J366" s="237"/>
      <c r="K366" s="23">
        <v>2.0</v>
      </c>
      <c r="L366" s="23">
        <v>2018.0</v>
      </c>
      <c r="M366" s="25">
        <f t="shared" si="294"/>
        <v>7</v>
      </c>
      <c r="N366" s="26">
        <f t="shared" si="295"/>
        <v>4</v>
      </c>
      <c r="O366" s="27" t="str">
        <f t="shared" si="3"/>
        <v>#N/A</v>
      </c>
      <c r="P366" s="28" t="str">
        <f>RANK(T366,$T$8:$T$333)</f>
        <v>#N/A</v>
      </c>
      <c r="Q366" s="28" t="str">
        <f t="shared" si="293"/>
        <v>#N/A</v>
      </c>
      <c r="R366" s="28"/>
      <c r="S366" s="28"/>
      <c r="T366" s="29">
        <f t="shared" si="296"/>
        <v>4257142.857</v>
      </c>
      <c r="U366" s="28"/>
      <c r="V366" s="30">
        <f t="shared" si="28"/>
        <v>29800000</v>
      </c>
      <c r="W366" s="30"/>
      <c r="X366" s="32">
        <f t="shared" si="297"/>
        <v>0.4388178057</v>
      </c>
      <c r="Y366" s="33">
        <f t="shared" si="298"/>
        <v>0.231087809</v>
      </c>
      <c r="Z366" s="692"/>
      <c r="AA366" s="665"/>
      <c r="AB366" s="36"/>
      <c r="AC366" s="36"/>
      <c r="AD366" s="43" t="str">
        <f>HYPERLINK("https://www.crunchbase.com/funding_round/cohesionib-pre-seed--1e66db6c","Dec 31, 2018")</f>
        <v>Dec 31, 2018</v>
      </c>
      <c r="AE366" s="38">
        <v>3500000.0</v>
      </c>
      <c r="AF366" s="1084" t="str">
        <f>HYPERLINK("https://www.crunchbase.com/funding_round/cohesionib-seed--f3c8b14c","Jul 16, 2020")</f>
        <v>Jul 16, 2020</v>
      </c>
      <c r="AG366" s="38">
        <v>5000000.0</v>
      </c>
      <c r="AH366" s="36"/>
      <c r="AI366" s="159"/>
      <c r="AJ366" s="43" t="str">
        <f>HYPERLINK("https://www.businesswire.com/news/home/20211117005377/en/Cohesion-Announces-15-Million-Series-A-Financing-to-Advance-the-Commercial-Real-Estate-Transformation-to-Data-Driven-Smart-Buildings-Amid-a-New-Era-of-Hybrid-Work","Nov 17th, 2021")</f>
        <v>Nov 17th, 2021</v>
      </c>
      <c r="AK366" s="38">
        <v>1.5E7</v>
      </c>
      <c r="AL366" s="44"/>
      <c r="AM366" s="46"/>
      <c r="AN366" s="44"/>
      <c r="AO366" s="46"/>
      <c r="AP366" s="44"/>
      <c r="AQ366" s="46"/>
      <c r="AR366" s="44"/>
      <c r="AS366" s="44"/>
      <c r="AT366" s="44"/>
      <c r="AU366" s="45"/>
      <c r="AV366" s="44"/>
      <c r="AW366" s="38"/>
      <c r="AX366" s="44"/>
      <c r="AY366" s="38"/>
      <c r="AZ366" s="75">
        <v>45014.0</v>
      </c>
      <c r="BA366" s="229">
        <v>6300000.0</v>
      </c>
      <c r="BB366" s="44"/>
      <c r="BC366" s="45"/>
      <c r="BD366" s="44"/>
      <c r="BE366" s="46"/>
      <c r="BF366" s="36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</row>
    <row r="367" ht="15.75" customHeight="1">
      <c r="A367" s="1085" t="s">
        <v>1942</v>
      </c>
      <c r="B367" s="988"/>
      <c r="C367" s="989" t="s">
        <v>84</v>
      </c>
      <c r="D367" s="1009" t="s">
        <v>1943</v>
      </c>
      <c r="E367" s="1010" t="s">
        <v>1944</v>
      </c>
      <c r="F367" s="20" t="s">
        <v>1945</v>
      </c>
      <c r="G367" s="317"/>
      <c r="H367" s="22" t="s">
        <v>328</v>
      </c>
      <c r="I367" s="23" t="s">
        <v>329</v>
      </c>
      <c r="J367" s="237"/>
      <c r="K367" s="23"/>
      <c r="L367" s="23">
        <v>2018.0</v>
      </c>
      <c r="M367" s="25">
        <f t="shared" si="294"/>
        <v>7</v>
      </c>
      <c r="N367" s="26">
        <f t="shared" si="295"/>
        <v>4</v>
      </c>
      <c r="O367" s="27" t="str">
        <f t="shared" si="3"/>
        <v>#N/A</v>
      </c>
      <c r="P367" s="28"/>
      <c r="Q367" s="28"/>
      <c r="R367" s="28"/>
      <c r="S367" s="28"/>
      <c r="T367" s="29">
        <f t="shared" si="296"/>
        <v>4257142.857</v>
      </c>
      <c r="U367" s="28"/>
      <c r="V367" s="30">
        <f t="shared" si="28"/>
        <v>29800000</v>
      </c>
      <c r="W367" s="30"/>
      <c r="X367" s="33"/>
      <c r="Y367" s="33">
        <f>(max(AE367,AG367,AI367,AK367,AM367,AO367,AQ367,AS367,AU367,AW367,AY367,BA367,BC367)/min(AE367,AG367,AI367,AK367))^(1/M367)-1</f>
        <v>0.231087809</v>
      </c>
      <c r="Z367" s="692"/>
      <c r="AA367" s="665"/>
      <c r="AB367" s="36"/>
      <c r="AC367" s="36"/>
      <c r="AD367" s="75">
        <v>43465.0</v>
      </c>
      <c r="AE367" s="127">
        <v>3500000.0</v>
      </c>
      <c r="AF367" s="726">
        <v>44028.0</v>
      </c>
      <c r="AG367" s="76">
        <v>5000000.0</v>
      </c>
      <c r="AH367" s="919"/>
      <c r="AI367" s="159"/>
      <c r="AJ367" s="75">
        <v>44517.0</v>
      </c>
      <c r="AK367" s="38">
        <v>1.5E7</v>
      </c>
      <c r="AL367" s="44"/>
      <c r="AM367" s="46"/>
      <c r="AN367" s="37"/>
      <c r="AO367" s="38"/>
      <c r="AP367" s="37"/>
      <c r="AQ367" s="38"/>
      <c r="AR367" s="44"/>
      <c r="AS367" s="44"/>
      <c r="AT367" s="44"/>
      <c r="AU367" s="45"/>
      <c r="AV367" s="44"/>
      <c r="AW367" s="38"/>
      <c r="AX367" s="44"/>
      <c r="AY367" s="38"/>
      <c r="AZ367" s="75">
        <v>45014.0</v>
      </c>
      <c r="BA367" s="229">
        <v>6300000.0</v>
      </c>
      <c r="BB367" s="44"/>
      <c r="BC367" s="45"/>
      <c r="BD367" s="44"/>
      <c r="BE367" s="38"/>
      <c r="BF367" s="36"/>
      <c r="BG367" s="115"/>
      <c r="BH367" s="115"/>
      <c r="BI367" s="115"/>
      <c r="BJ367" s="115"/>
      <c r="BK367" s="115"/>
      <c r="BL367" s="115"/>
      <c r="BM367" s="115"/>
      <c r="BN367" s="115"/>
      <c r="BO367" s="115"/>
      <c r="BP367" s="115"/>
      <c r="BQ367" s="115"/>
      <c r="BR367" s="115"/>
      <c r="BS367" s="115"/>
      <c r="BT367" s="115"/>
      <c r="BU367" s="115"/>
      <c r="BV367" s="115"/>
      <c r="BW367" s="115"/>
      <c r="BX367" s="115"/>
      <c r="BY367" s="115"/>
      <c r="BZ367" s="115"/>
      <c r="CA367" s="115"/>
      <c r="CB367" s="115"/>
      <c r="CC367" s="115"/>
      <c r="CD367" s="115"/>
      <c r="CE367" s="115"/>
      <c r="CF367" s="115"/>
      <c r="CG367" s="115"/>
      <c r="CH367" s="115"/>
      <c r="CI367" s="115"/>
      <c r="CJ367" s="115"/>
      <c r="CK367" s="115"/>
      <c r="CL367" s="115"/>
      <c r="CM367" s="115"/>
      <c r="CN367" s="115"/>
      <c r="CO367" s="115"/>
      <c r="CP367" s="115"/>
    </row>
    <row r="368" ht="15.75" customHeight="1">
      <c r="A368" s="996" t="s">
        <v>1946</v>
      </c>
      <c r="B368" s="984"/>
      <c r="C368" s="985" t="s">
        <v>1947</v>
      </c>
      <c r="D368" s="981" t="s">
        <v>1948</v>
      </c>
      <c r="E368" s="982" t="s">
        <v>1949</v>
      </c>
      <c r="F368" s="118" t="s">
        <v>1950</v>
      </c>
      <c r="G368" s="286"/>
      <c r="H368" s="119" t="s">
        <v>394</v>
      </c>
      <c r="I368" s="25" t="s">
        <v>1395</v>
      </c>
      <c r="J368" s="287"/>
      <c r="K368" s="25"/>
      <c r="L368" s="25">
        <v>2017.0</v>
      </c>
      <c r="M368" s="25">
        <f t="shared" si="294"/>
        <v>8</v>
      </c>
      <c r="N368" s="26">
        <f t="shared" si="295"/>
        <v>3</v>
      </c>
      <c r="O368" s="27" t="str">
        <f t="shared" si="3"/>
        <v>#N/A</v>
      </c>
      <c r="P368" s="28" t="str">
        <f t="shared" ref="P368:P369" si="299">RANK(T368,$T$2:$T$333)</f>
        <v>#N/A</v>
      </c>
      <c r="Q368" s="28" t="str">
        <f t="shared" ref="Q368:Q369" si="300">rank(V368,$V$2:$V$344)</f>
        <v>#N/A</v>
      </c>
      <c r="R368" s="28"/>
      <c r="S368" s="28"/>
      <c r="T368" s="29">
        <f t="shared" si="296"/>
        <v>3675000</v>
      </c>
      <c r="U368" s="28"/>
      <c r="V368" s="30">
        <f t="shared" si="28"/>
        <v>29400000</v>
      </c>
      <c r="W368" s="30"/>
      <c r="X368" s="32">
        <f>(max(AE368,AG368,AI368,AK368,AM368,AO368,AQ368,AS368,AU368,AW368,AY368,BA368,BC368)/min(AE368,AG368,AI368,AK368,AM368,AO368,AQ368,AS368,AU368,AW368,AY368,BA368,BC368))^(1/N368)-1</f>
        <v>0.6830427026</v>
      </c>
      <c r="Y368" s="33">
        <f>(max(AE368,AG368,AI368,AK368,AM368,AO368,AQ368,AS368,AU368,AW368,AY368,BA368,BC368)/min(AE368,AG368,AI368,AK368,AM368,AO368,AQ368,AS368,AU368,AW368,AY368,BA368,BC368))^(1/M368)-1</f>
        <v>0.215585961</v>
      </c>
      <c r="Z368" s="692"/>
      <c r="AA368" s="665"/>
      <c r="AB368" s="123"/>
      <c r="AC368" s="123"/>
      <c r="AD368" s="1086"/>
      <c r="AE368" s="127"/>
      <c r="AF368" s="42">
        <v>43573.0</v>
      </c>
      <c r="AG368" s="127">
        <v>4600000.0</v>
      </c>
      <c r="AH368" s="123"/>
      <c r="AI368" s="128"/>
      <c r="AJ368" s="42">
        <v>44062.0</v>
      </c>
      <c r="AK368" s="127">
        <v>4300000.0</v>
      </c>
      <c r="AL368" s="455" t="str">
        <f>HYPERLINK("https://www.crunchbase.com/funding_round/padsplit-series-b--185140c2","Nov 3, 2021")</f>
        <v>Nov 3, 2021</v>
      </c>
      <c r="AM368" s="127">
        <v>2.05E7</v>
      </c>
      <c r="AN368" s="124"/>
      <c r="AO368" s="125"/>
      <c r="AP368" s="124"/>
      <c r="AQ368" s="125"/>
      <c r="AR368" s="124"/>
      <c r="AS368" s="124"/>
      <c r="AT368" s="124"/>
      <c r="AU368" s="137"/>
      <c r="AV368" s="124"/>
      <c r="AW368" s="38"/>
      <c r="AX368" s="124"/>
      <c r="AY368" s="38"/>
      <c r="AZ368" s="124"/>
      <c r="BA368" s="137"/>
      <c r="BB368" s="124"/>
      <c r="BC368" s="137"/>
      <c r="BD368" s="124"/>
      <c r="BE368" s="125"/>
      <c r="BF368" s="123"/>
      <c r="BG368" s="115"/>
      <c r="BH368" s="115"/>
      <c r="BI368" s="115"/>
      <c r="BJ368" s="115"/>
      <c r="BK368" s="115"/>
      <c r="BL368" s="115"/>
      <c r="BM368" s="115"/>
      <c r="BN368" s="115"/>
      <c r="BO368" s="115"/>
      <c r="BP368" s="115"/>
      <c r="BQ368" s="115"/>
      <c r="BR368" s="115"/>
      <c r="BS368" s="115"/>
      <c r="BT368" s="115"/>
      <c r="BU368" s="115"/>
      <c r="BV368" s="115"/>
      <c r="BW368" s="115"/>
      <c r="BX368" s="115"/>
      <c r="BY368" s="115"/>
      <c r="BZ368" s="115"/>
      <c r="CA368" s="115"/>
      <c r="CB368" s="115"/>
      <c r="CC368" s="115"/>
      <c r="CD368" s="115"/>
      <c r="CE368" s="115"/>
      <c r="CF368" s="115"/>
      <c r="CG368" s="115"/>
      <c r="CH368" s="115"/>
      <c r="CI368" s="115"/>
      <c r="CJ368" s="115"/>
      <c r="CK368" s="115"/>
      <c r="CL368" s="115"/>
      <c r="CM368" s="115"/>
      <c r="CN368" s="115"/>
      <c r="CO368" s="115"/>
      <c r="CP368" s="115"/>
    </row>
    <row r="369" ht="15.75" customHeight="1">
      <c r="A369" s="993" t="s">
        <v>1951</v>
      </c>
      <c r="B369" s="984"/>
      <c r="C369" s="985" t="s">
        <v>1952</v>
      </c>
      <c r="D369" s="1087"/>
      <c r="E369" s="995" t="s">
        <v>1953</v>
      </c>
      <c r="F369" s="708" t="s">
        <v>1954</v>
      </c>
      <c r="G369" s="286"/>
      <c r="H369" s="119" t="s">
        <v>128</v>
      </c>
      <c r="I369" s="25" t="s">
        <v>129</v>
      </c>
      <c r="J369" s="287"/>
      <c r="K369" s="25">
        <v>2.0</v>
      </c>
      <c r="L369" s="25">
        <v>2010.0</v>
      </c>
      <c r="M369" s="123"/>
      <c r="N369" s="123"/>
      <c r="O369" s="27" t="str">
        <f t="shared" si="3"/>
        <v>#N/A</v>
      </c>
      <c r="P369" s="28" t="str">
        <f t="shared" si="299"/>
        <v>#N/A</v>
      </c>
      <c r="Q369" s="28" t="str">
        <f t="shared" si="300"/>
        <v>#N/A</v>
      </c>
      <c r="R369" s="55"/>
      <c r="S369" s="55"/>
      <c r="T369" s="55"/>
      <c r="U369" s="55"/>
      <c r="V369" s="30">
        <f t="shared" si="28"/>
        <v>29400000</v>
      </c>
      <c r="W369" s="31">
        <v>1000000.0</v>
      </c>
      <c r="X369" s="403"/>
      <c r="Y369" s="403"/>
      <c r="Z369" s="692"/>
      <c r="AA369" s="157"/>
      <c r="AB369" s="123"/>
      <c r="AC369" s="123"/>
      <c r="AD369" s="452"/>
      <c r="AE369" s="123"/>
      <c r="AF369" s="453"/>
      <c r="AG369" s="123"/>
      <c r="AH369" s="123"/>
      <c r="AI369" s="123"/>
      <c r="AJ369" s="404">
        <v>44868.0</v>
      </c>
      <c r="AK369" s="335">
        <v>1.9E7</v>
      </c>
      <c r="AL369" s="123"/>
      <c r="AM369" s="123"/>
      <c r="AN369" s="123"/>
      <c r="AO369" s="123"/>
      <c r="AP369" s="123"/>
      <c r="AQ369" s="123"/>
      <c r="AR369" s="123"/>
      <c r="AS369" s="123"/>
      <c r="AT369" s="123"/>
      <c r="AU369" s="137"/>
      <c r="AV369" s="123"/>
      <c r="AW369" s="38"/>
      <c r="AX369" s="123"/>
      <c r="AY369" s="38"/>
      <c r="AZ369" s="404">
        <v>44658.0</v>
      </c>
      <c r="BA369" s="170">
        <v>5400000.0</v>
      </c>
      <c r="BB369" s="404">
        <v>44531.0</v>
      </c>
      <c r="BC369" s="170">
        <v>5000000.0</v>
      </c>
      <c r="BD369" s="123"/>
      <c r="BE369" s="125"/>
      <c r="BF369" s="123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</row>
    <row r="370" ht="15.75" customHeight="1">
      <c r="A370" s="996" t="s">
        <v>1955</v>
      </c>
      <c r="B370" s="997"/>
      <c r="C370" s="998" t="s">
        <v>76</v>
      </c>
      <c r="D370" s="1074"/>
      <c r="E370" s="1088" t="s">
        <v>1956</v>
      </c>
      <c r="F370" s="749" t="s">
        <v>1957</v>
      </c>
      <c r="G370" s="353"/>
      <c r="H370" s="53" t="s">
        <v>64</v>
      </c>
      <c r="I370" s="54" t="s">
        <v>65</v>
      </c>
      <c r="J370" s="55"/>
      <c r="K370" s="54">
        <v>2.0</v>
      </c>
      <c r="L370" s="56">
        <v>2014.0</v>
      </c>
      <c r="M370" s="55"/>
      <c r="N370" s="55"/>
      <c r="O370" s="27" t="str">
        <f t="shared" si="3"/>
        <v>#N/A</v>
      </c>
      <c r="P370" s="55"/>
      <c r="Q370" s="55"/>
      <c r="R370" s="55"/>
      <c r="S370" s="55"/>
      <c r="T370" s="55"/>
      <c r="U370" s="55"/>
      <c r="V370" s="30">
        <f t="shared" si="28"/>
        <v>29350000</v>
      </c>
      <c r="W370" s="30"/>
      <c r="X370" s="58"/>
      <c r="Y370" s="58"/>
      <c r="Z370" s="692"/>
      <c r="AA370" s="665"/>
      <c r="AB370" s="55"/>
      <c r="AC370" s="55"/>
      <c r="AD370" s="62">
        <v>43942.0</v>
      </c>
      <c r="AE370" s="38">
        <v>150000.0</v>
      </c>
      <c r="AF370" s="62">
        <v>43951.0</v>
      </c>
      <c r="AG370" s="38"/>
      <c r="AH370" s="62">
        <v>44257.0</v>
      </c>
      <c r="AI370" s="38">
        <v>1.02E7</v>
      </c>
      <c r="AJ370" s="62">
        <v>44964.0</v>
      </c>
      <c r="AK370" s="38">
        <v>1.9E7</v>
      </c>
      <c r="AL370" s="55"/>
      <c r="AM370" s="38"/>
      <c r="AN370" s="55"/>
      <c r="AO370" s="38"/>
      <c r="AP370" s="356"/>
      <c r="AQ370" s="38"/>
      <c r="AR370" s="55"/>
      <c r="AS370" s="38"/>
      <c r="AT370" s="55"/>
      <c r="AU370" s="38"/>
      <c r="AV370" s="55"/>
      <c r="AW370" s="38"/>
      <c r="AX370" s="55"/>
      <c r="AY370" s="38"/>
      <c r="AZ370" s="55"/>
      <c r="BA370" s="38"/>
      <c r="BB370" s="55"/>
      <c r="BC370" s="38"/>
      <c r="BD370" s="55"/>
      <c r="BE370" s="38"/>
      <c r="BF370" s="55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</row>
    <row r="371" ht="15.75" customHeight="1">
      <c r="A371" s="993" t="s">
        <v>1958</v>
      </c>
      <c r="B371" s="985" t="s">
        <v>829</v>
      </c>
      <c r="C371" s="985" t="s">
        <v>1959</v>
      </c>
      <c r="D371" s="1005" t="s">
        <v>1960</v>
      </c>
      <c r="E371" s="1006" t="s">
        <v>1961</v>
      </c>
      <c r="F371" s="402" t="s">
        <v>1962</v>
      </c>
      <c r="G371" s="119" t="s">
        <v>1963</v>
      </c>
      <c r="H371" s="119" t="s">
        <v>1964</v>
      </c>
      <c r="I371" s="26" t="s">
        <v>65</v>
      </c>
      <c r="J371" s="120" t="s">
        <v>862</v>
      </c>
      <c r="K371" s="25">
        <v>1.0</v>
      </c>
      <c r="L371" s="25">
        <v>2015.0</v>
      </c>
      <c r="M371" s="25">
        <f>year(now()) -L371</f>
        <v>10</v>
      </c>
      <c r="N371" s="26">
        <f>counta(AE371,AG371,AI371,AK371,AM371,AO371,AQ371,AS371,AU371,AW371,AY371,BA371,BC371)</f>
        <v>3</v>
      </c>
      <c r="O371" s="27" t="str">
        <f t="shared" si="3"/>
        <v>#N/A</v>
      </c>
      <c r="P371" s="28" t="str">
        <f>RANK(T371,$T$2:$T$333)</f>
        <v>#N/A</v>
      </c>
      <c r="Q371" s="28" t="str">
        <f>rank(V371,$V$2:$V$344)</f>
        <v>#N/A</v>
      </c>
      <c r="R371" s="28"/>
      <c r="S371" s="28"/>
      <c r="T371" s="29">
        <f>V371/M371</f>
        <v>2930000</v>
      </c>
      <c r="U371" s="28"/>
      <c r="V371" s="30">
        <f t="shared" si="28"/>
        <v>29300000</v>
      </c>
      <c r="W371" s="30"/>
      <c r="X371" s="32">
        <f>(max(AE371,AG371,AI371,AK371,AM371,AO371,AQ371,AS371,AU371,AW371,AY371,BA371,BC371)/min(AE371,AG371,AI371,AK371,AM371,AO371,AQ371,AS371,AU371,AW371,AY371,BA371,BC371))^(1/N371)-1</f>
        <v>0.6925259949</v>
      </c>
      <c r="Y371" s="33">
        <f>(max(AE371,AG371,AI371,AK371,AM371,AO371,AQ371,AS371,AU371,AW371,AY371,BA371,BC371)/min(AE371,AG371,AI371,AK371,AM371,AO371,AQ371,AS371,AU371,AW371,AY371,BA371,BC371))^(1/M371)-1</f>
        <v>0.1710100013</v>
      </c>
      <c r="Z371" s="692"/>
      <c r="AA371" s="665"/>
      <c r="AB371" s="123"/>
      <c r="AC371" s="123"/>
      <c r="AD371" s="124"/>
      <c r="AE371" s="125"/>
      <c r="AF371" s="126" t="str">
        <f>HYPERLINK("https://www.crunchbase.com/organization/osaro"," Dec 2, 2015")</f>
        <v> Dec 2, 2015</v>
      </c>
      <c r="AG371" s="127">
        <v>3300000.0</v>
      </c>
      <c r="AH371" s="1089"/>
      <c r="AI371" s="128"/>
      <c r="AJ371" s="167" t="str">
        <f>HYPERLINK("https://www.crunchbase.com/funding_round/osaro-series-a--25865fcd","Apr 13, 2017")</f>
        <v>Apr 13, 2017</v>
      </c>
      <c r="AK371" s="127">
        <v>1.0E7</v>
      </c>
      <c r="AL371" s="167" t="str">
        <f>HYPERLINK("https://www.crunchbase.com/funding_round/osaro-series-b--62278b12","Oct 3, 2019")</f>
        <v>Oct 3, 2019</v>
      </c>
      <c r="AM371" s="165">
        <v>1.6E7</v>
      </c>
      <c r="AN371" s="124"/>
      <c r="AO371" s="125"/>
      <c r="AP371" s="124"/>
      <c r="AQ371" s="125"/>
      <c r="AR371" s="124"/>
      <c r="AS371" s="124"/>
      <c r="AT371" s="124"/>
      <c r="AU371" s="137"/>
      <c r="AV371" s="124"/>
      <c r="AW371" s="38"/>
      <c r="AX371" s="124"/>
      <c r="AY371" s="38"/>
      <c r="AZ371" s="124"/>
      <c r="BA371" s="137"/>
      <c r="BB371" s="124"/>
      <c r="BC371" s="137"/>
      <c r="BD371" s="124"/>
      <c r="BE371" s="125"/>
      <c r="BF371" s="123"/>
      <c r="BG371" s="534"/>
      <c r="BH371" s="534"/>
      <c r="BI371" s="534"/>
      <c r="BJ371" s="534"/>
      <c r="BK371" s="534"/>
      <c r="BL371" s="534"/>
      <c r="BM371" s="534"/>
      <c r="BN371" s="534"/>
      <c r="BO371" s="534"/>
      <c r="BP371" s="534"/>
      <c r="BQ371" s="534"/>
      <c r="BR371" s="534"/>
      <c r="BS371" s="534"/>
      <c r="BT371" s="534"/>
      <c r="BU371" s="534"/>
      <c r="BV371" s="534"/>
      <c r="BW371" s="534"/>
      <c r="BX371" s="534"/>
      <c r="BY371" s="534"/>
      <c r="BZ371" s="534"/>
      <c r="CA371" s="534"/>
      <c r="CB371" s="534"/>
      <c r="CC371" s="534"/>
      <c r="CD371" s="534"/>
      <c r="CE371" s="534"/>
      <c r="CF371" s="534"/>
      <c r="CG371" s="534"/>
      <c r="CH371" s="534"/>
      <c r="CI371" s="534"/>
      <c r="CJ371" s="534"/>
      <c r="CK371" s="534"/>
      <c r="CL371" s="534"/>
      <c r="CM371" s="534"/>
      <c r="CN371" s="534"/>
      <c r="CO371" s="534"/>
      <c r="CP371" s="534"/>
    </row>
    <row r="372" ht="15.75" customHeight="1">
      <c r="A372" s="996" t="s">
        <v>1965</v>
      </c>
      <c r="B372" s="997"/>
      <c r="C372" s="998" t="s">
        <v>190</v>
      </c>
      <c r="D372" s="1074"/>
      <c r="E372" s="1088" t="s">
        <v>1966</v>
      </c>
      <c r="F372" s="352" t="s">
        <v>1967</v>
      </c>
      <c r="G372" s="353"/>
      <c r="H372" s="53" t="s">
        <v>1918</v>
      </c>
      <c r="I372" s="54" t="s">
        <v>1384</v>
      </c>
      <c r="J372" s="55"/>
      <c r="K372" s="54">
        <v>3.0</v>
      </c>
      <c r="L372" s="56">
        <v>2015.0</v>
      </c>
      <c r="M372" s="55"/>
      <c r="N372" s="55"/>
      <c r="O372" s="27" t="str">
        <f t="shared" si="3"/>
        <v>#N/A</v>
      </c>
      <c r="P372" s="55"/>
      <c r="Q372" s="55"/>
      <c r="R372" s="55"/>
      <c r="S372" s="55"/>
      <c r="T372" s="55"/>
      <c r="U372" s="55"/>
      <c r="V372" s="30">
        <f t="shared" si="28"/>
        <v>29200000</v>
      </c>
      <c r="W372" s="30"/>
      <c r="X372" s="58"/>
      <c r="Y372" s="58"/>
      <c r="Z372" s="692"/>
      <c r="AA372" s="665"/>
      <c r="AB372" s="55"/>
      <c r="AC372" s="55"/>
      <c r="AD372" s="355"/>
      <c r="AE372" s="38"/>
      <c r="AF372" s="62">
        <v>43839.0</v>
      </c>
      <c r="AG372" s="38">
        <v>1.52E7</v>
      </c>
      <c r="AH372" s="55"/>
      <c r="AI372" s="38"/>
      <c r="AJ372" s="62">
        <v>44992.0</v>
      </c>
      <c r="AK372" s="38">
        <v>1.4E7</v>
      </c>
      <c r="AL372" s="55"/>
      <c r="AM372" s="38"/>
      <c r="AN372" s="55"/>
      <c r="AO372" s="38"/>
      <c r="AP372" s="356"/>
      <c r="AQ372" s="38"/>
      <c r="AR372" s="55"/>
      <c r="AS372" s="38"/>
      <c r="AT372" s="55"/>
      <c r="AU372" s="38"/>
      <c r="AV372" s="55"/>
      <c r="AW372" s="38"/>
      <c r="AX372" s="55"/>
      <c r="AY372" s="38"/>
      <c r="AZ372" s="55"/>
      <c r="BA372" s="38"/>
      <c r="BB372" s="62">
        <v>44992.0</v>
      </c>
      <c r="BC372" s="38"/>
      <c r="BD372" s="55"/>
      <c r="BE372" s="38"/>
      <c r="BF372" s="55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</row>
    <row r="373" ht="15.75" customHeight="1">
      <c r="A373" s="978" t="s">
        <v>1968</v>
      </c>
      <c r="B373" s="979"/>
      <c r="C373" s="69" t="s">
        <v>132</v>
      </c>
      <c r="D373" s="990"/>
      <c r="E373" s="1012" t="s">
        <v>1969</v>
      </c>
      <c r="F373" s="981" t="s">
        <v>1970</v>
      </c>
      <c r="G373" s="54"/>
      <c r="H373" s="71" t="s">
        <v>114</v>
      </c>
      <c r="I373" s="26" t="s">
        <v>115</v>
      </c>
      <c r="J373" s="178"/>
      <c r="K373" s="26">
        <v>2.0</v>
      </c>
      <c r="L373" s="142">
        <v>2019.0</v>
      </c>
      <c r="M373" s="25">
        <f>year(now()) -L373</f>
        <v>6</v>
      </c>
      <c r="N373" s="26">
        <f>counta(AE373,AG373,AI373,AK373,AM373,AO373,AQ373,AS373,AU373,AW373,AY373,BA373,BC373)</f>
        <v>4</v>
      </c>
      <c r="O373" s="27" t="str">
        <f t="shared" si="3"/>
        <v>#N/A</v>
      </c>
      <c r="P373" s="28" t="str">
        <f t="shared" ref="P373:P379" si="301">RANK(T373,$T$2:$T$333)</f>
        <v>#N/A</v>
      </c>
      <c r="Q373" s="28" t="str">
        <f t="shared" ref="Q373:Q379" si="302">rank(V373,$V$2:$V$344)</f>
        <v>#N/A</v>
      </c>
      <c r="R373" s="28"/>
      <c r="S373" s="28"/>
      <c r="T373" s="29">
        <f>V373/M373</f>
        <v>4858333.333</v>
      </c>
      <c r="U373" s="28"/>
      <c r="V373" s="30">
        <f t="shared" si="28"/>
        <v>29150000</v>
      </c>
      <c r="W373" s="30"/>
      <c r="X373" s="32">
        <f>(max(AE373,AG373,AI373,AK373,AM373,AO373,AQ373,AS373,AU373,AW373,AY373,BA373,BC373)/min(AE373,AG373,AI373,AK373,AM373,AO373,AQ373,AS373,AU373,AW373,AY373,BA373,BC373))^(1/N373)-1</f>
        <v>2.39808849</v>
      </c>
      <c r="Y373" s="33">
        <f>(max(AE373,AG373,AI373,AK373,AM373,AO373,AQ373,AS373,AU373,AW373,AY373,BA373,BC373)/min(AE373,AG373,AI373,AK373,AM373,AO373,AQ373,AS373,AU373,AW373,AY373,BA373,BC373))^(1/M373)-1</f>
        <v>1.260249886</v>
      </c>
      <c r="Z373" s="692"/>
      <c r="AA373" s="665"/>
      <c r="AB373" s="74"/>
      <c r="AC373" s="74"/>
      <c r="AD373" s="181" t="str">
        <f>HYPERLINK("https://www.crunchbase.com/funding_round/upequity-pre-seed--a3e25c90","Aug 19, 2019")</f>
        <v>Aug 19, 2019</v>
      </c>
      <c r="AE373" s="76">
        <v>150000.0</v>
      </c>
      <c r="AF373" s="232" t="str">
        <f>HYPERLINK("https://www.crunchbase.com/funding_round/upequity-seed--cd04cd8f","Aug 31, 2019")</f>
        <v>Aug 31, 2019</v>
      </c>
      <c r="AG373" s="76">
        <v>1500000.0</v>
      </c>
      <c r="AH373" s="77"/>
      <c r="AI373" s="78"/>
      <c r="AJ373" s="181" t="str">
        <f>HYPERLINK("https://www.crunchbase.com/funding_round/upequity-series-a--2b56d174","Feb 11, 2021")</f>
        <v>Feb 11, 2021</v>
      </c>
      <c r="AK373" s="76">
        <v>7500000.0</v>
      </c>
      <c r="AL373" s="181" t="str">
        <f>HYPERLINK("https://www.crunchbase.com/funding_round/upequity-series-b--ba44c2f0","Oct 20, 2021")</f>
        <v>Oct 20, 2021</v>
      </c>
      <c r="AM373" s="76">
        <v>2.0E7</v>
      </c>
      <c r="AN373" s="79"/>
      <c r="AO373" s="84"/>
      <c r="AP373" s="79"/>
      <c r="AQ373" s="84"/>
      <c r="AR373" s="79"/>
      <c r="AS373" s="79"/>
      <c r="AT373" s="79"/>
      <c r="AU373" s="80"/>
      <c r="AV373" s="79"/>
      <c r="AW373" s="38"/>
      <c r="AX373" s="79"/>
      <c r="AY373" s="38"/>
      <c r="AZ373" s="79"/>
      <c r="BA373" s="80"/>
      <c r="BB373" s="79"/>
      <c r="BC373" s="80"/>
      <c r="BD373" s="79"/>
      <c r="BE373" s="84"/>
      <c r="BF373" s="74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</row>
    <row r="374" ht="15.75" customHeight="1">
      <c r="A374" s="998" t="s">
        <v>1971</v>
      </c>
      <c r="B374" s="979"/>
      <c r="C374" s="69" t="s">
        <v>1972</v>
      </c>
      <c r="D374" s="998"/>
      <c r="E374" s="991" t="s">
        <v>1973</v>
      </c>
      <c r="F374" s="192" t="s">
        <v>1974</v>
      </c>
      <c r="G374" s="71"/>
      <c r="H374" s="71" t="s">
        <v>371</v>
      </c>
      <c r="I374" s="26" t="s">
        <v>372</v>
      </c>
      <c r="J374" s="155"/>
      <c r="K374" s="26">
        <v>3.0</v>
      </c>
      <c r="L374" s="26">
        <v>2021.0</v>
      </c>
      <c r="M374" s="25"/>
      <c r="N374" s="26"/>
      <c r="O374" s="27" t="str">
        <f t="shared" si="3"/>
        <v>#N/A</v>
      </c>
      <c r="P374" s="28" t="str">
        <f t="shared" si="301"/>
        <v>#N/A</v>
      </c>
      <c r="Q374" s="28" t="str">
        <f t="shared" si="302"/>
        <v>#N/A</v>
      </c>
      <c r="R374" s="273"/>
      <c r="S374" s="273"/>
      <c r="T374" s="273"/>
      <c r="U374" s="273"/>
      <c r="V374" s="30">
        <f t="shared" si="28"/>
        <v>29000000</v>
      </c>
      <c r="W374" s="30"/>
      <c r="X374" s="73"/>
      <c r="Y374" s="73"/>
      <c r="Z374" s="692"/>
      <c r="AA374" s="665"/>
      <c r="AB374" s="74"/>
      <c r="AC374" s="74"/>
      <c r="AD374" s="44"/>
      <c r="AE374" s="46"/>
      <c r="AF374" s="158" t="str">
        <f>HYPERLINK("https://www.crunchbase.com/funding_round/exodigo-seed--f7105766","Feb 17, 2022")</f>
        <v>Feb 17, 2022</v>
      </c>
      <c r="AG374" s="38">
        <v>2.9E7</v>
      </c>
      <c r="AH374" s="36"/>
      <c r="AI374" s="159"/>
      <c r="AJ374" s="44"/>
      <c r="AK374" s="46"/>
      <c r="AL374" s="44"/>
      <c r="AM374" s="46"/>
      <c r="AN374" s="44"/>
      <c r="AO374" s="46"/>
      <c r="AP374" s="44"/>
      <c r="AQ374" s="46"/>
      <c r="AR374" s="44"/>
      <c r="AS374" s="44"/>
      <c r="AT374" s="44"/>
      <c r="AU374" s="45"/>
      <c r="AV374" s="44"/>
      <c r="AW374" s="38"/>
      <c r="AX374" s="44"/>
      <c r="AY374" s="38"/>
      <c r="AZ374" s="44"/>
      <c r="BA374" s="45"/>
      <c r="BB374" s="44"/>
      <c r="BC374" s="45"/>
      <c r="BD374" s="44"/>
      <c r="BE374" s="46"/>
      <c r="BF374" s="36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</row>
    <row r="375" ht="15.75" customHeight="1">
      <c r="A375" s="978" t="s">
        <v>1975</v>
      </c>
      <c r="B375" s="979"/>
      <c r="C375" s="980" t="s">
        <v>123</v>
      </c>
      <c r="D375" s="1090" t="s">
        <v>1976</v>
      </c>
      <c r="E375" s="991" t="s">
        <v>1977</v>
      </c>
      <c r="F375" s="177" t="s">
        <v>1978</v>
      </c>
      <c r="G375" s="71" t="s">
        <v>1979</v>
      </c>
      <c r="H375" s="71" t="s">
        <v>1547</v>
      </c>
      <c r="I375" s="26" t="s">
        <v>1547</v>
      </c>
      <c r="J375" s="155"/>
      <c r="K375" s="26">
        <v>2.0</v>
      </c>
      <c r="L375" s="26">
        <v>2014.0</v>
      </c>
      <c r="M375" s="25">
        <f t="shared" ref="M375:M376" si="303">year(now()) -L375</f>
        <v>11</v>
      </c>
      <c r="N375" s="26">
        <f t="shared" ref="N375:N376" si="304">counta(AE375,AG375,AI375,AK375,AM375,AO375,AQ375,AS375,AU375,AW375,AY375,BA375,BC375)</f>
        <v>3</v>
      </c>
      <c r="O375" s="27" t="str">
        <f t="shared" si="3"/>
        <v>#N/A</v>
      </c>
      <c r="P375" s="28" t="str">
        <f t="shared" si="301"/>
        <v>#N/A</v>
      </c>
      <c r="Q375" s="28" t="str">
        <f t="shared" si="302"/>
        <v>#N/A</v>
      </c>
      <c r="R375" s="28"/>
      <c r="S375" s="28"/>
      <c r="T375" s="29">
        <f t="shared" ref="T375:T376" si="305">V375/M375</f>
        <v>2625710.955</v>
      </c>
      <c r="U375" s="28"/>
      <c r="V375" s="30">
        <f t="shared" si="28"/>
        <v>28882820.5</v>
      </c>
      <c r="W375" s="30"/>
      <c r="X375" s="32">
        <f t="shared" ref="X375:X376" si="306">(max(AE375,AG375,AI375,AK375,AM375,AO375,AQ375,AS375,AU375,AW375,AY375,BA375,BC375)/min(AE375,AG375,AI375,AK375,AM375,AO375,AQ375,AS375,AU375,AW375,AY375,BA375,BC375))^(1/N375)-1</f>
        <v>1.843610472</v>
      </c>
      <c r="Y375" s="33">
        <f t="shared" ref="Y375:Y376" si="307">(max(AE375,AG375,AI375,AK375,AM375,AO375,AQ375,AS375,AU375,AW375,AY375,BA375,BC375)/min(AE375,AG375,AI375,AK375,AM375,AO375,AQ375,AS375,AU375,AW375,AY375,BA375,BC375))^(1/M375)-1</f>
        <v>0.3297890605</v>
      </c>
      <c r="Z375" s="692"/>
      <c r="AA375" s="665"/>
      <c r="AB375" s="74"/>
      <c r="AC375" s="74"/>
      <c r="AD375" s="79"/>
      <c r="AE375" s="84"/>
      <c r="AF375" s="175" t="str">
        <f>HYPERLINK("https://www.crunchbase.com/funding_round/propeller-aerobotics-seed--6ec5d652"," Oct 2, 2015        
")</f>
        <v> Oct 2, 2015        
</v>
      </c>
      <c r="AG375" s="76">
        <v>782820.5</v>
      </c>
      <c r="AH375" s="74"/>
      <c r="AI375" s="78"/>
      <c r="AJ375" s="181" t="str">
        <f>HYPERLINK("https://www.crunchbase.com/funding_round/propeller-aerobotics-series-a--3af2f80c"," Jun 12, 2018        ")
</f>
        <v> Jun 12, 2018        </v>
      </c>
      <c r="AK375" s="76">
        <v>1.01E7</v>
      </c>
      <c r="AL375" s="426" t="str">
        <f>HYPERLINK("https://www.crunchbase.com/funding_round/propeller-aerobotics-series-b--5b203d31"," 7/21/2020")</f>
        <v> 7/21/2020</v>
      </c>
      <c r="AM375" s="76">
        <v>1.8E7</v>
      </c>
      <c r="AN375" s="79"/>
      <c r="AO375" s="84"/>
      <c r="AP375" s="79"/>
      <c r="AQ375" s="84"/>
      <c r="AR375" s="79"/>
      <c r="AS375" s="79"/>
      <c r="AT375" s="79"/>
      <c r="AU375" s="80"/>
      <c r="AV375" s="79"/>
      <c r="AW375" s="38"/>
      <c r="AX375" s="79"/>
      <c r="AY375" s="38"/>
      <c r="AZ375" s="79"/>
      <c r="BA375" s="80"/>
      <c r="BB375" s="79"/>
      <c r="BC375" s="80"/>
      <c r="BD375" s="79"/>
      <c r="BE375" s="84"/>
      <c r="BF375" s="74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</row>
    <row r="376" ht="15.75" customHeight="1">
      <c r="A376" s="978" t="s">
        <v>1980</v>
      </c>
      <c r="B376" s="979"/>
      <c r="C376" s="980" t="s">
        <v>84</v>
      </c>
      <c r="D376" s="981" t="s">
        <v>1981</v>
      </c>
      <c r="E376" s="982" t="s">
        <v>1982</v>
      </c>
      <c r="F376" s="118" t="s">
        <v>1983</v>
      </c>
      <c r="G376" s="186"/>
      <c r="H376" s="71" t="s">
        <v>1984</v>
      </c>
      <c r="I376" s="26" t="s">
        <v>1985</v>
      </c>
      <c r="J376" s="155"/>
      <c r="K376" s="26"/>
      <c r="L376" s="26">
        <v>2015.0</v>
      </c>
      <c r="M376" s="25">
        <f t="shared" si="303"/>
        <v>10</v>
      </c>
      <c r="N376" s="26">
        <f t="shared" si="304"/>
        <v>2</v>
      </c>
      <c r="O376" s="27" t="str">
        <f t="shared" si="3"/>
        <v>#N/A</v>
      </c>
      <c r="P376" s="28" t="str">
        <f t="shared" si="301"/>
        <v>#N/A</v>
      </c>
      <c r="Q376" s="28" t="str">
        <f t="shared" si="302"/>
        <v>#N/A</v>
      </c>
      <c r="R376" s="28"/>
      <c r="S376" s="28"/>
      <c r="T376" s="29">
        <f t="shared" si="305"/>
        <v>2820000</v>
      </c>
      <c r="U376" s="28"/>
      <c r="V376" s="30">
        <f t="shared" si="28"/>
        <v>28200000</v>
      </c>
      <c r="W376" s="30"/>
      <c r="X376" s="32">
        <f t="shared" si="306"/>
        <v>0.9867985356</v>
      </c>
      <c r="Y376" s="33">
        <f t="shared" si="307"/>
        <v>0.1471778851</v>
      </c>
      <c r="Z376" s="692"/>
      <c r="AA376" s="665"/>
      <c r="AB376" s="74"/>
      <c r="AC376" s="74"/>
      <c r="AD376" s="79"/>
      <c r="AE376" s="84"/>
      <c r="AF376" s="1091">
        <v>43465.0</v>
      </c>
      <c r="AG376" s="76">
        <v>5700000.0</v>
      </c>
      <c r="AH376" s="434"/>
      <c r="AI376" s="435"/>
      <c r="AJ376" s="391">
        <v>44043.0</v>
      </c>
      <c r="AK376" s="435"/>
      <c r="AL376" s="391">
        <v>44208.0</v>
      </c>
      <c r="AM376" s="76">
        <v>2.25E7</v>
      </c>
      <c r="AN376" s="279"/>
      <c r="AO376" s="76"/>
      <c r="AP376" s="79"/>
      <c r="AQ376" s="84"/>
      <c r="AR376" s="79"/>
      <c r="AS376" s="79"/>
      <c r="AT376" s="79"/>
      <c r="AU376" s="80"/>
      <c r="AV376" s="79"/>
      <c r="AW376" s="38"/>
      <c r="AX376" s="79"/>
      <c r="AY376" s="38"/>
      <c r="AZ376" s="79"/>
      <c r="BA376" s="80"/>
      <c r="BB376" s="79"/>
      <c r="BC376" s="80"/>
      <c r="BD376" s="79"/>
      <c r="BE376" s="84"/>
      <c r="BF376" s="74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</row>
    <row r="377" ht="15.75" customHeight="1">
      <c r="A377" s="978" t="s">
        <v>1986</v>
      </c>
      <c r="B377" s="979"/>
      <c r="C377" s="980" t="s">
        <v>132</v>
      </c>
      <c r="D377" s="1001" t="s">
        <v>1987</v>
      </c>
      <c r="E377" s="991" t="s">
        <v>1988</v>
      </c>
      <c r="F377" s="173" t="s">
        <v>1989</v>
      </c>
      <c r="G377" s="54"/>
      <c r="H377" s="71" t="s">
        <v>365</v>
      </c>
      <c r="I377" s="26" t="s">
        <v>65</v>
      </c>
      <c r="J377" s="178"/>
      <c r="K377" s="26">
        <v>3.0</v>
      </c>
      <c r="L377" s="26">
        <v>2016.0</v>
      </c>
      <c r="M377" s="25"/>
      <c r="N377" s="26"/>
      <c r="O377" s="27" t="str">
        <f t="shared" si="3"/>
        <v>#N/A</v>
      </c>
      <c r="P377" s="28" t="str">
        <f t="shared" si="301"/>
        <v>#N/A</v>
      </c>
      <c r="Q377" s="28" t="str">
        <f t="shared" si="302"/>
        <v>#N/A</v>
      </c>
      <c r="R377" s="28"/>
      <c r="S377" s="28"/>
      <c r="T377" s="28"/>
      <c r="U377" s="28"/>
      <c r="V377" s="30">
        <f t="shared" si="28"/>
        <v>27720000</v>
      </c>
      <c r="W377" s="30"/>
      <c r="X377" s="73"/>
      <c r="Y377" s="73"/>
      <c r="Z377" s="692"/>
      <c r="AA377" s="665"/>
      <c r="AB377" s="74"/>
      <c r="AC377" s="74"/>
      <c r="AD377" s="75">
        <v>42436.0</v>
      </c>
      <c r="AE377" s="76">
        <v>120000.0</v>
      </c>
      <c r="AF377" s="726">
        <v>43882.0</v>
      </c>
      <c r="AG377" s="76">
        <v>2300000.0</v>
      </c>
      <c r="AH377" s="74"/>
      <c r="AI377" s="78"/>
      <c r="AJ377" s="75">
        <v>44398.0</v>
      </c>
      <c r="AK377" s="76">
        <v>8000000.0</v>
      </c>
      <c r="AL377" s="75">
        <v>44802.0</v>
      </c>
      <c r="AM377" s="76">
        <v>1.73E7</v>
      </c>
      <c r="AN377" s="79"/>
      <c r="AO377" s="76"/>
      <c r="AP377" s="79"/>
      <c r="AQ377" s="76"/>
      <c r="AR377" s="79"/>
      <c r="AS377" s="79"/>
      <c r="AT377" s="79"/>
      <c r="AU377" s="80"/>
      <c r="AV377" s="79"/>
      <c r="AW377" s="38"/>
      <c r="AX377" s="79"/>
      <c r="AY377" s="38"/>
      <c r="AZ377" s="79"/>
      <c r="BA377" s="80"/>
      <c r="BB377" s="79"/>
      <c r="BC377" s="80"/>
      <c r="BD377" s="79"/>
      <c r="BE377" s="84"/>
      <c r="BF377" s="74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</row>
    <row r="378" ht="15.75" customHeight="1">
      <c r="A378" s="978" t="s">
        <v>1990</v>
      </c>
      <c r="B378" s="979"/>
      <c r="C378" s="980" t="s">
        <v>59</v>
      </c>
      <c r="D378" s="385"/>
      <c r="E378" s="138" t="s">
        <v>1991</v>
      </c>
      <c r="F378" s="138" t="s">
        <v>1992</v>
      </c>
      <c r="G378" s="54" t="s">
        <v>1993</v>
      </c>
      <c r="H378" s="71" t="s">
        <v>1994</v>
      </c>
      <c r="I378" s="26" t="s">
        <v>639</v>
      </c>
      <c r="J378" s="178" t="s">
        <v>1995</v>
      </c>
      <c r="K378" s="26">
        <v>1.0</v>
      </c>
      <c r="L378" s="26">
        <v>2019.0</v>
      </c>
      <c r="M378" s="25">
        <f t="shared" ref="M378:M380" si="308">year(now()) -L378</f>
        <v>6</v>
      </c>
      <c r="N378" s="26">
        <f t="shared" ref="N378:N380" si="309">counta(AE378,AG378,AI378,AK378,AM378,AO378,AQ378,AS378,AU378,AW378,AY378,BA378,BC378)</f>
        <v>1</v>
      </c>
      <c r="O378" s="27" t="str">
        <f t="shared" si="3"/>
        <v>#N/A</v>
      </c>
      <c r="P378" s="28" t="str">
        <f t="shared" si="301"/>
        <v>#N/A</v>
      </c>
      <c r="Q378" s="28" t="str">
        <f t="shared" si="302"/>
        <v>#N/A</v>
      </c>
      <c r="R378" s="28"/>
      <c r="S378" s="28"/>
      <c r="T378" s="29">
        <f t="shared" ref="T378:T380" si="310">V378/M378</f>
        <v>4616666.667</v>
      </c>
      <c r="U378" s="28"/>
      <c r="V378" s="30">
        <f t="shared" si="28"/>
        <v>27700000</v>
      </c>
      <c r="W378" s="30"/>
      <c r="X378" s="32">
        <f t="shared" ref="X378:X379" si="311">(max(AE378,AG378,AI378,AK378,AM378,AO378,AQ378,AS378,AU378,AW378,AY378,BA378,BC378)/min(AE378,AG378,AI378,AK378,AM378,AO378,AQ378,AS378,AU378,AW378,AY378,BA378,BC378))^(1/N378)-1</f>
        <v>0</v>
      </c>
      <c r="Y378" s="33">
        <f t="shared" ref="Y378:Y379" si="312">(max(AE378,AG378,AI378,AK378,AM378,AO378,AQ378,AS378,AU378,AW378,AY378,BA378,BC378)/min(AE378,AG378,AI378,AK378,AM378,AO378,AQ378,AS378,AU378,AW378,AY378,BA378,BC378))^(1/M378)-1</f>
        <v>0</v>
      </c>
      <c r="Z378" s="692"/>
      <c r="AA378" s="665"/>
      <c r="AB378" s="74"/>
      <c r="AC378" s="74"/>
      <c r="AD378" s="37"/>
      <c r="AE378" s="38"/>
      <c r="AF378" s="872"/>
      <c r="AG378" s="456"/>
      <c r="AH378" s="36"/>
      <c r="AI378" s="159"/>
      <c r="AJ378" s="43" t="str">
        <f>HYPERLINK("https://falkbuilt.com/blog/falkbuilt-closes-35-million-cad-series-a-2-to-fuel-growth/","Apr 22, 2022")</f>
        <v>Apr 22, 2022</v>
      </c>
      <c r="AK378" s="38">
        <v>2.77E7</v>
      </c>
      <c r="AL378" s="44"/>
      <c r="AM378" s="46"/>
      <c r="AN378" s="44"/>
      <c r="AO378" s="46"/>
      <c r="AP378" s="44"/>
      <c r="AQ378" s="46"/>
      <c r="AR378" s="44"/>
      <c r="AS378" s="44"/>
      <c r="AT378" s="44"/>
      <c r="AU378" s="45"/>
      <c r="AV378" s="44"/>
      <c r="AW378" s="38"/>
      <c r="AX378" s="44"/>
      <c r="AY378" s="38"/>
      <c r="AZ378" s="44"/>
      <c r="BA378" s="45"/>
      <c r="BB378" s="44"/>
      <c r="BC378" s="45"/>
      <c r="BD378" s="44"/>
      <c r="BE378" s="46"/>
      <c r="BF378" s="36"/>
      <c r="BG378" s="113"/>
      <c r="BH378" s="113"/>
      <c r="BI378" s="113"/>
      <c r="BJ378" s="113"/>
      <c r="BK378" s="113"/>
      <c r="BL378" s="113"/>
      <c r="BM378" s="113"/>
      <c r="BN378" s="113"/>
      <c r="BO378" s="113"/>
      <c r="BP378" s="113"/>
      <c r="BQ378" s="113"/>
      <c r="BR378" s="113"/>
      <c r="BS378" s="113"/>
      <c r="BT378" s="113"/>
      <c r="BU378" s="113"/>
      <c r="BV378" s="113"/>
      <c r="BW378" s="113"/>
      <c r="BX378" s="113"/>
      <c r="BY378" s="113"/>
      <c r="BZ378" s="113"/>
      <c r="CA378" s="113"/>
      <c r="CB378" s="113"/>
      <c r="CC378" s="113"/>
      <c r="CD378" s="113"/>
      <c r="CE378" s="113"/>
      <c r="CF378" s="113"/>
      <c r="CG378" s="113"/>
      <c r="CH378" s="113"/>
      <c r="CI378" s="113"/>
      <c r="CJ378" s="113"/>
      <c r="CK378" s="113"/>
      <c r="CL378" s="113"/>
      <c r="CM378" s="113"/>
      <c r="CN378" s="113"/>
      <c r="CO378" s="113"/>
      <c r="CP378" s="113"/>
    </row>
    <row r="379" ht="15.75" customHeight="1">
      <c r="A379" s="1092" t="s">
        <v>1996</v>
      </c>
      <c r="B379" s="988"/>
      <c r="C379" s="989" t="s">
        <v>123</v>
      </c>
      <c r="D379" s="192" t="s">
        <v>1997</v>
      </c>
      <c r="E379" s="192" t="s">
        <v>1998</v>
      </c>
      <c r="F379" s="957" t="s">
        <v>1999</v>
      </c>
      <c r="G379" s="317"/>
      <c r="H379" s="22" t="s">
        <v>2000</v>
      </c>
      <c r="I379" s="23" t="s">
        <v>65</v>
      </c>
      <c r="J379" s="237"/>
      <c r="K379" s="36"/>
      <c r="L379" s="23">
        <v>2017.0</v>
      </c>
      <c r="M379" s="25">
        <f t="shared" si="308"/>
        <v>8</v>
      </c>
      <c r="N379" s="26">
        <f t="shared" si="309"/>
        <v>3</v>
      </c>
      <c r="O379" s="27" t="str">
        <f t="shared" si="3"/>
        <v>#N/A</v>
      </c>
      <c r="P379" s="28" t="str">
        <f t="shared" si="301"/>
        <v>#N/A</v>
      </c>
      <c r="Q379" s="28" t="str">
        <f t="shared" si="302"/>
        <v>#N/A</v>
      </c>
      <c r="R379" s="28"/>
      <c r="S379" s="28"/>
      <c r="T379" s="29">
        <f t="shared" si="310"/>
        <v>3437500</v>
      </c>
      <c r="U379" s="28"/>
      <c r="V379" s="30">
        <f t="shared" si="28"/>
        <v>27500000</v>
      </c>
      <c r="W379" s="30"/>
      <c r="X379" s="32">
        <f t="shared" si="311"/>
        <v>1.201284833</v>
      </c>
      <c r="Y379" s="33">
        <f t="shared" si="312"/>
        <v>0.3443228806</v>
      </c>
      <c r="Z379" s="692"/>
      <c r="AA379" s="665"/>
      <c r="AB379" s="36"/>
      <c r="AC379" s="36"/>
      <c r="AD379" s="473"/>
      <c r="AE379" s="46"/>
      <c r="AF379" s="1093">
        <v>42917.0</v>
      </c>
      <c r="AG379" s="38">
        <v>1500000.0</v>
      </c>
      <c r="AH379" s="36"/>
      <c r="AI379" s="159"/>
      <c r="AJ379" s="42">
        <v>43344.0</v>
      </c>
      <c r="AK379" s="38">
        <v>1.0E7</v>
      </c>
      <c r="AL379" s="42">
        <v>43699.0</v>
      </c>
      <c r="AM379" s="38">
        <v>1.6E7</v>
      </c>
      <c r="AN379" s="44"/>
      <c r="AO379" s="46"/>
      <c r="AP379" s="44"/>
      <c r="AQ379" s="46"/>
      <c r="AR379" s="44"/>
      <c r="AS379" s="44"/>
      <c r="AT379" s="44"/>
      <c r="AU379" s="45"/>
      <c r="AV379" s="44"/>
      <c r="AW379" s="38"/>
      <c r="AX379" s="44"/>
      <c r="AY379" s="38"/>
      <c r="AZ379" s="44"/>
      <c r="BA379" s="45"/>
      <c r="BB379" s="44"/>
      <c r="BC379" s="45"/>
      <c r="BD379" s="44"/>
      <c r="BE379" s="46"/>
      <c r="BF379" s="3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</row>
    <row r="380" ht="15.75" customHeight="1">
      <c r="A380" s="1094" t="s">
        <v>2001</v>
      </c>
      <c r="B380" s="979"/>
      <c r="C380" s="980" t="s">
        <v>84</v>
      </c>
      <c r="D380" s="981" t="s">
        <v>2002</v>
      </c>
      <c r="E380" s="982" t="s">
        <v>2003</v>
      </c>
      <c r="F380" s="118" t="s">
        <v>2004</v>
      </c>
      <c r="G380" s="71" t="s">
        <v>2005</v>
      </c>
      <c r="H380" s="71"/>
      <c r="I380" s="26" t="s">
        <v>328</v>
      </c>
      <c r="J380" s="72"/>
      <c r="K380" s="26"/>
      <c r="L380" s="26">
        <v>2016.0</v>
      </c>
      <c r="M380" s="25">
        <f t="shared" si="308"/>
        <v>9</v>
      </c>
      <c r="N380" s="26">
        <f t="shared" si="309"/>
        <v>4</v>
      </c>
      <c r="O380" s="27" t="str">
        <f t="shared" si="3"/>
        <v>#N/A</v>
      </c>
      <c r="P380" s="28"/>
      <c r="Q380" s="28"/>
      <c r="R380" s="28"/>
      <c r="S380" s="28"/>
      <c r="T380" s="29">
        <f t="shared" si="310"/>
        <v>3055555.556</v>
      </c>
      <c r="U380" s="28"/>
      <c r="V380" s="30">
        <f t="shared" si="28"/>
        <v>27500000</v>
      </c>
      <c r="W380" s="30"/>
      <c r="X380" s="73"/>
      <c r="Y380" s="33">
        <f>(max(AE380,AG380,AI380,AK380,AM380,AO380,AQ380,AS380,AU380,AW380,AY380,BA380,BC380)/min(AE380,AG380,AI380,AK380))^(1/M380)-1</f>
        <v>0.3607900002</v>
      </c>
      <c r="Z380" s="692"/>
      <c r="AA380" s="665"/>
      <c r="AB380" s="74"/>
      <c r="AC380" s="74"/>
      <c r="AD380" s="227">
        <v>43488.0</v>
      </c>
      <c r="AE380" s="1095">
        <v>1000000.0</v>
      </c>
      <c r="AF380" s="225">
        <v>44152.0</v>
      </c>
      <c r="AG380" s="1095">
        <v>4500000.0</v>
      </c>
      <c r="AH380" s="36"/>
      <c r="AI380" s="159"/>
      <c r="AJ380" s="75">
        <v>44895.0</v>
      </c>
      <c r="AK380" s="38">
        <v>1.6E7</v>
      </c>
      <c r="AL380" s="44"/>
      <c r="AM380" s="46"/>
      <c r="AN380" s="44"/>
      <c r="AO380" s="46"/>
      <c r="AP380" s="44"/>
      <c r="AQ380" s="46"/>
      <c r="AR380" s="44"/>
      <c r="AS380" s="44"/>
      <c r="AT380" s="44"/>
      <c r="AU380" s="45"/>
      <c r="AV380" s="44"/>
      <c r="AW380" s="38"/>
      <c r="AX380" s="44"/>
      <c r="AY380" s="38"/>
      <c r="AZ380" s="44"/>
      <c r="BA380" s="45"/>
      <c r="BB380" s="75">
        <v>44895.0</v>
      </c>
      <c r="BC380" s="1096">
        <v>6000000.0</v>
      </c>
      <c r="BD380" s="44"/>
      <c r="BE380" s="38"/>
      <c r="BF380" s="3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</row>
    <row r="381" ht="15.75" customHeight="1">
      <c r="A381" s="993" t="s">
        <v>2006</v>
      </c>
      <c r="B381" s="984"/>
      <c r="C381" s="985" t="s">
        <v>84</v>
      </c>
      <c r="D381" s="1087"/>
      <c r="E381" s="995" t="s">
        <v>2007</v>
      </c>
      <c r="F381" s="708" t="s">
        <v>2008</v>
      </c>
      <c r="G381" s="286"/>
      <c r="H381" s="119" t="s">
        <v>2009</v>
      </c>
      <c r="I381" s="25" t="s">
        <v>2010</v>
      </c>
      <c r="J381" s="287"/>
      <c r="K381" s="25">
        <v>3.0</v>
      </c>
      <c r="L381" s="25">
        <v>2017.0</v>
      </c>
      <c r="M381" s="123"/>
      <c r="N381" s="123"/>
      <c r="O381" s="27" t="str">
        <f t="shared" si="3"/>
        <v>#N/A</v>
      </c>
      <c r="P381" s="55"/>
      <c r="Q381" s="55"/>
      <c r="R381" s="55"/>
      <c r="S381" s="55"/>
      <c r="T381" s="55"/>
      <c r="U381" s="55"/>
      <c r="V381" s="30">
        <f t="shared" si="28"/>
        <v>27100000</v>
      </c>
      <c r="W381" s="31">
        <v>2000000.0</v>
      </c>
      <c r="X381" s="403"/>
      <c r="Y381" s="403"/>
      <c r="Z381" s="692"/>
      <c r="AA381" s="665"/>
      <c r="AB381" s="123"/>
      <c r="AC381" s="123"/>
      <c r="AD381" s="355"/>
      <c r="AE381" s="38"/>
      <c r="AF381" s="355"/>
      <c r="AG381" s="38"/>
      <c r="AH381" s="123"/>
      <c r="AI381" s="123"/>
      <c r="AJ381" s="404">
        <v>44894.0</v>
      </c>
      <c r="AK381" s="38">
        <v>2.71E7</v>
      </c>
      <c r="AL381" s="123"/>
      <c r="AM381" s="123"/>
      <c r="AN381" s="123"/>
      <c r="AO381" s="123"/>
      <c r="AP381" s="123"/>
      <c r="AQ381" s="123"/>
      <c r="AR381" s="123"/>
      <c r="AS381" s="123"/>
      <c r="AT381" s="123"/>
      <c r="AU381" s="137"/>
      <c r="AV381" s="123"/>
      <c r="AW381" s="38"/>
      <c r="AX381" s="123"/>
      <c r="AY381" s="38"/>
      <c r="AZ381" s="123"/>
      <c r="BA381" s="137"/>
      <c r="BB381" s="123"/>
      <c r="BC381" s="137"/>
      <c r="BD381" s="123"/>
      <c r="BE381" s="125"/>
      <c r="BF381" s="123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</row>
    <row r="382" ht="15.75" customHeight="1">
      <c r="A382" s="993" t="s">
        <v>2011</v>
      </c>
      <c r="B382" s="984"/>
      <c r="C382" s="985" t="s">
        <v>59</v>
      </c>
      <c r="D382" s="162"/>
      <c r="E382" s="982" t="s">
        <v>2012</v>
      </c>
      <c r="F382" s="163" t="s">
        <v>2013</v>
      </c>
      <c r="G382" s="119" t="s">
        <v>2014</v>
      </c>
      <c r="H382" s="119" t="s">
        <v>2015</v>
      </c>
      <c r="I382" s="25" t="s">
        <v>2016</v>
      </c>
      <c r="J382" s="178" t="s">
        <v>2017</v>
      </c>
      <c r="K382" s="25">
        <v>1.0</v>
      </c>
      <c r="L382" s="25">
        <v>2008.0</v>
      </c>
      <c r="M382" s="25">
        <f t="shared" ref="M382:M384" si="313">year(now()) -L382</f>
        <v>17</v>
      </c>
      <c r="N382" s="26">
        <f t="shared" ref="N382:N384" si="314">counta(AE382,AG382,AI382,AK382,AM382,AO382,AQ382,AS382,AU382,AW382,AY382,BA382,BC382)</f>
        <v>1</v>
      </c>
      <c r="O382" s="27" t="str">
        <f t="shared" si="3"/>
        <v>#N/A</v>
      </c>
      <c r="P382" s="28" t="str">
        <f t="shared" ref="P382:P391" si="315">RANK(T382,$T$2:$T$333)</f>
        <v>#N/A</v>
      </c>
      <c r="Q382" s="28" t="str">
        <f t="shared" ref="Q382:Q391" si="316">rank(V382,$V$2:$V$344)</f>
        <v>#N/A</v>
      </c>
      <c r="R382" s="28"/>
      <c r="S382" s="28"/>
      <c r="T382" s="29">
        <f t="shared" ref="T382:T384" si="317">V382/M382</f>
        <v>1588235.294</v>
      </c>
      <c r="U382" s="28"/>
      <c r="V382" s="30">
        <f t="shared" si="28"/>
        <v>27000000</v>
      </c>
      <c r="W382" s="30"/>
      <c r="X382" s="32">
        <f>(max(AE382,AG382,AI382,AK382,AM382,AO382,AQ382,AS382,AU382,AW382,AY382,BA382,BC382)/min(AE382,AG382,AI382,AK382,AM382,AO382,AQ382,AS382,AU382,AW382,AY382,BA382,BC382))^(1/N382)-1</f>
        <v>0</v>
      </c>
      <c r="Y382" s="33">
        <f>(max(AE382,AG382,AI382,AK382,AM382,AO382,AQ382,AS382,AU382,AW382,AY382,BA382,BC382)/min(AE382,AG382,AI382,AK382,AM382,AO382,AQ382,AS382,AU382,AW382,AY382,BA382,BC382))^(1/M382)-1</f>
        <v>0</v>
      </c>
      <c r="Z382" s="692"/>
      <c r="AA382" s="665"/>
      <c r="AB382" s="123"/>
      <c r="AC382" s="123"/>
      <c r="AD382" s="124"/>
      <c r="AE382" s="125"/>
      <c r="AF382" s="721"/>
      <c r="AG382" s="127"/>
      <c r="AH382" s="123"/>
      <c r="AI382" s="128"/>
      <c r="AJ382" s="195" t="str">
        <f>HYPERLINK("https://www.crunchbase.com/funding_round/solidia-technologies-series-a--b6248c5d","Feb 1, 2012")</f>
        <v>Feb 1, 2012</v>
      </c>
      <c r="AK382" s="196">
        <v>2.7E7</v>
      </c>
      <c r="AL382" s="195"/>
      <c r="AM382" s="730"/>
      <c r="AN382" s="195"/>
      <c r="AO382" s="730"/>
      <c r="AP382" s="195"/>
      <c r="AQ382" s="730"/>
      <c r="AR382" s="195"/>
      <c r="AS382" s="197"/>
      <c r="AT382" s="124"/>
      <c r="AU382" s="137"/>
      <c r="AV382" s="124"/>
      <c r="AW382" s="38"/>
      <c r="AX382" s="124"/>
      <c r="AY382" s="38"/>
      <c r="AZ382" s="124"/>
      <c r="BA382" s="137"/>
      <c r="BB382" s="124"/>
      <c r="BC382" s="137"/>
      <c r="BD382" s="124"/>
      <c r="BE382" s="125"/>
      <c r="BF382" s="123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</row>
    <row r="383" ht="15.75" customHeight="1">
      <c r="A383" s="978" t="s">
        <v>2018</v>
      </c>
      <c r="B383" s="979"/>
      <c r="C383" s="980" t="s">
        <v>59</v>
      </c>
      <c r="D383" s="269"/>
      <c r="E383" s="1015" t="s">
        <v>2019</v>
      </c>
      <c r="F383" s="841" t="s">
        <v>2020</v>
      </c>
      <c r="G383" s="71"/>
      <c r="H383" s="71" t="s">
        <v>1079</v>
      </c>
      <c r="I383" s="26" t="s">
        <v>1080</v>
      </c>
      <c r="J383" s="155"/>
      <c r="K383" s="26">
        <v>2.0</v>
      </c>
      <c r="L383" s="142">
        <v>2020.0</v>
      </c>
      <c r="M383" s="25">
        <f t="shared" si="313"/>
        <v>5</v>
      </c>
      <c r="N383" s="26">
        <f t="shared" si="314"/>
        <v>2</v>
      </c>
      <c r="O383" s="27" t="str">
        <f t="shared" si="3"/>
        <v>#N/A</v>
      </c>
      <c r="P383" s="28" t="str">
        <f t="shared" si="315"/>
        <v>#N/A</v>
      </c>
      <c r="Q383" s="28" t="str">
        <f t="shared" si="316"/>
        <v>#N/A</v>
      </c>
      <c r="R383" s="28"/>
      <c r="S383" s="28"/>
      <c r="T383" s="29">
        <f t="shared" si="317"/>
        <v>5400000</v>
      </c>
      <c r="U383" s="28"/>
      <c r="V383" s="30">
        <f t="shared" si="28"/>
        <v>27000000</v>
      </c>
      <c r="W383" s="30"/>
      <c r="X383" s="73"/>
      <c r="Y383" s="33">
        <f>(max(AE383,AG383,AI383,AK383,AM383,AO383,AQ383,AS383,AU383,AW383,AY383,BA383,BC383)/min(AE383,AG383,AI383,AK383))^(1/M383)-1</f>
        <v>0.1119615859</v>
      </c>
      <c r="Z383" s="692"/>
      <c r="AA383" s="665"/>
      <c r="AB383" s="74"/>
      <c r="AC383" s="74"/>
      <c r="AD383" s="79"/>
      <c r="AE383" s="84"/>
      <c r="AF383" s="856" t="str">
        <f>HYPERLINK("https://www.crunchbase.com/funding_round/swiftconnect-seed--4d8f6a40","Oct 15, 2021")</f>
        <v>Oct 15, 2021</v>
      </c>
      <c r="AG383" s="76">
        <v>1.0E7</v>
      </c>
      <c r="AH383" s="74"/>
      <c r="AI383" s="78"/>
      <c r="AJ383" s="75">
        <v>44860.0</v>
      </c>
      <c r="AK383" s="76">
        <v>1.7E7</v>
      </c>
      <c r="AL383" s="877"/>
      <c r="AM383" s="84"/>
      <c r="AN383" s="79"/>
      <c r="AO383" s="84"/>
      <c r="AP383" s="79"/>
      <c r="AQ383" s="84"/>
      <c r="AR383" s="79"/>
      <c r="AS383" s="79"/>
      <c r="AT383" s="79"/>
      <c r="AU383" s="80"/>
      <c r="AV383" s="79"/>
      <c r="AW383" s="38"/>
      <c r="AX383" s="79"/>
      <c r="AY383" s="38"/>
      <c r="AZ383" s="79"/>
      <c r="BA383" s="80"/>
      <c r="BB383" s="79"/>
      <c r="BC383" s="80"/>
      <c r="BD383" s="79"/>
      <c r="BE383" s="84"/>
      <c r="BF383" s="74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</row>
    <row r="384" ht="15.75" customHeight="1">
      <c r="A384" s="1097" t="s">
        <v>2021</v>
      </c>
      <c r="B384" s="984"/>
      <c r="C384" s="985" t="s">
        <v>59</v>
      </c>
      <c r="D384" s="161" t="s">
        <v>2022</v>
      </c>
      <c r="E384" s="1006" t="s">
        <v>2023</v>
      </c>
      <c r="F384" s="386" t="s">
        <v>2024</v>
      </c>
      <c r="G384" s="119" t="s">
        <v>2025</v>
      </c>
      <c r="H384" s="119" t="s">
        <v>1130</v>
      </c>
      <c r="I384" s="25" t="s">
        <v>263</v>
      </c>
      <c r="J384" s="178" t="s">
        <v>2026</v>
      </c>
      <c r="K384" s="25">
        <v>4.0</v>
      </c>
      <c r="L384" s="25">
        <v>2018.0</v>
      </c>
      <c r="M384" s="25">
        <f t="shared" si="313"/>
        <v>7</v>
      </c>
      <c r="N384" s="26">
        <f t="shared" si="314"/>
        <v>3</v>
      </c>
      <c r="O384" s="27" t="str">
        <f t="shared" si="3"/>
        <v>#N/A</v>
      </c>
      <c r="P384" s="28" t="str">
        <f t="shared" si="315"/>
        <v>#N/A</v>
      </c>
      <c r="Q384" s="28" t="str">
        <f t="shared" si="316"/>
        <v>#N/A</v>
      </c>
      <c r="R384" s="28"/>
      <c r="S384" s="28"/>
      <c r="T384" s="29">
        <f t="shared" si="317"/>
        <v>3857142.857</v>
      </c>
      <c r="U384" s="28"/>
      <c r="V384" s="30">
        <f t="shared" si="28"/>
        <v>27000000</v>
      </c>
      <c r="W384" s="30"/>
      <c r="X384" s="32">
        <f>(max(AE384,AG384,AI384,AK384,AM384,AO384,AQ384,AS384,AU384,AW384,AY384,BA384,BC384)/min(AE384,AG384,AI384,AK384,AM384,AO384,AQ384,AS384,AU384,AW384,AY384,BA384,BC384))^(1/N384)-1</f>
        <v>1.527892768</v>
      </c>
      <c r="Y384" s="33">
        <f>(max(AE384,AG384,AI384,AK384,AM384,AO384,AQ384,AS384,AU384,AW384,AY384,BA384,BC384)/min(AE384,AG384,AI384,AK384,AM384,AO384,AQ384,AS384,AU384,AW384,AY384,BA384,BC384))^(1/M384)-1</f>
        <v>0.4880271283</v>
      </c>
      <c r="Z384" s="692"/>
      <c r="AA384" s="665"/>
      <c r="AB384" s="123"/>
      <c r="AC384" s="123"/>
      <c r="AD384" s="124"/>
      <c r="AE384" s="125"/>
      <c r="AF384" s="126" t="str">
        <f>HYPERLINK("https://www.crunchbase.com/funding_round/higharc-seed--177692ac","May 9, 2018")</f>
        <v>May 9, 2018</v>
      </c>
      <c r="AG384" s="127">
        <v>4700000.0</v>
      </c>
      <c r="AH384" s="123"/>
      <c r="AI384" s="128"/>
      <c r="AJ384" s="167" t="str">
        <f>HYPERLINK("https://www.crunchbase.com/funding_round/higharc-series-a--a690fe7b","Apr 21, 2021")</f>
        <v>Apr 21, 2021</v>
      </c>
      <c r="AK384" s="127">
        <v>2.1E7</v>
      </c>
      <c r="AL384" s="169"/>
      <c r="AM384" s="127"/>
      <c r="AN384" s="124"/>
      <c r="AO384" s="125"/>
      <c r="AP384" s="124"/>
      <c r="AQ384" s="125"/>
      <c r="AR384" s="124"/>
      <c r="AS384" s="124"/>
      <c r="AT384" s="124"/>
      <c r="AU384" s="137"/>
      <c r="AV384" s="124"/>
      <c r="AW384" s="38"/>
      <c r="AX384" s="124"/>
      <c r="AY384" s="38"/>
      <c r="AZ384" s="171">
        <v>45013.0</v>
      </c>
      <c r="BA384" s="170">
        <v>1300000.0</v>
      </c>
      <c r="BB384" s="124"/>
      <c r="BC384" s="137"/>
      <c r="BD384" s="124"/>
      <c r="BE384" s="125"/>
      <c r="BF384" s="123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</row>
    <row r="385" ht="15.75" customHeight="1">
      <c r="A385" s="978" t="s">
        <v>2027</v>
      </c>
      <c r="B385" s="979"/>
      <c r="C385" s="980" t="s">
        <v>84</v>
      </c>
      <c r="D385" s="231"/>
      <c r="E385" s="1015" t="s">
        <v>2028</v>
      </c>
      <c r="F385" s="118" t="s">
        <v>2029</v>
      </c>
      <c r="G385" s="54" t="s">
        <v>2030</v>
      </c>
      <c r="H385" s="71" t="s">
        <v>1935</v>
      </c>
      <c r="I385" s="26" t="s">
        <v>639</v>
      </c>
      <c r="J385" s="178"/>
      <c r="K385" s="26"/>
      <c r="L385" s="142">
        <v>2020.0</v>
      </c>
      <c r="M385" s="25"/>
      <c r="N385" s="26"/>
      <c r="O385" s="27" t="str">
        <f t="shared" si="3"/>
        <v>#N/A</v>
      </c>
      <c r="P385" s="28" t="str">
        <f t="shared" si="315"/>
        <v>#N/A</v>
      </c>
      <c r="Q385" s="28" t="str">
        <f t="shared" si="316"/>
        <v>#N/A</v>
      </c>
      <c r="R385" s="28"/>
      <c r="S385" s="28"/>
      <c r="T385" s="28"/>
      <c r="U385" s="28"/>
      <c r="V385" s="30">
        <f t="shared" si="28"/>
        <v>26900000</v>
      </c>
      <c r="W385" s="30"/>
      <c r="X385" s="73"/>
      <c r="Y385" s="73"/>
      <c r="Z385" s="692"/>
      <c r="AA385" s="665"/>
      <c r="AB385" s="74"/>
      <c r="AC385" s="74"/>
      <c r="AD385" s="79"/>
      <c r="AE385" s="76"/>
      <c r="AF385" s="232" t="str">
        <f>HYPERLINK("https://www.crunchbase.com/funding_round/unreserved-seed--81cd04f9","Jan 13, 2022")</f>
        <v>Jan 13, 2022</v>
      </c>
      <c r="AG385" s="76">
        <v>2.69E7</v>
      </c>
      <c r="AH385" s="77"/>
      <c r="AI385" s="78"/>
      <c r="AJ385" s="79"/>
      <c r="AK385" s="76"/>
      <c r="AL385" s="79"/>
      <c r="AM385" s="76"/>
      <c r="AN385" s="79"/>
      <c r="AO385" s="84"/>
      <c r="AP385" s="79"/>
      <c r="AQ385" s="84"/>
      <c r="AR385" s="79"/>
      <c r="AS385" s="79"/>
      <c r="AT385" s="79"/>
      <c r="AU385" s="80"/>
      <c r="AV385" s="79"/>
      <c r="AW385" s="38"/>
      <c r="AX385" s="79"/>
      <c r="AY385" s="38"/>
      <c r="AZ385" s="79"/>
      <c r="BA385" s="80"/>
      <c r="BB385" s="79"/>
      <c r="BC385" s="80"/>
      <c r="BD385" s="79"/>
      <c r="BE385" s="84"/>
      <c r="BF385" s="74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</row>
    <row r="386" ht="15.75" customHeight="1">
      <c r="A386" s="978" t="s">
        <v>2031</v>
      </c>
      <c r="B386" s="980"/>
      <c r="C386" s="980" t="s">
        <v>207</v>
      </c>
      <c r="D386" s="1017" t="s">
        <v>2032</v>
      </c>
      <c r="E386" s="1017" t="s">
        <v>2033</v>
      </c>
      <c r="F386" s="757" t="s">
        <v>2034</v>
      </c>
      <c r="G386" s="71" t="s">
        <v>2035</v>
      </c>
      <c r="H386" s="186" t="s">
        <v>64</v>
      </c>
      <c r="I386" s="74" t="s">
        <v>287</v>
      </c>
      <c r="J386" s="72" t="s">
        <v>212</v>
      </c>
      <c r="K386" s="26">
        <v>2.0</v>
      </c>
      <c r="L386" s="26">
        <v>2016.0</v>
      </c>
      <c r="M386" s="25">
        <f t="shared" ref="M386:M389" si="318">year(now()) -L386</f>
        <v>9</v>
      </c>
      <c r="N386" s="26">
        <f t="shared" ref="N386:N389" si="319">counta(AE386,AG386,AI386,AK386,AM386,AO386,AQ386,AS386,AU386,AW386,AY386,BA386,BC386)</f>
        <v>2</v>
      </c>
      <c r="O386" s="27" t="str">
        <f t="shared" si="3"/>
        <v>#N/A</v>
      </c>
      <c r="P386" s="28" t="str">
        <f t="shared" si="315"/>
        <v>#N/A</v>
      </c>
      <c r="Q386" s="28" t="str">
        <f t="shared" si="316"/>
        <v>#N/A</v>
      </c>
      <c r="R386" s="28"/>
      <c r="S386" s="28"/>
      <c r="T386" s="29">
        <f t="shared" ref="T386:T389" si="320">V386/M386</f>
        <v>2944444.444</v>
      </c>
      <c r="U386" s="28"/>
      <c r="V386" s="30">
        <f t="shared" si="28"/>
        <v>26500000</v>
      </c>
      <c r="W386" s="30"/>
      <c r="X386" s="32">
        <f t="shared" ref="X386:X389" si="321">(max(AE386,AG386,AI386,AK386,AM386,AO386,AQ386,AS386,AU386,AW386,AY386,BA386,BC386)/min(AE386,AG386,AI386,AK386,AM386,AO386,AQ386,AS386,AU386,AW386,AY386,BA386,BC386))^(1/N386)-1</f>
        <v>0.7541160386</v>
      </c>
      <c r="Y386" s="33">
        <f t="shared" ref="Y386:Y389" si="322">(max(AE386,AG386,AI386,AK386,AM386,AO386,AQ386,AS386,AU386,AW386,AY386,BA386,BC386)/min(AE386,AG386,AI386,AK386,AM386,AO386,AQ386,AS386,AU386,AW386,AY386,BA386,BC386))^(1/M386)-1</f>
        <v>0.1330137545</v>
      </c>
      <c r="Z386" s="692"/>
      <c r="AA386" s="665"/>
      <c r="AB386" s="74"/>
      <c r="AC386" s="74"/>
      <c r="AD386" s="279"/>
      <c r="AE386" s="76"/>
      <c r="AF386" s="856" t="str">
        <f>HYPERLINK("https://www.crunchbase.com/funding_round/hellooffice-seed--787a8017"," 10/24/2019")</f>
        <v> 10/24/2019</v>
      </c>
      <c r="AG386" s="76">
        <v>6500000.0</v>
      </c>
      <c r="AH386" s="74"/>
      <c r="AI386" s="78"/>
      <c r="AJ386" s="181" t="str">
        <f>HYPERLINK("https://www.crunchbase.com/funding_round/hellooffice-series-a--b464de31"," Jun 24, 2020        
")</f>
        <v> Jun 24, 2020        
</v>
      </c>
      <c r="AK386" s="76">
        <v>2.0E7</v>
      </c>
      <c r="AL386" s="79"/>
      <c r="AM386" s="84"/>
      <c r="AN386" s="79"/>
      <c r="AO386" s="84"/>
      <c r="AP386" s="79"/>
      <c r="AQ386" s="84"/>
      <c r="AR386" s="79"/>
      <c r="AS386" s="79"/>
      <c r="AT386" s="79"/>
      <c r="AU386" s="80"/>
      <c r="AV386" s="79"/>
      <c r="AW386" s="38"/>
      <c r="AX386" s="79"/>
      <c r="AY386" s="38"/>
      <c r="AZ386" s="79"/>
      <c r="BA386" s="80"/>
      <c r="BB386" s="79"/>
      <c r="BC386" s="80"/>
      <c r="BD386" s="79"/>
      <c r="BE386" s="84"/>
      <c r="BF386" s="74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</row>
    <row r="387" ht="15.75" customHeight="1">
      <c r="A387" s="1092" t="s">
        <v>2036</v>
      </c>
      <c r="B387" s="985"/>
      <c r="C387" s="985" t="s">
        <v>59</v>
      </c>
      <c r="D387" s="981" t="s">
        <v>2037</v>
      </c>
      <c r="E387" s="982" t="s">
        <v>2038</v>
      </c>
      <c r="F387" s="1098" t="s">
        <v>2039</v>
      </c>
      <c r="G387" s="119"/>
      <c r="H387" s="119" t="s">
        <v>2040</v>
      </c>
      <c r="I387" s="25" t="s">
        <v>372</v>
      </c>
      <c r="J387" s="120"/>
      <c r="K387" s="25">
        <v>2.0</v>
      </c>
      <c r="L387" s="25">
        <v>2015.0</v>
      </c>
      <c r="M387" s="25">
        <f t="shared" si="318"/>
        <v>10</v>
      </c>
      <c r="N387" s="26">
        <f t="shared" si="319"/>
        <v>3</v>
      </c>
      <c r="O387" s="27" t="str">
        <f t="shared" si="3"/>
        <v>#N/A</v>
      </c>
      <c r="P387" s="28" t="str">
        <f t="shared" si="315"/>
        <v>#N/A</v>
      </c>
      <c r="Q387" s="28" t="str">
        <f t="shared" si="316"/>
        <v>#N/A</v>
      </c>
      <c r="R387" s="28"/>
      <c r="S387" s="28"/>
      <c r="T387" s="29">
        <f t="shared" si="320"/>
        <v>2650000</v>
      </c>
      <c r="U387" s="28"/>
      <c r="V387" s="30">
        <f t="shared" si="28"/>
        <v>26500000</v>
      </c>
      <c r="W387" s="30"/>
      <c r="X387" s="32">
        <f t="shared" si="321"/>
        <v>1.15443469</v>
      </c>
      <c r="Y387" s="33">
        <f t="shared" si="322"/>
        <v>0.2589254118</v>
      </c>
      <c r="Z387" s="692"/>
      <c r="AA387" s="665"/>
      <c r="AB387" s="123"/>
      <c r="AC387" s="123"/>
      <c r="AD387" s="124"/>
      <c r="AE387" s="125"/>
      <c r="AF387" s="320">
        <v>42256.0</v>
      </c>
      <c r="AG387" s="127">
        <v>1500000.0</v>
      </c>
      <c r="AH387" s="923"/>
      <c r="AI387" s="759"/>
      <c r="AJ387" s="227">
        <v>44112.0</v>
      </c>
      <c r="AK387" s="165">
        <v>1.0E7</v>
      </c>
      <c r="AL387" s="167" t="str">
        <f>HYPERLINK("https://www.calcalistech.com/ctech/articles/0,7340,L-3927997,00.html","Jan 26, 2022")</f>
        <v>Jan 26, 2022</v>
      </c>
      <c r="AM387" s="127">
        <v>1.5E7</v>
      </c>
      <c r="AN387" s="124"/>
      <c r="AO387" s="125"/>
      <c r="AP387" s="124"/>
      <c r="AQ387" s="125"/>
      <c r="AR387" s="124"/>
      <c r="AS387" s="124"/>
      <c r="AT387" s="124"/>
      <c r="AU387" s="137"/>
      <c r="AV387" s="124"/>
      <c r="AW387" s="38"/>
      <c r="AX387" s="124"/>
      <c r="AY387" s="38"/>
      <c r="AZ387" s="124"/>
      <c r="BA387" s="137"/>
      <c r="BB387" s="124"/>
      <c r="BC387" s="137"/>
      <c r="BD387" s="124"/>
      <c r="BE387" s="125"/>
      <c r="BF387" s="123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</row>
    <row r="388" ht="15.75" customHeight="1">
      <c r="A388" s="1008" t="s">
        <v>2041</v>
      </c>
      <c r="B388" s="988"/>
      <c r="C388" s="978" t="s">
        <v>123</v>
      </c>
      <c r="D388" s="981" t="s">
        <v>2042</v>
      </c>
      <c r="E388" s="982" t="s">
        <v>2043</v>
      </c>
      <c r="F388" s="118" t="s">
        <v>2044</v>
      </c>
      <c r="G388" s="22" t="s">
        <v>2045</v>
      </c>
      <c r="H388" s="22" t="s">
        <v>825</v>
      </c>
      <c r="I388" s="23" t="s">
        <v>65</v>
      </c>
      <c r="J388" s="237"/>
      <c r="K388" s="36"/>
      <c r="L388" s="23">
        <v>2011.0</v>
      </c>
      <c r="M388" s="25">
        <f t="shared" si="318"/>
        <v>14</v>
      </c>
      <c r="N388" s="26">
        <f t="shared" si="319"/>
        <v>2</v>
      </c>
      <c r="O388" s="27" t="str">
        <f t="shared" si="3"/>
        <v>#N/A</v>
      </c>
      <c r="P388" s="28" t="str">
        <f t="shared" si="315"/>
        <v>#N/A</v>
      </c>
      <c r="Q388" s="28" t="str">
        <f t="shared" si="316"/>
        <v>#N/A</v>
      </c>
      <c r="R388" s="28"/>
      <c r="S388" s="28"/>
      <c r="T388" s="29">
        <f t="shared" si="320"/>
        <v>1878571.429</v>
      </c>
      <c r="U388" s="28"/>
      <c r="V388" s="30">
        <f t="shared" si="28"/>
        <v>26300000</v>
      </c>
      <c r="W388" s="30"/>
      <c r="X388" s="32">
        <f t="shared" si="321"/>
        <v>0.06686989934</v>
      </c>
      <c r="Y388" s="33">
        <f t="shared" si="322"/>
        <v>0.009289890438</v>
      </c>
      <c r="Z388" s="692"/>
      <c r="AA388" s="665"/>
      <c r="AB388" s="36"/>
      <c r="AC388" s="36"/>
      <c r="AD388" s="882"/>
      <c r="AE388" s="38"/>
      <c r="AF388" s="225">
        <v>41822.0</v>
      </c>
      <c r="AG388" s="38"/>
      <c r="AH388" s="36"/>
      <c r="AI388" s="159"/>
      <c r="AJ388" s="44"/>
      <c r="AK388" s="46"/>
      <c r="AL388" s="42">
        <v>42355.0</v>
      </c>
      <c r="AM388" s="38">
        <v>1.4E7</v>
      </c>
      <c r="AN388" s="42">
        <v>43025.0</v>
      </c>
      <c r="AO388" s="38">
        <v>1.23E7</v>
      </c>
      <c r="AP388" s="44"/>
      <c r="AQ388" s="46"/>
      <c r="AR388" s="44"/>
      <c r="AS388" s="44"/>
      <c r="AT388" s="44"/>
      <c r="AU388" s="45"/>
      <c r="AV388" s="44"/>
      <c r="AW388" s="38"/>
      <c r="AX388" s="44"/>
      <c r="AY388" s="38"/>
      <c r="AZ388" s="44"/>
      <c r="BA388" s="45"/>
      <c r="BB388" s="44"/>
      <c r="BC388" s="45"/>
      <c r="BD388" s="44"/>
      <c r="BE388" s="46"/>
      <c r="BF388" s="3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</row>
    <row r="389" ht="15.75" customHeight="1">
      <c r="A389" s="978" t="s">
        <v>2046</v>
      </c>
      <c r="B389" s="979"/>
      <c r="C389" s="980" t="s">
        <v>123</v>
      </c>
      <c r="D389" s="1083"/>
      <c r="E389" s="991" t="s">
        <v>2047</v>
      </c>
      <c r="F389" s="173" t="s">
        <v>2048</v>
      </c>
      <c r="G389" s="71" t="s">
        <v>2049</v>
      </c>
      <c r="H389" s="186"/>
      <c r="I389" s="26" t="s">
        <v>328</v>
      </c>
      <c r="J389" s="72" t="s">
        <v>2050</v>
      </c>
      <c r="K389" s="26">
        <v>3.0</v>
      </c>
      <c r="L389" s="26">
        <v>2015.0</v>
      </c>
      <c r="M389" s="25">
        <f t="shared" si="318"/>
        <v>10</v>
      </c>
      <c r="N389" s="26">
        <f t="shared" si="319"/>
        <v>2</v>
      </c>
      <c r="O389" s="27" t="str">
        <f t="shared" si="3"/>
        <v>#N/A</v>
      </c>
      <c r="P389" s="28" t="str">
        <f t="shared" si="315"/>
        <v>#N/A</v>
      </c>
      <c r="Q389" s="28" t="str">
        <f t="shared" si="316"/>
        <v>#N/A</v>
      </c>
      <c r="R389" s="28"/>
      <c r="S389" s="28"/>
      <c r="T389" s="29">
        <f t="shared" si="320"/>
        <v>2630000</v>
      </c>
      <c r="U389" s="28"/>
      <c r="V389" s="30">
        <f t="shared" si="28"/>
        <v>26300000</v>
      </c>
      <c r="W389" s="30"/>
      <c r="X389" s="32">
        <f t="shared" si="321"/>
        <v>0.2463539057</v>
      </c>
      <c r="Y389" s="33">
        <f t="shared" si="322"/>
        <v>0.04502883956</v>
      </c>
      <c r="Z389" s="692"/>
      <c r="AA389" s="665"/>
      <c r="AB389" s="74"/>
      <c r="AC389" s="74"/>
      <c r="AD389" s="79"/>
      <c r="AE389" s="84"/>
      <c r="AF389" s="856" t="str">
        <f>HYPERLINK("https://www.crunchbase.com/funding_round/pupil-seed--daf0f57a","May 1, 2017")</f>
        <v>May 1, 2017</v>
      </c>
      <c r="AG389" s="76">
        <v>1.03E7</v>
      </c>
      <c r="AH389" s="74"/>
      <c r="AI389" s="78"/>
      <c r="AJ389" s="426" t="str">
        <f>HYPERLINK("https://www.crunchbase.com/funding_round/pupil-series-a--181043ee"," Jan 1, 2020")</f>
        <v> Jan 1, 2020</v>
      </c>
      <c r="AK389" s="76">
        <v>1.6E7</v>
      </c>
      <c r="AL389" s="79"/>
      <c r="AM389" s="84"/>
      <c r="AN389" s="79"/>
      <c r="AO389" s="84"/>
      <c r="AP389" s="79"/>
      <c r="AQ389" s="84"/>
      <c r="AR389" s="79"/>
      <c r="AS389" s="79"/>
      <c r="AT389" s="79"/>
      <c r="AU389" s="80"/>
      <c r="AV389" s="79"/>
      <c r="AW389" s="38"/>
      <c r="AX389" s="79"/>
      <c r="AY389" s="38"/>
      <c r="AZ389" s="79"/>
      <c r="BA389" s="80"/>
      <c r="BB389" s="79"/>
      <c r="BC389" s="80"/>
      <c r="BD389" s="79"/>
      <c r="BE389" s="84"/>
      <c r="BF389" s="74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</row>
    <row r="390" ht="15.0" customHeight="1">
      <c r="A390" s="998" t="s">
        <v>2051</v>
      </c>
      <c r="B390" s="979"/>
      <c r="C390" s="980" t="s">
        <v>84</v>
      </c>
      <c r="D390" s="981" t="s">
        <v>2052</v>
      </c>
      <c r="E390" s="192" t="s">
        <v>2053</v>
      </c>
      <c r="F390" s="118" t="s">
        <v>2054</v>
      </c>
      <c r="G390" s="140"/>
      <c r="H390" s="71" t="s">
        <v>771</v>
      </c>
      <c r="I390" s="26" t="s">
        <v>65</v>
      </c>
      <c r="J390" s="155"/>
      <c r="K390" s="26">
        <v>1.0</v>
      </c>
      <c r="L390" s="26">
        <v>2020.0</v>
      </c>
      <c r="M390" s="25"/>
      <c r="N390" s="26"/>
      <c r="O390" s="27" t="str">
        <f t="shared" si="3"/>
        <v>#N/A</v>
      </c>
      <c r="P390" s="28" t="str">
        <f t="shared" si="315"/>
        <v>#N/A</v>
      </c>
      <c r="Q390" s="28" t="str">
        <f t="shared" si="316"/>
        <v>#N/A</v>
      </c>
      <c r="R390" s="28"/>
      <c r="S390" s="28"/>
      <c r="T390" s="28"/>
      <c r="U390" s="28"/>
      <c r="V390" s="30">
        <f t="shared" si="28"/>
        <v>26000000</v>
      </c>
      <c r="W390" s="30"/>
      <c r="X390" s="73"/>
      <c r="Y390" s="73"/>
      <c r="Z390" s="692"/>
      <c r="AA390" s="665"/>
      <c r="AB390" s="74"/>
      <c r="AC390" s="74"/>
      <c r="AD390" s="44"/>
      <c r="AE390" s="46"/>
      <c r="AF390" s="39"/>
      <c r="AG390" s="38"/>
      <c r="AH390" s="36"/>
      <c r="AI390" s="159"/>
      <c r="AJ390" s="228" t="str">
        <f>HYPERLINK("https://www.crunchbase.com/funding_round/flock-homes-series-a--0272bc0a","Mar 24, 2022")</f>
        <v>Mar 24, 2022</v>
      </c>
      <c r="AK390" s="38">
        <v>2.6E7</v>
      </c>
      <c r="AL390" s="44"/>
      <c r="AM390" s="46"/>
      <c r="AN390" s="44"/>
      <c r="AO390" s="46"/>
      <c r="AP390" s="44"/>
      <c r="AQ390" s="46"/>
      <c r="AR390" s="44"/>
      <c r="AS390" s="44"/>
      <c r="AT390" s="44"/>
      <c r="AU390" s="45"/>
      <c r="AV390" s="44"/>
      <c r="AW390" s="38"/>
      <c r="AX390" s="44"/>
      <c r="AY390" s="38"/>
      <c r="AZ390" s="44"/>
      <c r="BA390" s="45"/>
      <c r="BB390" s="44"/>
      <c r="BC390" s="45"/>
      <c r="BD390" s="44"/>
      <c r="BE390" s="46"/>
      <c r="BF390" s="36"/>
      <c r="BG390" s="66"/>
      <c r="BH390" s="66"/>
      <c r="BI390" s="66"/>
      <c r="BJ390" s="66"/>
      <c r="BK390" s="66"/>
      <c r="BL390" s="66"/>
      <c r="BM390" s="66"/>
      <c r="BN390" s="66"/>
      <c r="BO390" s="66"/>
      <c r="BP390" s="66"/>
      <c r="BQ390" s="66"/>
      <c r="BR390" s="66"/>
      <c r="BS390" s="66"/>
      <c r="BT390" s="66"/>
      <c r="BU390" s="66"/>
      <c r="BV390" s="66"/>
      <c r="BW390" s="66"/>
      <c r="BX390" s="66"/>
      <c r="BY390" s="66"/>
      <c r="BZ390" s="66"/>
      <c r="CA390" s="66"/>
      <c r="CB390" s="66"/>
      <c r="CC390" s="66"/>
      <c r="CD390" s="66"/>
      <c r="CE390" s="66"/>
      <c r="CF390" s="66"/>
      <c r="CG390" s="66"/>
      <c r="CH390" s="66"/>
      <c r="CI390" s="66"/>
      <c r="CJ390" s="66"/>
      <c r="CK390" s="66"/>
      <c r="CL390" s="66"/>
      <c r="CM390" s="66"/>
      <c r="CN390" s="66"/>
      <c r="CO390" s="66"/>
      <c r="CP390" s="66"/>
    </row>
    <row r="391" ht="15.0" customHeight="1">
      <c r="A391" s="978" t="s">
        <v>2055</v>
      </c>
      <c r="B391" s="979"/>
      <c r="C391" s="980" t="s">
        <v>132</v>
      </c>
      <c r="D391" s="1001" t="s">
        <v>2056</v>
      </c>
      <c r="E391" s="138" t="s">
        <v>2057</v>
      </c>
      <c r="F391" s="841" t="s">
        <v>2058</v>
      </c>
      <c r="G391" s="71"/>
      <c r="H391" s="71" t="s">
        <v>1065</v>
      </c>
      <c r="I391" s="26" t="s">
        <v>639</v>
      </c>
      <c r="J391" s="72"/>
      <c r="K391" s="26">
        <v>1.0</v>
      </c>
      <c r="L391" s="26">
        <v>2019.0</v>
      </c>
      <c r="M391" s="25"/>
      <c r="N391" s="26"/>
      <c r="O391" s="27" t="str">
        <f t="shared" si="3"/>
        <v>#N/A</v>
      </c>
      <c r="P391" s="28" t="str">
        <f t="shared" si="315"/>
        <v>#N/A</v>
      </c>
      <c r="Q391" s="28" t="str">
        <f t="shared" si="316"/>
        <v>#N/A</v>
      </c>
      <c r="R391" s="28"/>
      <c r="S391" s="28"/>
      <c r="T391" s="28"/>
      <c r="U391" s="28"/>
      <c r="V391" s="30">
        <f t="shared" si="28"/>
        <v>26000000</v>
      </c>
      <c r="W391" s="30"/>
      <c r="X391" s="73"/>
      <c r="Y391" s="73"/>
      <c r="Z391" s="692"/>
      <c r="AA391" s="665"/>
      <c r="AB391" s="74"/>
      <c r="AC391" s="74"/>
      <c r="AD391" s="79"/>
      <c r="AE391" s="84"/>
      <c r="AF391" s="175" t="str">
        <f>HYPERLINK("https://www.crunchbase.com/funding_round/vendorpm-seed--2ef1f0fb","Feb 1, 2022")</f>
        <v>Feb 1, 2022</v>
      </c>
      <c r="AG391" s="76">
        <v>6000000.0</v>
      </c>
      <c r="AH391" s="77"/>
      <c r="AI391" s="78"/>
      <c r="AJ391" s="75">
        <v>44796.0</v>
      </c>
      <c r="AK391" s="76">
        <v>2.0E7</v>
      </c>
      <c r="AL391" s="79"/>
      <c r="AM391" s="84"/>
      <c r="AN391" s="79"/>
      <c r="AO391" s="84"/>
      <c r="AP391" s="79"/>
      <c r="AQ391" s="84"/>
      <c r="AR391" s="79"/>
      <c r="AS391" s="79"/>
      <c r="AT391" s="79"/>
      <c r="AU391" s="80"/>
      <c r="AV391" s="79"/>
      <c r="AW391" s="38"/>
      <c r="AX391" s="79"/>
      <c r="AY391" s="38"/>
      <c r="AZ391" s="79"/>
      <c r="BA391" s="80"/>
      <c r="BB391" s="79"/>
      <c r="BC391" s="80"/>
      <c r="BD391" s="79"/>
      <c r="BE391" s="84"/>
      <c r="BF391" s="74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</row>
    <row r="392" ht="15.0" customHeight="1">
      <c r="A392" s="993" t="s">
        <v>2059</v>
      </c>
      <c r="B392" s="984"/>
      <c r="C392" s="985" t="s">
        <v>513</v>
      </c>
      <c r="D392" s="1005" t="s">
        <v>2060</v>
      </c>
      <c r="E392" s="401" t="s">
        <v>2061</v>
      </c>
      <c r="F392" s="708" t="s">
        <v>2062</v>
      </c>
      <c r="G392" s="286"/>
      <c r="H392" s="119" t="s">
        <v>1114</v>
      </c>
      <c r="I392" s="25" t="s">
        <v>65</v>
      </c>
      <c r="J392" s="287"/>
      <c r="K392" s="25">
        <v>1.0</v>
      </c>
      <c r="L392" s="25">
        <v>2016.0</v>
      </c>
      <c r="M392" s="123"/>
      <c r="N392" s="123"/>
      <c r="O392" s="27" t="str">
        <f t="shared" si="3"/>
        <v>#N/A</v>
      </c>
      <c r="P392" s="55"/>
      <c r="Q392" s="55"/>
      <c r="R392" s="55"/>
      <c r="S392" s="55"/>
      <c r="T392" s="55"/>
      <c r="U392" s="55"/>
      <c r="V392" s="30">
        <f t="shared" si="28"/>
        <v>26000000</v>
      </c>
      <c r="W392" s="30"/>
      <c r="X392" s="403"/>
      <c r="Y392" s="403"/>
      <c r="Z392" s="692"/>
      <c r="AA392" s="665"/>
      <c r="AB392" s="123"/>
      <c r="AC392" s="123"/>
      <c r="AD392" s="717"/>
      <c r="AE392" s="123"/>
      <c r="AF392" s="62">
        <v>44846.0</v>
      </c>
      <c r="AG392" s="38">
        <v>2.6E7</v>
      </c>
      <c r="AH392" s="123"/>
      <c r="AI392" s="123"/>
      <c r="AJ392" s="123"/>
      <c r="AK392" s="38"/>
      <c r="AL392" s="123"/>
      <c r="AM392" s="123"/>
      <c r="AN392" s="123"/>
      <c r="AO392" s="123"/>
      <c r="AP392" s="123"/>
      <c r="AQ392" s="123"/>
      <c r="AR392" s="123"/>
      <c r="AS392" s="123"/>
      <c r="AT392" s="123"/>
      <c r="AU392" s="137"/>
      <c r="AV392" s="123"/>
      <c r="AW392" s="38"/>
      <c r="AX392" s="123"/>
      <c r="AY392" s="38"/>
      <c r="AZ392" s="123"/>
      <c r="BA392" s="137"/>
      <c r="BB392" s="123"/>
      <c r="BC392" s="137"/>
      <c r="BD392" s="123"/>
      <c r="BE392" s="125"/>
      <c r="BF392" s="123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</row>
    <row r="393" ht="15.0" customHeight="1">
      <c r="A393" s="978" t="s">
        <v>2063</v>
      </c>
      <c r="B393" s="979"/>
      <c r="C393" s="980" t="s">
        <v>267</v>
      </c>
      <c r="D393" s="1017" t="s">
        <v>2064</v>
      </c>
      <c r="E393" s="270" t="s">
        <v>2065</v>
      </c>
      <c r="F393" s="177" t="s">
        <v>2066</v>
      </c>
      <c r="G393" s="140"/>
      <c r="H393" s="71" t="s">
        <v>187</v>
      </c>
      <c r="I393" s="26" t="s">
        <v>1171</v>
      </c>
      <c r="J393" s="178"/>
      <c r="K393" s="26">
        <v>2.0</v>
      </c>
      <c r="L393" s="26">
        <v>2017.0</v>
      </c>
      <c r="M393" s="25"/>
      <c r="N393" s="26"/>
      <c r="O393" s="27" t="str">
        <f t="shared" si="3"/>
        <v>#N/A</v>
      </c>
      <c r="P393" s="28" t="str">
        <f t="shared" ref="P393:P395" si="323">RANK(T393,$T$2:$T$333)</f>
        <v>#N/A</v>
      </c>
      <c r="Q393" s="28" t="str">
        <f t="shared" ref="Q393:Q395" si="324">rank(V393,$V$2:$V$344)</f>
        <v>#N/A</v>
      </c>
      <c r="R393" s="28"/>
      <c r="S393" s="28"/>
      <c r="T393" s="28"/>
      <c r="U393" s="28"/>
      <c r="V393" s="30">
        <f t="shared" si="28"/>
        <v>25900000</v>
      </c>
      <c r="W393" s="30"/>
      <c r="X393" s="73"/>
      <c r="Y393" s="73"/>
      <c r="Z393" s="692"/>
      <c r="AA393" s="665"/>
      <c r="AB393" s="74"/>
      <c r="AC393" s="74"/>
      <c r="AD393" s="79"/>
      <c r="AE393" s="84"/>
      <c r="AF393" s="885">
        <v>42909.0</v>
      </c>
      <c r="AG393" s="76">
        <v>1000000.0</v>
      </c>
      <c r="AH393" s="74"/>
      <c r="AI393" s="78"/>
      <c r="AJ393" s="391">
        <v>44301.0</v>
      </c>
      <c r="AK393" s="76">
        <v>8500000.0</v>
      </c>
      <c r="AL393" s="391">
        <v>44748.0</v>
      </c>
      <c r="AM393" s="76">
        <v>1.64E7</v>
      </c>
      <c r="AN393" s="79"/>
      <c r="AO393" s="84"/>
      <c r="AP393" s="79"/>
      <c r="AQ393" s="84"/>
      <c r="AR393" s="79"/>
      <c r="AS393" s="79"/>
      <c r="AT393" s="79"/>
      <c r="AU393" s="80"/>
      <c r="AV393" s="79"/>
      <c r="AW393" s="38"/>
      <c r="AX393" s="79"/>
      <c r="AY393" s="38"/>
      <c r="AZ393" s="79"/>
      <c r="BA393" s="80"/>
      <c r="BB393" s="79"/>
      <c r="BC393" s="80"/>
      <c r="BD393" s="79"/>
      <c r="BE393" s="84"/>
      <c r="BF393" s="74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</row>
    <row r="394" ht="15.0" customHeight="1">
      <c r="A394" s="1008" t="s">
        <v>2067</v>
      </c>
      <c r="B394" s="988"/>
      <c r="C394" s="989" t="s">
        <v>59</v>
      </c>
      <c r="D394" s="1001" t="s">
        <v>2068</v>
      </c>
      <c r="E394" s="236" t="s">
        <v>2069</v>
      </c>
      <c r="F394" s="803" t="s">
        <v>2070</v>
      </c>
      <c r="G394" s="317"/>
      <c r="H394" s="22" t="s">
        <v>2071</v>
      </c>
      <c r="I394" s="23" t="s">
        <v>1935</v>
      </c>
      <c r="J394" s="237"/>
      <c r="K394" s="23">
        <v>2.0</v>
      </c>
      <c r="L394" s="23">
        <v>2013.0</v>
      </c>
      <c r="M394" s="25">
        <f t="shared" ref="M394:M395" si="325">year(now()) -L394</f>
        <v>12</v>
      </c>
      <c r="N394" s="26">
        <f t="shared" ref="N394:N395" si="326">counta(AE394,AG394,AI394,AK394,AM394,AO394,AQ394,AS394,AU394,AW394,AY394,BA394,BC394)</f>
        <v>3</v>
      </c>
      <c r="O394" s="27" t="str">
        <f t="shared" si="3"/>
        <v>#N/A</v>
      </c>
      <c r="P394" s="28" t="str">
        <f t="shared" si="323"/>
        <v>#N/A</v>
      </c>
      <c r="Q394" s="28" t="str">
        <f t="shared" si="324"/>
        <v>#N/A</v>
      </c>
      <c r="R394" s="28"/>
      <c r="S394" s="28"/>
      <c r="T394" s="29">
        <f t="shared" ref="T394:T395" si="327">V394/M394</f>
        <v>2157500</v>
      </c>
      <c r="U394" s="28"/>
      <c r="V394" s="30">
        <f t="shared" si="28"/>
        <v>25890000</v>
      </c>
      <c r="W394" s="30"/>
      <c r="X394" s="32">
        <f t="shared" ref="X394:X395" si="328">(max(AE394,AG394,AI394,AK394,AM394,AO394,AQ394,AS394,AU394,AW394,AY394,BA394,BC394)/min(AE394,AG394,AI394,AK394,AM394,AO394,AQ394,AS394,AU394,AW394,AY394,BA394,BC394))^(1/N394)-1</f>
        <v>1.420530937</v>
      </c>
      <c r="Y394" s="33">
        <f t="shared" ref="Y394:Y395" si="329">(max(AE394,AG394,AI394,AK394,AM394,AO394,AQ394,AS394,AU394,AW394,AY394,BA394,BC394)/min(AE394,AG394,AI394,AK394,AM394,AO394,AQ394,AS394,AU394,AW394,AY394,BA394,BC394))^(1/M394)-1</f>
        <v>0.2473193492</v>
      </c>
      <c r="Z394" s="692"/>
      <c r="AA394" s="665"/>
      <c r="AB394" s="36"/>
      <c r="AC394" s="36"/>
      <c r="AD394" s="227"/>
      <c r="AE394" s="38"/>
      <c r="AF394" s="158" t="str">
        <f>HYPERLINK("https://www.crunchbase.com/funding_round/bridgit-seed--7449f137","Apr 19, 2016")</f>
        <v>Apr 19, 2016</v>
      </c>
      <c r="AG394" s="38">
        <v>1375000.0</v>
      </c>
      <c r="AH394" s="36"/>
      <c r="AI394" s="159"/>
      <c r="AJ394" s="43" t="str">
        <f>HYPERLINK("https://www.crunchbase.com/funding_round/bridgit-series-a--58126459","Mar 17, 2019")</f>
        <v>Mar 17, 2019</v>
      </c>
      <c r="AK394" s="38">
        <v>5015000.0</v>
      </c>
      <c r="AL394" s="43" t="str">
        <f>HYPERLINK("https://www.cretech.com/news/contech-company-bridgit-raises-24-million-series-b-round-with-a-blueprint-for-big-growth/","Oct 25, 2021")</f>
        <v>Oct 25, 2021</v>
      </c>
      <c r="AM394" s="38">
        <v>1.95E7</v>
      </c>
      <c r="AN394" s="44"/>
      <c r="AO394" s="46"/>
      <c r="AP394" s="44"/>
      <c r="AQ394" s="46"/>
      <c r="AR394" s="44"/>
      <c r="AS394" s="44"/>
      <c r="AT394" s="44"/>
      <c r="AU394" s="45"/>
      <c r="AV394" s="44"/>
      <c r="AW394" s="38"/>
      <c r="AX394" s="44"/>
      <c r="AY394" s="38"/>
      <c r="AZ394" s="44"/>
      <c r="BA394" s="45"/>
      <c r="BB394" s="44"/>
      <c r="BC394" s="45"/>
      <c r="BD394" s="44"/>
      <c r="BE394" s="46"/>
      <c r="BF394" s="36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</row>
    <row r="395" ht="15.0" customHeight="1">
      <c r="A395" s="978" t="s">
        <v>2072</v>
      </c>
      <c r="B395" s="1078" t="s">
        <v>2073</v>
      </c>
      <c r="C395" s="980" t="s">
        <v>132</v>
      </c>
      <c r="D395" s="1083"/>
      <c r="E395" s="1031" t="s">
        <v>2074</v>
      </c>
      <c r="F395" s="1048" t="s">
        <v>2075</v>
      </c>
      <c r="G395" s="186"/>
      <c r="H395" s="1099" t="s">
        <v>271</v>
      </c>
      <c r="I395" s="1099" t="s">
        <v>272</v>
      </c>
      <c r="J395" s="155"/>
      <c r="K395" s="26">
        <v>1.0</v>
      </c>
      <c r="L395" s="26">
        <v>2005.0</v>
      </c>
      <c r="M395" s="25">
        <f t="shared" si="325"/>
        <v>20</v>
      </c>
      <c r="N395" s="26">
        <f t="shared" si="326"/>
        <v>1</v>
      </c>
      <c r="O395" s="27" t="str">
        <f t="shared" si="3"/>
        <v>#N/A</v>
      </c>
      <c r="P395" s="28" t="str">
        <f t="shared" si="323"/>
        <v>#N/A</v>
      </c>
      <c r="Q395" s="28" t="str">
        <f t="shared" si="324"/>
        <v>#N/A</v>
      </c>
      <c r="R395" s="28"/>
      <c r="S395" s="28"/>
      <c r="T395" s="29">
        <f t="shared" si="327"/>
        <v>1280000</v>
      </c>
      <c r="U395" s="28"/>
      <c r="V395" s="30">
        <f t="shared" si="28"/>
        <v>25600000</v>
      </c>
      <c r="W395" s="30"/>
      <c r="X395" s="32">
        <f t="shared" si="328"/>
        <v>0</v>
      </c>
      <c r="Y395" s="33">
        <f t="shared" si="329"/>
        <v>0</v>
      </c>
      <c r="Z395" s="692"/>
      <c r="AA395" s="665"/>
      <c r="AB395" s="74"/>
      <c r="AC395" s="74"/>
      <c r="AD395" s="79"/>
      <c r="AE395" s="84"/>
      <c r="AF395" s="338"/>
      <c r="AG395" s="84"/>
      <c r="AH395" s="74"/>
      <c r="AI395" s="78"/>
      <c r="AJ395" s="79"/>
      <c r="AK395" s="84"/>
      <c r="AL395" s="426" t="str">
        <f>HYPERLINK("https://www.crunchbase.com/funding_round/pavia-systems-series-b--98f8aa81"," 6/11/2020")</f>
        <v> 6/11/2020</v>
      </c>
      <c r="AM395" s="76">
        <v>2.56E7</v>
      </c>
      <c r="AN395" s="79"/>
      <c r="AO395" s="84"/>
      <c r="AP395" s="79"/>
      <c r="AQ395" s="84"/>
      <c r="AR395" s="79"/>
      <c r="AS395" s="79"/>
      <c r="AT395" s="79"/>
      <c r="AU395" s="80"/>
      <c r="AV395" s="79"/>
      <c r="AW395" s="38"/>
      <c r="AX395" s="79"/>
      <c r="AY395" s="38"/>
      <c r="AZ395" s="79"/>
      <c r="BA395" s="80"/>
      <c r="BB395" s="79"/>
      <c r="BC395" s="80"/>
      <c r="BD395" s="79"/>
      <c r="BE395" s="84"/>
      <c r="BF395" s="74"/>
      <c r="BG395" s="115"/>
      <c r="BH395" s="115"/>
      <c r="BI395" s="115"/>
      <c r="BJ395" s="115"/>
      <c r="BK395" s="115"/>
      <c r="BL395" s="115"/>
      <c r="BM395" s="115"/>
      <c r="BN395" s="115"/>
      <c r="BO395" s="115"/>
      <c r="BP395" s="115"/>
      <c r="BQ395" s="115"/>
      <c r="BR395" s="115"/>
      <c r="BS395" s="115"/>
      <c r="BT395" s="115"/>
      <c r="BU395" s="115"/>
      <c r="BV395" s="115"/>
      <c r="BW395" s="115"/>
      <c r="BX395" s="115"/>
      <c r="BY395" s="115"/>
      <c r="BZ395" s="115"/>
      <c r="CA395" s="115"/>
      <c r="CB395" s="115"/>
      <c r="CC395" s="115"/>
      <c r="CD395" s="115"/>
      <c r="CE395" s="115"/>
      <c r="CF395" s="115"/>
      <c r="CG395" s="115"/>
      <c r="CH395" s="115"/>
      <c r="CI395" s="115"/>
      <c r="CJ395" s="115"/>
      <c r="CK395" s="115"/>
      <c r="CL395" s="115"/>
      <c r="CM395" s="115"/>
      <c r="CN395" s="115"/>
      <c r="CO395" s="115"/>
      <c r="CP395" s="115"/>
    </row>
    <row r="396" ht="15.0" customHeight="1">
      <c r="A396" s="996" t="s">
        <v>2076</v>
      </c>
      <c r="B396" s="997"/>
      <c r="C396" s="998" t="s">
        <v>68</v>
      </c>
      <c r="D396" s="1074"/>
      <c r="E396" s="1088" t="s">
        <v>2077</v>
      </c>
      <c r="F396" s="352" t="s">
        <v>2078</v>
      </c>
      <c r="G396" s="353"/>
      <c r="H396" s="53" t="s">
        <v>322</v>
      </c>
      <c r="I396" s="54" t="s">
        <v>2079</v>
      </c>
      <c r="J396" s="55"/>
      <c r="K396" s="54">
        <v>2.0</v>
      </c>
      <c r="L396" s="56">
        <v>2019.0</v>
      </c>
      <c r="M396" s="55"/>
      <c r="N396" s="55"/>
      <c r="O396" s="27" t="str">
        <f t="shared" si="3"/>
        <v>#N/A</v>
      </c>
      <c r="P396" s="55"/>
      <c r="Q396" s="55"/>
      <c r="R396" s="55"/>
      <c r="S396" s="55"/>
      <c r="T396" s="55"/>
      <c r="U396" s="55"/>
      <c r="V396" s="30">
        <f t="shared" si="28"/>
        <v>25400000</v>
      </c>
      <c r="W396" s="30"/>
      <c r="X396" s="58"/>
      <c r="Y396" s="58"/>
      <c r="Z396" s="692"/>
      <c r="AA396" s="665"/>
      <c r="AB396" s="55"/>
      <c r="AC396" s="55"/>
      <c r="AD396" s="453"/>
      <c r="AE396" s="38"/>
      <c r="AF396" s="355"/>
      <c r="AG396" s="55"/>
      <c r="AH396" s="55"/>
      <c r="AI396" s="55"/>
      <c r="AJ396" s="62">
        <v>43934.0</v>
      </c>
      <c r="AK396" s="38">
        <v>5100000.0</v>
      </c>
      <c r="AL396" s="62">
        <v>44946.0</v>
      </c>
      <c r="AM396" s="38">
        <v>2.03E7</v>
      </c>
      <c r="AN396" s="55"/>
      <c r="AO396" s="55"/>
      <c r="AP396" s="356"/>
      <c r="AQ396" s="38"/>
      <c r="AR396" s="55"/>
      <c r="AS396" s="38"/>
      <c r="AT396" s="55"/>
      <c r="AU396" s="38"/>
      <c r="AV396" s="55"/>
      <c r="AW396" s="38"/>
      <c r="AX396" s="55"/>
      <c r="AY396" s="38"/>
      <c r="AZ396" s="55"/>
      <c r="BA396" s="722"/>
      <c r="BB396" s="55"/>
      <c r="BC396" s="38"/>
      <c r="BD396" s="55"/>
      <c r="BE396" s="38"/>
      <c r="BF396" s="55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</row>
    <row r="397" ht="15.75" customHeight="1">
      <c r="A397" s="978" t="s">
        <v>2080</v>
      </c>
      <c r="B397" s="979"/>
      <c r="C397" s="980" t="s">
        <v>59</v>
      </c>
      <c r="D397" s="990"/>
      <c r="E397" s="991" t="s">
        <v>2081</v>
      </c>
      <c r="F397" s="173" t="s">
        <v>2082</v>
      </c>
      <c r="G397" s="186"/>
      <c r="H397" s="71" t="s">
        <v>2083</v>
      </c>
      <c r="I397" s="26" t="s">
        <v>1935</v>
      </c>
      <c r="J397" s="155"/>
      <c r="K397" s="74"/>
      <c r="L397" s="26">
        <v>2007.0</v>
      </c>
      <c r="M397" s="25">
        <f t="shared" ref="M397:M399" si="330">year(now()) -L397</f>
        <v>18</v>
      </c>
      <c r="N397" s="26">
        <f t="shared" ref="N397:N399" si="331">counta(AE397,AG397,AI397,AK397,AM397,AO397,AQ397,AS397,AU397,AW397,AY397,BA397,BC397)</f>
        <v>2</v>
      </c>
      <c r="O397" s="27" t="str">
        <f t="shared" si="3"/>
        <v>#N/A</v>
      </c>
      <c r="P397" s="28" t="str">
        <f t="shared" ref="P397:P400" si="332">RANK(T397,$T$2:$T$333)</f>
        <v>#N/A</v>
      </c>
      <c r="Q397" s="28" t="str">
        <f t="shared" ref="Q397:Q400" si="333">rank(V397,$V$2:$V$344)</f>
        <v>#N/A</v>
      </c>
      <c r="R397" s="28"/>
      <c r="S397" s="28"/>
      <c r="T397" s="29">
        <f t="shared" ref="T397:T399" si="334">V397/M397</f>
        <v>1400000</v>
      </c>
      <c r="U397" s="28"/>
      <c r="V397" s="30">
        <f t="shared" si="28"/>
        <v>25200000</v>
      </c>
      <c r="W397" s="30"/>
      <c r="X397" s="32">
        <f t="shared" ref="X397:X399" si="335">(max(AE397,AG397,AI397,AK397,AM397,AO397,AQ397,AS397,AU397,AW397,AY397,BA397,BC397)/min(AE397,AG397,AI397,AK397,AM397,AO397,AQ397,AS397,AU397,AW397,AY397,BA397,BC397))^(1/N397)-1</f>
        <v>1.236067977</v>
      </c>
      <c r="Y397" s="33">
        <f t="shared" ref="Y397:Y399" si="336">(max(AE397,AG397,AI397,AK397,AM397,AO397,AQ397,AS397,AU397,AW397,AY397,BA397,BC397)/min(AE397,AG397,AI397,AK397,AM397,AO397,AQ397,AS397,AU397,AW397,AY397,BA397,BC397))^(1/M397)-1</f>
        <v>0.09353242956</v>
      </c>
      <c r="Z397" s="692"/>
      <c r="AA397" s="665"/>
      <c r="AB397" s="74"/>
      <c r="AC397" s="74"/>
      <c r="AD397" s="79"/>
      <c r="AE397" s="84"/>
      <c r="AF397" s="175" t="str">
        <f>HYPERLINK("https://www.crunchbase.com/funding_round/trusscore-seed--1b14f6bc","May 29, 2020")</f>
        <v>May 29, 2020</v>
      </c>
      <c r="AG397" s="76">
        <v>4200000.0</v>
      </c>
      <c r="AH397" s="77"/>
      <c r="AI397" s="78"/>
      <c r="AJ397" s="181" t="str">
        <f>HYPERLINK("https://www.crunchbase.com/funding_round/trusscore-series-a--3ed0e350","Oct 12, 2021")</f>
        <v>Oct 12, 2021</v>
      </c>
      <c r="AK397" s="76">
        <v>2.1E7</v>
      </c>
      <c r="AL397" s="79"/>
      <c r="AM397" s="84"/>
      <c r="AN397" s="79"/>
      <c r="AO397" s="84"/>
      <c r="AP397" s="79"/>
      <c r="AQ397" s="84"/>
      <c r="AR397" s="79"/>
      <c r="AS397" s="79"/>
      <c r="AT397" s="79"/>
      <c r="AU397" s="80"/>
      <c r="AV397" s="79"/>
      <c r="AW397" s="38"/>
      <c r="AX397" s="79"/>
      <c r="AY397" s="38"/>
      <c r="AZ397" s="79"/>
      <c r="BA397" s="80"/>
      <c r="BB397" s="79"/>
      <c r="BC397" s="80"/>
      <c r="BD397" s="79"/>
      <c r="BE397" s="84"/>
      <c r="BF397" s="74"/>
      <c r="BG397" s="115"/>
      <c r="BH397" s="115"/>
      <c r="BI397" s="115"/>
      <c r="BJ397" s="115"/>
      <c r="BK397" s="115"/>
      <c r="BL397" s="115"/>
      <c r="BM397" s="115"/>
      <c r="BN397" s="115"/>
      <c r="BO397" s="115"/>
      <c r="BP397" s="115"/>
      <c r="BQ397" s="115"/>
      <c r="BR397" s="115"/>
      <c r="BS397" s="115"/>
      <c r="BT397" s="115"/>
      <c r="BU397" s="115"/>
      <c r="BV397" s="115"/>
      <c r="BW397" s="115"/>
      <c r="BX397" s="115"/>
      <c r="BY397" s="115"/>
      <c r="BZ397" s="115"/>
      <c r="CA397" s="115"/>
      <c r="CB397" s="115"/>
      <c r="CC397" s="115"/>
      <c r="CD397" s="115"/>
      <c r="CE397" s="115"/>
      <c r="CF397" s="115"/>
      <c r="CG397" s="115"/>
      <c r="CH397" s="115"/>
      <c r="CI397" s="115"/>
      <c r="CJ397" s="115"/>
      <c r="CK397" s="115"/>
      <c r="CL397" s="115"/>
      <c r="CM397" s="115"/>
      <c r="CN397" s="115"/>
      <c r="CO397" s="115"/>
      <c r="CP397" s="115"/>
    </row>
    <row r="398" ht="15.75" customHeight="1">
      <c r="A398" s="983" t="s">
        <v>2084</v>
      </c>
      <c r="B398" s="984" t="s">
        <v>501</v>
      </c>
      <c r="C398" s="984" t="s">
        <v>59</v>
      </c>
      <c r="D398" s="986" t="s">
        <v>2085</v>
      </c>
      <c r="E398" s="667" t="s">
        <v>2086</v>
      </c>
      <c r="F398" s="1100" t="s">
        <v>2087</v>
      </c>
      <c r="G398" s="54" t="s">
        <v>2088</v>
      </c>
      <c r="H398" s="286" t="s">
        <v>128</v>
      </c>
      <c r="I398" s="123" t="s">
        <v>129</v>
      </c>
      <c r="J398" s="120" t="s">
        <v>466</v>
      </c>
      <c r="K398" s="25">
        <v>4.0</v>
      </c>
      <c r="L398" s="25">
        <v>2017.0</v>
      </c>
      <c r="M398" s="25">
        <f t="shared" si="330"/>
        <v>8</v>
      </c>
      <c r="N398" s="26">
        <f t="shared" si="331"/>
        <v>2</v>
      </c>
      <c r="O398" s="27" t="str">
        <f t="shared" si="3"/>
        <v>#N/A</v>
      </c>
      <c r="P398" s="28" t="str">
        <f t="shared" si="332"/>
        <v>#N/A</v>
      </c>
      <c r="Q398" s="28" t="str">
        <f t="shared" si="333"/>
        <v>#N/A</v>
      </c>
      <c r="R398" s="28"/>
      <c r="S398" s="28"/>
      <c r="T398" s="29">
        <f t="shared" si="334"/>
        <v>3125000</v>
      </c>
      <c r="U398" s="28"/>
      <c r="V398" s="30">
        <f t="shared" si="28"/>
        <v>25000000</v>
      </c>
      <c r="W398" s="30"/>
      <c r="X398" s="32">
        <f t="shared" si="335"/>
        <v>1.708012802</v>
      </c>
      <c r="Y398" s="33">
        <f t="shared" si="336"/>
        <v>0.2828110087</v>
      </c>
      <c r="Z398" s="692"/>
      <c r="AA398" s="665"/>
      <c r="AB398" s="123"/>
      <c r="AC398" s="123"/>
      <c r="AD398" s="124"/>
      <c r="AE398" s="125"/>
      <c r="AF398" s="126" t="str">
        <f>HYPERLINK("https://www.crunchbase.com/organization/skyline-ai#section-overview"," May 17, 2018")</f>
        <v> May 17, 2018</v>
      </c>
      <c r="AG398" s="125">
        <v>3000000.0</v>
      </c>
      <c r="AH398" s="123"/>
      <c r="AI398" s="128"/>
      <c r="AJ398" s="455" t="str">
        <f>HYPERLINK("https://www.crunchbase.com/funding_round/skyline-ai-series-a--1d8c71a2","Jul 31, 2018")</f>
        <v>Jul 31, 2018</v>
      </c>
      <c r="AK398" s="125">
        <v>2.2E7</v>
      </c>
      <c r="AL398" s="124"/>
      <c r="AM398" s="125"/>
      <c r="AN398" s="124"/>
      <c r="AO398" s="125"/>
      <c r="AP398" s="124"/>
      <c r="AQ398" s="125"/>
      <c r="AR398" s="124"/>
      <c r="AS398" s="124"/>
      <c r="AT398" s="124"/>
      <c r="AU398" s="137"/>
      <c r="AV398" s="124"/>
      <c r="AW398" s="38"/>
      <c r="AX398" s="124"/>
      <c r="AY398" s="38"/>
      <c r="AZ398" s="124"/>
      <c r="BA398" s="137"/>
      <c r="BB398" s="124"/>
      <c r="BC398" s="137"/>
      <c r="BD398" s="124"/>
      <c r="BE398" s="125"/>
      <c r="BF398" s="123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</row>
    <row r="399" ht="15.75" customHeight="1">
      <c r="A399" s="978" t="s">
        <v>2089</v>
      </c>
      <c r="B399" s="980" t="s">
        <v>2090</v>
      </c>
      <c r="C399" s="980" t="s">
        <v>59</v>
      </c>
      <c r="D399" s="1001" t="s">
        <v>2091</v>
      </c>
      <c r="E399" s="1012" t="s">
        <v>2092</v>
      </c>
      <c r="F399" s="154" t="s">
        <v>2093</v>
      </c>
      <c r="G399" s="54" t="s">
        <v>2094</v>
      </c>
      <c r="H399" s="71" t="s">
        <v>2095</v>
      </c>
      <c r="I399" s="26" t="s">
        <v>748</v>
      </c>
      <c r="J399" s="155"/>
      <c r="K399" s="26">
        <v>3.0</v>
      </c>
      <c r="L399" s="26">
        <v>2016.0</v>
      </c>
      <c r="M399" s="25">
        <f t="shared" si="330"/>
        <v>9</v>
      </c>
      <c r="N399" s="26">
        <f t="shared" si="331"/>
        <v>1</v>
      </c>
      <c r="O399" s="27" t="str">
        <f t="shared" si="3"/>
        <v>#N/A</v>
      </c>
      <c r="P399" s="28" t="str">
        <f t="shared" si="332"/>
        <v>#N/A</v>
      </c>
      <c r="Q399" s="28" t="str">
        <f t="shared" si="333"/>
        <v>#N/A</v>
      </c>
      <c r="R399" s="28"/>
      <c r="S399" s="28"/>
      <c r="T399" s="29">
        <f t="shared" si="334"/>
        <v>2777777.778</v>
      </c>
      <c r="U399" s="28"/>
      <c r="V399" s="30">
        <f t="shared" si="28"/>
        <v>25000000</v>
      </c>
      <c r="W399" s="30"/>
      <c r="X399" s="32">
        <f t="shared" si="335"/>
        <v>0</v>
      </c>
      <c r="Y399" s="33">
        <f t="shared" si="336"/>
        <v>0</v>
      </c>
      <c r="Z399" s="692"/>
      <c r="AA399" s="665"/>
      <c r="AB399" s="74"/>
      <c r="AC399" s="74"/>
      <c r="AD399" s="79"/>
      <c r="AE399" s="84"/>
      <c r="AF399" s="338"/>
      <c r="AG399" s="84"/>
      <c r="AH399" s="74"/>
      <c r="AI399" s="78"/>
      <c r="AJ399" s="426" t="str">
        <f>HYPERLINK("https://www.crunchbase.com/organization/spacemaker-ai#section-funding-rounds"," Jun 10, 2019        
")</f>
        <v> Jun 10, 2019        
</v>
      </c>
      <c r="AK399" s="76">
        <v>2.5E7</v>
      </c>
      <c r="AL399" s="79"/>
      <c r="AM399" s="84"/>
      <c r="AN399" s="79"/>
      <c r="AO399" s="84"/>
      <c r="AP399" s="79"/>
      <c r="AQ399" s="84"/>
      <c r="AR399" s="79"/>
      <c r="AS399" s="79"/>
      <c r="AT399" s="79"/>
      <c r="AU399" s="80"/>
      <c r="AV399" s="79"/>
      <c r="AW399" s="38"/>
      <c r="AX399" s="79"/>
      <c r="AY399" s="38"/>
      <c r="AZ399" s="79"/>
      <c r="BA399" s="80"/>
      <c r="BB399" s="79"/>
      <c r="BC399" s="80"/>
      <c r="BD399" s="79"/>
      <c r="BE399" s="84"/>
      <c r="BF399" s="74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</row>
    <row r="400" ht="15.75" customHeight="1">
      <c r="A400" s="1020" t="s">
        <v>2096</v>
      </c>
      <c r="B400" s="988"/>
      <c r="C400" s="989" t="s">
        <v>68</v>
      </c>
      <c r="D400" s="1017" t="s">
        <v>2097</v>
      </c>
      <c r="E400" s="1101" t="s">
        <v>2098</v>
      </c>
      <c r="F400" s="1039" t="s">
        <v>2099</v>
      </c>
      <c r="G400" s="55"/>
      <c r="H400" s="22" t="s">
        <v>194</v>
      </c>
      <c r="I400" s="23" t="s">
        <v>195</v>
      </c>
      <c r="J400" s="24"/>
      <c r="K400" s="23">
        <v>6.0</v>
      </c>
      <c r="L400" s="23">
        <v>2020.0</v>
      </c>
      <c r="M400" s="222"/>
      <c r="N400" s="23"/>
      <c r="O400" s="27" t="str">
        <f t="shared" si="3"/>
        <v>#N/A</v>
      </c>
      <c r="P400" s="28" t="str">
        <f t="shared" si="332"/>
        <v>#N/A</v>
      </c>
      <c r="Q400" s="28" t="str">
        <f t="shared" si="333"/>
        <v>#N/A</v>
      </c>
      <c r="R400" s="28"/>
      <c r="S400" s="28"/>
      <c r="T400" s="28"/>
      <c r="U400" s="28"/>
      <c r="V400" s="30">
        <f t="shared" si="28"/>
        <v>25000000</v>
      </c>
      <c r="W400" s="30"/>
      <c r="X400" s="33"/>
      <c r="Y400" s="33"/>
      <c r="Z400" s="692"/>
      <c r="AA400" s="665"/>
      <c r="AB400" s="36"/>
      <c r="AC400" s="36"/>
      <c r="AD400" s="1102"/>
      <c r="AE400" s="1103"/>
      <c r="AF400" s="39"/>
      <c r="AG400" s="1104"/>
      <c r="AH400" s="1105"/>
      <c r="AI400" s="1106"/>
      <c r="AJ400" s="1107">
        <v>44750.0</v>
      </c>
      <c r="AK400" s="1104">
        <f>25000000</f>
        <v>25000000</v>
      </c>
      <c r="AL400" s="37"/>
      <c r="AM400" s="1104"/>
      <c r="AN400" s="44"/>
      <c r="AO400" s="36"/>
      <c r="AP400" s="44"/>
      <c r="AQ400" s="36"/>
      <c r="AR400" s="44"/>
      <c r="AS400" s="44"/>
      <c r="AT400" s="44"/>
      <c r="AU400" s="45"/>
      <c r="AV400" s="44"/>
      <c r="AW400" s="38"/>
      <c r="AX400" s="44"/>
      <c r="AY400" s="38"/>
      <c r="AZ400" s="44"/>
      <c r="BA400" s="45"/>
      <c r="BB400" s="44"/>
      <c r="BC400" s="45"/>
      <c r="BD400" s="44"/>
      <c r="BE400" s="36"/>
      <c r="BF400" s="3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</row>
    <row r="401" ht="15.75" customHeight="1">
      <c r="A401" s="996" t="s">
        <v>2100</v>
      </c>
      <c r="B401" s="997"/>
      <c r="C401" s="998" t="s">
        <v>190</v>
      </c>
      <c r="D401" s="1074"/>
      <c r="E401" s="1000" t="s">
        <v>2101</v>
      </c>
      <c r="F401" s="352" t="s">
        <v>2102</v>
      </c>
      <c r="G401" s="353"/>
      <c r="H401" s="53" t="s">
        <v>2103</v>
      </c>
      <c r="I401" s="54" t="s">
        <v>1384</v>
      </c>
      <c r="J401" s="55"/>
      <c r="K401" s="55"/>
      <c r="L401" s="56">
        <v>2017.0</v>
      </c>
      <c r="M401" s="55"/>
      <c r="N401" s="55"/>
      <c r="O401" s="27" t="str">
        <f t="shared" si="3"/>
        <v>#N/A</v>
      </c>
      <c r="P401" s="55"/>
      <c r="Q401" s="55"/>
      <c r="R401" s="55"/>
      <c r="S401" s="55"/>
      <c r="T401" s="55"/>
      <c r="U401" s="55"/>
      <c r="V401" s="30">
        <f t="shared" si="28"/>
        <v>25000000</v>
      </c>
      <c r="W401" s="30"/>
      <c r="X401" s="58"/>
      <c r="Y401" s="58"/>
      <c r="Z401" s="692"/>
      <c r="AA401" s="665"/>
      <c r="AB401" s="55"/>
      <c r="AC401" s="55"/>
      <c r="AD401" s="355"/>
      <c r="AE401" s="38"/>
      <c r="AF401" s="355"/>
      <c r="AG401" s="38"/>
      <c r="AH401" s="55"/>
      <c r="AI401" s="38"/>
      <c r="AJ401" s="55"/>
      <c r="AK401" s="38"/>
      <c r="AL401" s="55"/>
      <c r="AM401" s="38"/>
      <c r="AN401" s="55"/>
      <c r="AO401" s="38"/>
      <c r="AP401" s="356"/>
      <c r="AQ401" s="38"/>
      <c r="AR401" s="55"/>
      <c r="AS401" s="38"/>
      <c r="AT401" s="55"/>
      <c r="AU401" s="38"/>
      <c r="AV401" s="55"/>
      <c r="AW401" s="38"/>
      <c r="AX401" s="55"/>
      <c r="AY401" s="38"/>
      <c r="AZ401" s="62">
        <v>44987.0</v>
      </c>
      <c r="BA401" s="38">
        <v>2.5E7</v>
      </c>
      <c r="BB401" s="55"/>
      <c r="BC401" s="38"/>
      <c r="BD401" s="55"/>
      <c r="BE401" s="38"/>
      <c r="BF401" s="55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</row>
    <row r="402" ht="15.75" customHeight="1">
      <c r="A402" s="983" t="s">
        <v>2104</v>
      </c>
      <c r="B402" s="1003" t="s">
        <v>2105</v>
      </c>
      <c r="C402" s="1003" t="s">
        <v>59</v>
      </c>
      <c r="D402" s="986" t="s">
        <v>2106</v>
      </c>
      <c r="E402" s="987" t="s">
        <v>2107</v>
      </c>
      <c r="F402" s="668" t="s">
        <v>2108</v>
      </c>
      <c r="G402" s="54" t="s">
        <v>2109</v>
      </c>
      <c r="H402" s="690" t="s">
        <v>2110</v>
      </c>
      <c r="I402" s="23" t="s">
        <v>2111</v>
      </c>
      <c r="J402" s="691" t="s">
        <v>2112</v>
      </c>
      <c r="K402" s="326">
        <v>2.0</v>
      </c>
      <c r="L402" s="222">
        <v>2012.0</v>
      </c>
      <c r="M402" s="25">
        <f>year(now()) -L402</f>
        <v>13</v>
      </c>
      <c r="N402" s="26">
        <f>counta(AE402,AG402,AI402,AK402,AM402,AO402,AQ402,AS402,AU402,AW402,AY402,BA402,BC402)</f>
        <v>3</v>
      </c>
      <c r="O402" s="27" t="str">
        <f t="shared" si="3"/>
        <v>#N/A</v>
      </c>
      <c r="P402" s="28" t="str">
        <f>RANK(T402,$T$2:$T$333)</f>
        <v>#N/A</v>
      </c>
      <c r="Q402" s="28" t="str">
        <f t="shared" ref="Q402:Q404" si="337">rank(V402,$V$2:$V$344)</f>
        <v>#N/A</v>
      </c>
      <c r="R402" s="28"/>
      <c r="S402" s="28"/>
      <c r="T402" s="29">
        <f>V402/M402</f>
        <v>1915769.231</v>
      </c>
      <c r="U402" s="28"/>
      <c r="V402" s="30">
        <f t="shared" si="28"/>
        <v>24905000</v>
      </c>
      <c r="W402" s="30"/>
      <c r="X402" s="32">
        <f>(max(AE402,AG402,AI402,AK402,AM402,AO402,AQ402,AS402,AU402,AW402,AY402,BA402,BC402)/min(AE402,AG402,AI402,AK402,AM402,AO402,AQ402,AS402,AU402,AW402,AY402,BA402,BC402))^(1/N402)-1</f>
        <v>5.010563402</v>
      </c>
      <c r="Y402" s="33">
        <f>(max(AE402,AG402,AI402,AK402,AM402,AO402,AQ402,AS402,AU402,AW402,AY402,BA402,BC402)/min(AE402,AG402,AI402,AK402,AM402,AO402,AQ402,AS402,AU402,AW402,AY402,BA402,BC402))^(1/M402)-1</f>
        <v>0.5126890304</v>
      </c>
      <c r="Z402" s="692"/>
      <c r="AA402" s="665"/>
      <c r="AB402" s="326"/>
      <c r="AC402" s="326"/>
      <c r="AD402" s="732" t="str">
        <f>HYPERLINK("https://www.crunchbase.com/funding_round/75-fahrenheit-grant--76901841","Sep 10, 2014")</f>
        <v>Sep 10, 2014</v>
      </c>
      <c r="AE402" s="1108">
        <v>105000.0</v>
      </c>
      <c r="AF402" s="324" t="str">
        <f>HYPERLINK("https://www.crunchbase.com/funding_round/75-fahrenheit-seed--46807458","Jun 1, 2018")</f>
        <v>Jun 1, 2018</v>
      </c>
      <c r="AG402" s="325">
        <v>2000000.0</v>
      </c>
      <c r="AH402" s="326"/>
      <c r="AI402" s="323"/>
      <c r="AJ402" s="732" t="str">
        <f>HYPERLINK("https://www.crunchbase.com/funding_round/75-fahrenheit-series-a--d3f32963","Mar 16, 2021")</f>
        <v>Mar 16, 2021</v>
      </c>
      <c r="AK402" s="733">
        <v>2.28E7</v>
      </c>
      <c r="AL402" s="322"/>
      <c r="AM402" s="323"/>
      <c r="AN402" s="322"/>
      <c r="AO402" s="323"/>
      <c r="AP402" s="322"/>
      <c r="AQ402" s="323"/>
      <c r="AR402" s="322"/>
      <c r="AS402" s="322"/>
      <c r="AT402" s="322"/>
      <c r="AU402" s="335"/>
      <c r="AV402" s="322"/>
      <c r="AW402" s="38"/>
      <c r="AX402" s="322"/>
      <c r="AY402" s="38"/>
      <c r="AZ402" s="322"/>
      <c r="BA402" s="335"/>
      <c r="BB402" s="322"/>
      <c r="BC402" s="335"/>
      <c r="BD402" s="322"/>
      <c r="BE402" s="323"/>
      <c r="BF402" s="32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</row>
    <row r="403" ht="15.75" customHeight="1">
      <c r="A403" s="996" t="s">
        <v>2113</v>
      </c>
      <c r="B403" s="985"/>
      <c r="C403" s="985" t="s">
        <v>513</v>
      </c>
      <c r="D403" s="1109" t="s">
        <v>2114</v>
      </c>
      <c r="E403" s="982" t="s">
        <v>2115</v>
      </c>
      <c r="F403" s="70" t="s">
        <v>2116</v>
      </c>
      <c r="G403" s="286"/>
      <c r="H403" s="119" t="s">
        <v>2117</v>
      </c>
      <c r="I403" s="25" t="s">
        <v>156</v>
      </c>
      <c r="J403" s="287"/>
      <c r="K403" s="25">
        <v>2.0</v>
      </c>
      <c r="L403" s="25">
        <v>2020.0</v>
      </c>
      <c r="M403" s="25"/>
      <c r="N403" s="25"/>
      <c r="O403" s="27" t="str">
        <f t="shared" si="3"/>
        <v>#N/A</v>
      </c>
      <c r="P403" s="55"/>
      <c r="Q403" s="28" t="str">
        <f t="shared" si="337"/>
        <v>#N/A</v>
      </c>
      <c r="R403" s="55"/>
      <c r="S403" s="55"/>
      <c r="T403" s="55"/>
      <c r="U403" s="55"/>
      <c r="V403" s="30">
        <f t="shared" si="28"/>
        <v>24900000</v>
      </c>
      <c r="W403" s="30"/>
      <c r="X403" s="597"/>
      <c r="Y403" s="597"/>
      <c r="Z403" s="692"/>
      <c r="AA403" s="665"/>
      <c r="AB403" s="123"/>
      <c r="AC403" s="123"/>
      <c r="AD403" s="124"/>
      <c r="AE403" s="125"/>
      <c r="AF403" s="728">
        <v>44307.0</v>
      </c>
      <c r="AG403" s="127">
        <v>3000000.0</v>
      </c>
      <c r="AH403" s="123"/>
      <c r="AI403" s="128"/>
      <c r="AJ403" s="171">
        <v>44781.0</v>
      </c>
      <c r="AK403" s="127">
        <v>2.19E7</v>
      </c>
      <c r="AL403" s="124"/>
      <c r="AM403" s="125"/>
      <c r="AN403" s="124"/>
      <c r="AO403" s="125"/>
      <c r="AP403" s="124"/>
      <c r="AQ403" s="125"/>
      <c r="AR403" s="124"/>
      <c r="AS403" s="124"/>
      <c r="AT403" s="124"/>
      <c r="AU403" s="137"/>
      <c r="AV403" s="124"/>
      <c r="AW403" s="38"/>
      <c r="AX403" s="124"/>
      <c r="AY403" s="38"/>
      <c r="AZ403" s="124"/>
      <c r="BA403" s="137"/>
      <c r="BB403" s="124"/>
      <c r="BC403" s="137"/>
      <c r="BD403" s="124"/>
      <c r="BE403" s="125"/>
      <c r="BF403" s="123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</row>
    <row r="404" ht="15.75" customHeight="1">
      <c r="A404" s="978" t="s">
        <v>2118</v>
      </c>
      <c r="B404" s="979"/>
      <c r="C404" s="980" t="s">
        <v>84</v>
      </c>
      <c r="D404" s="1011" t="s">
        <v>2119</v>
      </c>
      <c r="E404" s="1012" t="s">
        <v>2120</v>
      </c>
      <c r="F404" s="173" t="s">
        <v>2121</v>
      </c>
      <c r="G404" s="1110" t="s">
        <v>2122</v>
      </c>
      <c r="H404" s="140" t="s">
        <v>2123</v>
      </c>
      <c r="I404" s="74" t="s">
        <v>65</v>
      </c>
      <c r="J404" s="72" t="s">
        <v>2124</v>
      </c>
      <c r="K404" s="26">
        <v>3.0</v>
      </c>
      <c r="L404" s="142">
        <v>2013.0</v>
      </c>
      <c r="M404" s="25">
        <f t="shared" ref="M404:M411" si="338">year(now()) -L404</f>
        <v>12</v>
      </c>
      <c r="N404" s="26">
        <f t="shared" ref="N404:N411" si="339">counta(AE404,AG404,AI404,AK404,AM404,AO404,AQ404,AS404,AU404,AW404,AY404,BA404,BC404)</f>
        <v>2</v>
      </c>
      <c r="O404" s="27" t="str">
        <f t="shared" si="3"/>
        <v>#N/A</v>
      </c>
      <c r="P404" s="28" t="str">
        <f>RANK(T404,$T$8:$T$333)</f>
        <v>#N/A</v>
      </c>
      <c r="Q404" s="28" t="str">
        <f t="shared" si="337"/>
        <v>#N/A</v>
      </c>
      <c r="R404" s="28"/>
      <c r="S404" s="28"/>
      <c r="T404" s="29">
        <f t="shared" ref="T404:T411" si="340">V404/M404</f>
        <v>2066666.667</v>
      </c>
      <c r="U404" s="28"/>
      <c r="V404" s="30">
        <f t="shared" si="28"/>
        <v>24800000</v>
      </c>
      <c r="W404" s="30"/>
      <c r="X404" s="32">
        <f>(max(AE404,AG404,AI404,AK404,AM404,AO404,AQ404,AS404,AU404,AW404,AY404,BA404,BC404)/min(AE404,AG404,AI404,AK404,AM404,AO404,AQ404,AS404,AU404,AW404,AY404,BA404,BC404))^(1/N404)-1</f>
        <v>3.434711565</v>
      </c>
      <c r="Y404" s="33">
        <f>(max(AE404,AG404,AI404,AK404,AM404,AO404,AQ404,AS404,AU404,AW404,AY404,BA404,BC404)/min(AE404,AG404,AI404,AK404,AM404,AO404,AQ404,AS404,AU404,AW404,AY404,BA404,BC404))^(1/M404)-1</f>
        <v>0.2817723427</v>
      </c>
      <c r="Z404" s="692"/>
      <c r="AA404" s="665"/>
      <c r="AB404" s="74"/>
      <c r="AC404" s="74"/>
      <c r="AD404" s="79"/>
      <c r="AE404" s="84"/>
      <c r="AF404" s="175" t="str">
        <f>HYPERLINK("https://www.crunchbase.com/organization/patch-of-land#section-funding-rounds"," Sep 1, 2013")</f>
        <v> Sep 1, 2013</v>
      </c>
      <c r="AG404" s="76">
        <v>1200000.0</v>
      </c>
      <c r="AH404" s="434"/>
      <c r="AI404" s="435"/>
      <c r="AJ404" s="426" t="str">
        <f>HYPERLINK("https://www.crunchbase.com/funding_round/patch-of-land-series-a--1960d831","Apr 8, 2016")</f>
        <v>Apr 8, 2016</v>
      </c>
      <c r="AK404" s="76">
        <v>2.36E7</v>
      </c>
      <c r="AL404" s="79"/>
      <c r="AM404" s="84"/>
      <c r="AN404" s="79"/>
      <c r="AO404" s="84"/>
      <c r="AP404" s="79"/>
      <c r="AQ404" s="84"/>
      <c r="AR404" s="79"/>
      <c r="AS404" s="79"/>
      <c r="AT404" s="79"/>
      <c r="AU404" s="80"/>
      <c r="AV404" s="79"/>
      <c r="AW404" s="38"/>
      <c r="AX404" s="79"/>
      <c r="AY404" s="38"/>
      <c r="AZ404" s="79"/>
      <c r="BA404" s="80"/>
      <c r="BB404" s="79"/>
      <c r="BC404" s="80"/>
      <c r="BD404" s="79"/>
      <c r="BE404" s="84"/>
      <c r="BF404" s="74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</row>
    <row r="405" ht="15.75" customHeight="1">
      <c r="A405" s="978" t="s">
        <v>2125</v>
      </c>
      <c r="B405" s="980" t="s">
        <v>2126</v>
      </c>
      <c r="C405" s="980" t="s">
        <v>132</v>
      </c>
      <c r="D405" s="1011" t="s">
        <v>2127</v>
      </c>
      <c r="E405" s="1012" t="s">
        <v>2128</v>
      </c>
      <c r="F405" s="154" t="s">
        <v>2129</v>
      </c>
      <c r="G405" s="140"/>
      <c r="H405" s="140" t="s">
        <v>1417</v>
      </c>
      <c r="I405" s="26" t="s">
        <v>65</v>
      </c>
      <c r="J405" s="72" t="s">
        <v>2130</v>
      </c>
      <c r="K405" s="26">
        <v>2.0</v>
      </c>
      <c r="L405" s="26">
        <v>2011.0</v>
      </c>
      <c r="M405" s="25">
        <f t="shared" si="338"/>
        <v>14</v>
      </c>
      <c r="N405" s="26">
        <f t="shared" si="339"/>
        <v>3</v>
      </c>
      <c r="O405" s="27" t="str">
        <f t="shared" si="3"/>
        <v>#N/A</v>
      </c>
      <c r="P405" s="28"/>
      <c r="Q405" s="28"/>
      <c r="R405" s="28"/>
      <c r="S405" s="28"/>
      <c r="T405" s="29">
        <f t="shared" si="340"/>
        <v>1767857.143</v>
      </c>
      <c r="U405" s="28"/>
      <c r="V405" s="30">
        <f t="shared" si="28"/>
        <v>24750000</v>
      </c>
      <c r="W405" s="30"/>
      <c r="X405" s="73"/>
      <c r="Y405" s="33">
        <f>(max(AE405,AG405,AI405,AK405,AM405,AO405,AQ405,AS405,AU405,AW405,AY405,BA405,BC405)/min(AE405,AG405,AI405,AK405))^(1/M405)-1</f>
        <v>0.2325100911</v>
      </c>
      <c r="Z405" s="692"/>
      <c r="AA405" s="665"/>
      <c r="AB405" s="74"/>
      <c r="AC405" s="74"/>
      <c r="AD405" s="79"/>
      <c r="AE405" s="84"/>
      <c r="AF405" s="338"/>
      <c r="AG405" s="84"/>
      <c r="AH405" s="74"/>
      <c r="AI405" s="78"/>
      <c r="AJ405" s="426" t="str">
        <f>HYPERLINK("https://www.crunchbase.com/organization/gridium#section-funding-rounds"," Mar 12, 2013")</f>
        <v> Mar 12, 2013</v>
      </c>
      <c r="AK405" s="76">
        <v>750000.0</v>
      </c>
      <c r="AL405" s="79"/>
      <c r="AM405" s="84"/>
      <c r="AN405" s="79"/>
      <c r="AO405" s="84"/>
      <c r="AP405" s="79"/>
      <c r="AQ405" s="84"/>
      <c r="AR405" s="79"/>
      <c r="AS405" s="79"/>
      <c r="AT405" s="79"/>
      <c r="AU405" s="80"/>
      <c r="AV405" s="79"/>
      <c r="AW405" s="38"/>
      <c r="AX405" s="79"/>
      <c r="AY405" s="38"/>
      <c r="AZ405" s="75">
        <v>44980.0</v>
      </c>
      <c r="BA405" s="83">
        <v>1.4E7</v>
      </c>
      <c r="BB405" s="75">
        <v>44980.0</v>
      </c>
      <c r="BC405" s="83">
        <v>1.0E7</v>
      </c>
      <c r="BD405" s="79"/>
      <c r="BE405" s="38"/>
      <c r="BF405" s="74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</row>
    <row r="406" ht="15.75" customHeight="1">
      <c r="A406" s="993" t="s">
        <v>2131</v>
      </c>
      <c r="B406" s="985"/>
      <c r="C406" s="985" t="s">
        <v>190</v>
      </c>
      <c r="D406" s="1005" t="s">
        <v>2132</v>
      </c>
      <c r="E406" s="1032" t="s">
        <v>2133</v>
      </c>
      <c r="F406" s="922" t="s">
        <v>2134</v>
      </c>
      <c r="G406" s="119" t="s">
        <v>2135</v>
      </c>
      <c r="H406" s="119" t="s">
        <v>1546</v>
      </c>
      <c r="I406" s="25" t="s">
        <v>1546</v>
      </c>
      <c r="J406" s="120" t="s">
        <v>2136</v>
      </c>
      <c r="K406" s="25">
        <v>2.0</v>
      </c>
      <c r="L406" s="25">
        <v>2006.0</v>
      </c>
      <c r="M406" s="25">
        <f t="shared" si="338"/>
        <v>19</v>
      </c>
      <c r="N406" s="26">
        <f t="shared" si="339"/>
        <v>2</v>
      </c>
      <c r="O406" s="27" t="str">
        <f t="shared" si="3"/>
        <v>#N/A</v>
      </c>
      <c r="P406" s="28" t="str">
        <f t="shared" ref="P406:P411" si="341">RANK(T406,$T$8:$T$333)</f>
        <v>#N/A</v>
      </c>
      <c r="Q406" s="28" t="str">
        <f t="shared" ref="Q406:Q412" si="342">rank(V406,$V$2:$V$344)</f>
        <v>#N/A</v>
      </c>
      <c r="R406" s="28"/>
      <c r="S406" s="28"/>
      <c r="T406" s="29">
        <f t="shared" si="340"/>
        <v>1282842.105</v>
      </c>
      <c r="U406" s="28"/>
      <c r="V406" s="30">
        <f t="shared" si="28"/>
        <v>24374000</v>
      </c>
      <c r="W406" s="30"/>
      <c r="X406" s="32">
        <f t="shared" ref="X406:X411" si="343">(max(AE406,AG406,AI406,AK406,AM406,AO406,AQ406,AS406,AU406,AW406,AY406,BA406,BC406)/min(AE406,AG406,AI406,AK406,AM406,AO406,AQ406,AS406,AU406,AW406,AY406,BA406,BC406))^(1/N406)-1</f>
        <v>1.449489743</v>
      </c>
      <c r="Y406" s="33">
        <f t="shared" ref="Y406:Y411" si="344">(max(AE406,AG406,AI406,AK406,AM406,AO406,AQ406,AS406,AU406,AW406,AY406,BA406,BC406)/min(AE406,AG406,AI406,AK406,AM406,AO406,AQ406,AS406,AU406,AW406,AY406,BA406,BC406))^(1/M406)-1</f>
        <v>0.09889280277</v>
      </c>
      <c r="Z406" s="692"/>
      <c r="AA406" s="665"/>
      <c r="AB406" s="123"/>
      <c r="AC406" s="123"/>
      <c r="AD406" s="124"/>
      <c r="AE406" s="125"/>
      <c r="AF406" s="166"/>
      <c r="AG406" s="127"/>
      <c r="AH406" s="923"/>
      <c r="AI406" s="759"/>
      <c r="AJ406" s="167" t="str">
        <f>HYPERLINK("https://www.crunchbase.com/funding_round/siteminder-series-a--6b428188","May 7, 2012")</f>
        <v>May 7, 2012</v>
      </c>
      <c r="AK406" s="165">
        <v>3482000.0</v>
      </c>
      <c r="AL406" s="167" t="str">
        <f>HYPERLINK("https://www.crunchbase.com/funding_round/siteminder-series-b--b3384545","Jan 14, 2014")</f>
        <v>Jan 14, 2014</v>
      </c>
      <c r="AM406" s="127">
        <v>2.0892E7</v>
      </c>
      <c r="AN406" s="124"/>
      <c r="AO406" s="125"/>
      <c r="AP406" s="124"/>
      <c r="AQ406" s="125"/>
      <c r="AR406" s="124"/>
      <c r="AS406" s="124"/>
      <c r="AT406" s="124"/>
      <c r="AU406" s="137"/>
      <c r="AV406" s="124"/>
      <c r="AW406" s="38"/>
      <c r="AX406" s="124"/>
      <c r="AY406" s="38"/>
      <c r="AZ406" s="124"/>
      <c r="BA406" s="137"/>
      <c r="BB406" s="124"/>
      <c r="BC406" s="137"/>
      <c r="BD406" s="124"/>
      <c r="BE406" s="125"/>
      <c r="BF406" s="123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</row>
    <row r="407" ht="15.75" customHeight="1">
      <c r="A407" s="978" t="s">
        <v>2137</v>
      </c>
      <c r="B407" s="979"/>
      <c r="C407" s="980" t="s">
        <v>59</v>
      </c>
      <c r="D407" s="1001" t="s">
        <v>2138</v>
      </c>
      <c r="E407" s="982" t="s">
        <v>2139</v>
      </c>
      <c r="F407" s="118" t="s">
        <v>2140</v>
      </c>
      <c r="G407" s="71"/>
      <c r="H407" s="71" t="s">
        <v>128</v>
      </c>
      <c r="I407" s="969" t="s">
        <v>129</v>
      </c>
      <c r="J407" s="72"/>
      <c r="K407" s="26">
        <v>2.0</v>
      </c>
      <c r="L407" s="26">
        <v>2014.0</v>
      </c>
      <c r="M407" s="25">
        <f t="shared" si="338"/>
        <v>11</v>
      </c>
      <c r="N407" s="26">
        <f t="shared" si="339"/>
        <v>3</v>
      </c>
      <c r="O407" s="27" t="str">
        <f t="shared" si="3"/>
        <v>#N/A</v>
      </c>
      <c r="P407" s="28" t="str">
        <f t="shared" si="341"/>
        <v>#N/A</v>
      </c>
      <c r="Q407" s="28" t="str">
        <f t="shared" si="342"/>
        <v>#N/A</v>
      </c>
      <c r="R407" s="28"/>
      <c r="S407" s="28"/>
      <c r="T407" s="29">
        <f t="shared" si="340"/>
        <v>2190909.091</v>
      </c>
      <c r="U407" s="28"/>
      <c r="V407" s="30">
        <f t="shared" si="28"/>
        <v>24100000</v>
      </c>
      <c r="W407" s="30"/>
      <c r="X407" s="32">
        <f t="shared" si="343"/>
        <v>1.219760004</v>
      </c>
      <c r="Y407" s="33">
        <f t="shared" si="344"/>
        <v>0.2429312204</v>
      </c>
      <c r="Z407" s="692"/>
      <c r="AA407" s="665"/>
      <c r="AB407" s="74"/>
      <c r="AC407" s="74"/>
      <c r="AD407" s="79"/>
      <c r="AE407" s="84"/>
      <c r="AF407" s="175" t="str">
        <f>HYPERLINK("https://www.crunchbase.com/funding_round/unacast-seed--dcef9459","Apr 27, 2015")</f>
        <v>Apr 27, 2015</v>
      </c>
      <c r="AG407" s="76">
        <v>1600000.0</v>
      </c>
      <c r="AH407" s="77"/>
      <c r="AI407" s="435"/>
      <c r="AJ407" s="181" t="str">
        <f>HYPERLINK("https://www.crunchbase.com/funding_round/unacast-series-a--088fd504","May 17, 2016")</f>
        <v>May 17, 2016</v>
      </c>
      <c r="AK407" s="76">
        <v>5000000.0</v>
      </c>
      <c r="AL407" s="181" t="str">
        <f>HYPERLINK("https://www.crunchbase.com/funding_round/unacast-series-b--062a24aa","Feb 12, 2018")</f>
        <v>Feb 12, 2018</v>
      </c>
      <c r="AM407" s="76">
        <v>1.75E7</v>
      </c>
      <c r="AN407" s="79"/>
      <c r="AO407" s="76"/>
      <c r="AP407" s="79"/>
      <c r="AQ407" s="84"/>
      <c r="AR407" s="79"/>
      <c r="AS407" s="79"/>
      <c r="AT407" s="79"/>
      <c r="AU407" s="80"/>
      <c r="AV407" s="79"/>
      <c r="AW407" s="38"/>
      <c r="AX407" s="79"/>
      <c r="AY407" s="38"/>
      <c r="AZ407" s="79"/>
      <c r="BA407" s="80"/>
      <c r="BB407" s="79"/>
      <c r="BC407" s="80"/>
      <c r="BD407" s="79"/>
      <c r="BE407" s="84"/>
      <c r="BF407" s="74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</row>
    <row r="408" ht="15.75" customHeight="1">
      <c r="A408" s="996" t="s">
        <v>2141</v>
      </c>
      <c r="B408" s="988"/>
      <c r="C408" s="989" t="s">
        <v>59</v>
      </c>
      <c r="D408" s="981" t="s">
        <v>2142</v>
      </c>
      <c r="E408" s="982" t="s">
        <v>2143</v>
      </c>
      <c r="F408" s="118" t="s">
        <v>2144</v>
      </c>
      <c r="G408" s="71" t="s">
        <v>2145</v>
      </c>
      <c r="H408" s="71" t="s">
        <v>64</v>
      </c>
      <c r="I408" s="26" t="s">
        <v>65</v>
      </c>
      <c r="J408" s="72" t="s">
        <v>566</v>
      </c>
      <c r="K408" s="23">
        <v>1.0</v>
      </c>
      <c r="L408" s="23">
        <v>2019.0</v>
      </c>
      <c r="M408" s="25">
        <f t="shared" si="338"/>
        <v>6</v>
      </c>
      <c r="N408" s="26">
        <f t="shared" si="339"/>
        <v>1</v>
      </c>
      <c r="O408" s="27" t="str">
        <f t="shared" si="3"/>
        <v>#N/A</v>
      </c>
      <c r="P408" s="28">
        <f t="shared" si="341"/>
        <v>185</v>
      </c>
      <c r="Q408" s="28" t="str">
        <f t="shared" si="342"/>
        <v>#N/A</v>
      </c>
      <c r="R408" s="28"/>
      <c r="S408" s="28"/>
      <c r="T408" s="29">
        <f t="shared" si="340"/>
        <v>4000000</v>
      </c>
      <c r="U408" s="28"/>
      <c r="V408" s="30">
        <f t="shared" si="28"/>
        <v>24000000</v>
      </c>
      <c r="W408" s="30"/>
      <c r="X408" s="32">
        <f t="shared" si="343"/>
        <v>0</v>
      </c>
      <c r="Y408" s="33">
        <f t="shared" si="344"/>
        <v>0</v>
      </c>
      <c r="Z408" s="692"/>
      <c r="AA408" s="665"/>
      <c r="AB408" s="36"/>
      <c r="AC408" s="36"/>
      <c r="AD408" s="44"/>
      <c r="AE408" s="46"/>
      <c r="AF408" s="39"/>
      <c r="AG408" s="46"/>
      <c r="AH408" s="36"/>
      <c r="AI408" s="159"/>
      <c r="AJ408" s="44"/>
      <c r="AK408" s="38"/>
      <c r="AL408" s="43" t="str">
        <f>HYPERLINK("https://www.crunchbase.com/funding_round/canvas-ed06-series-b--50705902","Apr 15, 2021")</f>
        <v>Apr 15, 2021</v>
      </c>
      <c r="AM408" s="38">
        <v>2.4E7</v>
      </c>
      <c r="AN408" s="44"/>
      <c r="AO408" s="46"/>
      <c r="AP408" s="44"/>
      <c r="AQ408" s="46"/>
      <c r="AR408" s="44"/>
      <c r="AS408" s="44"/>
      <c r="AT408" s="44"/>
      <c r="AU408" s="45"/>
      <c r="AV408" s="44"/>
      <c r="AW408" s="38"/>
      <c r="AX408" s="44"/>
      <c r="AY408" s="38"/>
      <c r="AZ408" s="44"/>
      <c r="BA408" s="45"/>
      <c r="BB408" s="44"/>
      <c r="BC408" s="45"/>
      <c r="BD408" s="44"/>
      <c r="BE408" s="46"/>
      <c r="BF408" s="36"/>
      <c r="BG408" s="115"/>
      <c r="BH408" s="115"/>
      <c r="BI408" s="115"/>
      <c r="BJ408" s="115"/>
      <c r="BK408" s="115"/>
      <c r="BL408" s="115"/>
      <c r="BM408" s="115"/>
      <c r="BN408" s="115"/>
      <c r="BO408" s="115"/>
      <c r="BP408" s="115"/>
      <c r="BQ408" s="115"/>
      <c r="BR408" s="115"/>
      <c r="BS408" s="115"/>
      <c r="BT408" s="115"/>
      <c r="BU408" s="115"/>
      <c r="BV408" s="115"/>
      <c r="BW408" s="115"/>
      <c r="BX408" s="115"/>
      <c r="BY408" s="115"/>
      <c r="BZ408" s="115"/>
      <c r="CA408" s="115"/>
      <c r="CB408" s="115"/>
      <c r="CC408" s="115"/>
      <c r="CD408" s="115"/>
      <c r="CE408" s="115"/>
      <c r="CF408" s="115"/>
      <c r="CG408" s="115"/>
      <c r="CH408" s="115"/>
      <c r="CI408" s="115"/>
      <c r="CJ408" s="115"/>
      <c r="CK408" s="115"/>
      <c r="CL408" s="115"/>
      <c r="CM408" s="115"/>
      <c r="CN408" s="115"/>
      <c r="CO408" s="115"/>
      <c r="CP408" s="115"/>
    </row>
    <row r="409" ht="15.75" customHeight="1">
      <c r="A409" s="978" t="s">
        <v>2146</v>
      </c>
      <c r="B409" s="979"/>
      <c r="C409" s="980" t="s">
        <v>84</v>
      </c>
      <c r="D409" s="990"/>
      <c r="E409" s="982" t="s">
        <v>2147</v>
      </c>
      <c r="F409" s="118" t="s">
        <v>2148</v>
      </c>
      <c r="G409" s="71"/>
      <c r="H409" s="71" t="s">
        <v>1446</v>
      </c>
      <c r="I409" s="26" t="s">
        <v>1447</v>
      </c>
      <c r="J409" s="155"/>
      <c r="K409" s="26">
        <v>3.0</v>
      </c>
      <c r="L409" s="26">
        <v>2019.0</v>
      </c>
      <c r="M409" s="25">
        <f t="shared" si="338"/>
        <v>6</v>
      </c>
      <c r="N409" s="26">
        <f t="shared" si="339"/>
        <v>2</v>
      </c>
      <c r="O409" s="27" t="str">
        <f t="shared" si="3"/>
        <v>#N/A</v>
      </c>
      <c r="P409" s="28">
        <f t="shared" si="341"/>
        <v>185</v>
      </c>
      <c r="Q409" s="28" t="str">
        <f t="shared" si="342"/>
        <v>#N/A</v>
      </c>
      <c r="R409" s="28"/>
      <c r="S409" s="28"/>
      <c r="T409" s="29">
        <f t="shared" si="340"/>
        <v>4000000</v>
      </c>
      <c r="U409" s="28"/>
      <c r="V409" s="30">
        <f t="shared" si="28"/>
        <v>24000000</v>
      </c>
      <c r="W409" s="30"/>
      <c r="X409" s="32">
        <f t="shared" si="343"/>
        <v>1.236067977</v>
      </c>
      <c r="Y409" s="33">
        <f t="shared" si="344"/>
        <v>0.307660486</v>
      </c>
      <c r="Z409" s="692"/>
      <c r="AA409" s="665"/>
      <c r="AB409" s="74"/>
      <c r="AC409" s="74"/>
      <c r="AD409" s="882"/>
      <c r="AE409" s="76"/>
      <c r="AF409" s="803" t="str">
        <f>HYPERLINK("https://www.crunchbase.com/funding_round/nomad-homes-seed--e8eaaccb","Jul 8, 2020")</f>
        <v>Jul 8, 2020</v>
      </c>
      <c r="AG409" s="76">
        <v>4000000.0</v>
      </c>
      <c r="AH409" s="74"/>
      <c r="AI409" s="78"/>
      <c r="AJ409" s="181" t="str">
        <f>HYPERLINK("https://www.crunchbase.com/funding_round/nomad-homes-series-a--4059fec6","Sep 28, 2021")</f>
        <v>Sep 28, 2021</v>
      </c>
      <c r="AK409" s="76">
        <v>2.0E7</v>
      </c>
      <c r="AL409" s="79"/>
      <c r="AM409" s="76"/>
      <c r="AN409" s="79"/>
      <c r="AO409" s="84"/>
      <c r="AP409" s="79"/>
      <c r="AQ409" s="84"/>
      <c r="AR409" s="79"/>
      <c r="AS409" s="79"/>
      <c r="AT409" s="79"/>
      <c r="AU409" s="80"/>
      <c r="AV409" s="79"/>
      <c r="AW409" s="38"/>
      <c r="AX409" s="79"/>
      <c r="AY409" s="38"/>
      <c r="AZ409" s="79"/>
      <c r="BA409" s="80"/>
      <c r="BB409" s="79"/>
      <c r="BC409" s="80"/>
      <c r="BD409" s="79"/>
      <c r="BE409" s="84"/>
      <c r="BF409" s="74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</row>
    <row r="410" ht="15.75" customHeight="1">
      <c r="A410" s="1024" t="s">
        <v>2149</v>
      </c>
      <c r="B410" s="979" t="s">
        <v>2150</v>
      </c>
      <c r="C410" s="979" t="s">
        <v>207</v>
      </c>
      <c r="D410" s="1025" t="s">
        <v>2151</v>
      </c>
      <c r="E410" s="1026" t="s">
        <v>2152</v>
      </c>
      <c r="F410" s="185" t="s">
        <v>2153</v>
      </c>
      <c r="G410" s="174" t="s">
        <v>2154</v>
      </c>
      <c r="H410" s="186" t="s">
        <v>128</v>
      </c>
      <c r="I410" s="74" t="s">
        <v>129</v>
      </c>
      <c r="J410" s="155" t="s">
        <v>466</v>
      </c>
      <c r="K410" s="74">
        <v>1.0</v>
      </c>
      <c r="L410" s="26">
        <v>2013.0</v>
      </c>
      <c r="M410" s="25">
        <f t="shared" si="338"/>
        <v>12</v>
      </c>
      <c r="N410" s="26">
        <f t="shared" si="339"/>
        <v>2</v>
      </c>
      <c r="O410" s="27" t="str">
        <f t="shared" si="3"/>
        <v>#N/A</v>
      </c>
      <c r="P410" s="28" t="str">
        <f t="shared" si="341"/>
        <v>#N/A</v>
      </c>
      <c r="Q410" s="28" t="str">
        <f t="shared" si="342"/>
        <v>#N/A</v>
      </c>
      <c r="R410" s="28"/>
      <c r="S410" s="28"/>
      <c r="T410" s="29">
        <f t="shared" si="340"/>
        <v>2000000</v>
      </c>
      <c r="U410" s="28"/>
      <c r="V410" s="30">
        <f t="shared" si="28"/>
        <v>24000000</v>
      </c>
      <c r="W410" s="30"/>
      <c r="X410" s="32">
        <f t="shared" si="343"/>
        <v>0.2909944487</v>
      </c>
      <c r="Y410" s="33">
        <f t="shared" si="344"/>
        <v>0.04348784793</v>
      </c>
      <c r="Z410" s="692"/>
      <c r="AA410" s="665"/>
      <c r="AB410" s="74"/>
      <c r="AC410" s="74"/>
      <c r="AD410" s="79"/>
      <c r="AE410" s="84"/>
      <c r="AF410" s="338"/>
      <c r="AG410" s="84"/>
      <c r="AH410" s="74"/>
      <c r="AI410" s="78"/>
      <c r="AJ410" s="181" t="str">
        <f>HYPERLINK("https://www.crunchbase.com/funding_round/wiredscore-series-a--ddb0987b"," 10/22/2018")</f>
        <v> 10/22/2018</v>
      </c>
      <c r="AK410" s="84">
        <v>9000000.0</v>
      </c>
      <c r="AL410" s="391">
        <v>44735.0</v>
      </c>
      <c r="AM410" s="84">
        <f>15000000</f>
        <v>15000000</v>
      </c>
      <c r="AN410" s="79"/>
      <c r="AO410" s="84"/>
      <c r="AP410" s="79"/>
      <c r="AQ410" s="84"/>
      <c r="AR410" s="79"/>
      <c r="AS410" s="79"/>
      <c r="AT410" s="79"/>
      <c r="AU410" s="80"/>
      <c r="AV410" s="79"/>
      <c r="AW410" s="38"/>
      <c r="AX410" s="79"/>
      <c r="AY410" s="38"/>
      <c r="AZ410" s="79"/>
      <c r="BA410" s="80"/>
      <c r="BB410" s="79"/>
      <c r="BC410" s="80"/>
      <c r="BD410" s="79"/>
      <c r="BE410" s="84"/>
      <c r="BF410" s="74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</row>
    <row r="411" ht="15.75" customHeight="1">
      <c r="A411" s="978" t="s">
        <v>2155</v>
      </c>
      <c r="B411" s="980" t="s">
        <v>2156</v>
      </c>
      <c r="C411" s="980" t="s">
        <v>132</v>
      </c>
      <c r="D411" s="981" t="s">
        <v>2157</v>
      </c>
      <c r="E411" s="982" t="s">
        <v>2158</v>
      </c>
      <c r="F411" s="173" t="s">
        <v>2159</v>
      </c>
      <c r="G411" s="186"/>
      <c r="H411" s="71" t="s">
        <v>271</v>
      </c>
      <c r="I411" s="26" t="s">
        <v>163</v>
      </c>
      <c r="J411" s="155"/>
      <c r="K411" s="74"/>
      <c r="L411" s="26">
        <v>2014.0</v>
      </c>
      <c r="M411" s="25">
        <f t="shared" si="338"/>
        <v>11</v>
      </c>
      <c r="N411" s="26">
        <f t="shared" si="339"/>
        <v>3</v>
      </c>
      <c r="O411" s="27" t="str">
        <f t="shared" si="3"/>
        <v>#N/A</v>
      </c>
      <c r="P411" s="28" t="str">
        <f t="shared" si="341"/>
        <v>#N/A</v>
      </c>
      <c r="Q411" s="28" t="str">
        <f t="shared" si="342"/>
        <v>#N/A</v>
      </c>
      <c r="R411" s="28"/>
      <c r="S411" s="28"/>
      <c r="T411" s="29">
        <f t="shared" si="340"/>
        <v>2154545.455</v>
      </c>
      <c r="U411" s="28"/>
      <c r="V411" s="30">
        <f t="shared" si="28"/>
        <v>23700000</v>
      </c>
      <c r="W411" s="30"/>
      <c r="X411" s="32">
        <f t="shared" si="343"/>
        <v>0.9182745937</v>
      </c>
      <c r="Y411" s="33">
        <f t="shared" si="344"/>
        <v>0.1944211475</v>
      </c>
      <c r="Z411" s="692"/>
      <c r="AA411" s="665"/>
      <c r="AB411" s="74"/>
      <c r="AC411" s="74"/>
      <c r="AD411" s="79"/>
      <c r="AE411" s="84"/>
      <c r="AF411" s="320">
        <v>42608.0</v>
      </c>
      <c r="AG411" s="76">
        <v>1700000.0</v>
      </c>
      <c r="AH411" s="74"/>
      <c r="AI411" s="78"/>
      <c r="AJ411" s="227">
        <v>43531.0</v>
      </c>
      <c r="AK411" s="76">
        <v>1.0E7</v>
      </c>
      <c r="AL411" s="227">
        <v>43957.0</v>
      </c>
      <c r="AM411" s="76">
        <v>1.2E7</v>
      </c>
      <c r="AN411" s="279"/>
      <c r="AO411" s="928"/>
      <c r="AP411" s="279"/>
      <c r="AQ411" s="928"/>
      <c r="AR411" s="79"/>
      <c r="AS411" s="79"/>
      <c r="AT411" s="79"/>
      <c r="AU411" s="80"/>
      <c r="AV411" s="79"/>
      <c r="AW411" s="38"/>
      <c r="AX411" s="79"/>
      <c r="AY411" s="38"/>
      <c r="AZ411" s="79"/>
      <c r="BA411" s="80"/>
      <c r="BB411" s="79"/>
      <c r="BC411" s="80"/>
      <c r="BD411" s="79"/>
      <c r="BE411" s="84"/>
      <c r="BF411" s="74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</row>
    <row r="412" ht="15.75" customHeight="1">
      <c r="A412" s="996" t="s">
        <v>2160</v>
      </c>
      <c r="B412" s="984"/>
      <c r="C412" s="985" t="s">
        <v>190</v>
      </c>
      <c r="D412" s="1005"/>
      <c r="E412" s="1111" t="s">
        <v>2161</v>
      </c>
      <c r="F412" s="389" t="s">
        <v>2162</v>
      </c>
      <c r="G412" s="119"/>
      <c r="H412" s="119" t="s">
        <v>99</v>
      </c>
      <c r="I412" s="25" t="s">
        <v>100</v>
      </c>
      <c r="J412" s="178"/>
      <c r="K412" s="25">
        <v>5.0</v>
      </c>
      <c r="L412" s="25">
        <v>2021.0</v>
      </c>
      <c r="M412" s="25"/>
      <c r="N412" s="25"/>
      <c r="O412" s="27" t="str">
        <f t="shared" si="3"/>
        <v>#N/A</v>
      </c>
      <c r="P412" s="356"/>
      <c r="Q412" s="28" t="str">
        <f t="shared" si="342"/>
        <v>#N/A</v>
      </c>
      <c r="R412" s="356"/>
      <c r="S412" s="356"/>
      <c r="T412" s="356"/>
      <c r="U412" s="356"/>
      <c r="V412" s="30">
        <f t="shared" si="28"/>
        <v>23500000</v>
      </c>
      <c r="W412" s="30"/>
      <c r="X412" s="597"/>
      <c r="Y412" s="597"/>
      <c r="Z412" s="692"/>
      <c r="AA412" s="665"/>
      <c r="AB412" s="123"/>
      <c r="AC412" s="123"/>
      <c r="AD412" s="124"/>
      <c r="AE412" s="125"/>
      <c r="AF412" s="854">
        <v>44750.0</v>
      </c>
      <c r="AG412" s="127">
        <v>2.35E7</v>
      </c>
      <c r="AH412" s="123"/>
      <c r="AI412" s="128"/>
      <c r="AJ412" s="169"/>
      <c r="AK412" s="127"/>
      <c r="AL412" s="124"/>
      <c r="AM412" s="127"/>
      <c r="AN412" s="124"/>
      <c r="AO412" s="125"/>
      <c r="AP412" s="124"/>
      <c r="AQ412" s="125"/>
      <c r="AR412" s="124"/>
      <c r="AS412" s="124"/>
      <c r="AT412" s="124"/>
      <c r="AU412" s="137"/>
      <c r="AV412" s="124"/>
      <c r="AW412" s="38"/>
      <c r="AX412" s="124"/>
      <c r="AY412" s="38"/>
      <c r="AZ412" s="124"/>
      <c r="BA412" s="137"/>
      <c r="BB412" s="124"/>
      <c r="BC412" s="137"/>
      <c r="BD412" s="124"/>
      <c r="BE412" s="125"/>
      <c r="BF412" s="123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</row>
    <row r="413" ht="15.75" customHeight="1">
      <c r="A413" s="996" t="s">
        <v>2163</v>
      </c>
      <c r="B413" s="997"/>
      <c r="C413" s="998" t="s">
        <v>84</v>
      </c>
      <c r="D413" s="1074"/>
      <c r="E413" s="1000" t="s">
        <v>2164</v>
      </c>
      <c r="F413" s="352" t="s">
        <v>2165</v>
      </c>
      <c r="G413" s="353"/>
      <c r="H413" s="53" t="s">
        <v>1829</v>
      </c>
      <c r="I413" s="54" t="s">
        <v>65</v>
      </c>
      <c r="J413" s="55"/>
      <c r="K413" s="55"/>
      <c r="L413" s="56">
        <v>2020.0</v>
      </c>
      <c r="M413" s="55"/>
      <c r="N413" s="55"/>
      <c r="O413" s="27" t="str">
        <f t="shared" si="3"/>
        <v>#N/A</v>
      </c>
      <c r="P413" s="55"/>
      <c r="Q413" s="55"/>
      <c r="R413" s="55"/>
      <c r="S413" s="55"/>
      <c r="T413" s="55"/>
      <c r="U413" s="55"/>
      <c r="V413" s="30">
        <f t="shared" si="28"/>
        <v>23400000</v>
      </c>
      <c r="W413" s="30"/>
      <c r="X413" s="58"/>
      <c r="Y413" s="58"/>
      <c r="Z413" s="692"/>
      <c r="AA413" s="665"/>
      <c r="AB413" s="55"/>
      <c r="AC413" s="55"/>
      <c r="AD413" s="453"/>
      <c r="AE413" s="38"/>
      <c r="AF413" s="62">
        <v>44500.0</v>
      </c>
      <c r="AG413" s="38">
        <v>3900000.0</v>
      </c>
      <c r="AH413" s="55"/>
      <c r="AI413" s="55"/>
      <c r="AJ413" s="62">
        <v>44957.0</v>
      </c>
      <c r="AK413" s="38">
        <v>1.95E7</v>
      </c>
      <c r="AL413" s="55"/>
      <c r="AM413" s="38"/>
      <c r="AN413" s="55"/>
      <c r="AO413" s="38"/>
      <c r="AP413" s="356"/>
      <c r="AQ413" s="38"/>
      <c r="AR413" s="55"/>
      <c r="AS413" s="38"/>
      <c r="AT413" s="55"/>
      <c r="AU413" s="38"/>
      <c r="AV413" s="55"/>
      <c r="AW413" s="38"/>
      <c r="AX413" s="55"/>
      <c r="AY413" s="38"/>
      <c r="AZ413" s="55"/>
      <c r="BA413" s="722"/>
      <c r="BB413" s="55"/>
      <c r="BC413" s="38"/>
      <c r="BD413" s="55"/>
      <c r="BE413" s="38"/>
      <c r="BF413" s="55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</row>
    <row r="414" ht="15.75" customHeight="1">
      <c r="A414" s="998" t="s">
        <v>2166</v>
      </c>
      <c r="B414" s="988"/>
      <c r="C414" s="989" t="s">
        <v>190</v>
      </c>
      <c r="D414" s="998"/>
      <c r="E414" s="982" t="s">
        <v>2167</v>
      </c>
      <c r="F414" s="118" t="s">
        <v>2168</v>
      </c>
      <c r="G414" s="22" t="s">
        <v>2169</v>
      </c>
      <c r="H414" s="22" t="s">
        <v>2170</v>
      </c>
      <c r="I414" s="23" t="s">
        <v>2171</v>
      </c>
      <c r="J414" s="237"/>
      <c r="K414" s="36"/>
      <c r="L414" s="23">
        <v>2019.0</v>
      </c>
      <c r="M414" s="25">
        <f t="shared" ref="M414:M415" si="345">year(now()) -L414</f>
        <v>6</v>
      </c>
      <c r="N414" s="26">
        <f t="shared" ref="N414:N415" si="346">counta(AE414,AG414,AI414,AK414,AM414,AO414,AQ414,AS414,AU414,AW414,AY414,BA414,BC414)</f>
        <v>1</v>
      </c>
      <c r="O414" s="27" t="str">
        <f t="shared" si="3"/>
        <v>#N/A</v>
      </c>
      <c r="P414" s="28" t="str">
        <f t="shared" ref="P414:P415" si="347">RANK(T414,$T$8:$T$333)</f>
        <v>#N/A</v>
      </c>
      <c r="Q414" s="28" t="str">
        <f>rank(V414,$V$2:$V$344)</f>
        <v>#N/A</v>
      </c>
      <c r="R414" s="28"/>
      <c r="S414" s="28"/>
      <c r="T414" s="29">
        <f>V414/M414</f>
        <v>3833333.333</v>
      </c>
      <c r="U414" s="28"/>
      <c r="V414" s="30">
        <f t="shared" si="28"/>
        <v>23000000</v>
      </c>
      <c r="W414" s="30"/>
      <c r="X414" s="32">
        <f t="shared" ref="X414:X415" si="348">(max(AE414,AG414,AI414,AK414,AM414,AO414,AQ414,AS414,AU414,AW414,AY414,BA414,BC414)/min(AE414,AG414,AI414,AK414,AM414,AO414,AQ414,AS414,AU414,AW414,AY414,BA414,BC414))^(1/N414)-1</f>
        <v>0</v>
      </c>
      <c r="Y414" s="33">
        <f>(max(AE414,AG414,AI414,AK414,AM414,AO414,AQ414,AS414,AU414,AW414,AY414,BA414,BC414)/min(AE414,AG414,AI414,AK414,AM414,AO414,AQ414,AS414,AU414,AW414,AY414,BA414,BC414))^(1/M414)-1</f>
        <v>0</v>
      </c>
      <c r="Z414" s="692"/>
      <c r="AA414" s="665"/>
      <c r="AB414" s="36"/>
      <c r="AC414" s="36"/>
      <c r="AD414" s="44"/>
      <c r="AE414" s="46"/>
      <c r="AF414" s="320"/>
      <c r="AG414" s="38"/>
      <c r="AH414" s="36"/>
      <c r="AI414" s="159"/>
      <c r="AJ414" s="42">
        <v>44118.0</v>
      </c>
      <c r="AK414" s="38">
        <v>2.3E7</v>
      </c>
      <c r="AL414" s="42"/>
      <c r="AM414" s="38"/>
      <c r="AN414" s="44"/>
      <c r="AO414" s="46"/>
      <c r="AP414" s="44"/>
      <c r="AQ414" s="46"/>
      <c r="AR414" s="44"/>
      <c r="AS414" s="44"/>
      <c r="AT414" s="44"/>
      <c r="AU414" s="45"/>
      <c r="AV414" s="44"/>
      <c r="AW414" s="38"/>
      <c r="AX414" s="44"/>
      <c r="AY414" s="38"/>
      <c r="AZ414" s="44"/>
      <c r="BA414" s="45"/>
      <c r="BB414" s="44"/>
      <c r="BC414" s="45"/>
      <c r="BD414" s="44"/>
      <c r="BE414" s="46"/>
      <c r="BF414" s="3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</row>
    <row r="415" ht="15.75" customHeight="1">
      <c r="A415" s="1024" t="s">
        <v>2172</v>
      </c>
      <c r="B415" s="979"/>
      <c r="C415" s="979" t="s">
        <v>59</v>
      </c>
      <c r="D415" s="200" t="s">
        <v>2173</v>
      </c>
      <c r="E415" s="1112" t="s">
        <v>2174</v>
      </c>
      <c r="F415" s="417" t="s">
        <v>2175</v>
      </c>
      <c r="G415" s="71" t="s">
        <v>2176</v>
      </c>
      <c r="H415" s="186" t="s">
        <v>673</v>
      </c>
      <c r="I415" s="26" t="s">
        <v>674</v>
      </c>
      <c r="J415" s="72" t="s">
        <v>2177</v>
      </c>
      <c r="K415" s="74">
        <v>1.0</v>
      </c>
      <c r="L415" s="26">
        <v>1999.0</v>
      </c>
      <c r="M415" s="25">
        <f t="shared" si="345"/>
        <v>26</v>
      </c>
      <c r="N415" s="26">
        <f t="shared" si="346"/>
        <v>0</v>
      </c>
      <c r="O415" s="27" t="str">
        <f t="shared" si="3"/>
        <v>#N/A</v>
      </c>
      <c r="P415" s="28" t="str">
        <f t="shared" si="347"/>
        <v>#N/A</v>
      </c>
      <c r="Q415" s="28" t="str">
        <f>rank(V415,$V$8:$V$344)</f>
        <v>#N/A</v>
      </c>
      <c r="R415" s="28"/>
      <c r="S415" s="28"/>
      <c r="T415" s="28"/>
      <c r="U415" s="28"/>
      <c r="V415" s="30">
        <f t="shared" si="28"/>
        <v>23000000</v>
      </c>
      <c r="W415" s="30"/>
      <c r="X415" s="32" t="str">
        <f t="shared" si="348"/>
        <v>#DIV/0!</v>
      </c>
      <c r="Y415" s="33"/>
      <c r="Z415" s="692"/>
      <c r="AA415" s="665"/>
      <c r="AB415" s="74"/>
      <c r="AC415" s="74"/>
      <c r="AD415" s="79"/>
      <c r="AE415" s="84"/>
      <c r="AF415" s="338"/>
      <c r="AG415" s="84"/>
      <c r="AH415" s="74"/>
      <c r="AI415" s="78"/>
      <c r="AJ415" s="79"/>
      <c r="AK415" s="84"/>
      <c r="AL415" s="79"/>
      <c r="AM415" s="84"/>
      <c r="AN415" s="79"/>
      <c r="AO415" s="84"/>
      <c r="AP415" s="79"/>
      <c r="AQ415" s="84"/>
      <c r="AR415" s="79"/>
      <c r="AS415" s="79"/>
      <c r="AT415" s="79"/>
      <c r="AU415" s="80"/>
      <c r="AV415" s="79"/>
      <c r="AW415" s="38"/>
      <c r="AX415" s="79"/>
      <c r="AY415" s="38"/>
      <c r="AZ415" s="79"/>
      <c r="BA415" s="80"/>
      <c r="BB415" s="79"/>
      <c r="BC415" s="80"/>
      <c r="BD415" s="79">
        <v>43284.0</v>
      </c>
      <c r="BE415" s="84">
        <v>2.3E7</v>
      </c>
      <c r="BF415" s="74" t="s">
        <v>2178</v>
      </c>
      <c r="BG415" s="115"/>
      <c r="BH415" s="115"/>
      <c r="BI415" s="115"/>
      <c r="BJ415" s="115"/>
      <c r="BK415" s="115"/>
      <c r="BL415" s="115"/>
      <c r="BM415" s="115"/>
      <c r="BN415" s="115"/>
      <c r="BO415" s="115"/>
      <c r="BP415" s="115"/>
      <c r="BQ415" s="115"/>
      <c r="BR415" s="115"/>
      <c r="BS415" s="115"/>
      <c r="BT415" s="115"/>
      <c r="BU415" s="115"/>
      <c r="BV415" s="115"/>
      <c r="BW415" s="115"/>
      <c r="BX415" s="115"/>
      <c r="BY415" s="115"/>
      <c r="BZ415" s="115"/>
      <c r="CA415" s="115"/>
      <c r="CB415" s="115"/>
      <c r="CC415" s="115"/>
      <c r="CD415" s="115"/>
      <c r="CE415" s="115"/>
      <c r="CF415" s="115"/>
      <c r="CG415" s="115"/>
      <c r="CH415" s="115"/>
      <c r="CI415" s="115"/>
      <c r="CJ415" s="115"/>
      <c r="CK415" s="115"/>
      <c r="CL415" s="115"/>
      <c r="CM415" s="115"/>
      <c r="CN415" s="115"/>
      <c r="CO415" s="115"/>
      <c r="CP415" s="115"/>
    </row>
    <row r="416" ht="15.75" customHeight="1">
      <c r="A416" s="978" t="s">
        <v>2179</v>
      </c>
      <c r="B416" s="979"/>
      <c r="C416" s="980" t="s">
        <v>59</v>
      </c>
      <c r="D416" s="1083"/>
      <c r="E416" s="991" t="s">
        <v>2180</v>
      </c>
      <c r="F416" s="173" t="s">
        <v>2181</v>
      </c>
      <c r="G416" s="186"/>
      <c r="H416" s="71" t="s">
        <v>1229</v>
      </c>
      <c r="I416" s="26" t="s">
        <v>109</v>
      </c>
      <c r="J416" s="155"/>
      <c r="K416" s="26">
        <v>2.0</v>
      </c>
      <c r="L416" s="26">
        <v>2018.0</v>
      </c>
      <c r="M416" s="25"/>
      <c r="N416" s="26"/>
      <c r="O416" s="27" t="str">
        <f t="shared" si="3"/>
        <v>#N/A</v>
      </c>
      <c r="P416" s="273"/>
      <c r="Q416" s="273"/>
      <c r="R416" s="273"/>
      <c r="S416" s="273"/>
      <c r="T416" s="273"/>
      <c r="U416" s="273"/>
      <c r="V416" s="30">
        <f t="shared" si="28"/>
        <v>23000000</v>
      </c>
      <c r="W416" s="30"/>
      <c r="X416" s="73"/>
      <c r="Y416" s="73"/>
      <c r="Z416" s="692"/>
      <c r="AA416" s="665"/>
      <c r="AB416" s="74"/>
      <c r="AC416" s="74"/>
      <c r="AD416" s="79"/>
      <c r="AE416" s="84"/>
      <c r="AF416" s="175" t="str">
        <f>HYPERLINK("https://www.crunchbase.com/funding_round/milo-credit-seed--f27c7179","Jan 27, 2021")</f>
        <v>Jan 27, 2021</v>
      </c>
      <c r="AG416" s="76">
        <v>6000000.0</v>
      </c>
      <c r="AH416" s="74"/>
      <c r="AI416" s="78"/>
      <c r="AJ416" s="1027" t="str">
        <f>HYPERLINK("https://www.crunchbase.com/funding_round/milo-credit-series-a--0794498b","Mar 9, 2022")</f>
        <v>Mar 9, 2022</v>
      </c>
      <c r="AK416" s="1028">
        <v>1.7E7</v>
      </c>
      <c r="AL416" s="1029"/>
      <c r="AM416" s="1028"/>
      <c r="AN416" s="79"/>
      <c r="AO416" s="84"/>
      <c r="AP416" s="79"/>
      <c r="AQ416" s="84"/>
      <c r="AR416" s="79"/>
      <c r="AS416" s="79"/>
      <c r="AT416" s="79"/>
      <c r="AU416" s="80"/>
      <c r="AV416" s="79"/>
      <c r="AW416" s="38"/>
      <c r="AX416" s="79"/>
      <c r="AY416" s="38"/>
      <c r="AZ416" s="79"/>
      <c r="BA416" s="80"/>
      <c r="BB416" s="79"/>
      <c r="BC416" s="80"/>
      <c r="BD416" s="79"/>
      <c r="BE416" s="38"/>
      <c r="BF416" s="74"/>
      <c r="BG416" s="1113"/>
      <c r="BH416" s="1113"/>
      <c r="BI416" s="1113"/>
      <c r="BJ416" s="1113"/>
      <c r="BK416" s="1113"/>
      <c r="BL416" s="1113"/>
      <c r="BM416" s="1113"/>
      <c r="BN416" s="1113"/>
      <c r="BO416" s="1113"/>
      <c r="BP416" s="1113"/>
      <c r="BQ416" s="1113"/>
      <c r="BR416" s="1113"/>
      <c r="BS416" s="1113"/>
      <c r="BT416" s="1113"/>
      <c r="BU416" s="1113"/>
      <c r="BV416" s="1113"/>
      <c r="BW416" s="1113"/>
      <c r="BX416" s="1113"/>
      <c r="BY416" s="1113"/>
      <c r="BZ416" s="1113"/>
      <c r="CA416" s="1113"/>
      <c r="CB416" s="1113"/>
      <c r="CC416" s="1113"/>
      <c r="CD416" s="1113"/>
      <c r="CE416" s="1113"/>
      <c r="CF416" s="1113"/>
      <c r="CG416" s="1113"/>
      <c r="CH416" s="1113"/>
      <c r="CI416" s="1113"/>
      <c r="CJ416" s="1113"/>
      <c r="CK416" s="1113"/>
      <c r="CL416" s="1113"/>
      <c r="CM416" s="1113"/>
      <c r="CN416" s="1113"/>
      <c r="CO416" s="1113"/>
      <c r="CP416" s="1113"/>
    </row>
    <row r="417" ht="15.75" customHeight="1">
      <c r="A417" s="978" t="s">
        <v>2182</v>
      </c>
      <c r="B417" s="979"/>
      <c r="C417" s="985" t="s">
        <v>84</v>
      </c>
      <c r="D417" s="1037"/>
      <c r="E417" s="1114" t="s">
        <v>2183</v>
      </c>
      <c r="F417" s="173" t="s">
        <v>2184</v>
      </c>
      <c r="G417" s="140"/>
      <c r="H417" s="71" t="s">
        <v>2185</v>
      </c>
      <c r="I417" s="26" t="s">
        <v>666</v>
      </c>
      <c r="J417" s="155"/>
      <c r="K417" s="26">
        <v>2016.0</v>
      </c>
      <c r="L417" s="26"/>
      <c r="M417" s="25"/>
      <c r="N417" s="26"/>
      <c r="O417" s="27" t="str">
        <f t="shared" si="3"/>
        <v>#N/A</v>
      </c>
      <c r="P417" s="28"/>
      <c r="Q417" s="28"/>
      <c r="R417" s="28"/>
      <c r="S417" s="28"/>
      <c r="T417" s="28"/>
      <c r="U417" s="28"/>
      <c r="V417" s="30">
        <f t="shared" si="28"/>
        <v>23000000</v>
      </c>
      <c r="W417" s="30"/>
      <c r="X417" s="73"/>
      <c r="Y417" s="73"/>
      <c r="Z417" s="692"/>
      <c r="AA417" s="665"/>
      <c r="AB417" s="74"/>
      <c r="AC417" s="74"/>
      <c r="AD417" s="79"/>
      <c r="AE417" s="76"/>
      <c r="AF417" s="338"/>
      <c r="AG417" s="963"/>
      <c r="AH417" s="74"/>
      <c r="AI417" s="78"/>
      <c r="AJ417" s="75">
        <v>44778.0</v>
      </c>
      <c r="AK417" s="76">
        <v>2.3E7</v>
      </c>
      <c r="AL417" s="79"/>
      <c r="AM417" s="84"/>
      <c r="AN417" s="79"/>
      <c r="AO417" s="84"/>
      <c r="AP417" s="79"/>
      <c r="AQ417" s="84"/>
      <c r="AR417" s="79"/>
      <c r="AS417" s="79"/>
      <c r="AT417" s="79"/>
      <c r="AU417" s="80"/>
      <c r="AV417" s="79"/>
      <c r="AW417" s="38"/>
      <c r="AX417" s="79"/>
      <c r="AY417" s="38"/>
      <c r="AZ417" s="79"/>
      <c r="BA417" s="80"/>
      <c r="BB417" s="79"/>
      <c r="BC417" s="80"/>
      <c r="BD417" s="79"/>
      <c r="BE417" s="38"/>
      <c r="BF417" s="74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</row>
    <row r="418" ht="15.75" customHeight="1">
      <c r="A418" s="993" t="s">
        <v>2186</v>
      </c>
      <c r="B418" s="984"/>
      <c r="C418" s="985" t="s">
        <v>2187</v>
      </c>
      <c r="D418" s="1109" t="s">
        <v>2188</v>
      </c>
      <c r="E418" s="995" t="s">
        <v>2189</v>
      </c>
      <c r="F418" s="402" t="s">
        <v>2190</v>
      </c>
      <c r="G418" s="119" t="s">
        <v>2191</v>
      </c>
      <c r="H418" s="119" t="s">
        <v>2192</v>
      </c>
      <c r="I418" s="25" t="s">
        <v>826</v>
      </c>
      <c r="J418" s="120" t="s">
        <v>2193</v>
      </c>
      <c r="K418" s="25">
        <v>3.0</v>
      </c>
      <c r="L418" s="25">
        <v>2016.0</v>
      </c>
      <c r="M418" s="123"/>
      <c r="N418" s="123"/>
      <c r="O418" s="27" t="str">
        <f t="shared" si="3"/>
        <v>#N/A</v>
      </c>
      <c r="P418" s="55"/>
      <c r="Q418" s="55"/>
      <c r="R418" s="55"/>
      <c r="S418" s="55"/>
      <c r="T418" s="55"/>
      <c r="U418" s="55"/>
      <c r="V418" s="30">
        <f t="shared" si="28"/>
        <v>28500000</v>
      </c>
      <c r="W418" s="31">
        <v>3000000.0</v>
      </c>
      <c r="X418" s="403"/>
      <c r="Y418" s="403"/>
      <c r="Z418" s="692"/>
      <c r="AA418" s="665"/>
      <c r="AB418" s="123"/>
      <c r="AC418" s="123"/>
      <c r="AD418" s="452"/>
      <c r="AE418" s="125"/>
      <c r="AF418" s="453"/>
      <c r="AG418" s="125"/>
      <c r="AH418" s="123"/>
      <c r="AI418" s="128"/>
      <c r="AJ418" s="404">
        <v>43696.0</v>
      </c>
      <c r="AK418" s="127">
        <v>2.3E7</v>
      </c>
      <c r="AL418" s="123"/>
      <c r="AM418" s="125"/>
      <c r="AN418" s="123"/>
      <c r="AO418" s="123"/>
      <c r="AP418" s="881"/>
      <c r="AQ418" s="123"/>
      <c r="AR418" s="123"/>
      <c r="AS418" s="123"/>
      <c r="AT418" s="123"/>
      <c r="AU418" s="137"/>
      <c r="AV418" s="123"/>
      <c r="AW418" s="38"/>
      <c r="AX418" s="123"/>
      <c r="AY418" s="38"/>
      <c r="AZ418" s="404">
        <v>45021.0</v>
      </c>
      <c r="BA418" s="170">
        <v>5500000.0</v>
      </c>
      <c r="BB418" s="123"/>
      <c r="BC418" s="137"/>
      <c r="BD418" s="123"/>
      <c r="BE418" s="38"/>
      <c r="BF418" s="123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</row>
    <row r="419" ht="15.75" customHeight="1">
      <c r="A419" s="996" t="s">
        <v>2194</v>
      </c>
      <c r="B419" s="979"/>
      <c r="C419" s="980" t="s">
        <v>59</v>
      </c>
      <c r="D419" s="981" t="s">
        <v>2195</v>
      </c>
      <c r="E419" s="982" t="s">
        <v>2196</v>
      </c>
      <c r="F419" s="118" t="s">
        <v>2197</v>
      </c>
      <c r="G419" s="186"/>
      <c r="H419" s="71" t="s">
        <v>64</v>
      </c>
      <c r="I419" s="26" t="s">
        <v>65</v>
      </c>
      <c r="J419" s="155"/>
      <c r="K419" s="26">
        <v>2.0</v>
      </c>
      <c r="L419" s="26">
        <v>2014.0</v>
      </c>
      <c r="M419" s="25">
        <f t="shared" ref="M419:M428" si="349">year(now()) -L419</f>
        <v>11</v>
      </c>
      <c r="N419" s="26">
        <f>counta(AE419,AG419,AI419,AK419,AM419,AO419,AQ419,AS419,AU419,AW419,AY419,BA419,BC419)</f>
        <v>3</v>
      </c>
      <c r="O419" s="27" t="str">
        <f t="shared" si="3"/>
        <v>#N/A</v>
      </c>
      <c r="P419" s="28" t="str">
        <f t="shared" ref="P419:P420" si="350">RANK(T419,$T$8:$T$333)</f>
        <v>#N/A</v>
      </c>
      <c r="Q419" s="28" t="str">
        <f t="shared" ref="Q419:Q420" si="351">rank(V419,$V$8:$V$344)</f>
        <v>#N/A</v>
      </c>
      <c r="R419" s="28"/>
      <c r="S419" s="28"/>
      <c r="T419" s="29">
        <f t="shared" ref="T419:T428" si="352">V419/M419</f>
        <v>2063636.364</v>
      </c>
      <c r="U419" s="28"/>
      <c r="V419" s="30">
        <f t="shared" si="28"/>
        <v>22700000</v>
      </c>
      <c r="W419" s="30"/>
      <c r="X419" s="32">
        <f>(max(AE419,AG419,AI419,AK419,AM419,AO419,AQ419,AS419,AU419,AW419,AY419,BA419,BC419)/min(AE419,AG419,AI419,AK419,AM419,AO419,AQ419,AS419,AU419,AW419,AY419,BA419,BC419))^(1/N419)-1</f>
        <v>1.427236043</v>
      </c>
      <c r="Y419" s="33">
        <f>(max(AE419,AG419,AI419,AK419,AM419,AO419,AQ419,AS419,AU419,AW419,AY419,BA419,BC419)/min(AE419,AG419,AI419,AK419,AM419,AO419,AQ419,AS419,AU419,AW419,AY419,BA419,BC419))^(1/M419)-1</f>
        <v>0.2735926641</v>
      </c>
      <c r="Z419" s="692"/>
      <c r="AA419" s="665"/>
      <c r="AB419" s="74"/>
      <c r="AC419" s="74"/>
      <c r="AD419" s="44"/>
      <c r="AE419" s="46"/>
      <c r="AF419" s="43" t="str">
        <f>HYPERLINK("https://www.crunchbase.com/funding_round/rhumbix-seed--be952b47","Mar 2, 2014")</f>
        <v>Mar 2, 2014</v>
      </c>
      <c r="AG419" s="76">
        <v>1000000.0</v>
      </c>
      <c r="AH419" s="55"/>
      <c r="AI419" s="55"/>
      <c r="AJ419" s="869" t="str">
        <f>HYPERLINK("https://www.crunchbase.com/funding_round/rhumbix-series-a--1bd86dbc","Sep 25, 2017")</f>
        <v>Sep 25, 2017</v>
      </c>
      <c r="AK419" s="1115">
        <v>7400000.0</v>
      </c>
      <c r="AL419" s="43" t="str">
        <f>HYPERLINK("https://www.crunchbase.com/funding_round/rhumbix-series-b--42e8882e","Jun 20, 2019")</f>
        <v>Jun 20, 2019</v>
      </c>
      <c r="AM419" s="38">
        <v>1.43E7</v>
      </c>
      <c r="AN419" s="79"/>
      <c r="AO419" s="84"/>
      <c r="AP419" s="79"/>
      <c r="AQ419" s="84"/>
      <c r="AR419" s="79"/>
      <c r="AS419" s="79"/>
      <c r="AT419" s="79"/>
      <c r="AU419" s="80"/>
      <c r="AV419" s="79"/>
      <c r="AW419" s="38"/>
      <c r="AX419" s="79"/>
      <c r="AY419" s="38"/>
      <c r="AZ419" s="79"/>
      <c r="BA419" s="80"/>
      <c r="BB419" s="79"/>
      <c r="BC419" s="80"/>
      <c r="BD419" s="79"/>
      <c r="BE419" s="38"/>
      <c r="BF419" s="74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</row>
    <row r="420" ht="15.75" customHeight="1">
      <c r="A420" s="978" t="s">
        <v>2198</v>
      </c>
      <c r="B420" s="988"/>
      <c r="C420" s="989" t="s">
        <v>84</v>
      </c>
      <c r="D420" s="981" t="s">
        <v>2199</v>
      </c>
      <c r="E420" s="1072" t="s">
        <v>2200</v>
      </c>
      <c r="F420" s="173" t="s">
        <v>2201</v>
      </c>
      <c r="G420" s="317"/>
      <c r="H420" s="22" t="s">
        <v>64</v>
      </c>
      <c r="I420" s="36" t="s">
        <v>65</v>
      </c>
      <c r="J420" s="237"/>
      <c r="K420" s="23"/>
      <c r="L420" s="23">
        <v>2017.0</v>
      </c>
      <c r="M420" s="25">
        <f t="shared" si="349"/>
        <v>8</v>
      </c>
      <c r="N420" s="26">
        <f>counta(AE420,#REF!,AI420,AK420,AM420,AO420,AQ420,AS420,AU420,AW420,AY420,BA420,BC420)</f>
        <v>2</v>
      </c>
      <c r="O420" s="27" t="str">
        <f t="shared" si="3"/>
        <v>#N/A</v>
      </c>
      <c r="P420" s="28" t="str">
        <f t="shared" si="350"/>
        <v>#N/A</v>
      </c>
      <c r="Q420" s="28" t="str">
        <f t="shared" si="351"/>
        <v>#N/A</v>
      </c>
      <c r="R420" s="28"/>
      <c r="S420" s="28"/>
      <c r="T420" s="29">
        <f t="shared" si="352"/>
        <v>2837500</v>
      </c>
      <c r="U420" s="28"/>
      <c r="V420" s="30">
        <f t="shared" si="28"/>
        <v>22700000</v>
      </c>
      <c r="W420" s="30"/>
      <c r="X420" s="32" t="str">
        <f>(max(AE420,#REF!,AI420,AK420,AM420,AO420,AQ420,AS420,AU420,AW420,AY420,BA420,BC420)/min(AE420,#REF!,AI420,AK420,AM420,AO420,AQ420,AS420,AU420,AW420,AY420,BA420,BC420))^(1/N420)-1</f>
        <v>#REF!</v>
      </c>
      <c r="Y420" s="33" t="str">
        <f>(max(AE420,#REF!,AI420,AK420,AM420,AO420,AQ420,AS420,AU420,AW420,AY420,BA420,BC420)/min(AE420,#REF!,AI420,AK420,AM420,AO420,AQ420,AS420,AU420,AW420,AY420,BA420,BC420))^(1/M420)-1</f>
        <v>#REF!</v>
      </c>
      <c r="Z420" s="692"/>
      <c r="AA420" s="665"/>
      <c r="AB420" s="36"/>
      <c r="AC420" s="36"/>
      <c r="AD420" s="44"/>
      <c r="AE420" s="38"/>
      <c r="AF420" s="158">
        <v>43739.0</v>
      </c>
      <c r="AG420" s="38">
        <v>4700000.0</v>
      </c>
      <c r="AH420" s="36"/>
      <c r="AI420" s="159"/>
      <c r="AJ420" s="804">
        <v>43790.0</v>
      </c>
      <c r="AK420" s="38">
        <v>1.8E7</v>
      </c>
      <c r="AL420" s="804"/>
      <c r="AM420" s="805"/>
      <c r="AN420" s="1116"/>
      <c r="AO420" s="805"/>
      <c r="AP420" s="44"/>
      <c r="AQ420" s="46"/>
      <c r="AR420" s="44"/>
      <c r="AS420" s="44"/>
      <c r="AT420" s="44"/>
      <c r="AU420" s="45"/>
      <c r="AV420" s="44"/>
      <c r="AW420" s="38"/>
      <c r="AX420" s="44"/>
      <c r="AY420" s="38"/>
      <c r="AZ420" s="44"/>
      <c r="BA420" s="45"/>
      <c r="BB420" s="44"/>
      <c r="BC420" s="45"/>
      <c r="BD420" s="44"/>
      <c r="BE420" s="38"/>
      <c r="BF420" s="36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</row>
    <row r="421" ht="15.75" customHeight="1">
      <c r="A421" s="978" t="s">
        <v>2202</v>
      </c>
      <c r="B421" s="988"/>
      <c r="C421" s="989" t="s">
        <v>123</v>
      </c>
      <c r="D421" s="1117"/>
      <c r="E421" s="982" t="s">
        <v>2203</v>
      </c>
      <c r="F421" s="118" t="s">
        <v>2204</v>
      </c>
      <c r="G421" s="810"/>
      <c r="H421" s="22" t="s">
        <v>673</v>
      </c>
      <c r="I421" s="23" t="s">
        <v>674</v>
      </c>
      <c r="J421" s="24"/>
      <c r="K421" s="74"/>
      <c r="L421" s="23">
        <v>2019.0</v>
      </c>
      <c r="M421" s="25">
        <f t="shared" si="349"/>
        <v>6</v>
      </c>
      <c r="N421" s="26">
        <f t="shared" ref="N421:N428" si="353">counta(AE421,AG421,AI421,AK421,AM421,AO421,AQ421,AS421,AU421,AW421,AY421,BA421,BC421)</f>
        <v>3</v>
      </c>
      <c r="O421" s="27" t="str">
        <f t="shared" si="3"/>
        <v>#N/A</v>
      </c>
      <c r="P421" s="28"/>
      <c r="Q421" s="28"/>
      <c r="R421" s="28"/>
      <c r="S421" s="28"/>
      <c r="T421" s="29">
        <f t="shared" si="352"/>
        <v>3783333.333</v>
      </c>
      <c r="U421" s="28"/>
      <c r="V421" s="30">
        <f t="shared" si="28"/>
        <v>22700000</v>
      </c>
      <c r="W421" s="30"/>
      <c r="X421" s="32"/>
      <c r="Y421" s="33">
        <f>(max(AE421,AG421,AI421,AK421,AM421,AO421,AQ421,AS421,AU421,AW421,AY421,BA421,BC421)/min(AE421,AG421,AI421,AK421))^(1/M421)-1</f>
        <v>0.2682494113</v>
      </c>
      <c r="Z421" s="692"/>
      <c r="AA421" s="665"/>
      <c r="AB421" s="36"/>
      <c r="AC421" s="36"/>
      <c r="AD421" s="44"/>
      <c r="AE421" s="46"/>
      <c r="AF421" s="726">
        <v>44730.0</v>
      </c>
      <c r="AG421" s="38">
        <v>6700000.0</v>
      </c>
      <c r="AH421" s="36"/>
      <c r="AI421" s="159"/>
      <c r="AJ421" s="62">
        <v>44881.0</v>
      </c>
      <c r="AK421" s="38">
        <v>3100000.0</v>
      </c>
      <c r="AL421" s="44"/>
      <c r="AM421" s="46"/>
      <c r="AN421" s="44"/>
      <c r="AO421" s="46"/>
      <c r="AP421" s="44"/>
      <c r="AQ421" s="46"/>
      <c r="AR421" s="44"/>
      <c r="AS421" s="44"/>
      <c r="AT421" s="44"/>
      <c r="AU421" s="45"/>
      <c r="AV421" s="44"/>
      <c r="AW421" s="38"/>
      <c r="AX421" s="44"/>
      <c r="AY421" s="38"/>
      <c r="AZ421" s="75">
        <v>44461.0</v>
      </c>
      <c r="BA421" s="229">
        <v>1.29E7</v>
      </c>
      <c r="BB421" s="44"/>
      <c r="BC421" s="45"/>
      <c r="BD421" s="44"/>
      <c r="BE421" s="38"/>
      <c r="BF421" s="36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</row>
    <row r="422" ht="15.75" customHeight="1">
      <c r="A422" s="1024" t="s">
        <v>2205</v>
      </c>
      <c r="B422" s="979" t="s">
        <v>2206</v>
      </c>
      <c r="C422" s="980" t="s">
        <v>59</v>
      </c>
      <c r="D422" s="990" t="s">
        <v>2207</v>
      </c>
      <c r="E422" s="1026" t="s">
        <v>2208</v>
      </c>
      <c r="F422" s="185" t="s">
        <v>2209</v>
      </c>
      <c r="G422" s="186" t="s">
        <v>2210</v>
      </c>
      <c r="H422" s="186" t="s">
        <v>2211</v>
      </c>
      <c r="I422" s="74" t="s">
        <v>188</v>
      </c>
      <c r="J422" s="155" t="s">
        <v>2212</v>
      </c>
      <c r="K422" s="74">
        <v>2.0</v>
      </c>
      <c r="L422" s="26">
        <v>2016.0</v>
      </c>
      <c r="M422" s="25">
        <f t="shared" si="349"/>
        <v>9</v>
      </c>
      <c r="N422" s="26">
        <f t="shared" si="353"/>
        <v>3</v>
      </c>
      <c r="O422" s="27" t="str">
        <f t="shared" si="3"/>
        <v>#N/A</v>
      </c>
      <c r="P422" s="28" t="str">
        <f t="shared" ref="P422:P423" si="354">RANK(T422,$T$8:$T$333)</f>
        <v>#N/A</v>
      </c>
      <c r="Q422" s="28" t="str">
        <f t="shared" ref="Q422:Q423" si="355">rank(V422,$V$8:$V$344)</f>
        <v>#N/A</v>
      </c>
      <c r="R422" s="28"/>
      <c r="S422" s="28"/>
      <c r="T422" s="29">
        <f t="shared" si="352"/>
        <v>2488888.889</v>
      </c>
      <c r="U422" s="28"/>
      <c r="V422" s="30">
        <f t="shared" si="28"/>
        <v>22400000</v>
      </c>
      <c r="W422" s="30"/>
      <c r="X422" s="32">
        <f t="shared" ref="X422:X423" si="356">(max(AE422,AG422,AI422,AK422,AM422,AO422,AQ422,AS422,AU422,AW422,AY422,BA422,BC422)/min(AE422,AG422,AI422,AK422,AM422,AO422,AQ422,AS422,AU422,AW422,AY422,BA422,BC422))^(1/N422)-1</f>
        <v>1.163967711</v>
      </c>
      <c r="Y422" s="33">
        <f t="shared" ref="Y422:Y423" si="357">(max(AE422,AG422,AI422,AK422,AM422,AO422,AQ422,AS422,AU422,AW422,AY422,BA422,BC422)/min(AE422,AG422,AI422,AK422,AM422,AO422,AQ422,AS422,AU422,AW422,AY422,BA422,BC422))^(1/M422)-1</f>
        <v>0.2934518275</v>
      </c>
      <c r="Z422" s="692"/>
      <c r="AA422" s="665"/>
      <c r="AB422" s="74"/>
      <c r="AC422" s="74"/>
      <c r="AD422" s="79"/>
      <c r="AE422" s="84"/>
      <c r="AF422" s="175" t="str">
        <f>HYPERLINK("crunchbase.com/organization/truss#section-funding-rounds","Mar 2, 2016")</f>
        <v>Mar 2, 2016</v>
      </c>
      <c r="AG422" s="84">
        <v>1500000.0</v>
      </c>
      <c r="AH422" s="859" t="str">
        <f>HYPERLINK("https://www.crunchbase.com/funding_round/truss-series-a--7655674b","Aug 23, 2017")</f>
        <v>Aug 23, 2017</v>
      </c>
      <c r="AI422" s="78">
        <v>5700000.0</v>
      </c>
      <c r="AJ422" s="181" t="str">
        <f>HYPERLINK("https://www.crunchbase.com/funding_round/truss-series-a--87888300","Jan 17, 2019")</f>
        <v>Jan 17, 2019</v>
      </c>
      <c r="AK422" s="76">
        <v>1.52E7</v>
      </c>
      <c r="AL422" s="79"/>
      <c r="AM422" s="84"/>
      <c r="AN422" s="79"/>
      <c r="AO422" s="84"/>
      <c r="AP422" s="79"/>
      <c r="AQ422" s="84"/>
      <c r="AR422" s="79"/>
      <c r="AS422" s="79"/>
      <c r="AT422" s="79"/>
      <c r="AU422" s="80"/>
      <c r="AV422" s="79"/>
      <c r="AW422" s="38"/>
      <c r="AX422" s="79"/>
      <c r="AY422" s="38"/>
      <c r="AZ422" s="79"/>
      <c r="BA422" s="80"/>
      <c r="BB422" s="79"/>
      <c r="BC422" s="80"/>
      <c r="BD422" s="79"/>
      <c r="BE422" s="38"/>
      <c r="BF422" s="74"/>
      <c r="BG422" s="115"/>
      <c r="BH422" s="115"/>
      <c r="BI422" s="115"/>
      <c r="BJ422" s="115"/>
      <c r="BK422" s="115"/>
      <c r="BL422" s="115"/>
      <c r="BM422" s="115"/>
      <c r="BN422" s="115"/>
      <c r="BO422" s="115"/>
      <c r="BP422" s="115"/>
      <c r="BQ422" s="115"/>
      <c r="BR422" s="115"/>
      <c r="BS422" s="115"/>
      <c r="BT422" s="115"/>
      <c r="BU422" s="115"/>
      <c r="BV422" s="115"/>
      <c r="BW422" s="115"/>
      <c r="BX422" s="115"/>
      <c r="BY422" s="115"/>
      <c r="BZ422" s="115"/>
      <c r="CA422" s="115"/>
      <c r="CB422" s="115"/>
      <c r="CC422" s="115"/>
      <c r="CD422" s="115"/>
      <c r="CE422" s="115"/>
      <c r="CF422" s="115"/>
      <c r="CG422" s="115"/>
      <c r="CH422" s="115"/>
      <c r="CI422" s="115"/>
      <c r="CJ422" s="115"/>
      <c r="CK422" s="115"/>
      <c r="CL422" s="115"/>
      <c r="CM422" s="115"/>
      <c r="CN422" s="115"/>
      <c r="CO422" s="115"/>
      <c r="CP422" s="115"/>
    </row>
    <row r="423" ht="15.75" customHeight="1">
      <c r="A423" s="1118" t="s">
        <v>2213</v>
      </c>
      <c r="B423" s="1119" t="s">
        <v>403</v>
      </c>
      <c r="C423" s="1119" t="s">
        <v>2214</v>
      </c>
      <c r="D423" s="1120" t="s">
        <v>2215</v>
      </c>
      <c r="E423" s="1121" t="s">
        <v>2216</v>
      </c>
      <c r="F423" s="1122" t="s">
        <v>2217</v>
      </c>
      <c r="G423" s="1123" t="s">
        <v>2218</v>
      </c>
      <c r="H423" s="1123" t="s">
        <v>64</v>
      </c>
      <c r="I423" s="1123" t="s">
        <v>65</v>
      </c>
      <c r="J423" s="1124" t="s">
        <v>566</v>
      </c>
      <c r="K423" s="1123">
        <v>1.0</v>
      </c>
      <c r="L423" s="1123">
        <v>2014.0</v>
      </c>
      <c r="M423" s="25">
        <f t="shared" si="349"/>
        <v>11</v>
      </c>
      <c r="N423" s="26">
        <f t="shared" si="353"/>
        <v>4</v>
      </c>
      <c r="O423" s="27" t="str">
        <f t="shared" si="3"/>
        <v>#N/A</v>
      </c>
      <c r="P423" s="28" t="str">
        <f t="shared" si="354"/>
        <v>#N/A</v>
      </c>
      <c r="Q423" s="28" t="str">
        <f t="shared" si="355"/>
        <v>#N/A</v>
      </c>
      <c r="R423" s="28"/>
      <c r="S423" s="28"/>
      <c r="T423" s="29">
        <f t="shared" si="352"/>
        <v>2036363.636</v>
      </c>
      <c r="U423" s="28"/>
      <c r="V423" s="30">
        <f t="shared" si="28"/>
        <v>22400000</v>
      </c>
      <c r="W423" s="30"/>
      <c r="X423" s="32">
        <f t="shared" si="356"/>
        <v>2.16227766</v>
      </c>
      <c r="Y423" s="33">
        <f t="shared" si="357"/>
        <v>0.519911083</v>
      </c>
      <c r="Z423" s="692"/>
      <c r="AA423" s="665"/>
      <c r="AB423" s="1125"/>
      <c r="AC423" s="1125"/>
      <c r="AD423" s="1126" t="str">
        <f>HYPERLINK("https://www.crunchbase.com/funding_round/2ndaddress-angel--5e5825bf","Jul 1, 2014")</f>
        <v>Jul 1, 2014</v>
      </c>
      <c r="AE423" s="1127">
        <v>100000.0</v>
      </c>
      <c r="AF423" s="1128" t="str">
        <f>HYPERLINK("https://www.crunchbase.com/funding_round/2ndaddress-seed--15a5ea5d","June 11,  2015")</f>
        <v>June 11,  2015</v>
      </c>
      <c r="AG423" s="1129">
        <v>2300000.0</v>
      </c>
      <c r="AH423" s="1125"/>
      <c r="AI423" s="1130"/>
      <c r="AJ423" s="1126" t="str">
        <f>HYPERLINK("https://www.crunchbase.com/funding_round/2ndaddress-series-a--53999105","Aug 6, 2015")</f>
        <v>Aug 6, 2015</v>
      </c>
      <c r="AK423" s="1129">
        <v>1.0E7</v>
      </c>
      <c r="AL423" s="1131" t="str">
        <f>HYPERLINK("https://www.crunchbase.com/funding_round/2ndaddress-series-b--0622bae3","Apr 2, 2019")</f>
        <v>Apr 2, 2019</v>
      </c>
      <c r="AM423" s="1129">
        <v>1.0E7</v>
      </c>
      <c r="AN423" s="1132"/>
      <c r="AO423" s="1125"/>
      <c r="AP423" s="1132"/>
      <c r="AQ423" s="1125"/>
      <c r="AR423" s="1132"/>
      <c r="AS423" s="1132"/>
      <c r="AT423" s="1132"/>
      <c r="AU423" s="1133"/>
      <c r="AV423" s="1132"/>
      <c r="AW423" s="38"/>
      <c r="AX423" s="1132"/>
      <c r="AY423" s="38"/>
      <c r="AZ423" s="1132"/>
      <c r="BA423" s="1133"/>
      <c r="BB423" s="1132"/>
      <c r="BC423" s="1133"/>
      <c r="BD423" s="1132"/>
      <c r="BE423" s="38"/>
      <c r="BF423" s="1125"/>
      <c r="BG423" s="115"/>
      <c r="BH423" s="115"/>
      <c r="BI423" s="115"/>
      <c r="BJ423" s="115"/>
      <c r="BK423" s="115"/>
      <c r="BL423" s="115"/>
      <c r="BM423" s="115"/>
      <c r="BN423" s="115"/>
      <c r="BO423" s="115"/>
      <c r="BP423" s="115"/>
      <c r="BQ423" s="115"/>
      <c r="BR423" s="115"/>
      <c r="BS423" s="115"/>
      <c r="BT423" s="115"/>
      <c r="BU423" s="115"/>
      <c r="BV423" s="115"/>
      <c r="BW423" s="115"/>
      <c r="BX423" s="115"/>
      <c r="BY423" s="115"/>
      <c r="BZ423" s="115"/>
      <c r="CA423" s="115"/>
      <c r="CB423" s="115"/>
      <c r="CC423" s="115"/>
      <c r="CD423" s="115"/>
      <c r="CE423" s="115"/>
      <c r="CF423" s="115"/>
      <c r="CG423" s="115"/>
      <c r="CH423" s="115"/>
      <c r="CI423" s="115"/>
      <c r="CJ423" s="115"/>
      <c r="CK423" s="115"/>
      <c r="CL423" s="115"/>
      <c r="CM423" s="115"/>
      <c r="CN423" s="115"/>
      <c r="CO423" s="115"/>
      <c r="CP423" s="115"/>
    </row>
    <row r="424" ht="15.75" customHeight="1">
      <c r="A424" s="1020" t="s">
        <v>2219</v>
      </c>
      <c r="B424" s="979"/>
      <c r="C424" s="980" t="s">
        <v>123</v>
      </c>
      <c r="D424" s="981" t="s">
        <v>2220</v>
      </c>
      <c r="E424" s="982" t="s">
        <v>2221</v>
      </c>
      <c r="F424" s="118" t="s">
        <v>2222</v>
      </c>
      <c r="G424" s="751" t="s">
        <v>2223</v>
      </c>
      <c r="H424" s="71" t="s">
        <v>129</v>
      </c>
      <c r="I424" s="26" t="s">
        <v>129</v>
      </c>
      <c r="J424" s="72"/>
      <c r="K424" s="74"/>
      <c r="L424" s="26">
        <v>2017.0</v>
      </c>
      <c r="M424" s="25">
        <f t="shared" si="349"/>
        <v>8</v>
      </c>
      <c r="N424" s="26">
        <f t="shared" si="353"/>
        <v>4</v>
      </c>
      <c r="O424" s="27" t="str">
        <f t="shared" si="3"/>
        <v>#N/A</v>
      </c>
      <c r="P424" s="28"/>
      <c r="Q424" s="28"/>
      <c r="R424" s="28"/>
      <c r="S424" s="28"/>
      <c r="T424" s="29">
        <f t="shared" si="352"/>
        <v>4046500</v>
      </c>
      <c r="U424" s="28"/>
      <c r="V424" s="30">
        <f t="shared" si="28"/>
        <v>32372000</v>
      </c>
      <c r="W424" s="30"/>
      <c r="X424" s="32"/>
      <c r="Y424" s="33">
        <f>(max(AE424,AG424,AI424,AK424,AM424,AO424,AQ424,AS424,AU424,AW424,AY424,BA424,BC424)/min(AE424,AG424,AI424,AK424))^(1/M424)-1</f>
        <v>0.4698724147</v>
      </c>
      <c r="Z424" s="692"/>
      <c r="AA424" s="665"/>
      <c r="AB424" s="74"/>
      <c r="AC424" s="74"/>
      <c r="AD424" s="42">
        <v>43252.0</v>
      </c>
      <c r="AE424" s="76">
        <v>872000.0</v>
      </c>
      <c r="AF424" s="225">
        <v>43419.0</v>
      </c>
      <c r="AG424" s="76">
        <v>2500000.0</v>
      </c>
      <c r="AH424" s="74"/>
      <c r="AI424" s="78"/>
      <c r="AJ424" s="387">
        <v>44959.0</v>
      </c>
      <c r="AK424" s="76">
        <v>1.9E7</v>
      </c>
      <c r="AL424" s="75">
        <v>45041.0</v>
      </c>
      <c r="AM424" s="76">
        <v>1.0E7</v>
      </c>
      <c r="AN424" s="79"/>
      <c r="AO424" s="84"/>
      <c r="AP424" s="79"/>
      <c r="AQ424" s="84"/>
      <c r="AR424" s="79"/>
      <c r="AS424" s="79"/>
      <c r="AT424" s="79"/>
      <c r="AU424" s="80"/>
      <c r="AV424" s="79"/>
      <c r="AW424" s="38"/>
      <c r="AX424" s="79"/>
      <c r="AY424" s="38"/>
      <c r="AZ424" s="79"/>
      <c r="BA424" s="80"/>
      <c r="BB424" s="79"/>
      <c r="BC424" s="80"/>
      <c r="BD424" s="79"/>
      <c r="BE424" s="38"/>
      <c r="BF424" s="74"/>
      <c r="BG424" s="534"/>
      <c r="BH424" s="534"/>
      <c r="BI424" s="534"/>
      <c r="BJ424" s="534"/>
      <c r="BK424" s="534"/>
      <c r="BL424" s="534"/>
      <c r="BM424" s="534"/>
      <c r="BN424" s="534"/>
      <c r="BO424" s="534"/>
      <c r="BP424" s="534"/>
      <c r="BQ424" s="534"/>
      <c r="BR424" s="534"/>
      <c r="BS424" s="534"/>
      <c r="BT424" s="534"/>
      <c r="BU424" s="534"/>
      <c r="BV424" s="534"/>
      <c r="BW424" s="534"/>
      <c r="BX424" s="534"/>
      <c r="BY424" s="534"/>
      <c r="BZ424" s="534"/>
      <c r="CA424" s="534"/>
      <c r="CB424" s="534"/>
      <c r="CC424" s="534"/>
      <c r="CD424" s="534"/>
      <c r="CE424" s="534"/>
      <c r="CF424" s="534"/>
      <c r="CG424" s="534"/>
      <c r="CH424" s="534"/>
      <c r="CI424" s="534"/>
      <c r="CJ424" s="534"/>
      <c r="CK424" s="534"/>
      <c r="CL424" s="534"/>
      <c r="CM424" s="534"/>
      <c r="CN424" s="534"/>
      <c r="CO424" s="534"/>
      <c r="CP424" s="534"/>
    </row>
    <row r="425" ht="15.75" customHeight="1">
      <c r="A425" s="1024" t="s">
        <v>2224</v>
      </c>
      <c r="B425" s="979" t="s">
        <v>2225</v>
      </c>
      <c r="C425" s="979" t="s">
        <v>59</v>
      </c>
      <c r="D425" s="1083" t="s">
        <v>2226</v>
      </c>
      <c r="E425" s="1112" t="s">
        <v>2227</v>
      </c>
      <c r="F425" s="652" t="s">
        <v>2228</v>
      </c>
      <c r="G425" s="186"/>
      <c r="H425" s="186" t="s">
        <v>271</v>
      </c>
      <c r="I425" s="74" t="s">
        <v>272</v>
      </c>
      <c r="J425" s="155"/>
      <c r="K425" s="74">
        <v>1.0</v>
      </c>
      <c r="L425" s="26">
        <v>2016.0</v>
      </c>
      <c r="M425" s="25">
        <f t="shared" si="349"/>
        <v>9</v>
      </c>
      <c r="N425" s="26">
        <f t="shared" si="353"/>
        <v>2</v>
      </c>
      <c r="O425" s="27" t="str">
        <f t="shared" si="3"/>
        <v>#N/A</v>
      </c>
      <c r="P425" s="28" t="str">
        <f t="shared" ref="P425:P428" si="358">RANK(T425,$T$8:$T$333)</f>
        <v>#N/A</v>
      </c>
      <c r="Q425" s="28" t="str">
        <f t="shared" ref="Q425:Q428" si="359">rank(V425,$V$8:$V$344)</f>
        <v>#N/A</v>
      </c>
      <c r="R425" s="28"/>
      <c r="S425" s="28"/>
      <c r="T425" s="29">
        <f t="shared" si="352"/>
        <v>2477777.778</v>
      </c>
      <c r="U425" s="28"/>
      <c r="V425" s="30">
        <f t="shared" si="28"/>
        <v>22300000</v>
      </c>
      <c r="W425" s="30"/>
      <c r="X425" s="32">
        <f t="shared" ref="X425:X428" si="360">(max(AE425,AG425,AI425,AK425,AM425,AO425,AQ425,AS425,AU425,AW425,AY425,BA425,BC425)/min(AE425,AG425,AI425,AK425,AM425,AO425,AQ425,AS425,AU425,AW425,AY425,BA425,BC425))^(1/N425)-1</f>
        <v>1.948839123</v>
      </c>
      <c r="Y425" s="33">
        <f t="shared" ref="Y425:Y428" si="361">(max(AE425,AG425,AI425,AK425,AM425,AO425,AQ425,AS425,AU425,AW425,AY425,BA425,BC425)/min(AE425,AG425,AI425,AK425,AM425,AO425,AQ425,AS425,AU425,AW425,AY425,BA425,BC425))^(1/M425)-1</f>
        <v>0.2716479826</v>
      </c>
      <c r="Z425" s="692"/>
      <c r="AA425" s="665"/>
      <c r="AB425" s="74"/>
      <c r="AC425" s="74"/>
      <c r="AD425" s="79"/>
      <c r="AE425" s="84"/>
      <c r="AF425" s="175" t="str">
        <f>HYPERLINK("https://www.crunchbase.com/organization/jetclosing#section-overview"," 11/30/2016")</f>
        <v> 11/30/2016</v>
      </c>
      <c r="AG425" s="84">
        <v>2300000.0</v>
      </c>
      <c r="AH425" s="77"/>
      <c r="AI425" s="78"/>
      <c r="AJ425" s="181" t="str">
        <f>HYPERLINK("https://www.crunchbase.com/funding_round/jetclosing-series-a--f70af992"," 6/8/2018")</f>
        <v> 6/8/2018</v>
      </c>
      <c r="AK425" s="84">
        <v>2.0E7</v>
      </c>
      <c r="AL425" s="79"/>
      <c r="AM425" s="84"/>
      <c r="AN425" s="79"/>
      <c r="AO425" s="84"/>
      <c r="AP425" s="79"/>
      <c r="AQ425" s="84"/>
      <c r="AR425" s="79"/>
      <c r="AS425" s="79"/>
      <c r="AT425" s="79"/>
      <c r="AU425" s="80"/>
      <c r="AV425" s="79"/>
      <c r="AW425" s="38"/>
      <c r="AX425" s="79"/>
      <c r="AY425" s="38"/>
      <c r="AZ425" s="79"/>
      <c r="BA425" s="80"/>
      <c r="BB425" s="79"/>
      <c r="BC425" s="80"/>
      <c r="BD425" s="79"/>
      <c r="BE425" s="38"/>
      <c r="BF425" s="74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</row>
    <row r="426" ht="15.75" customHeight="1">
      <c r="A426" s="996" t="s">
        <v>2229</v>
      </c>
      <c r="B426" s="979"/>
      <c r="C426" s="980" t="s">
        <v>132</v>
      </c>
      <c r="D426" s="1001" t="s">
        <v>2230</v>
      </c>
      <c r="E426" s="982" t="s">
        <v>2231</v>
      </c>
      <c r="F426" s="118" t="s">
        <v>2232</v>
      </c>
      <c r="G426" s="54"/>
      <c r="H426" s="71" t="s">
        <v>1833</v>
      </c>
      <c r="I426" s="26" t="s">
        <v>651</v>
      </c>
      <c r="J426" s="72"/>
      <c r="K426" s="26">
        <v>2.0</v>
      </c>
      <c r="L426" s="26">
        <v>2020.0</v>
      </c>
      <c r="M426" s="25">
        <f t="shared" si="349"/>
        <v>5</v>
      </c>
      <c r="N426" s="26">
        <f t="shared" si="353"/>
        <v>3</v>
      </c>
      <c r="O426" s="27" t="str">
        <f t="shared" si="3"/>
        <v>#N/A</v>
      </c>
      <c r="P426" s="28" t="str">
        <f t="shared" si="358"/>
        <v>#N/A</v>
      </c>
      <c r="Q426" s="28" t="str">
        <f t="shared" si="359"/>
        <v>#N/A</v>
      </c>
      <c r="R426" s="28"/>
      <c r="S426" s="28"/>
      <c r="T426" s="29">
        <f t="shared" si="352"/>
        <v>4420000</v>
      </c>
      <c r="U426" s="28"/>
      <c r="V426" s="30">
        <f t="shared" si="28"/>
        <v>22100000</v>
      </c>
      <c r="W426" s="30"/>
      <c r="X426" s="32">
        <f t="shared" si="360"/>
        <v>1.538788992</v>
      </c>
      <c r="Y426" s="33">
        <f t="shared" si="361"/>
        <v>0.748944242</v>
      </c>
      <c r="Z426" s="692"/>
      <c r="AA426" s="665"/>
      <c r="AB426" s="74"/>
      <c r="AC426" s="74"/>
      <c r="AD426" s="181" t="str">
        <f>HYPERLINK("https://www.crunchbase.com/funding_round/staircase-fb11-pre-seed--c89fda6e","Jan 29, 2020")</f>
        <v>Jan 29, 2020</v>
      </c>
      <c r="AE426" s="76">
        <v>1100000.0</v>
      </c>
      <c r="AF426" s="719" t="str">
        <f>HYPERLINK("https://www.crunchbase.com/funding_round/staircase-fb11-seed--1a95a5e1","Jul 10, 2020")</f>
        <v>Jul 10, 2020</v>
      </c>
      <c r="AG426" s="76">
        <v>3000000.0</v>
      </c>
      <c r="AH426" s="77"/>
      <c r="AI426" s="78"/>
      <c r="AJ426" s="181" t="str">
        <f>HYPERLINK("https://www.crunchbase.com/funding_round/staircase-fb11-series-a--a750b695","Dec 14, 2021")</f>
        <v>Dec 14, 2021</v>
      </c>
      <c r="AK426" s="76">
        <v>1.8E7</v>
      </c>
      <c r="AL426" s="279"/>
      <c r="AM426" s="76"/>
      <c r="AN426" s="79"/>
      <c r="AO426" s="84"/>
      <c r="AP426" s="79"/>
      <c r="AQ426" s="84"/>
      <c r="AR426" s="79"/>
      <c r="AS426" s="79"/>
      <c r="AT426" s="79"/>
      <c r="AU426" s="80"/>
      <c r="AV426" s="79"/>
      <c r="AW426" s="38"/>
      <c r="AX426" s="79"/>
      <c r="AY426" s="38"/>
      <c r="AZ426" s="79"/>
      <c r="BA426" s="80"/>
      <c r="BB426" s="79"/>
      <c r="BC426" s="80"/>
      <c r="BD426" s="79"/>
      <c r="BE426" s="38"/>
      <c r="BF426" s="74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</row>
    <row r="427" ht="15.75" customHeight="1">
      <c r="A427" s="983" t="s">
        <v>2233</v>
      </c>
      <c r="B427" s="984" t="s">
        <v>2234</v>
      </c>
      <c r="C427" s="985" t="s">
        <v>2235</v>
      </c>
      <c r="D427" s="986" t="s">
        <v>2236</v>
      </c>
      <c r="E427" s="987" t="s">
        <v>2237</v>
      </c>
      <c r="F427" s="668" t="s">
        <v>2238</v>
      </c>
      <c r="G427" s="286" t="s">
        <v>2239</v>
      </c>
      <c r="H427" s="286" t="s">
        <v>825</v>
      </c>
      <c r="I427" s="123" t="s">
        <v>2240</v>
      </c>
      <c r="J427" s="287" t="s">
        <v>827</v>
      </c>
      <c r="K427" s="123">
        <v>5.0</v>
      </c>
      <c r="L427" s="25">
        <v>2015.0</v>
      </c>
      <c r="M427" s="25">
        <f t="shared" si="349"/>
        <v>10</v>
      </c>
      <c r="N427" s="26">
        <f t="shared" si="353"/>
        <v>2</v>
      </c>
      <c r="O427" s="27" t="str">
        <f t="shared" si="3"/>
        <v>#N/A</v>
      </c>
      <c r="P427" s="28" t="str">
        <f t="shared" si="358"/>
        <v>#N/A</v>
      </c>
      <c r="Q427" s="28" t="str">
        <f t="shared" si="359"/>
        <v>#N/A</v>
      </c>
      <c r="R427" s="28"/>
      <c r="S427" s="28"/>
      <c r="T427" s="29">
        <f t="shared" si="352"/>
        <v>2200000</v>
      </c>
      <c r="U427" s="28"/>
      <c r="V427" s="30">
        <f t="shared" si="28"/>
        <v>22000000</v>
      </c>
      <c r="W427" s="30"/>
      <c r="X427" s="32">
        <f t="shared" si="360"/>
        <v>0.2724180206</v>
      </c>
      <c r="Y427" s="33">
        <f t="shared" si="361"/>
        <v>0.04936351973</v>
      </c>
      <c r="Z427" s="692"/>
      <c r="AA427" s="665"/>
      <c r="AB427" s="123"/>
      <c r="AC427" s="123"/>
      <c r="AD427" s="124"/>
      <c r="AE427" s="125"/>
      <c r="AF427" s="166"/>
      <c r="AG427" s="125"/>
      <c r="AH427" s="123"/>
      <c r="AI427" s="128"/>
      <c r="AJ427" s="167" t="str">
        <f>HYPERLINK("https://www.crunchbase.com/organization/iotium"," 5/11/2017")</f>
        <v> 5/11/2017</v>
      </c>
      <c r="AK427" s="127">
        <v>8400000.0</v>
      </c>
      <c r="AL427" s="167" t="str">
        <f>HYPERLINK("https://www.crunchbase.com/funding_round/iotium-series-b--2f1513fa"," 9/19/2018")</f>
        <v> 9/19/2018</v>
      </c>
      <c r="AM427" s="127">
        <v>1.36E7</v>
      </c>
      <c r="AN427" s="124"/>
      <c r="AO427" s="125"/>
      <c r="AP427" s="124"/>
      <c r="AQ427" s="125"/>
      <c r="AR427" s="124"/>
      <c r="AS427" s="124"/>
      <c r="AT427" s="124"/>
      <c r="AU427" s="137"/>
      <c r="AV427" s="124"/>
      <c r="AW427" s="38"/>
      <c r="AX427" s="124"/>
      <c r="AY427" s="38"/>
      <c r="AZ427" s="124"/>
      <c r="BA427" s="137"/>
      <c r="BB427" s="124"/>
      <c r="BC427" s="137"/>
      <c r="BD427" s="124"/>
      <c r="BE427" s="38"/>
      <c r="BF427" s="123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</row>
    <row r="428" ht="15.75" customHeight="1">
      <c r="A428" s="993" t="s">
        <v>2241</v>
      </c>
      <c r="B428" s="985" t="s">
        <v>2242</v>
      </c>
      <c r="C428" s="985" t="s">
        <v>123</v>
      </c>
      <c r="D428" s="1005" t="s">
        <v>2243</v>
      </c>
      <c r="E428" s="1006" t="s">
        <v>2244</v>
      </c>
      <c r="F428" s="402" t="s">
        <v>2245</v>
      </c>
      <c r="G428" s="119" t="s">
        <v>2246</v>
      </c>
      <c r="H428" s="119" t="s">
        <v>128</v>
      </c>
      <c r="I428" s="25" t="s">
        <v>156</v>
      </c>
      <c r="J428" s="120" t="s">
        <v>130</v>
      </c>
      <c r="K428" s="25">
        <v>3.0</v>
      </c>
      <c r="L428" s="25">
        <v>2017.0</v>
      </c>
      <c r="M428" s="25">
        <f t="shared" si="349"/>
        <v>8</v>
      </c>
      <c r="N428" s="26">
        <f t="shared" si="353"/>
        <v>2</v>
      </c>
      <c r="O428" s="27" t="str">
        <f t="shared" si="3"/>
        <v>#N/A</v>
      </c>
      <c r="P428" s="28" t="str">
        <f t="shared" si="358"/>
        <v>#N/A</v>
      </c>
      <c r="Q428" s="28" t="str">
        <f t="shared" si="359"/>
        <v>#N/A</v>
      </c>
      <c r="R428" s="28"/>
      <c r="S428" s="28"/>
      <c r="T428" s="29">
        <f t="shared" si="352"/>
        <v>2750000</v>
      </c>
      <c r="U428" s="28"/>
      <c r="V428" s="30">
        <f t="shared" si="28"/>
        <v>22000000</v>
      </c>
      <c r="W428" s="30"/>
      <c r="X428" s="32">
        <f t="shared" si="360"/>
        <v>0.4638501094</v>
      </c>
      <c r="Y428" s="33">
        <f t="shared" si="361"/>
        <v>0.09995306037</v>
      </c>
      <c r="Z428" s="692"/>
      <c r="AA428" s="665"/>
      <c r="AB428" s="123"/>
      <c r="AC428" s="123"/>
      <c r="AD428" s="124"/>
      <c r="AE428" s="125"/>
      <c r="AF428" s="920">
        <v>44209.0</v>
      </c>
      <c r="AG428" s="165">
        <v>7000000.0</v>
      </c>
      <c r="AH428" s="123"/>
      <c r="AI428" s="128"/>
      <c r="AJ428" s="455" t="str">
        <f>HYPERLINK("https://therealdeal.com/2022/01/28/startup-lex-raises-15m-to-take-buildings-public/amp/","Feb 1, 2022")</f>
        <v>Feb 1, 2022</v>
      </c>
      <c r="AK428" s="127">
        <v>1.5E7</v>
      </c>
      <c r="AL428" s="124"/>
      <c r="AM428" s="125"/>
      <c r="AN428" s="124"/>
      <c r="AO428" s="125"/>
      <c r="AP428" s="124"/>
      <c r="AQ428" s="125"/>
      <c r="AR428" s="124"/>
      <c r="AS428" s="124"/>
      <c r="AT428" s="124"/>
      <c r="AU428" s="137"/>
      <c r="AV428" s="124"/>
      <c r="AW428" s="38"/>
      <c r="AX428" s="124"/>
      <c r="AY428" s="38"/>
      <c r="AZ428" s="124"/>
      <c r="BA428" s="137"/>
      <c r="BB428" s="124"/>
      <c r="BC428" s="137"/>
      <c r="BD428" s="124"/>
      <c r="BE428" s="38"/>
      <c r="BF428" s="123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</row>
    <row r="429" ht="15.75" customHeight="1">
      <c r="A429" s="21" t="s">
        <v>2247</v>
      </c>
      <c r="B429" s="68"/>
      <c r="C429" s="69" t="s">
        <v>267</v>
      </c>
      <c r="D429" s="337"/>
      <c r="E429" s="138" t="s">
        <v>2248</v>
      </c>
      <c r="F429" s="173" t="s">
        <v>2249</v>
      </c>
      <c r="G429" s="186"/>
      <c r="H429" s="71" t="s">
        <v>120</v>
      </c>
      <c r="I429" s="26" t="s">
        <v>65</v>
      </c>
      <c r="J429" s="155"/>
      <c r="K429" s="74"/>
      <c r="L429" s="26">
        <v>2020.0</v>
      </c>
      <c r="M429" s="123"/>
      <c r="N429" s="74"/>
      <c r="O429" s="27" t="str">
        <f t="shared" si="3"/>
        <v>#N/A</v>
      </c>
      <c r="P429" s="273"/>
      <c r="Q429" s="273"/>
      <c r="R429" s="273"/>
      <c r="S429" s="273"/>
      <c r="T429" s="273"/>
      <c r="U429" s="273"/>
      <c r="V429" s="30">
        <f t="shared" si="28"/>
        <v>22000000</v>
      </c>
      <c r="W429" s="30"/>
      <c r="X429" s="32"/>
      <c r="Y429" s="32"/>
      <c r="Z429" s="692"/>
      <c r="AA429" s="665"/>
      <c r="AB429" s="74"/>
      <c r="AC429" s="74"/>
      <c r="AD429" s="44"/>
      <c r="AE429" s="46"/>
      <c r="AF429" s="39"/>
      <c r="AG429" s="46"/>
      <c r="AH429" s="36"/>
      <c r="AI429" s="159"/>
      <c r="AJ429" s="43" t="str">
        <f>HYPERLINK("https://www.crunchbase.com/funding_round/rondo-energy-series-a--7351c507","Feb 8, 2022")</f>
        <v>Feb 8, 2022</v>
      </c>
      <c r="AK429" s="38">
        <v>2.2E7</v>
      </c>
      <c r="AL429" s="37"/>
      <c r="AM429" s="76"/>
      <c r="AN429" s="79"/>
      <c r="AO429" s="84"/>
      <c r="AP429" s="79"/>
      <c r="AQ429" s="84"/>
      <c r="AR429" s="79"/>
      <c r="AS429" s="79"/>
      <c r="AT429" s="79"/>
      <c r="AU429" s="80"/>
      <c r="AV429" s="79"/>
      <c r="AW429" s="38"/>
      <c r="AX429" s="79"/>
      <c r="AY429" s="38"/>
      <c r="AZ429" s="79"/>
      <c r="BA429" s="80"/>
      <c r="BB429" s="79"/>
      <c r="BC429" s="80"/>
      <c r="BD429" s="79"/>
      <c r="BE429" s="38"/>
      <c r="BF429" s="74"/>
      <c r="BG429" s="115"/>
      <c r="BH429" s="115"/>
      <c r="BI429" s="115"/>
      <c r="BJ429" s="115"/>
      <c r="BK429" s="115"/>
      <c r="BL429" s="115"/>
      <c r="BM429" s="115"/>
      <c r="BN429" s="115"/>
      <c r="BO429" s="115"/>
      <c r="BP429" s="115"/>
      <c r="BQ429" s="115"/>
      <c r="BR429" s="115"/>
      <c r="BS429" s="115"/>
      <c r="BT429" s="115"/>
      <c r="BU429" s="115"/>
      <c r="BV429" s="115"/>
      <c r="BW429" s="115"/>
      <c r="BX429" s="115"/>
      <c r="BY429" s="115"/>
      <c r="BZ429" s="115"/>
      <c r="CA429" s="115"/>
      <c r="CB429" s="115"/>
      <c r="CC429" s="115"/>
      <c r="CD429" s="115"/>
      <c r="CE429" s="115"/>
      <c r="CF429" s="115"/>
      <c r="CG429" s="115"/>
      <c r="CH429" s="115"/>
      <c r="CI429" s="115"/>
      <c r="CJ429" s="115"/>
      <c r="CK429" s="115"/>
      <c r="CL429" s="115"/>
      <c r="CM429" s="115"/>
      <c r="CN429" s="115"/>
      <c r="CO429" s="115"/>
      <c r="CP429" s="115"/>
    </row>
    <row r="430" ht="15.75" customHeight="1">
      <c r="A430" s="978" t="s">
        <v>2250</v>
      </c>
      <c r="B430" s="68"/>
      <c r="C430" s="69" t="s">
        <v>123</v>
      </c>
      <c r="D430" s="138" t="s">
        <v>2251</v>
      </c>
      <c r="E430" s="138" t="s">
        <v>2252</v>
      </c>
      <c r="F430" s="173" t="s">
        <v>2253</v>
      </c>
      <c r="G430" s="54"/>
      <c r="H430" s="71" t="s">
        <v>309</v>
      </c>
      <c r="I430" s="26" t="s">
        <v>115</v>
      </c>
      <c r="J430" s="178"/>
      <c r="K430" s="26">
        <v>2.0</v>
      </c>
      <c r="L430" s="26">
        <v>2016.0</v>
      </c>
      <c r="M430" s="25"/>
      <c r="N430" s="26"/>
      <c r="O430" s="27" t="str">
        <f t="shared" si="3"/>
        <v>#N/A</v>
      </c>
      <c r="P430" s="28"/>
      <c r="Q430" s="28"/>
      <c r="R430" s="28"/>
      <c r="S430" s="28"/>
      <c r="T430" s="28"/>
      <c r="U430" s="28"/>
      <c r="V430" s="30">
        <f t="shared" si="28"/>
        <v>22000000</v>
      </c>
      <c r="W430" s="30"/>
      <c r="X430" s="73"/>
      <c r="Y430" s="73"/>
      <c r="Z430" s="692"/>
      <c r="AA430" s="665"/>
      <c r="AB430" s="74"/>
      <c r="AC430" s="74"/>
      <c r="AD430" s="79"/>
      <c r="AE430" s="84"/>
      <c r="AF430" s="885">
        <v>43847.0</v>
      </c>
      <c r="AG430" s="76">
        <v>2000000.0</v>
      </c>
      <c r="AH430" s="74"/>
      <c r="AI430" s="78"/>
      <c r="AJ430" s="391">
        <v>44757.0</v>
      </c>
      <c r="AK430" s="76">
        <v>2.0E7</v>
      </c>
      <c r="AL430" s="79"/>
      <c r="AM430" s="84"/>
      <c r="AN430" s="79"/>
      <c r="AO430" s="84"/>
      <c r="AP430" s="79"/>
      <c r="AQ430" s="84"/>
      <c r="AR430" s="79"/>
      <c r="AS430" s="79"/>
      <c r="AT430" s="79"/>
      <c r="AU430" s="80"/>
      <c r="AV430" s="79"/>
      <c r="AW430" s="38"/>
      <c r="AX430" s="79"/>
      <c r="AY430" s="38"/>
      <c r="AZ430" s="79"/>
      <c r="BA430" s="80"/>
      <c r="BB430" s="79"/>
      <c r="BC430" s="80"/>
      <c r="BD430" s="79"/>
      <c r="BE430" s="38"/>
      <c r="BF430" s="74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</row>
    <row r="431" ht="15.75" customHeight="1">
      <c r="A431" s="21" t="s">
        <v>2254</v>
      </c>
      <c r="B431" s="68"/>
      <c r="C431" s="69" t="s">
        <v>68</v>
      </c>
      <c r="D431" s="138" t="s">
        <v>2255</v>
      </c>
      <c r="E431" s="796" t="s">
        <v>2256</v>
      </c>
      <c r="F431" s="425" t="s">
        <v>2257</v>
      </c>
      <c r="G431" s="71"/>
      <c r="H431" s="71" t="s">
        <v>80</v>
      </c>
      <c r="I431" s="26" t="s">
        <v>65</v>
      </c>
      <c r="J431" s="72"/>
      <c r="K431" s="26">
        <v>2.0</v>
      </c>
      <c r="L431" s="26">
        <v>2020.0</v>
      </c>
      <c r="M431" s="25"/>
      <c r="N431" s="26"/>
      <c r="O431" s="27" t="str">
        <f t="shared" si="3"/>
        <v>#N/A</v>
      </c>
      <c r="P431" s="28"/>
      <c r="Q431" s="28"/>
      <c r="R431" s="28"/>
      <c r="S431" s="28"/>
      <c r="T431" s="28"/>
      <c r="U431" s="28"/>
      <c r="V431" s="30">
        <f t="shared" si="28"/>
        <v>22000000</v>
      </c>
      <c r="W431" s="31">
        <v>120000.0</v>
      </c>
      <c r="X431" s="73"/>
      <c r="Y431" s="73"/>
      <c r="Z431" s="692"/>
      <c r="AA431" s="665"/>
      <c r="AB431" s="74"/>
      <c r="AC431" s="74"/>
      <c r="AD431" s="44"/>
      <c r="AE431" s="46"/>
      <c r="AF431" s="726">
        <v>44235.0</v>
      </c>
      <c r="AG431" s="38">
        <v>2000000.0</v>
      </c>
      <c r="AH431" s="36"/>
      <c r="AI431" s="159"/>
      <c r="AJ431" s="75">
        <v>44854.0</v>
      </c>
      <c r="AK431" s="38">
        <v>1.2E7</v>
      </c>
      <c r="AL431" s="44"/>
      <c r="AM431" s="46"/>
      <c r="AN431" s="44"/>
      <c r="AO431" s="46"/>
      <c r="AP431" s="44"/>
      <c r="AQ431" s="46"/>
      <c r="AR431" s="44"/>
      <c r="AS431" s="44"/>
      <c r="AT431" s="44"/>
      <c r="AU431" s="45"/>
      <c r="AV431" s="44"/>
      <c r="AW431" s="38"/>
      <c r="AX431" s="44"/>
      <c r="AY431" s="38"/>
      <c r="AZ431" s="44"/>
      <c r="BA431" s="45"/>
      <c r="BB431" s="75">
        <v>44854.0</v>
      </c>
      <c r="BC431" s="229">
        <v>8000000.0</v>
      </c>
      <c r="BD431" s="44"/>
      <c r="BE431" s="38"/>
      <c r="BF431" s="3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</row>
    <row r="432" ht="15.75" customHeight="1">
      <c r="A432" s="47" t="s">
        <v>2258</v>
      </c>
      <c r="C432" s="48" t="s">
        <v>123</v>
      </c>
      <c r="D432" s="351"/>
      <c r="E432" s="617" t="s">
        <v>2259</v>
      </c>
      <c r="F432" s="352" t="s">
        <v>2260</v>
      </c>
      <c r="G432" s="353"/>
      <c r="H432" s="53" t="s">
        <v>673</v>
      </c>
      <c r="I432" s="54" t="s">
        <v>674</v>
      </c>
      <c r="J432" s="55"/>
      <c r="K432" s="55"/>
      <c r="L432" s="56">
        <v>2008.0</v>
      </c>
      <c r="M432" s="55"/>
      <c r="N432" s="55"/>
      <c r="O432" s="27" t="str">
        <f t="shared" si="3"/>
        <v>#N/A</v>
      </c>
      <c r="P432" s="55"/>
      <c r="Q432" s="55"/>
      <c r="R432" s="55"/>
      <c r="S432" s="55"/>
      <c r="T432" s="55"/>
      <c r="U432" s="55"/>
      <c r="V432" s="30">
        <f t="shared" si="28"/>
        <v>22000000</v>
      </c>
      <c r="W432" s="30"/>
      <c r="X432" s="58"/>
      <c r="Y432" s="58"/>
      <c r="Z432" s="692"/>
      <c r="AA432" s="665"/>
      <c r="AB432" s="55"/>
      <c r="AC432" s="55"/>
      <c r="AD432" s="355"/>
      <c r="AE432" s="38"/>
      <c r="AF432" s="62">
        <v>45014.0</v>
      </c>
      <c r="AG432" s="38">
        <v>2.2E7</v>
      </c>
      <c r="AH432" s="55"/>
      <c r="AI432" s="38"/>
      <c r="AJ432" s="55"/>
      <c r="AK432" s="38"/>
      <c r="AL432" s="55"/>
      <c r="AM432" s="38"/>
      <c r="AN432" s="55"/>
      <c r="AO432" s="38"/>
      <c r="AP432" s="356"/>
      <c r="AQ432" s="38"/>
      <c r="AR432" s="55"/>
      <c r="AS432" s="38"/>
      <c r="AT432" s="55"/>
      <c r="AU432" s="38"/>
      <c r="AV432" s="55"/>
      <c r="AW432" s="38"/>
      <c r="AX432" s="55"/>
      <c r="AY432" s="38"/>
      <c r="AZ432" s="55"/>
      <c r="BA432" s="38"/>
      <c r="BB432" s="55"/>
      <c r="BC432" s="38"/>
      <c r="BD432" s="55"/>
      <c r="BE432" s="38"/>
      <c r="BF432" s="55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</row>
    <row r="433" ht="15.75" customHeight="1">
      <c r="A433" s="48" t="s">
        <v>2261</v>
      </c>
      <c r="B433" s="115"/>
      <c r="C433" s="116" t="s">
        <v>132</v>
      </c>
      <c r="D433" s="161"/>
      <c r="E433" s="161" t="s">
        <v>2262</v>
      </c>
      <c r="F433" s="163" t="s">
        <v>2263</v>
      </c>
      <c r="G433" s="54"/>
      <c r="H433" s="119" t="s">
        <v>2264</v>
      </c>
      <c r="I433" s="25" t="s">
        <v>100</v>
      </c>
      <c r="J433" s="287"/>
      <c r="K433" s="25">
        <v>3.0</v>
      </c>
      <c r="L433" s="25">
        <v>2019.0</v>
      </c>
      <c r="M433" s="25">
        <f t="shared" ref="M433:M436" si="362">year(now()) -L433</f>
        <v>6</v>
      </c>
      <c r="N433" s="26">
        <f t="shared" ref="N433:N436" si="363">counta(AE433,AG433,AI433,AK433,AM433,AO433,AQ433,AS433,AU433,AW433,AY433,BA433,BC433)</f>
        <v>2</v>
      </c>
      <c r="O433" s="27" t="str">
        <f t="shared" si="3"/>
        <v>#N/A</v>
      </c>
      <c r="P433" s="28" t="str">
        <f t="shared" ref="P433:P436" si="364">RANK(T433,$T$8:$T$333)</f>
        <v>#N/A</v>
      </c>
      <c r="Q433" s="28" t="str">
        <f t="shared" ref="Q433:Q436" si="365">rank(V433,$V$8:$V$344)</f>
        <v>#N/A</v>
      </c>
      <c r="R433" s="28"/>
      <c r="S433" s="28"/>
      <c r="T433" s="29">
        <f t="shared" ref="T433:T436" si="366">V433/M433</f>
        <v>3610000</v>
      </c>
      <c r="U433" s="28"/>
      <c r="V433" s="30">
        <f t="shared" si="28"/>
        <v>21660000</v>
      </c>
      <c r="W433" s="30"/>
      <c r="X433" s="32">
        <f t="shared" ref="X433:X436" si="367">(max(AE433,AG433,AI433,AK433,AM433,AO433,AQ433,AS433,AU433,AW433,AY433,BA433,BC433)/min(AE433,AG433,AI433,AK433,AM433,AO433,AQ433,AS433,AU433,AW433,AY433,BA433,BC433))^(1/N433)-1</f>
        <v>0.4719601444</v>
      </c>
      <c r="Y433" s="33">
        <f t="shared" ref="Y433:Y436" si="368">(max(AE433,AG433,AI433,AK433,AM433,AO433,AQ433,AS433,AU433,AW433,AY433,BA433,BC433)/min(AE433,AG433,AI433,AK433,AM433,AO433,AQ433,AS433,AU433,AW433,AY433,BA433,BC433))^(1/M433)-1</f>
        <v>0.1375365252</v>
      </c>
      <c r="Z433" s="692"/>
      <c r="AA433" s="665"/>
      <c r="AB433" s="123"/>
      <c r="AC433" s="123"/>
      <c r="AD433" s="322"/>
      <c r="AE433" s="323"/>
      <c r="AF433" s="324" t="str">
        <f>HYPERLINK("https://www.crunchbase.com/funding_round/evernest-seed--2b51f072","Mar 25, 2021")</f>
        <v>Mar 25, 2021</v>
      </c>
      <c r="AG433" s="325">
        <v>6840000.0</v>
      </c>
      <c r="AH433" s="326"/>
      <c r="AI433" s="327"/>
      <c r="AJ433" s="732" t="str">
        <f>HYPERLINK("https://www.crunchbase.com/funding_round/evernest-series-a--e9460223","Jan 11, 2022")</f>
        <v>Jan 11, 2022</v>
      </c>
      <c r="AK433" s="325">
        <v>1.482E7</v>
      </c>
      <c r="AL433" s="1134"/>
      <c r="AM433" s="325"/>
      <c r="AN433" s="1134"/>
      <c r="AO433" s="325"/>
      <c r="AP433" s="322"/>
      <c r="AQ433" s="323"/>
      <c r="AR433" s="322"/>
      <c r="AS433" s="322"/>
      <c r="AT433" s="322"/>
      <c r="AU433" s="335"/>
      <c r="AV433" s="322"/>
      <c r="AW433" s="38"/>
      <c r="AX433" s="322"/>
      <c r="AY433" s="38"/>
      <c r="AZ433" s="322"/>
      <c r="BA433" s="335"/>
      <c r="BB433" s="322"/>
      <c r="BC433" s="335"/>
      <c r="BD433" s="322"/>
      <c r="BE433" s="38"/>
      <c r="BF433" s="326"/>
      <c r="BG433" s="115"/>
      <c r="BH433" s="115"/>
      <c r="BI433" s="115"/>
      <c r="BJ433" s="115"/>
      <c r="BK433" s="115"/>
      <c r="BL433" s="115"/>
      <c r="BM433" s="115"/>
      <c r="BN433" s="115"/>
      <c r="BO433" s="115"/>
      <c r="BP433" s="115"/>
      <c r="BQ433" s="115"/>
      <c r="BR433" s="115"/>
      <c r="BS433" s="115"/>
      <c r="BT433" s="115"/>
      <c r="BU433" s="115"/>
      <c r="BV433" s="115"/>
      <c r="BW433" s="115"/>
      <c r="BX433" s="115"/>
      <c r="BY433" s="115"/>
      <c r="BZ433" s="115"/>
      <c r="CA433" s="115"/>
      <c r="CB433" s="115"/>
      <c r="CC433" s="115"/>
      <c r="CD433" s="115"/>
      <c r="CE433" s="115"/>
      <c r="CF433" s="115"/>
      <c r="CG433" s="115"/>
      <c r="CH433" s="115"/>
      <c r="CI433" s="115"/>
      <c r="CJ433" s="115"/>
      <c r="CK433" s="115"/>
      <c r="CL433" s="115"/>
      <c r="CM433" s="115"/>
      <c r="CN433" s="115"/>
      <c r="CO433" s="115"/>
      <c r="CP433" s="115"/>
    </row>
    <row r="434" ht="15.75" customHeight="1">
      <c r="A434" s="21" t="s">
        <v>2265</v>
      </c>
      <c r="B434" s="68" t="s">
        <v>122</v>
      </c>
      <c r="C434" s="69" t="s">
        <v>59</v>
      </c>
      <c r="D434" s="184" t="s">
        <v>2266</v>
      </c>
      <c r="E434" s="184" t="s">
        <v>2267</v>
      </c>
      <c r="F434" s="185" t="s">
        <v>2268</v>
      </c>
      <c r="G434" s="186" t="s">
        <v>2269</v>
      </c>
      <c r="H434" s="186" t="s">
        <v>2270</v>
      </c>
      <c r="I434" s="74" t="s">
        <v>129</v>
      </c>
      <c r="J434" s="155" t="s">
        <v>798</v>
      </c>
      <c r="K434" s="74">
        <v>3.0</v>
      </c>
      <c r="L434" s="26">
        <v>2013.0</v>
      </c>
      <c r="M434" s="25">
        <f t="shared" si="362"/>
        <v>12</v>
      </c>
      <c r="N434" s="26">
        <f t="shared" si="363"/>
        <v>3</v>
      </c>
      <c r="O434" s="27" t="str">
        <f t="shared" si="3"/>
        <v>#N/A</v>
      </c>
      <c r="P434" s="28" t="str">
        <f t="shared" si="364"/>
        <v>#N/A</v>
      </c>
      <c r="Q434" s="28" t="str">
        <f t="shared" si="365"/>
        <v>#N/A</v>
      </c>
      <c r="R434" s="28"/>
      <c r="S434" s="28"/>
      <c r="T434" s="29">
        <f t="shared" si="366"/>
        <v>1800000</v>
      </c>
      <c r="U434" s="28"/>
      <c r="V434" s="30">
        <f t="shared" si="28"/>
        <v>21600000</v>
      </c>
      <c r="W434" s="30"/>
      <c r="X434" s="32">
        <f t="shared" si="367"/>
        <v>0.8361494174</v>
      </c>
      <c r="Y434" s="33">
        <f t="shared" si="368"/>
        <v>0.1640643924</v>
      </c>
      <c r="Z434" s="692"/>
      <c r="AA434" s="665"/>
      <c r="AB434" s="74"/>
      <c r="AC434" s="74"/>
      <c r="AD434" s="79"/>
      <c r="AE434" s="84"/>
      <c r="AF434" s="175" t="str">
        <f>HYPERLINK("https://www.crunchbase.com/organization/hightower#section-funding-rounds"," Dec 20, 2013")</f>
        <v> Dec 20, 2013</v>
      </c>
      <c r="AG434" s="76">
        <v>2100000.0</v>
      </c>
      <c r="AH434" s="74"/>
      <c r="AI434" s="78"/>
      <c r="AJ434" s="426" t="str">
        <f>HYPERLINK("https://www.crunchbase.com/funding_round/hightower-series-a--6f22e271"," 8/21/2014")</f>
        <v> 8/21/2014</v>
      </c>
      <c r="AK434" s="76">
        <v>6500000.0</v>
      </c>
      <c r="AL434" s="426" t="str">
        <f>HYPERLINK("https://www.crunchbase.com/funding_round/hightower-series-b--67dc35c0"," 5/19/2015")</f>
        <v> 5/19/2015</v>
      </c>
      <c r="AM434" s="76">
        <v>1.3E7</v>
      </c>
      <c r="AN434" s="79"/>
      <c r="AO434" s="84"/>
      <c r="AP434" s="79"/>
      <c r="AQ434" s="84"/>
      <c r="AR434" s="79"/>
      <c r="AS434" s="79"/>
      <c r="AT434" s="79"/>
      <c r="AU434" s="80"/>
      <c r="AV434" s="79"/>
      <c r="AW434" s="38"/>
      <c r="AX434" s="79"/>
      <c r="AY434" s="38"/>
      <c r="AZ434" s="79"/>
      <c r="BA434" s="80"/>
      <c r="BB434" s="79"/>
      <c r="BC434" s="80"/>
      <c r="BD434" s="79"/>
      <c r="BE434" s="38"/>
      <c r="BF434" s="74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</row>
    <row r="435" ht="15.75" customHeight="1">
      <c r="A435" s="21" t="s">
        <v>2271</v>
      </c>
      <c r="B435" s="16"/>
      <c r="C435" s="17" t="s">
        <v>276</v>
      </c>
      <c r="D435" s="192" t="s">
        <v>2272</v>
      </c>
      <c r="E435" s="18" t="s">
        <v>2273</v>
      </c>
      <c r="F435" s="173" t="s">
        <v>2274</v>
      </c>
      <c r="G435" s="317"/>
      <c r="H435" s="22" t="s">
        <v>328</v>
      </c>
      <c r="I435" s="36"/>
      <c r="J435" s="237"/>
      <c r="K435" s="36"/>
      <c r="L435" s="23">
        <v>2013.0</v>
      </c>
      <c r="M435" s="25">
        <f t="shared" si="362"/>
        <v>12</v>
      </c>
      <c r="N435" s="26">
        <f t="shared" si="363"/>
        <v>3</v>
      </c>
      <c r="O435" s="27" t="str">
        <f t="shared" si="3"/>
        <v>#N/A</v>
      </c>
      <c r="P435" s="28" t="str">
        <f t="shared" si="364"/>
        <v>#N/A</v>
      </c>
      <c r="Q435" s="28" t="str">
        <f t="shared" si="365"/>
        <v>#N/A</v>
      </c>
      <c r="R435" s="28"/>
      <c r="S435" s="28"/>
      <c r="T435" s="29">
        <f t="shared" si="366"/>
        <v>1783333.333</v>
      </c>
      <c r="U435" s="28"/>
      <c r="V435" s="30">
        <f t="shared" si="28"/>
        <v>21400000</v>
      </c>
      <c r="W435" s="30"/>
      <c r="X435" s="32">
        <f t="shared" si="367"/>
        <v>0.8484564162</v>
      </c>
      <c r="Y435" s="33">
        <f t="shared" si="368"/>
        <v>0.1660100771</v>
      </c>
      <c r="Z435" s="692"/>
      <c r="AA435" s="665"/>
      <c r="AB435" s="36"/>
      <c r="AC435" s="36"/>
      <c r="AD435" s="44"/>
      <c r="AE435" s="46"/>
      <c r="AF435" s="804">
        <v>41600.0</v>
      </c>
      <c r="AG435" s="38">
        <v>1900000.0</v>
      </c>
      <c r="AH435" s="36"/>
      <c r="AI435" s="46"/>
      <c r="AJ435" s="804">
        <v>41969.0</v>
      </c>
      <c r="AK435" s="38">
        <v>7500000.0</v>
      </c>
      <c r="AL435" s="804">
        <v>42871.0</v>
      </c>
      <c r="AM435" s="38">
        <v>1.2E7</v>
      </c>
      <c r="AN435" s="37"/>
      <c r="AO435" s="38"/>
      <c r="AP435" s="37"/>
      <c r="AQ435" s="46"/>
      <c r="AR435" s="44"/>
      <c r="AS435" s="44"/>
      <c r="AT435" s="44"/>
      <c r="AU435" s="45"/>
      <c r="AV435" s="44"/>
      <c r="AW435" s="38"/>
      <c r="AX435" s="44"/>
      <c r="AY435" s="38"/>
      <c r="AZ435" s="44"/>
      <c r="BA435" s="45"/>
      <c r="BB435" s="44"/>
      <c r="BC435" s="45"/>
      <c r="BD435" s="44"/>
      <c r="BE435" s="38"/>
      <c r="BF435" s="3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</row>
    <row r="436" ht="15.75" customHeight="1">
      <c r="A436" s="21" t="s">
        <v>2275</v>
      </c>
      <c r="B436" s="68"/>
      <c r="C436" s="69" t="s">
        <v>84</v>
      </c>
      <c r="D436" s="231"/>
      <c r="E436" s="192" t="s">
        <v>2276</v>
      </c>
      <c r="F436" s="118" t="s">
        <v>2277</v>
      </c>
      <c r="G436" s="71" t="s">
        <v>2278</v>
      </c>
      <c r="H436" s="71" t="s">
        <v>771</v>
      </c>
      <c r="I436" s="26" t="s">
        <v>772</v>
      </c>
      <c r="J436" s="155"/>
      <c r="K436" s="74"/>
      <c r="L436" s="26">
        <v>2020.0</v>
      </c>
      <c r="M436" s="25">
        <f t="shared" si="362"/>
        <v>5</v>
      </c>
      <c r="N436" s="26">
        <f t="shared" si="363"/>
        <v>2</v>
      </c>
      <c r="O436" s="27" t="str">
        <f t="shared" si="3"/>
        <v>#N/A</v>
      </c>
      <c r="P436" s="28" t="str">
        <f t="shared" si="364"/>
        <v>#N/A</v>
      </c>
      <c r="Q436" s="28" t="str">
        <f t="shared" si="365"/>
        <v>#N/A</v>
      </c>
      <c r="R436" s="28"/>
      <c r="S436" s="28"/>
      <c r="T436" s="29">
        <f t="shared" si="366"/>
        <v>4240000</v>
      </c>
      <c r="U436" s="28"/>
      <c r="V436" s="30">
        <f t="shared" si="28"/>
        <v>21200000</v>
      </c>
      <c r="W436" s="30"/>
      <c r="X436" s="32">
        <f t="shared" si="367"/>
        <v>3.082482905</v>
      </c>
      <c r="Y436" s="33">
        <f t="shared" si="368"/>
        <v>0.7553743576</v>
      </c>
      <c r="Z436" s="692"/>
      <c r="AA436" s="665"/>
      <c r="AB436" s="74"/>
      <c r="AC436" s="74"/>
      <c r="AD436" s="882">
        <v>44012.0</v>
      </c>
      <c r="AE436" s="76">
        <v>1200000.0</v>
      </c>
      <c r="AF436" s="810"/>
      <c r="AG436" s="76"/>
      <c r="AH436" s="74"/>
      <c r="AI436" s="78"/>
      <c r="AJ436" s="181" t="str">
        <f>HYPERLINK("https://techcrunch.com/2022/02/16/nomad-closes-on-20m-to-transform-the-landlord-tenant-experience/?utm_medium=TCnewsletter&amp;tpcc=TCdailynewsletter","Feb 16, 2022")</f>
        <v>Feb 16, 2022</v>
      </c>
      <c r="AK436" s="76">
        <v>2.0E7</v>
      </c>
      <c r="AL436" s="79"/>
      <c r="AM436" s="76"/>
      <c r="AN436" s="79"/>
      <c r="AO436" s="84"/>
      <c r="AP436" s="79"/>
      <c r="AQ436" s="84"/>
      <c r="AR436" s="79"/>
      <c r="AS436" s="79"/>
      <c r="AT436" s="79"/>
      <c r="AU436" s="80"/>
      <c r="AV436" s="79"/>
      <c r="AW436" s="38"/>
      <c r="AX436" s="79"/>
      <c r="AY436" s="38"/>
      <c r="AZ436" s="79"/>
      <c r="BA436" s="80"/>
      <c r="BB436" s="79"/>
      <c r="BC436" s="80"/>
      <c r="BD436" s="79"/>
      <c r="BE436" s="38"/>
      <c r="BF436" s="74"/>
      <c r="BG436" s="115"/>
      <c r="BH436" s="115"/>
      <c r="BI436" s="115"/>
      <c r="BJ436" s="115"/>
      <c r="BK436" s="115"/>
      <c r="BL436" s="115"/>
      <c r="BM436" s="115"/>
      <c r="BN436" s="115"/>
      <c r="BO436" s="115"/>
      <c r="BP436" s="115"/>
      <c r="BQ436" s="115"/>
      <c r="BR436" s="115"/>
      <c r="BS436" s="115"/>
      <c r="BT436" s="115"/>
      <c r="BU436" s="115"/>
      <c r="BV436" s="115"/>
      <c r="BW436" s="115"/>
      <c r="BX436" s="115"/>
      <c r="BY436" s="115"/>
      <c r="BZ436" s="115"/>
      <c r="CA436" s="115"/>
      <c r="CB436" s="115"/>
      <c r="CC436" s="115"/>
      <c r="CD436" s="115"/>
      <c r="CE436" s="115"/>
      <c r="CF436" s="115"/>
      <c r="CG436" s="115"/>
      <c r="CH436" s="115"/>
      <c r="CI436" s="115"/>
      <c r="CJ436" s="115"/>
      <c r="CK436" s="115"/>
      <c r="CL436" s="115"/>
      <c r="CM436" s="115"/>
      <c r="CN436" s="115"/>
      <c r="CO436" s="115"/>
      <c r="CP436" s="115"/>
    </row>
    <row r="437" ht="15.75" customHeight="1">
      <c r="A437" s="21" t="s">
        <v>2279</v>
      </c>
      <c r="B437" s="17"/>
      <c r="C437" s="17" t="s">
        <v>123</v>
      </c>
      <c r="D437" s="380"/>
      <c r="E437" s="416" t="s">
        <v>2280</v>
      </c>
      <c r="F437" s="757" t="s">
        <v>2281</v>
      </c>
      <c r="G437" s="896"/>
      <c r="H437" s="710" t="s">
        <v>2282</v>
      </c>
      <c r="I437" s="23" t="s">
        <v>1384</v>
      </c>
      <c r="J437" s="55"/>
      <c r="K437" s="23">
        <v>4.0</v>
      </c>
      <c r="L437" s="1135" t="s">
        <v>2283</v>
      </c>
      <c r="M437" s="222"/>
      <c r="N437" s="23"/>
      <c r="O437" s="27" t="str">
        <f t="shared" si="3"/>
        <v>#N/A</v>
      </c>
      <c r="P437" s="28"/>
      <c r="Q437" s="28"/>
      <c r="R437" s="28"/>
      <c r="S437" s="28"/>
      <c r="T437" s="28"/>
      <c r="U437" s="28"/>
      <c r="V437" s="30">
        <f t="shared" si="28"/>
        <v>21100000</v>
      </c>
      <c r="W437" s="30"/>
      <c r="X437" s="33"/>
      <c r="Y437" s="33"/>
      <c r="Z437" s="692"/>
      <c r="AA437" s="665"/>
      <c r="AB437" s="36"/>
      <c r="AC437" s="36"/>
      <c r="AD437" s="898"/>
      <c r="AE437" s="899"/>
      <c r="AF437" s="1136">
        <v>44305.0</v>
      </c>
      <c r="AG437" s="38">
        <v>1100000.0</v>
      </c>
      <c r="AH437" s="713"/>
      <c r="AI437" s="41"/>
      <c r="AJ437" s="1137">
        <v>44770.0</v>
      </c>
      <c r="AK437" s="38">
        <v>2.0E7</v>
      </c>
      <c r="AL437" s="1138"/>
      <c r="AM437" s="715"/>
      <c r="AN437" s="44"/>
      <c r="AO437" s="46"/>
      <c r="AP437" s="44"/>
      <c r="AQ437" s="46"/>
      <c r="AR437" s="44"/>
      <c r="AS437" s="44"/>
      <c r="AT437" s="44"/>
      <c r="AU437" s="45"/>
      <c r="AV437" s="44"/>
      <c r="AW437" s="38"/>
      <c r="AX437" s="44"/>
      <c r="AY437" s="38"/>
      <c r="AZ437" s="44"/>
      <c r="BA437" s="45"/>
      <c r="BB437" s="44"/>
      <c r="BC437" s="45"/>
      <c r="BD437" s="44"/>
      <c r="BE437" s="38"/>
      <c r="BF437" s="36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</row>
    <row r="438" ht="15.75" customHeight="1">
      <c r="A438" s="245" t="s">
        <v>2284</v>
      </c>
      <c r="B438" s="16"/>
      <c r="C438" s="17" t="s">
        <v>207</v>
      </c>
      <c r="D438" s="192" t="s">
        <v>2285</v>
      </c>
      <c r="E438" s="192" t="s">
        <v>2286</v>
      </c>
      <c r="F438" s="118" t="s">
        <v>2287</v>
      </c>
      <c r="G438" s="317"/>
      <c r="H438" s="22" t="s">
        <v>64</v>
      </c>
      <c r="I438" s="23" t="s">
        <v>65</v>
      </c>
      <c r="J438" s="237"/>
      <c r="K438" s="23"/>
      <c r="L438" s="23">
        <v>2018.0</v>
      </c>
      <c r="M438" s="25">
        <f t="shared" ref="M438:M439" si="369">year(now()) -L438</f>
        <v>7</v>
      </c>
      <c r="N438" s="26">
        <f t="shared" ref="N438:N439" si="370">counta(AE438,AG438,AI438,AK438,AM438,AO438,AQ438,AS438,AU438,AW438,AY438,BA438,BC438)</f>
        <v>2</v>
      </c>
      <c r="O438" s="27" t="str">
        <f t="shared" si="3"/>
        <v>#N/A</v>
      </c>
      <c r="P438" s="28" t="str">
        <f t="shared" ref="P438:P439" si="371">RANK(T438,$T$8:$T$333)</f>
        <v>#N/A</v>
      </c>
      <c r="Q438" s="28" t="str">
        <f t="shared" ref="Q438:Q439" si="372">rank(V438,$V$8:$V$344)</f>
        <v>#N/A</v>
      </c>
      <c r="R438" s="28"/>
      <c r="S438" s="28"/>
      <c r="T438" s="29">
        <f t="shared" ref="T438:T439" si="373">V438/M438</f>
        <v>3000000</v>
      </c>
      <c r="U438" s="28"/>
      <c r="V438" s="30">
        <f t="shared" si="28"/>
        <v>21000000</v>
      </c>
      <c r="W438" s="30"/>
      <c r="X438" s="32">
        <f t="shared" ref="X438:X439" si="374">(max(AE438,AG438,AI438,AK438,AM438,AO438,AQ438,AS438,AU438,AW438,AY438,BA438,BC438)/min(AE438,AG438,AI438,AK438,AM438,AO438,AQ438,AS438,AU438,AW438,AY438,BA438,BC438))^(1/N438)-1</f>
        <v>0.788854382</v>
      </c>
      <c r="Y438" s="33">
        <f t="shared" ref="Y438:Y439" si="375">(max(AE438,AG438,AI438,AK438,AM438,AO438,AQ438,AS438,AU438,AW438,AY438,BA438,BC438)/min(AE438,AG438,AI438,AK438,AM438,AO438,AQ438,AS438,AU438,AW438,AY438,BA438,BC438))^(1/M438)-1</f>
        <v>0.1807672055</v>
      </c>
      <c r="Z438" s="692"/>
      <c r="AA438" s="665"/>
      <c r="AB438" s="36"/>
      <c r="AC438" s="36"/>
      <c r="AD438" s="44"/>
      <c r="AE438" s="46"/>
      <c r="AF438" s="726">
        <v>44054.0</v>
      </c>
      <c r="AG438" s="38">
        <v>5000000.0</v>
      </c>
      <c r="AH438" s="919"/>
      <c r="AI438" s="159"/>
      <c r="AJ438" s="75">
        <v>44819.0</v>
      </c>
      <c r="AK438" s="38">
        <v>1.6E7</v>
      </c>
      <c r="AL438" s="37"/>
      <c r="AM438" s="38"/>
      <c r="AN438" s="44"/>
      <c r="AO438" s="46"/>
      <c r="AP438" s="44"/>
      <c r="AQ438" s="46"/>
      <c r="AR438" s="44"/>
      <c r="AS438" s="44"/>
      <c r="AT438" s="44"/>
      <c r="AU438" s="45"/>
      <c r="AV438" s="44"/>
      <c r="AW438" s="38"/>
      <c r="AX438" s="44"/>
      <c r="AY438" s="38"/>
      <c r="AZ438" s="44"/>
      <c r="BA438" s="45"/>
      <c r="BB438" s="44"/>
      <c r="BC438" s="45"/>
      <c r="BD438" s="44"/>
      <c r="BE438" s="38"/>
      <c r="BF438" s="36"/>
      <c r="BG438" s="582"/>
      <c r="BH438" s="582"/>
      <c r="BI438" s="582"/>
      <c r="BJ438" s="582"/>
      <c r="BK438" s="582"/>
      <c r="BL438" s="582"/>
      <c r="BM438" s="582"/>
      <c r="BN438" s="582"/>
      <c r="BO438" s="582"/>
      <c r="BP438" s="582"/>
      <c r="BQ438" s="582"/>
      <c r="BR438" s="582"/>
      <c r="BS438" s="582"/>
      <c r="BT438" s="582"/>
      <c r="BU438" s="582"/>
      <c r="BV438" s="582"/>
      <c r="BW438" s="582"/>
      <c r="BX438" s="582"/>
      <c r="BY438" s="582"/>
      <c r="BZ438" s="582"/>
      <c r="CA438" s="582"/>
      <c r="CB438" s="582"/>
      <c r="CC438" s="582"/>
      <c r="CD438" s="582"/>
      <c r="CE438" s="582"/>
      <c r="CF438" s="582"/>
      <c r="CG438" s="582"/>
      <c r="CH438" s="582"/>
      <c r="CI438" s="582"/>
      <c r="CJ438" s="582"/>
      <c r="CK438" s="582"/>
      <c r="CL438" s="582"/>
      <c r="CM438" s="582"/>
      <c r="CN438" s="582"/>
      <c r="CO438" s="582"/>
      <c r="CP438" s="582"/>
    </row>
    <row r="439" ht="15.75" customHeight="1">
      <c r="A439" s="442" t="s">
        <v>2288</v>
      </c>
      <c r="B439" s="69" t="s">
        <v>2289</v>
      </c>
      <c r="C439" s="68" t="s">
        <v>207</v>
      </c>
      <c r="D439" s="138" t="s">
        <v>2290</v>
      </c>
      <c r="E439" s="138" t="s">
        <v>2291</v>
      </c>
      <c r="F439" s="417" t="s">
        <v>2292</v>
      </c>
      <c r="G439" s="71" t="s">
        <v>2293</v>
      </c>
      <c r="H439" s="71" t="s">
        <v>128</v>
      </c>
      <c r="I439" s="193" t="s">
        <v>129</v>
      </c>
      <c r="J439" s="1139" t="s">
        <v>2294</v>
      </c>
      <c r="K439" s="26">
        <v>1.0</v>
      </c>
      <c r="L439" s="26">
        <v>2014.0</v>
      </c>
      <c r="M439" s="25">
        <f t="shared" si="369"/>
        <v>11</v>
      </c>
      <c r="N439" s="26">
        <f t="shared" si="370"/>
        <v>3</v>
      </c>
      <c r="O439" s="27" t="str">
        <f t="shared" si="3"/>
        <v>#N/A</v>
      </c>
      <c r="P439" s="28" t="str">
        <f t="shared" si="371"/>
        <v>#N/A</v>
      </c>
      <c r="Q439" s="28" t="str">
        <f t="shared" si="372"/>
        <v>#N/A</v>
      </c>
      <c r="R439" s="28"/>
      <c r="S439" s="28"/>
      <c r="T439" s="29">
        <f t="shared" si="373"/>
        <v>1909090.909</v>
      </c>
      <c r="U439" s="28"/>
      <c r="V439" s="30">
        <f t="shared" si="28"/>
        <v>21000000</v>
      </c>
      <c r="W439" s="30"/>
      <c r="X439" s="32">
        <f t="shared" si="374"/>
        <v>0.8662555784</v>
      </c>
      <c r="Y439" s="33">
        <f t="shared" si="375"/>
        <v>0.1854990608</v>
      </c>
      <c r="Z439" s="692"/>
      <c r="AA439" s="665"/>
      <c r="AB439" s="74"/>
      <c r="AC439" s="74"/>
      <c r="AD439" s="44"/>
      <c r="AE439" s="46"/>
      <c r="AF439" s="39"/>
      <c r="AG439" s="46"/>
      <c r="AH439" s="919"/>
      <c r="AI439" s="159"/>
      <c r="AJ439" s="228" t="str">
        <f>HYPERLINK("https://www.crunchbase.com/organization/credifi#section-funding-rounds","Feb 15, 2014")</f>
        <v>Feb 15, 2014</v>
      </c>
      <c r="AK439" s="38">
        <v>2000000.0</v>
      </c>
      <c r="AL439" s="1140" t="str">
        <f>HYPERLINK("https://www.crunchbase.com/funding_round/credifi-series-b--2bf73b90"," Feb 13, 2017")</f>
        <v> Feb 13, 2017</v>
      </c>
      <c r="AM439" s="805">
        <v>1.3E7</v>
      </c>
      <c r="AN439" s="228" t="str">
        <f>HYPERLINK("https://www.crunchbase.com/funding_round/credifi-series-c--16637289","Jan 23, 2019")</f>
        <v>Jan 23, 2019</v>
      </c>
      <c r="AO439" s="887">
        <v>6000000.0</v>
      </c>
      <c r="AP439" s="37"/>
      <c r="AQ439" s="887"/>
      <c r="AR439" s="44"/>
      <c r="AS439" s="44"/>
      <c r="AT439" s="44"/>
      <c r="AU439" s="45"/>
      <c r="AV439" s="44"/>
      <c r="AW439" s="38"/>
      <c r="AX439" s="44"/>
      <c r="AY439" s="38"/>
      <c r="AZ439" s="44"/>
      <c r="BA439" s="45"/>
      <c r="BB439" s="44"/>
      <c r="BC439" s="45"/>
      <c r="BD439" s="44"/>
      <c r="BE439" s="38"/>
      <c r="BF439" s="36"/>
      <c r="BG439" s="115"/>
      <c r="BH439" s="115"/>
      <c r="BI439" s="115"/>
      <c r="BJ439" s="115"/>
      <c r="BK439" s="115"/>
      <c r="BL439" s="115"/>
      <c r="BM439" s="115"/>
      <c r="BN439" s="115"/>
      <c r="BO439" s="115"/>
      <c r="BP439" s="115"/>
      <c r="BQ439" s="115"/>
      <c r="BR439" s="115"/>
      <c r="BS439" s="115"/>
      <c r="BT439" s="115"/>
      <c r="BU439" s="115"/>
      <c r="BV439" s="115"/>
      <c r="BW439" s="115"/>
      <c r="BX439" s="115"/>
      <c r="BY439" s="115"/>
      <c r="BZ439" s="115"/>
      <c r="CA439" s="115"/>
      <c r="CB439" s="115"/>
      <c r="CC439" s="115"/>
      <c r="CD439" s="115"/>
      <c r="CE439" s="115"/>
      <c r="CF439" s="115"/>
      <c r="CG439" s="115"/>
      <c r="CH439" s="115"/>
      <c r="CI439" s="115"/>
      <c r="CJ439" s="115"/>
      <c r="CK439" s="115"/>
      <c r="CL439" s="115"/>
      <c r="CM439" s="115"/>
      <c r="CN439" s="115"/>
      <c r="CO439" s="115"/>
      <c r="CP439" s="115"/>
    </row>
    <row r="440" ht="15.75" customHeight="1">
      <c r="A440" s="400" t="s">
        <v>2295</v>
      </c>
      <c r="B440" s="116"/>
      <c r="C440" s="116" t="s">
        <v>267</v>
      </c>
      <c r="D440" s="731"/>
      <c r="E440" s="162" t="s">
        <v>2296</v>
      </c>
      <c r="F440" s="163" t="s">
        <v>2297</v>
      </c>
      <c r="G440" s="119"/>
      <c r="H440" s="119" t="s">
        <v>2298</v>
      </c>
      <c r="I440" s="25" t="s">
        <v>2299</v>
      </c>
      <c r="J440" s="120"/>
      <c r="K440" s="25">
        <v>1.0</v>
      </c>
      <c r="L440" s="25">
        <v>2014.0</v>
      </c>
      <c r="M440" s="25"/>
      <c r="N440" s="25"/>
      <c r="O440" s="27" t="str">
        <f t="shared" si="3"/>
        <v>#N/A</v>
      </c>
      <c r="P440" s="55"/>
      <c r="Q440" s="55"/>
      <c r="R440" s="55"/>
      <c r="S440" s="55"/>
      <c r="T440" s="55"/>
      <c r="U440" s="55"/>
      <c r="V440" s="30">
        <f t="shared" si="28"/>
        <v>21000000</v>
      </c>
      <c r="W440" s="30"/>
      <c r="X440" s="597"/>
      <c r="Y440" s="597"/>
      <c r="Z440" s="692"/>
      <c r="AA440" s="665"/>
      <c r="AB440" s="123"/>
      <c r="AC440" s="123"/>
      <c r="AD440" s="164"/>
      <c r="AE440" s="165"/>
      <c r="AF440" s="166"/>
      <c r="AG440" s="127"/>
      <c r="AH440" s="123"/>
      <c r="AI440" s="128"/>
      <c r="AJ440" s="167" t="str">
        <f>HYPERLINK("https://www.crunchbase.com/funding_round/leko-labs-series-a--80cc41ed","Feb 22, 2022")</f>
        <v>Feb 22, 2022</v>
      </c>
      <c r="AK440" s="168">
        <v>2.1E7</v>
      </c>
      <c r="AL440" s="169"/>
      <c r="AM440" s="127"/>
      <c r="AN440" s="124"/>
      <c r="AO440" s="125"/>
      <c r="AP440" s="124"/>
      <c r="AQ440" s="125"/>
      <c r="AR440" s="169"/>
      <c r="AS440" s="169"/>
      <c r="AT440" s="169"/>
      <c r="AU440" s="170"/>
      <c r="AV440" s="169"/>
      <c r="AW440" s="38"/>
      <c r="AX440" s="169"/>
      <c r="AY440" s="38"/>
      <c r="AZ440" s="169"/>
      <c r="BA440" s="170"/>
      <c r="BB440" s="169"/>
      <c r="BC440" s="170"/>
      <c r="BD440" s="169"/>
      <c r="BE440" s="38"/>
      <c r="BF440" s="172"/>
      <c r="BG440" s="534"/>
      <c r="BH440" s="534"/>
      <c r="BI440" s="534"/>
      <c r="BJ440" s="534"/>
      <c r="BK440" s="534"/>
      <c r="BL440" s="534"/>
      <c r="BM440" s="534"/>
      <c r="BN440" s="534"/>
      <c r="BO440" s="534"/>
      <c r="BP440" s="534"/>
      <c r="BQ440" s="534"/>
      <c r="BR440" s="534"/>
      <c r="BS440" s="534"/>
      <c r="BT440" s="534"/>
      <c r="BU440" s="534"/>
      <c r="BV440" s="534"/>
      <c r="BW440" s="534"/>
      <c r="BX440" s="534"/>
      <c r="BY440" s="534"/>
      <c r="BZ440" s="534"/>
      <c r="CA440" s="534"/>
      <c r="CB440" s="534"/>
      <c r="CC440" s="534"/>
      <c r="CD440" s="534"/>
      <c r="CE440" s="534"/>
      <c r="CF440" s="534"/>
      <c r="CG440" s="534"/>
      <c r="CH440" s="534"/>
      <c r="CI440" s="534"/>
      <c r="CJ440" s="534"/>
      <c r="CK440" s="534"/>
      <c r="CL440" s="534"/>
      <c r="CM440" s="534"/>
      <c r="CN440" s="534"/>
      <c r="CO440" s="534"/>
      <c r="CP440" s="534"/>
    </row>
    <row r="441" ht="18.0" customHeight="1">
      <c r="A441" s="400" t="s">
        <v>2300</v>
      </c>
      <c r="B441" s="115"/>
      <c r="C441" s="116" t="s">
        <v>1599</v>
      </c>
      <c r="D441" s="449"/>
      <c r="E441" s="161" t="s">
        <v>2301</v>
      </c>
      <c r="F441" s="402" t="s">
        <v>2302</v>
      </c>
      <c r="G441" s="286"/>
      <c r="H441" s="119" t="s">
        <v>64</v>
      </c>
      <c r="I441" s="25" t="s">
        <v>65</v>
      </c>
      <c r="J441" s="287"/>
      <c r="K441" s="123"/>
      <c r="L441" s="25">
        <v>2021.0</v>
      </c>
      <c r="M441" s="123"/>
      <c r="N441" s="123"/>
      <c r="O441" s="27" t="str">
        <f t="shared" si="3"/>
        <v>#N/A</v>
      </c>
      <c r="P441" s="55"/>
      <c r="Q441" s="55"/>
      <c r="R441" s="55"/>
      <c r="S441" s="55"/>
      <c r="T441" s="55"/>
      <c r="U441" s="55"/>
      <c r="V441" s="30">
        <f t="shared" si="28"/>
        <v>21000000</v>
      </c>
      <c r="W441" s="30"/>
      <c r="X441" s="403"/>
      <c r="Y441" s="403"/>
      <c r="Z441" s="692"/>
      <c r="AA441" s="665"/>
      <c r="AB441" s="123"/>
      <c r="AC441" s="123"/>
      <c r="AD441" s="452"/>
      <c r="AE441" s="123"/>
      <c r="AF441" s="453"/>
      <c r="AG441" s="123"/>
      <c r="AH441" s="123"/>
      <c r="AI441" s="123"/>
      <c r="AJ441" s="404">
        <v>44868.0</v>
      </c>
      <c r="AK441" s="335">
        <v>2.1E7</v>
      </c>
      <c r="AL441" s="123"/>
      <c r="AM441" s="123"/>
      <c r="AN441" s="123"/>
      <c r="AO441" s="123"/>
      <c r="AP441" s="123"/>
      <c r="AQ441" s="123"/>
      <c r="AR441" s="123"/>
      <c r="AS441" s="123"/>
      <c r="AT441" s="123"/>
      <c r="AU441" s="137"/>
      <c r="AV441" s="123"/>
      <c r="AW441" s="38"/>
      <c r="AX441" s="123"/>
      <c r="AY441" s="38"/>
      <c r="AZ441" s="123"/>
      <c r="BA441" s="137"/>
      <c r="BB441" s="123"/>
      <c r="BC441" s="137"/>
      <c r="BD441" s="123"/>
      <c r="BE441" s="38"/>
      <c r="BF441" s="123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</row>
    <row r="442" ht="15.75" customHeight="1">
      <c r="A442" s="400" t="s">
        <v>2303</v>
      </c>
      <c r="B442" s="115"/>
      <c r="C442" s="116" t="s">
        <v>84</v>
      </c>
      <c r="D442" s="449"/>
      <c r="E442" s="161" t="s">
        <v>2304</v>
      </c>
      <c r="F442" s="708" t="s">
        <v>2305</v>
      </c>
      <c r="G442" s="119" t="s">
        <v>2306</v>
      </c>
      <c r="H442" s="119" t="s">
        <v>2307</v>
      </c>
      <c r="I442" s="25" t="s">
        <v>1029</v>
      </c>
      <c r="J442" s="120" t="s">
        <v>2308</v>
      </c>
      <c r="K442" s="25">
        <v>1.0</v>
      </c>
      <c r="L442" s="25">
        <v>2019.0</v>
      </c>
      <c r="M442" s="123"/>
      <c r="N442" s="123"/>
      <c r="O442" s="27" t="str">
        <f t="shared" si="3"/>
        <v>#N/A</v>
      </c>
      <c r="P442" s="55"/>
      <c r="Q442" s="55"/>
      <c r="R442" s="55"/>
      <c r="S442" s="55"/>
      <c r="T442" s="55"/>
      <c r="U442" s="55"/>
      <c r="V442" s="30">
        <f t="shared" si="28"/>
        <v>20900000</v>
      </c>
      <c r="W442" s="30"/>
      <c r="X442" s="403"/>
      <c r="Y442" s="403"/>
      <c r="Z442" s="692"/>
      <c r="AA442" s="665"/>
      <c r="AB442" s="123"/>
      <c r="AC442" s="123"/>
      <c r="AD442" s="717"/>
      <c r="AE442" s="123"/>
      <c r="AF442" s="355"/>
      <c r="AG442" s="38"/>
      <c r="AH442" s="123"/>
      <c r="AI442" s="123"/>
      <c r="AJ442" s="123"/>
      <c r="AK442" s="38"/>
      <c r="AL442" s="404">
        <v>44882.0</v>
      </c>
      <c r="AM442" s="38">
        <v>5900000.0</v>
      </c>
      <c r="AN442" s="123"/>
      <c r="AO442" s="123"/>
      <c r="AP442" s="123"/>
      <c r="AQ442" s="123"/>
      <c r="AR442" s="123"/>
      <c r="AS442" s="123"/>
      <c r="AT442" s="123"/>
      <c r="AU442" s="137"/>
      <c r="AV442" s="123"/>
      <c r="AW442" s="38"/>
      <c r="AX442" s="123"/>
      <c r="AY442" s="38"/>
      <c r="AZ442" s="123"/>
      <c r="BA442" s="137"/>
      <c r="BB442" s="404">
        <v>44882.0</v>
      </c>
      <c r="BC442" s="170">
        <v>1.5E7</v>
      </c>
      <c r="BD442" s="123"/>
      <c r="BE442" s="38"/>
      <c r="BF442" s="123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</row>
    <row r="443" ht="15.75" customHeight="1">
      <c r="A443" s="48" t="s">
        <v>2309</v>
      </c>
      <c r="B443" s="16"/>
      <c r="C443" s="17" t="s">
        <v>59</v>
      </c>
      <c r="D443" s="192" t="s">
        <v>2310</v>
      </c>
      <c r="E443" s="192" t="s">
        <v>2311</v>
      </c>
      <c r="F443" s="118" t="s">
        <v>2312</v>
      </c>
      <c r="G443" s="22" t="s">
        <v>2313</v>
      </c>
      <c r="H443" s="22" t="s">
        <v>2314</v>
      </c>
      <c r="I443" s="23" t="s">
        <v>2315</v>
      </c>
      <c r="J443" s="24" t="s">
        <v>219</v>
      </c>
      <c r="K443" s="23">
        <v>3.0</v>
      </c>
      <c r="L443" s="23">
        <v>2017.0</v>
      </c>
      <c r="M443" s="25">
        <f t="shared" ref="M443:M445" si="376">year(now()) -L443</f>
        <v>8</v>
      </c>
      <c r="N443" s="26">
        <f t="shared" ref="N443:N445" si="377">counta(AE443,AG443,AI443,AK443,AM443,AO443,AQ443,AS443,AU443,AW443,AY443,BA443,BC443)</f>
        <v>2</v>
      </c>
      <c r="O443" s="27" t="str">
        <f t="shared" si="3"/>
        <v>#N/A</v>
      </c>
      <c r="P443" s="28" t="str">
        <f t="shared" ref="P443:P445" si="378">RANK(T443,$T$8:$T$333)</f>
        <v>#N/A</v>
      </c>
      <c r="Q443" s="28" t="str">
        <f t="shared" ref="Q443:Q445" si="379">rank(V443,$V$8:$V$344)</f>
        <v>#N/A</v>
      </c>
      <c r="R443" s="28"/>
      <c r="S443" s="28"/>
      <c r="T443" s="29">
        <f t="shared" ref="T443:T445" si="380">V443/M443</f>
        <v>2601875</v>
      </c>
      <c r="U443" s="28"/>
      <c r="V443" s="30">
        <f t="shared" si="28"/>
        <v>20815000</v>
      </c>
      <c r="W443" s="30"/>
      <c r="X443" s="32">
        <f t="shared" ref="X443:X445" si="381">(max(AE443,AG443,AI443,AK443,AM443,AO443,AQ443,AS443,AU443,AW443,AY443,BA443,BC443)/min(AE443,AG443,AI443,AK443,AM443,AO443,AQ443,AS443,AU443,AW443,AY443,BA443,BC443))^(1/N443)-1</f>
        <v>0.593727074</v>
      </c>
      <c r="Y443" s="33">
        <f t="shared" ref="Y443:Y445" si="382">(max(AE443,AG443,AI443,AK443,AM443,AO443,AQ443,AS443,AU443,AW443,AY443,BA443,BC443)/min(AE443,AG443,AI443,AK443,AM443,AO443,AQ443,AS443,AU443,AW443,AY443,BA443,BC443))^(1/M443)-1</f>
        <v>0.1235786742</v>
      </c>
      <c r="Z443" s="692"/>
      <c r="AA443" s="665"/>
      <c r="AB443" s="36"/>
      <c r="AC443" s="36"/>
      <c r="AD443" s="44"/>
      <c r="AE443" s="46"/>
      <c r="AF443" s="320" t="str">
        <f>HYPERLINK("https://www.crunchbase.com/funding_round/casafari-seed--da149fbc","Sep 10, 2019")</f>
        <v>Sep 10, 2019</v>
      </c>
      <c r="AG443" s="38">
        <v>5880000.0</v>
      </c>
      <c r="AH443" s="36"/>
      <c r="AI443" s="159"/>
      <c r="AJ443" s="42" t="str">
        <f>HYPERLINK("https://www.crunchbase.com/funding_round/casafari-series-a--45ae3d7d","Jul 7, 2021")</f>
        <v>Jul 7, 2021</v>
      </c>
      <c r="AK443" s="38">
        <v>1.4935E7</v>
      </c>
      <c r="AL443" s="42"/>
      <c r="AM443" s="38"/>
      <c r="AN443" s="44"/>
      <c r="AO443" s="46"/>
      <c r="AP443" s="44"/>
      <c r="AQ443" s="46"/>
      <c r="AR443" s="44"/>
      <c r="AS443" s="44"/>
      <c r="AT443" s="44"/>
      <c r="AU443" s="45"/>
      <c r="AV443" s="44"/>
      <c r="AW443" s="38"/>
      <c r="AX443" s="44"/>
      <c r="AY443" s="38"/>
      <c r="AZ443" s="44"/>
      <c r="BA443" s="45"/>
      <c r="BB443" s="44"/>
      <c r="BC443" s="45"/>
      <c r="BD443" s="44"/>
      <c r="BE443" s="38"/>
      <c r="BF443" s="36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</row>
    <row r="444" ht="15.75" customHeight="1">
      <c r="A444" s="21" t="s">
        <v>2316</v>
      </c>
      <c r="B444" s="17"/>
      <c r="C444" s="17" t="s">
        <v>76</v>
      </c>
      <c r="D444" s="380"/>
      <c r="E444" s="492" t="s">
        <v>2317</v>
      </c>
      <c r="F444" s="154" t="s">
        <v>2318</v>
      </c>
      <c r="G444" s="710" t="s">
        <v>2319</v>
      </c>
      <c r="H444" s="710" t="s">
        <v>401</v>
      </c>
      <c r="I444" s="23" t="s">
        <v>65</v>
      </c>
      <c r="J444" s="1135" t="s">
        <v>2320</v>
      </c>
      <c r="K444" s="23">
        <v>2.0</v>
      </c>
      <c r="L444" s="23">
        <v>2018.0</v>
      </c>
      <c r="M444" s="25">
        <f t="shared" si="376"/>
        <v>7</v>
      </c>
      <c r="N444" s="26">
        <f t="shared" si="377"/>
        <v>2</v>
      </c>
      <c r="O444" s="27" t="str">
        <f t="shared" si="3"/>
        <v>#N/A</v>
      </c>
      <c r="P444" s="28" t="str">
        <f t="shared" si="378"/>
        <v>#N/A</v>
      </c>
      <c r="Q444" s="28" t="str">
        <f t="shared" si="379"/>
        <v>#N/A</v>
      </c>
      <c r="R444" s="28"/>
      <c r="S444" s="28"/>
      <c r="T444" s="29">
        <f t="shared" si="380"/>
        <v>2971428.571</v>
      </c>
      <c r="U444" s="28"/>
      <c r="V444" s="30">
        <f t="shared" si="28"/>
        <v>20800000</v>
      </c>
      <c r="W444" s="30"/>
      <c r="X444" s="32">
        <f t="shared" si="381"/>
        <v>0.6081688023</v>
      </c>
      <c r="Y444" s="33">
        <f t="shared" si="382"/>
        <v>0.1453860649</v>
      </c>
      <c r="Z444" s="692"/>
      <c r="AA444" s="665"/>
      <c r="AB444" s="36"/>
      <c r="AC444" s="36"/>
      <c r="AD444" s="898"/>
      <c r="AE444" s="899"/>
      <c r="AF444" s="158" t="str">
        <f>HYPERLINK("https://www.crunchbase.com/funding_round/blooma-seed--c944f280","Nov 4, 2020")</f>
        <v>Nov 4, 2020</v>
      </c>
      <c r="AG444" s="38">
        <v>5800000.0</v>
      </c>
      <c r="AH444" s="713"/>
      <c r="AI444" s="41"/>
      <c r="AJ444" s="862" t="str">
        <f>HYPERLINK("https://www.crunchbase.com/funding_round/blooma-series-a--405efe49","Jun 8, 2021")</f>
        <v>Jun 8, 2021</v>
      </c>
      <c r="AK444" s="38">
        <v>1.5E7</v>
      </c>
      <c r="AL444" s="1138"/>
      <c r="AM444" s="715"/>
      <c r="AN444" s="44"/>
      <c r="AO444" s="46"/>
      <c r="AP444" s="44"/>
      <c r="AQ444" s="46"/>
      <c r="AR444" s="44"/>
      <c r="AS444" s="44"/>
      <c r="AT444" s="44"/>
      <c r="AU444" s="45"/>
      <c r="AV444" s="44"/>
      <c r="AW444" s="38"/>
      <c r="AX444" s="44"/>
      <c r="AY444" s="38"/>
      <c r="AZ444" s="44"/>
      <c r="BA444" s="45"/>
      <c r="BB444" s="44"/>
      <c r="BC444" s="45"/>
      <c r="BD444" s="44"/>
      <c r="BE444" s="38"/>
      <c r="BF444" s="36"/>
      <c r="BG444" s="115"/>
      <c r="BH444" s="115"/>
      <c r="BI444" s="115"/>
      <c r="BJ444" s="115"/>
      <c r="BK444" s="115"/>
      <c r="BL444" s="115"/>
      <c r="BM444" s="115"/>
      <c r="BN444" s="115"/>
      <c r="BO444" s="115"/>
      <c r="BP444" s="115"/>
      <c r="BQ444" s="115"/>
      <c r="BR444" s="115"/>
      <c r="BS444" s="115"/>
      <c r="BT444" s="115"/>
      <c r="BU444" s="115"/>
      <c r="BV444" s="115"/>
      <c r="BW444" s="115"/>
      <c r="BX444" s="115"/>
      <c r="BY444" s="115"/>
      <c r="BZ444" s="115"/>
      <c r="CA444" s="115"/>
      <c r="CB444" s="115"/>
      <c r="CC444" s="115"/>
      <c r="CD444" s="115"/>
      <c r="CE444" s="115"/>
      <c r="CF444" s="115"/>
      <c r="CG444" s="115"/>
      <c r="CH444" s="115"/>
      <c r="CI444" s="115"/>
      <c r="CJ444" s="115"/>
      <c r="CK444" s="115"/>
      <c r="CL444" s="115"/>
      <c r="CM444" s="115"/>
      <c r="CN444" s="115"/>
      <c r="CO444" s="115"/>
      <c r="CP444" s="115"/>
    </row>
    <row r="445" ht="15.75" customHeight="1">
      <c r="A445" s="21" t="s">
        <v>2321</v>
      </c>
      <c r="B445" s="68"/>
      <c r="C445" s="69" t="s">
        <v>513</v>
      </c>
      <c r="D445" s="138" t="s">
        <v>2322</v>
      </c>
      <c r="E445" s="200" t="s">
        <v>2323</v>
      </c>
      <c r="F445" s="173" t="s">
        <v>2324</v>
      </c>
      <c r="G445" s="71" t="s">
        <v>2325</v>
      </c>
      <c r="H445" s="71" t="s">
        <v>128</v>
      </c>
      <c r="I445" s="26" t="s">
        <v>129</v>
      </c>
      <c r="J445" s="72" t="s">
        <v>2326</v>
      </c>
      <c r="K445" s="26">
        <v>2.0</v>
      </c>
      <c r="L445" s="26">
        <v>2016.0</v>
      </c>
      <c r="M445" s="25">
        <f t="shared" si="376"/>
        <v>9</v>
      </c>
      <c r="N445" s="26">
        <f t="shared" si="377"/>
        <v>3</v>
      </c>
      <c r="O445" s="27" t="str">
        <f t="shared" si="3"/>
        <v>#N/A</v>
      </c>
      <c r="P445" s="28" t="str">
        <f t="shared" si="378"/>
        <v>#N/A</v>
      </c>
      <c r="Q445" s="28" t="str">
        <f t="shared" si="379"/>
        <v>#N/A</v>
      </c>
      <c r="R445" s="28"/>
      <c r="S445" s="28"/>
      <c r="T445" s="29">
        <f t="shared" si="380"/>
        <v>2311111.111</v>
      </c>
      <c r="U445" s="28"/>
      <c r="V445" s="30">
        <f t="shared" si="28"/>
        <v>20800000</v>
      </c>
      <c r="W445" s="30"/>
      <c r="X445" s="32">
        <f t="shared" si="381"/>
        <v>1.027400665</v>
      </c>
      <c r="Y445" s="33">
        <f t="shared" si="382"/>
        <v>0.265648751</v>
      </c>
      <c r="Z445" s="692"/>
      <c r="AA445" s="665"/>
      <c r="AB445" s="74"/>
      <c r="AC445" s="74"/>
      <c r="AD445" s="79"/>
      <c r="AE445" s="84"/>
      <c r="AF445" s="175" t="str">
        <f>HYPERLINK("https://www.crunchbase.com/funding_round/urban-umbrella-seed--42bab5ca","Dec 1, 2016")</f>
        <v>Dec 1, 2016</v>
      </c>
      <c r="AG445" s="76">
        <v>1500000.0</v>
      </c>
      <c r="AH445" s="77"/>
      <c r="AI445" s="78"/>
      <c r="AJ445" s="181" t="str">
        <f>HYPERLINK("https://www.crunchbase.com/funding_round/urban-umbrella-series-a--83c87321","Mar 13, 2019")</f>
        <v>Mar 13, 2019</v>
      </c>
      <c r="AK445" s="76">
        <v>1.25E7</v>
      </c>
      <c r="AL445" s="181" t="str">
        <f>HYPERLINK("https://www.crunchbase.com/funding_round/urban-umbrella-series-b--5734c56e","Sep 1, 2020")</f>
        <v>Sep 1, 2020</v>
      </c>
      <c r="AM445" s="76">
        <v>6800000.0</v>
      </c>
      <c r="AN445" s="79"/>
      <c r="AO445" s="84"/>
      <c r="AP445" s="79"/>
      <c r="AQ445" s="807"/>
      <c r="AR445" s="79"/>
      <c r="AS445" s="79"/>
      <c r="AT445" s="79"/>
      <c r="AU445" s="80"/>
      <c r="AV445" s="79"/>
      <c r="AW445" s="38"/>
      <c r="AX445" s="79"/>
      <c r="AY445" s="38"/>
      <c r="AZ445" s="79"/>
      <c r="BA445" s="80"/>
      <c r="BB445" s="79"/>
      <c r="BC445" s="80"/>
      <c r="BD445" s="79"/>
      <c r="BE445" s="38"/>
      <c r="BF445" s="74"/>
      <c r="BG445" s="115"/>
      <c r="BH445" s="115"/>
      <c r="BI445" s="115"/>
      <c r="BJ445" s="115"/>
      <c r="BK445" s="115"/>
      <c r="BL445" s="115"/>
      <c r="BM445" s="115"/>
      <c r="BN445" s="115"/>
      <c r="BO445" s="115"/>
      <c r="BP445" s="115"/>
      <c r="BQ445" s="115"/>
      <c r="BR445" s="115"/>
      <c r="BS445" s="115"/>
      <c r="BT445" s="115"/>
      <c r="BU445" s="115"/>
      <c r="BV445" s="115"/>
      <c r="BW445" s="115"/>
      <c r="BX445" s="115"/>
      <c r="BY445" s="115"/>
      <c r="BZ445" s="115"/>
      <c r="CA445" s="115"/>
      <c r="CB445" s="115"/>
      <c r="CC445" s="115"/>
      <c r="CD445" s="115"/>
      <c r="CE445" s="115"/>
      <c r="CF445" s="115"/>
      <c r="CG445" s="115"/>
      <c r="CH445" s="115"/>
      <c r="CI445" s="115"/>
      <c r="CJ445" s="115"/>
      <c r="CK445" s="115"/>
      <c r="CL445" s="115"/>
      <c r="CM445" s="115"/>
      <c r="CN445" s="115"/>
      <c r="CO445" s="115"/>
      <c r="CP445" s="115"/>
    </row>
    <row r="446" ht="27.75" customHeight="1">
      <c r="A446" s="47" t="s">
        <v>2327</v>
      </c>
      <c r="C446" s="48" t="s">
        <v>132</v>
      </c>
      <c r="D446" s="49" t="s">
        <v>2328</v>
      </c>
      <c r="E446" s="49" t="s">
        <v>2329</v>
      </c>
      <c r="F446" s="749" t="s">
        <v>2330</v>
      </c>
      <c r="G446" s="353"/>
      <c r="H446" s="53" t="s">
        <v>2331</v>
      </c>
      <c r="I446" s="54" t="s">
        <v>2332</v>
      </c>
      <c r="J446" s="55"/>
      <c r="K446" s="54">
        <v>1.0</v>
      </c>
      <c r="L446" s="56">
        <v>2014.0</v>
      </c>
      <c r="M446" s="55"/>
      <c r="N446" s="55"/>
      <c r="O446" s="27" t="str">
        <f t="shared" si="3"/>
        <v>#N/A</v>
      </c>
      <c r="P446" s="55"/>
      <c r="Q446" s="55"/>
      <c r="R446" s="55"/>
      <c r="S446" s="55"/>
      <c r="T446" s="55"/>
      <c r="U446" s="55"/>
      <c r="V446" s="30">
        <f t="shared" si="28"/>
        <v>20730000</v>
      </c>
      <c r="W446" s="30"/>
      <c r="X446" s="58"/>
      <c r="Y446" s="58"/>
      <c r="Z446" s="692"/>
      <c r="AA446" s="665"/>
      <c r="AB446" s="55"/>
      <c r="AC446" s="55"/>
      <c r="AD446" s="453"/>
      <c r="AE446" s="55"/>
      <c r="AF446" s="62">
        <v>42767.0</v>
      </c>
      <c r="AG446" s="38">
        <v>330000.0</v>
      </c>
      <c r="AH446" s="62">
        <v>43620.0</v>
      </c>
      <c r="AI446" s="38">
        <v>1700000.0</v>
      </c>
      <c r="AJ446" s="62">
        <v>44713.0</v>
      </c>
      <c r="AK446" s="38">
        <v>3700000.0</v>
      </c>
      <c r="AL446" s="62">
        <v>44951.0</v>
      </c>
      <c r="AM446" s="38">
        <v>1.5E7</v>
      </c>
      <c r="AN446" s="55"/>
      <c r="AO446" s="55"/>
      <c r="AP446" s="356"/>
      <c r="AQ446" s="38"/>
      <c r="AR446" s="55"/>
      <c r="AS446" s="38"/>
      <c r="AT446" s="55"/>
      <c r="AU446" s="38"/>
      <c r="AV446" s="55"/>
      <c r="AW446" s="38"/>
      <c r="AX446" s="55"/>
      <c r="AY446" s="38"/>
      <c r="AZ446" s="55"/>
      <c r="BA446" s="722"/>
      <c r="BB446" s="55"/>
      <c r="BC446" s="38"/>
      <c r="BD446" s="55"/>
      <c r="BE446" s="38"/>
      <c r="BF446" s="55"/>
      <c r="BG446" s="456"/>
      <c r="BH446" s="456"/>
      <c r="BI446" s="456"/>
      <c r="BJ446" s="456"/>
      <c r="BK446" s="456"/>
      <c r="BL446" s="456"/>
      <c r="BM446" s="456"/>
      <c r="BN446" s="456"/>
      <c r="BO446" s="456"/>
      <c r="BP446" s="456"/>
      <c r="BQ446" s="456"/>
      <c r="BR446" s="456"/>
      <c r="BS446" s="456"/>
      <c r="BT446" s="456"/>
      <c r="BU446" s="456"/>
      <c r="BV446" s="456"/>
      <c r="BW446" s="456"/>
      <c r="BX446" s="456"/>
      <c r="BY446" s="456"/>
      <c r="BZ446" s="456"/>
      <c r="CA446" s="456"/>
      <c r="CB446" s="456"/>
      <c r="CC446" s="456"/>
      <c r="CD446" s="456"/>
      <c r="CE446" s="456"/>
      <c r="CF446" s="456"/>
      <c r="CG446" s="456"/>
      <c r="CH446" s="456"/>
      <c r="CI446" s="456"/>
      <c r="CJ446" s="456"/>
      <c r="CK446" s="456"/>
      <c r="CL446" s="456"/>
      <c r="CM446" s="456"/>
      <c r="CN446" s="456"/>
      <c r="CO446" s="456"/>
      <c r="CP446" s="456"/>
    </row>
    <row r="447" ht="18.75" customHeight="1">
      <c r="A447" s="21" t="s">
        <v>2333</v>
      </c>
      <c r="B447" s="69"/>
      <c r="C447" s="69" t="s">
        <v>552</v>
      </c>
      <c r="D447" s="138" t="s">
        <v>2334</v>
      </c>
      <c r="E447" s="138" t="s">
        <v>2335</v>
      </c>
      <c r="F447" s="173" t="s">
        <v>2336</v>
      </c>
      <c r="G447" s="71"/>
      <c r="H447" s="71" t="s">
        <v>2337</v>
      </c>
      <c r="I447" s="26" t="s">
        <v>2338</v>
      </c>
      <c r="J447" s="155"/>
      <c r="K447" s="26">
        <v>2.0</v>
      </c>
      <c r="L447" s="26">
        <v>2017.0</v>
      </c>
      <c r="M447" s="25"/>
      <c r="N447" s="26"/>
      <c r="O447" s="27" t="str">
        <f t="shared" si="3"/>
        <v>#N/A</v>
      </c>
      <c r="P447" s="273"/>
      <c r="Q447" s="273"/>
      <c r="R447" s="273"/>
      <c r="S447" s="273"/>
      <c r="T447" s="273"/>
      <c r="U447" s="273"/>
      <c r="V447" s="30">
        <f t="shared" si="28"/>
        <v>20550000</v>
      </c>
      <c r="W447" s="30"/>
      <c r="X447" s="73"/>
      <c r="Y447" s="73"/>
      <c r="Z447" s="692"/>
      <c r="AA447" s="665"/>
      <c r="AB447" s="74"/>
      <c r="AC447" s="74"/>
      <c r="AD447" s="44"/>
      <c r="AE447" s="46"/>
      <c r="AF447" s="158" t="str">
        <f>HYPERLINK("https://www.crunchbase.com/funding_round/frontdesk-seed--f5784cfa","Sep 28, 2018")</f>
        <v>Sep 28, 2018</v>
      </c>
      <c r="AG447" s="38">
        <v>750000.0</v>
      </c>
      <c r="AH447" s="36"/>
      <c r="AI447" s="159"/>
      <c r="AJ447" s="43" t="str">
        <f>HYPERLINK("https://www.crunchbase.com/funding_round/frontdesk-series-a--07291534","Apr 28, 2020")</f>
        <v>Apr 28, 2020</v>
      </c>
      <c r="AK447" s="38">
        <v>6800000.0</v>
      </c>
      <c r="AL447" s="75">
        <v>44817.0</v>
      </c>
      <c r="AM447" s="38">
        <v>1.3E7</v>
      </c>
      <c r="AN447" s="44"/>
      <c r="AO447" s="46"/>
      <c r="AP447" s="44"/>
      <c r="AQ447" s="46"/>
      <c r="AR447" s="44"/>
      <c r="AS447" s="44"/>
      <c r="AT447" s="44"/>
      <c r="AU447" s="45"/>
      <c r="AV447" s="44"/>
      <c r="AW447" s="38"/>
      <c r="AX447" s="44"/>
      <c r="AY447" s="38"/>
      <c r="AZ447" s="44"/>
      <c r="BA447" s="45"/>
      <c r="BB447" s="44"/>
      <c r="BC447" s="45"/>
      <c r="BD447" s="44"/>
      <c r="BE447" s="38"/>
      <c r="BF447" s="36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</row>
    <row r="448" ht="27.75" customHeight="1">
      <c r="A448" s="21" t="s">
        <v>2339</v>
      </c>
      <c r="B448" s="68"/>
      <c r="C448" s="69" t="s">
        <v>132</v>
      </c>
      <c r="D448" s="138" t="s">
        <v>2340</v>
      </c>
      <c r="E448" s="200" t="s">
        <v>2341</v>
      </c>
      <c r="F448" s="173" t="s">
        <v>2342</v>
      </c>
      <c r="G448" s="54" t="s">
        <v>2343</v>
      </c>
      <c r="H448" s="71" t="s">
        <v>357</v>
      </c>
      <c r="I448" s="26" t="s">
        <v>358</v>
      </c>
      <c r="J448" s="72" t="s">
        <v>2344</v>
      </c>
      <c r="K448" s="26">
        <v>3.0</v>
      </c>
      <c r="L448" s="26">
        <v>2016.0</v>
      </c>
      <c r="M448" s="25">
        <f>year(now()) -L448</f>
        <v>9</v>
      </c>
      <c r="N448" s="26">
        <f>counta(AE448,AG448,AI448,AK448,AM448,AO448,AQ448,AS448,AU448,AW448,AY448,BA448,BC448)</f>
        <v>2</v>
      </c>
      <c r="O448" s="27" t="str">
        <f t="shared" si="3"/>
        <v>#N/A</v>
      </c>
      <c r="P448" s="28" t="str">
        <f>RANK(T448,$T$8:$T$333)</f>
        <v>#N/A</v>
      </c>
      <c r="Q448" s="28" t="str">
        <f>rank(V448,$V$8:$V$344)</f>
        <v>#N/A</v>
      </c>
      <c r="R448" s="28"/>
      <c r="S448" s="28"/>
      <c r="T448" s="29">
        <f>V448/M448</f>
        <v>2277777.778</v>
      </c>
      <c r="U448" s="28"/>
      <c r="V448" s="30">
        <f t="shared" si="28"/>
        <v>20500000</v>
      </c>
      <c r="W448" s="30"/>
      <c r="X448" s="32">
        <f>(max(AE448,AG448,AI448,AK448,AM448,AO448,AQ448,AS448,AU448,AW448,AY448,BA448,BC448)/min(AE448,AG448,AI448,AK448,AM448,AO448,AQ448,AS448,AU448,AW448,AY448,BA448,BC448))^(1/N448)-1</f>
        <v>0.1881770516</v>
      </c>
      <c r="Y448" s="33">
        <f>(max(AE448,AG448,AI448,AK448,AM448,AO448,AQ448,AS448,AU448,AW448,AY448,BA448,BC448)/min(AE448,AG448,AI448,AK448,AM448,AO448,AQ448,AS448,AU448,AW448,AY448,BA448,BC448))^(1/M448)-1</f>
        <v>0.03905911815</v>
      </c>
      <c r="Z448" s="692"/>
      <c r="AA448" s="665"/>
      <c r="AB448" s="74"/>
      <c r="AC448" s="74"/>
      <c r="AD448" s="79"/>
      <c r="AE448" s="84"/>
      <c r="AF448" s="175" t="str">
        <f>HYPERLINK("https://www.crunchbase.com/funding_round/rategravity-seed--3f6fafe6","Feb 6, 2017")</f>
        <v>Feb 6, 2017</v>
      </c>
      <c r="AG448" s="76"/>
      <c r="AH448" s="74"/>
      <c r="AI448" s="78"/>
      <c r="AJ448" s="181" t="str">
        <f>HYPERLINK("https://www.crunchbase.com/funding_round/rategravity-series-a--a9651efa","Oct 22, 2019")</f>
        <v>Oct 22, 2019</v>
      </c>
      <c r="AK448" s="76">
        <v>8500000.0</v>
      </c>
      <c r="AL448" s="181" t="str">
        <f>HYPERLINK("https://www.crunchbase.com/funding_round/rategravity-series-b--e854a81a","Jan 14, 2021")</f>
        <v>Jan 14, 2021</v>
      </c>
      <c r="AM448" s="76">
        <v>1.2E7</v>
      </c>
      <c r="AN448" s="79"/>
      <c r="AO448" s="84"/>
      <c r="AP448" s="79"/>
      <c r="AQ448" s="84"/>
      <c r="AR448" s="79"/>
      <c r="AS448" s="79"/>
      <c r="AT448" s="79"/>
      <c r="AU448" s="80"/>
      <c r="AV448" s="79"/>
      <c r="AW448" s="38"/>
      <c r="AX448" s="79"/>
      <c r="AY448" s="38"/>
      <c r="AZ448" s="79"/>
      <c r="BA448" s="80"/>
      <c r="BB448" s="79"/>
      <c r="BC448" s="80"/>
      <c r="BD448" s="79"/>
      <c r="BE448" s="38"/>
      <c r="BF448" s="74"/>
      <c r="BG448" s="115"/>
      <c r="BH448" s="115"/>
      <c r="BI448" s="115"/>
      <c r="BJ448" s="115"/>
      <c r="BK448" s="115"/>
      <c r="BL448" s="115"/>
      <c r="BM448" s="115"/>
      <c r="BN448" s="115"/>
      <c r="BO448" s="115"/>
      <c r="BP448" s="115"/>
      <c r="BQ448" s="115"/>
      <c r="BR448" s="115"/>
      <c r="BS448" s="115"/>
      <c r="BT448" s="115"/>
      <c r="BU448" s="115"/>
      <c r="BV448" s="115"/>
      <c r="BW448" s="115"/>
      <c r="BX448" s="115"/>
      <c r="BY448" s="115"/>
      <c r="BZ448" s="115"/>
      <c r="CA448" s="115"/>
      <c r="CB448" s="115"/>
      <c r="CC448" s="115"/>
      <c r="CD448" s="115"/>
      <c r="CE448" s="115"/>
      <c r="CF448" s="115"/>
      <c r="CG448" s="115"/>
      <c r="CH448" s="115"/>
      <c r="CI448" s="115"/>
      <c r="CJ448" s="115"/>
      <c r="CK448" s="115"/>
      <c r="CL448" s="115"/>
      <c r="CM448" s="115"/>
      <c r="CN448" s="115"/>
      <c r="CO448" s="115"/>
      <c r="CP448" s="115"/>
    </row>
    <row r="449" ht="15.75" customHeight="1">
      <c r="A449" s="21" t="s">
        <v>2345</v>
      </c>
      <c r="B449" s="68"/>
      <c r="C449" s="116" t="s">
        <v>132</v>
      </c>
      <c r="D449" s="48"/>
      <c r="E449" s="192" t="s">
        <v>2346</v>
      </c>
      <c r="F449" s="118" t="s">
        <v>2347</v>
      </c>
      <c r="G449" s="71"/>
      <c r="H449" s="493" t="s">
        <v>322</v>
      </c>
      <c r="I449" s="26" t="s">
        <v>323</v>
      </c>
      <c r="J449" s="494"/>
      <c r="K449" s="26">
        <v>2.0</v>
      </c>
      <c r="L449" s="26">
        <v>2020.0</v>
      </c>
      <c r="M449" s="25"/>
      <c r="N449" s="26"/>
      <c r="O449" s="27" t="str">
        <f t="shared" si="3"/>
        <v>#N/A</v>
      </c>
      <c r="P449" s="273"/>
      <c r="Q449" s="273"/>
      <c r="R449" s="273"/>
      <c r="S449" s="273"/>
      <c r="T449" s="273"/>
      <c r="U449" s="273"/>
      <c r="V449" s="30">
        <f t="shared" si="28"/>
        <v>20500000</v>
      </c>
      <c r="W449" s="30"/>
      <c r="X449" s="73"/>
      <c r="Y449" s="73"/>
      <c r="Z449" s="692"/>
      <c r="AA449" s="665"/>
      <c r="AB449" s="74"/>
      <c r="AC449" s="74"/>
      <c r="AD449" s="44"/>
      <c r="AE449" s="46"/>
      <c r="AF449" s="918" t="str">
        <f>HYPERLINK("https://www.crunchbase.com/funding_round/dongnae-seed--392702a1","May 20, 2021")</f>
        <v>May 20, 2021</v>
      </c>
      <c r="AG449" s="1141">
        <v>4100000.0</v>
      </c>
      <c r="AH449" s="36"/>
      <c r="AI449" s="159"/>
      <c r="AJ449" s="43" t="str">
        <f>HYPERLINK("https://www.crunchbase.com/funding_round/dongnae-series-a--14818cfe","Mar 23, 2022")</f>
        <v>Mar 23, 2022</v>
      </c>
      <c r="AK449" s="38">
        <v>1.64E7</v>
      </c>
      <c r="AL449" s="44"/>
      <c r="AM449" s="38"/>
      <c r="AN449" s="44"/>
      <c r="AO449" s="46"/>
      <c r="AP449" s="44"/>
      <c r="AQ449" s="46"/>
      <c r="AR449" s="44"/>
      <c r="AS449" s="44"/>
      <c r="AT449" s="44"/>
      <c r="AU449" s="45"/>
      <c r="AV449" s="44"/>
      <c r="AW449" s="38"/>
      <c r="AX449" s="44"/>
      <c r="AY449" s="38"/>
      <c r="AZ449" s="44"/>
      <c r="BA449" s="45"/>
      <c r="BB449" s="44"/>
      <c r="BC449" s="45"/>
      <c r="BD449" s="44"/>
      <c r="BE449" s="38"/>
      <c r="BF449" s="36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</row>
    <row r="450" ht="15.75" customHeight="1">
      <c r="A450" s="21" t="s">
        <v>2348</v>
      </c>
      <c r="B450" s="68"/>
      <c r="C450" s="69" t="s">
        <v>84</v>
      </c>
      <c r="D450" s="337"/>
      <c r="E450" s="535" t="s">
        <v>2349</v>
      </c>
      <c r="F450" s="565" t="s">
        <v>2350</v>
      </c>
      <c r="G450" s="186"/>
      <c r="H450" s="71" t="s">
        <v>2351</v>
      </c>
      <c r="I450" s="26" t="s">
        <v>2352</v>
      </c>
      <c r="J450" s="155"/>
      <c r="K450" s="26">
        <v>3.0</v>
      </c>
      <c r="L450" s="26">
        <v>2018.0</v>
      </c>
      <c r="M450" s="25"/>
      <c r="N450" s="26"/>
      <c r="O450" s="27" t="str">
        <f t="shared" si="3"/>
        <v>#N/A</v>
      </c>
      <c r="P450" s="273"/>
      <c r="Q450" s="273"/>
      <c r="R450" s="273"/>
      <c r="S450" s="273"/>
      <c r="T450" s="273"/>
      <c r="U450" s="273"/>
      <c r="V450" s="30">
        <f t="shared" si="28"/>
        <v>20464400</v>
      </c>
      <c r="W450" s="30"/>
      <c r="X450" s="73"/>
      <c r="Y450" s="73"/>
      <c r="Z450" s="692"/>
      <c r="AA450" s="665"/>
      <c r="AB450" s="74"/>
      <c r="AC450" s="74"/>
      <c r="AD450" s="75">
        <v>43358.0</v>
      </c>
      <c r="AE450" s="84"/>
      <c r="AF450" s="726">
        <v>43791.0</v>
      </c>
      <c r="AG450" s="76">
        <v>864400.0</v>
      </c>
      <c r="AH450" s="74"/>
      <c r="AI450" s="78"/>
      <c r="AJ450" s="75">
        <v>44830.0</v>
      </c>
      <c r="AK450" s="76">
        <v>1.96E7</v>
      </c>
      <c r="AL450" s="79"/>
      <c r="AM450" s="84"/>
      <c r="AN450" s="79"/>
      <c r="AO450" s="84"/>
      <c r="AP450" s="79"/>
      <c r="AQ450" s="84"/>
      <c r="AR450" s="79"/>
      <c r="AS450" s="79"/>
      <c r="AT450" s="79"/>
      <c r="AU450" s="80"/>
      <c r="AV450" s="79"/>
      <c r="AW450" s="38"/>
      <c r="AX450" s="79"/>
      <c r="AY450" s="38"/>
      <c r="AZ450" s="79"/>
      <c r="BA450" s="80"/>
      <c r="BB450" s="79"/>
      <c r="BC450" s="80"/>
      <c r="BD450" s="79"/>
      <c r="BE450" s="38"/>
      <c r="BF450" s="74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</row>
    <row r="451" ht="15.75" customHeight="1">
      <c r="A451" s="21" t="s">
        <v>2353</v>
      </c>
      <c r="B451" s="16"/>
      <c r="C451" s="17" t="s">
        <v>59</v>
      </c>
      <c r="D451" s="231"/>
      <c r="E451" s="138" t="s">
        <v>2354</v>
      </c>
      <c r="F451" s="173" t="s">
        <v>2355</v>
      </c>
      <c r="G451" s="71"/>
      <c r="H451" s="71" t="s">
        <v>1065</v>
      </c>
      <c r="I451" s="26" t="s">
        <v>1935</v>
      </c>
      <c r="J451" s="72"/>
      <c r="K451" s="23">
        <v>1.0</v>
      </c>
      <c r="L451" s="23">
        <v>2016.0</v>
      </c>
      <c r="M451" s="222"/>
      <c r="N451" s="23"/>
      <c r="O451" s="27" t="str">
        <f t="shared" si="3"/>
        <v>#N/A</v>
      </c>
      <c r="P451" s="28"/>
      <c r="Q451" s="28"/>
      <c r="R451" s="28"/>
      <c r="S451" s="28"/>
      <c r="T451" s="28"/>
      <c r="U451" s="28"/>
      <c r="V451" s="30">
        <f t="shared" si="28"/>
        <v>35400000</v>
      </c>
      <c r="W451" s="30"/>
      <c r="X451" s="33"/>
      <c r="Y451" s="33"/>
      <c r="Z451" s="692"/>
      <c r="AA451" s="665"/>
      <c r="AB451" s="36"/>
      <c r="AC451" s="36"/>
      <c r="AD451" s="43" t="str">
        <f>HYPERLINK("https://www.crunchbase.com/funding_round/chargelab-pre-seed--d8dffdd0","Mar 16, 2020")</f>
        <v>Mar 16, 2020</v>
      </c>
      <c r="AE451" s="38">
        <v>1100000.0</v>
      </c>
      <c r="AF451" s="158" t="str">
        <f>HYPERLINK("https://www.crunchbase.com/funding_round/chargelab-seed--9d1987c0","Feb 23, 2021")</f>
        <v>Feb 23, 2021</v>
      </c>
      <c r="AG451" s="38">
        <v>4300000.0</v>
      </c>
      <c r="AH451" s="36"/>
      <c r="AI451" s="159"/>
      <c r="AJ451" s="75">
        <v>45030.0</v>
      </c>
      <c r="AK451" s="38">
        <v>2.5E7</v>
      </c>
      <c r="AL451" s="44"/>
      <c r="AM451" s="38"/>
      <c r="AN451" s="44"/>
      <c r="AO451" s="46"/>
      <c r="AP451" s="44"/>
      <c r="AQ451" s="46"/>
      <c r="AR451" s="44"/>
      <c r="AS451" s="44"/>
      <c r="AT451" s="44"/>
      <c r="AU451" s="45"/>
      <c r="AV451" s="44"/>
      <c r="AW451" s="38"/>
      <c r="AX451" s="44"/>
      <c r="AY451" s="38"/>
      <c r="AZ451" s="44"/>
      <c r="BA451" s="45"/>
      <c r="BB451" s="75">
        <v>45030.0</v>
      </c>
      <c r="BC451" s="229">
        <v>5000000.0</v>
      </c>
      <c r="BD451" s="44"/>
      <c r="BE451" s="38"/>
      <c r="BF451" s="3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</row>
    <row r="452" ht="15.75" customHeight="1">
      <c r="A452" s="47" t="s">
        <v>2356</v>
      </c>
      <c r="C452" s="48" t="s">
        <v>513</v>
      </c>
      <c r="D452" s="49" t="s">
        <v>2357</v>
      </c>
      <c r="E452" s="49" t="s">
        <v>2358</v>
      </c>
      <c r="F452" s="749" t="s">
        <v>2359</v>
      </c>
      <c r="G452" s="353"/>
      <c r="H452" s="53" t="s">
        <v>365</v>
      </c>
      <c r="I452" s="54" t="s">
        <v>65</v>
      </c>
      <c r="J452" s="55"/>
      <c r="K452" s="54">
        <v>2.0</v>
      </c>
      <c r="L452" s="56">
        <v>2020.0</v>
      </c>
      <c r="M452" s="55"/>
      <c r="N452" s="55"/>
      <c r="O452" s="27" t="str">
        <f t="shared" si="3"/>
        <v>#N/A</v>
      </c>
      <c r="P452" s="55"/>
      <c r="Q452" s="55"/>
      <c r="R452" s="55"/>
      <c r="S452" s="55"/>
      <c r="T452" s="55"/>
      <c r="U452" s="55"/>
      <c r="V452" s="30">
        <f t="shared" si="28"/>
        <v>20300000</v>
      </c>
      <c r="W452" s="30"/>
      <c r="X452" s="58"/>
      <c r="Y452" s="58"/>
      <c r="Z452" s="692"/>
      <c r="AA452" s="665"/>
      <c r="AB452" s="55"/>
      <c r="AC452" s="55"/>
      <c r="AD452" s="880">
        <v>44089.0</v>
      </c>
      <c r="AE452" s="38"/>
      <c r="AF452" s="62">
        <v>44284.0</v>
      </c>
      <c r="AG452" s="38">
        <v>2800000.0</v>
      </c>
      <c r="AH452" s="62">
        <v>44562.0</v>
      </c>
      <c r="AI452" s="38"/>
      <c r="AJ452" s="62">
        <v>44971.0</v>
      </c>
      <c r="AK452" s="38">
        <v>1.75E7</v>
      </c>
      <c r="AL452" s="55"/>
      <c r="AM452" s="38"/>
      <c r="AN452" s="55"/>
      <c r="AO452" s="38"/>
      <c r="AP452" s="356"/>
      <c r="AQ452" s="38"/>
      <c r="AR452" s="55"/>
      <c r="AS452" s="38"/>
      <c r="AT452" s="55"/>
      <c r="AU452" s="38"/>
      <c r="AV452" s="55"/>
      <c r="AW452" s="38"/>
      <c r="AX452" s="55"/>
      <c r="AY452" s="38"/>
      <c r="AZ452" s="55"/>
      <c r="BA452" s="38"/>
      <c r="BB452" s="55"/>
      <c r="BC452" s="38"/>
      <c r="BD452" s="55"/>
      <c r="BE452" s="38"/>
      <c r="BF452" s="55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</row>
    <row r="453" ht="15.75" customHeight="1">
      <c r="A453" s="21" t="s">
        <v>2360</v>
      </c>
      <c r="B453" s="68"/>
      <c r="C453" s="69" t="s">
        <v>84</v>
      </c>
      <c r="D453" s="535" t="s">
        <v>2361</v>
      </c>
      <c r="E453" s="236" t="s">
        <v>2362</v>
      </c>
      <c r="F453" s="803" t="s">
        <v>2363</v>
      </c>
      <c r="G453" s="186"/>
      <c r="H453" s="71" t="s">
        <v>271</v>
      </c>
      <c r="I453" s="26" t="s">
        <v>272</v>
      </c>
      <c r="J453" s="155"/>
      <c r="K453" s="26">
        <v>2.0</v>
      </c>
      <c r="L453" s="26">
        <v>2015.0</v>
      </c>
      <c r="M453" s="25"/>
      <c r="N453" s="26"/>
      <c r="O453" s="27" t="str">
        <f t="shared" si="3"/>
        <v>#N/A</v>
      </c>
      <c r="P453" s="273"/>
      <c r="Q453" s="273"/>
      <c r="R453" s="273"/>
      <c r="S453" s="273"/>
      <c r="T453" s="273"/>
      <c r="U453" s="273"/>
      <c r="V453" s="30">
        <f t="shared" si="28"/>
        <v>20120000</v>
      </c>
      <c r="W453" s="30"/>
      <c r="X453" s="73"/>
      <c r="Y453" s="73"/>
      <c r="Z453" s="692"/>
      <c r="AA453" s="665"/>
      <c r="AB453" s="74"/>
      <c r="AC453" s="74"/>
      <c r="AD453" s="75">
        <v>42451.0</v>
      </c>
      <c r="AE453" s="38">
        <v>120000.0</v>
      </c>
      <c r="AF453" s="726">
        <v>42551.0</v>
      </c>
      <c r="AG453" s="38">
        <v>3500000.0</v>
      </c>
      <c r="AH453" s="36"/>
      <c r="AI453" s="159"/>
      <c r="AJ453" s="75">
        <v>43243.0</v>
      </c>
      <c r="AK453" s="38">
        <v>4000000.0</v>
      </c>
      <c r="AL453" s="75">
        <v>44270.0</v>
      </c>
      <c r="AM453" s="38">
        <v>1.25E7</v>
      </c>
      <c r="AN453" s="44"/>
      <c r="AO453" s="46"/>
      <c r="AP453" s="44"/>
      <c r="AQ453" s="46"/>
      <c r="AR453" s="44"/>
      <c r="AS453" s="44"/>
      <c r="AT453" s="44"/>
      <c r="AU453" s="45"/>
      <c r="AV453" s="44"/>
      <c r="AW453" s="38"/>
      <c r="AX453" s="44"/>
      <c r="AY453" s="38"/>
      <c r="AZ453" s="44"/>
      <c r="BA453" s="45"/>
      <c r="BB453" s="44"/>
      <c r="BC453" s="45"/>
      <c r="BD453" s="44"/>
      <c r="BE453" s="38"/>
      <c r="BF453" s="3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</row>
    <row r="454" ht="15.75" customHeight="1">
      <c r="A454" s="21" t="s">
        <v>2364</v>
      </c>
      <c r="B454" s="16"/>
      <c r="C454" s="17" t="s">
        <v>123</v>
      </c>
      <c r="D454" s="236" t="s">
        <v>2365</v>
      </c>
      <c r="E454" s="18" t="s">
        <v>2366</v>
      </c>
      <c r="F454" s="173" t="s">
        <v>2367</v>
      </c>
      <c r="G454" s="317"/>
      <c r="H454" s="22" t="s">
        <v>226</v>
      </c>
      <c r="I454" s="23" t="s">
        <v>2368</v>
      </c>
      <c r="J454" s="1142"/>
      <c r="K454" s="36"/>
      <c r="L454" s="23">
        <v>2006.0</v>
      </c>
      <c r="M454" s="25">
        <f t="shared" ref="M454:M461" si="383">year(now()) -L454</f>
        <v>19</v>
      </c>
      <c r="N454" s="26">
        <f t="shared" ref="N454:N461" si="384">counta(AE454,AG454,AI454,AK454,AM454,AO454,AQ454,AS454,AU454,AW454,AY454,BA454,BC454)</f>
        <v>1</v>
      </c>
      <c r="O454" s="27" t="str">
        <f t="shared" si="3"/>
        <v>#N/A</v>
      </c>
      <c r="P454" s="28" t="str">
        <f t="shared" ref="P454:P461" si="385">RANK(T454,$T$8:$T$333)</f>
        <v>#N/A</v>
      </c>
      <c r="Q454" s="28" t="str">
        <f t="shared" ref="Q454:Q461" si="386">rank(V454,$V$8:$V$344)</f>
        <v>#N/A</v>
      </c>
      <c r="R454" s="28"/>
      <c r="S454" s="28"/>
      <c r="T454" s="29">
        <f t="shared" ref="T454:T461" si="387">V454/M454</f>
        <v>1057894.737</v>
      </c>
      <c r="U454" s="28"/>
      <c r="V454" s="30">
        <f t="shared" si="28"/>
        <v>20100000</v>
      </c>
      <c r="W454" s="30"/>
      <c r="X454" s="32">
        <f t="shared" ref="X454:X461" si="388">(max(AE454,AG454,AI454,AK454,AM454,AO454,AQ454,AS454,AU454,AW454,AY454,BA454,BC454)/min(AE454,AG454,AI454,AK454,AM454,AO454,AQ454,AS454,AU454,AW454,AY454,BA454,BC454))^(1/N454)-1</f>
        <v>0</v>
      </c>
      <c r="Y454" s="33">
        <f t="shared" ref="Y454:Y461" si="389">(max(AE454,AG454,AI454,AK454,AM454,AO454,AQ454,AS454,AU454,AW454,AY454,BA454,BC454)/min(AE454,AG454,AI454,AK454,AM454,AO454,AQ454,AS454,AU454,AW454,AY454,BA454,BC454))^(1/M454)-1</f>
        <v>0</v>
      </c>
      <c r="Z454" s="692"/>
      <c r="AA454" s="665"/>
      <c r="AB454" s="36"/>
      <c r="AC454" s="36"/>
      <c r="AD454" s="37"/>
      <c r="AE454" s="38"/>
      <c r="AF454" s="39"/>
      <c r="AG454" s="38"/>
      <c r="AH454" s="36"/>
      <c r="AI454" s="159"/>
      <c r="AJ454" s="227">
        <v>41887.0</v>
      </c>
      <c r="AK454" s="38">
        <v>2.01E7</v>
      </c>
      <c r="AL454" s="44"/>
      <c r="AM454" s="46"/>
      <c r="AN454" s="44"/>
      <c r="AO454" s="46"/>
      <c r="AP454" s="44"/>
      <c r="AQ454" s="46"/>
      <c r="AR454" s="44"/>
      <c r="AS454" s="44"/>
      <c r="AT454" s="44"/>
      <c r="AU454" s="45"/>
      <c r="AV454" s="44"/>
      <c r="AW454" s="38"/>
      <c r="AX454" s="44"/>
      <c r="AY454" s="38"/>
      <c r="AZ454" s="44"/>
      <c r="BA454" s="45"/>
      <c r="BB454" s="44"/>
      <c r="BC454" s="45"/>
      <c r="BD454" s="44"/>
      <c r="BE454" s="38"/>
      <c r="BF454" s="36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</row>
    <row r="455" ht="15.75" customHeight="1">
      <c r="A455" s="1143" t="s">
        <v>2369</v>
      </c>
      <c r="B455" s="1144"/>
      <c r="C455" s="1145" t="s">
        <v>84</v>
      </c>
      <c r="D455" s="1146" t="s">
        <v>2370</v>
      </c>
      <c r="E455" s="1147" t="s">
        <v>2371</v>
      </c>
      <c r="F455" s="1148" t="s">
        <v>2372</v>
      </c>
      <c r="G455" s="1149"/>
      <c r="H455" s="1149" t="s">
        <v>271</v>
      </c>
      <c r="I455" s="1150" t="s">
        <v>272</v>
      </c>
      <c r="J455" s="1151"/>
      <c r="K455" s="1150">
        <v>1.0</v>
      </c>
      <c r="L455" s="1150"/>
      <c r="M455" s="25">
        <f t="shared" si="383"/>
        <v>2025</v>
      </c>
      <c r="N455" s="26">
        <f t="shared" si="384"/>
        <v>1</v>
      </c>
      <c r="O455" s="27" t="str">
        <f t="shared" si="3"/>
        <v>#N/A</v>
      </c>
      <c r="P455" s="28" t="str">
        <f t="shared" si="385"/>
        <v>#N/A</v>
      </c>
      <c r="Q455" s="28" t="str">
        <f t="shared" si="386"/>
        <v>#N/A</v>
      </c>
      <c r="R455" s="28"/>
      <c r="S455" s="28"/>
      <c r="T455" s="29">
        <f t="shared" si="387"/>
        <v>9876.54321</v>
      </c>
      <c r="U455" s="28"/>
      <c r="V455" s="30">
        <f t="shared" si="28"/>
        <v>20000000</v>
      </c>
      <c r="W455" s="30"/>
      <c r="X455" s="32">
        <f t="shared" si="388"/>
        <v>0</v>
      </c>
      <c r="Y455" s="33">
        <f t="shared" si="389"/>
        <v>0</v>
      </c>
      <c r="Z455" s="692"/>
      <c r="AA455" s="665"/>
      <c r="AB455" s="1152"/>
      <c r="AC455" s="1152"/>
      <c r="AD455" s="1153"/>
      <c r="AE455" s="1154"/>
      <c r="AF455" s="1155"/>
      <c r="AG455" s="1154"/>
      <c r="AH455" s="1150"/>
      <c r="AI455" s="1154"/>
      <c r="AJ455" s="1156" t="str">
        <f>HYPERLINK("https://www.crunchbase.com/funding_round/aloft-appraisal-series-a--e8f63869","Nov 18, 2021")</f>
        <v>Nov 18, 2021</v>
      </c>
      <c r="AK455" s="1157">
        <v>2.0E7</v>
      </c>
      <c r="AL455" s="1158"/>
      <c r="AM455" s="1159"/>
      <c r="AN455" s="1158"/>
      <c r="AO455" s="1159"/>
      <c r="AP455" s="1158"/>
      <c r="AQ455" s="1159"/>
      <c r="AR455" s="1158"/>
      <c r="AS455" s="1158"/>
      <c r="AT455" s="1158"/>
      <c r="AU455" s="1160"/>
      <c r="AV455" s="1158"/>
      <c r="AW455" s="38"/>
      <c r="AX455" s="1158"/>
      <c r="AY455" s="38"/>
      <c r="AZ455" s="1158"/>
      <c r="BA455" s="1160"/>
      <c r="BB455" s="1158"/>
      <c r="BC455" s="1160"/>
      <c r="BD455" s="1158"/>
      <c r="BE455" s="38"/>
      <c r="BF455" s="1161"/>
      <c r="BG455" s="115"/>
      <c r="BH455" s="115"/>
      <c r="BI455" s="115"/>
      <c r="BJ455" s="115"/>
      <c r="BK455" s="115"/>
      <c r="BL455" s="115"/>
      <c r="BM455" s="115"/>
      <c r="BN455" s="115"/>
      <c r="BO455" s="115"/>
      <c r="BP455" s="115"/>
      <c r="BQ455" s="115"/>
      <c r="BR455" s="115"/>
      <c r="BS455" s="115"/>
      <c r="BT455" s="115"/>
      <c r="BU455" s="115"/>
      <c r="BV455" s="115"/>
      <c r="BW455" s="115"/>
      <c r="BX455" s="115"/>
      <c r="BY455" s="115"/>
      <c r="BZ455" s="115"/>
      <c r="CA455" s="115"/>
      <c r="CB455" s="115"/>
      <c r="CC455" s="115"/>
      <c r="CD455" s="115"/>
      <c r="CE455" s="115"/>
      <c r="CF455" s="115"/>
      <c r="CG455" s="115"/>
      <c r="CH455" s="115"/>
      <c r="CI455" s="115"/>
      <c r="CJ455" s="115"/>
      <c r="CK455" s="115"/>
      <c r="CL455" s="115"/>
      <c r="CM455" s="115"/>
      <c r="CN455" s="115"/>
      <c r="CO455" s="115"/>
      <c r="CP455" s="115"/>
    </row>
    <row r="456" ht="15.75" customHeight="1">
      <c r="A456" s="1162" t="s">
        <v>2373</v>
      </c>
      <c r="B456" s="16"/>
      <c r="C456" s="17" t="s">
        <v>123</v>
      </c>
      <c r="D456" s="18" t="s">
        <v>2374</v>
      </c>
      <c r="E456" s="18" t="s">
        <v>2375</v>
      </c>
      <c r="F456" s="20" t="s">
        <v>2376</v>
      </c>
      <c r="G456" s="317"/>
      <c r="H456" s="22" t="s">
        <v>262</v>
      </c>
      <c r="I456" s="23" t="s">
        <v>2377</v>
      </c>
      <c r="J456" s="237"/>
      <c r="K456" s="36"/>
      <c r="L456" s="23">
        <v>2000.0</v>
      </c>
      <c r="M456" s="25">
        <f t="shared" si="383"/>
        <v>25</v>
      </c>
      <c r="N456" s="26">
        <f t="shared" si="384"/>
        <v>2</v>
      </c>
      <c r="O456" s="27" t="str">
        <f t="shared" si="3"/>
        <v>#N/A</v>
      </c>
      <c r="P456" s="28" t="str">
        <f t="shared" si="385"/>
        <v>#N/A</v>
      </c>
      <c r="Q456" s="28" t="str">
        <f t="shared" si="386"/>
        <v>#N/A</v>
      </c>
      <c r="R456" s="28"/>
      <c r="S456" s="28"/>
      <c r="T456" s="29">
        <f t="shared" si="387"/>
        <v>800000</v>
      </c>
      <c r="U456" s="28"/>
      <c r="V456" s="30">
        <f t="shared" si="28"/>
        <v>20000000</v>
      </c>
      <c r="W456" s="30"/>
      <c r="X456" s="32">
        <f t="shared" si="388"/>
        <v>2</v>
      </c>
      <c r="Y456" s="33">
        <f t="shared" si="389"/>
        <v>0.09186689961</v>
      </c>
      <c r="Z456" s="692"/>
      <c r="AA456" s="665"/>
      <c r="AB456" s="36"/>
      <c r="AC456" s="36"/>
      <c r="AD456" s="44"/>
      <c r="AE456" s="46"/>
      <c r="AF456" s="39"/>
      <c r="AG456" s="46"/>
      <c r="AH456" s="36"/>
      <c r="AI456" s="159"/>
      <c r="AJ456" s="44"/>
      <c r="AK456" s="46"/>
      <c r="AL456" s="227">
        <v>37476.0</v>
      </c>
      <c r="AM456" s="38">
        <v>2000000.0</v>
      </c>
      <c r="AN456" s="44"/>
      <c r="AO456" s="46"/>
      <c r="AP456" s="44"/>
      <c r="AQ456" s="46"/>
      <c r="AR456" s="227">
        <v>42702.0</v>
      </c>
      <c r="AS456" s="38">
        <v>1.8E7</v>
      </c>
      <c r="AT456" s="44"/>
      <c r="AU456" s="45"/>
      <c r="AV456" s="44"/>
      <c r="AW456" s="38"/>
      <c r="AX456" s="44"/>
      <c r="AY456" s="38"/>
      <c r="AZ456" s="44"/>
      <c r="BA456" s="45"/>
      <c r="BB456" s="44"/>
      <c r="BC456" s="45"/>
      <c r="BD456" s="44"/>
      <c r="BE456" s="38"/>
      <c r="BF456" s="36"/>
      <c r="BG456" s="115"/>
      <c r="BH456" s="115"/>
      <c r="BI456" s="115"/>
      <c r="BJ456" s="115"/>
      <c r="BK456" s="115"/>
      <c r="BL456" s="115"/>
      <c r="BM456" s="115"/>
      <c r="BN456" s="115"/>
      <c r="BO456" s="115"/>
      <c r="BP456" s="115"/>
      <c r="BQ456" s="115"/>
      <c r="BR456" s="115"/>
      <c r="BS456" s="115"/>
      <c r="BT456" s="115"/>
      <c r="BU456" s="115"/>
      <c r="BV456" s="115"/>
      <c r="BW456" s="115"/>
      <c r="BX456" s="115"/>
      <c r="BY456" s="115"/>
      <c r="BZ456" s="115"/>
      <c r="CA456" s="115"/>
      <c r="CB456" s="115"/>
      <c r="CC456" s="115"/>
      <c r="CD456" s="115"/>
      <c r="CE456" s="115"/>
      <c r="CF456" s="115"/>
      <c r="CG456" s="115"/>
      <c r="CH456" s="115"/>
      <c r="CI456" s="115"/>
      <c r="CJ456" s="115"/>
      <c r="CK456" s="115"/>
      <c r="CL456" s="115"/>
      <c r="CM456" s="115"/>
      <c r="CN456" s="115"/>
      <c r="CO456" s="115"/>
      <c r="CP456" s="115"/>
    </row>
    <row r="457" ht="15.75" customHeight="1">
      <c r="A457" s="48" t="s">
        <v>2378</v>
      </c>
      <c r="B457" s="16"/>
      <c r="C457" s="17" t="s">
        <v>123</v>
      </c>
      <c r="D457" s="192" t="s">
        <v>2379</v>
      </c>
      <c r="E457" s="192" t="s">
        <v>2380</v>
      </c>
      <c r="F457" s="118" t="s">
        <v>2381</v>
      </c>
      <c r="G457" s="1163" t="s">
        <v>2382</v>
      </c>
      <c r="H457" s="22" t="s">
        <v>187</v>
      </c>
      <c r="I457" s="23" t="s">
        <v>2383</v>
      </c>
      <c r="J457" s="237"/>
      <c r="K457" s="36"/>
      <c r="L457" s="23">
        <v>2009.0</v>
      </c>
      <c r="M457" s="25">
        <f t="shared" si="383"/>
        <v>16</v>
      </c>
      <c r="N457" s="26">
        <f t="shared" si="384"/>
        <v>1</v>
      </c>
      <c r="O457" s="27" t="str">
        <f t="shared" si="3"/>
        <v>#N/A</v>
      </c>
      <c r="P457" s="28" t="str">
        <f t="shared" si="385"/>
        <v>#N/A</v>
      </c>
      <c r="Q457" s="28" t="str">
        <f t="shared" si="386"/>
        <v>#N/A</v>
      </c>
      <c r="R457" s="28"/>
      <c r="S457" s="28"/>
      <c r="T457" s="29">
        <f t="shared" si="387"/>
        <v>1250000</v>
      </c>
      <c r="U457" s="28"/>
      <c r="V457" s="30">
        <f t="shared" si="28"/>
        <v>20000000</v>
      </c>
      <c r="W457" s="30"/>
      <c r="X457" s="32">
        <f t="shared" si="388"/>
        <v>0</v>
      </c>
      <c r="Y457" s="33">
        <f t="shared" si="389"/>
        <v>0</v>
      </c>
      <c r="Z457" s="692"/>
      <c r="AA457" s="665"/>
      <c r="AB457" s="23"/>
      <c r="AC457" s="36"/>
      <c r="AD457" s="44"/>
      <c r="AE457" s="38"/>
      <c r="AF457" s="225">
        <v>42005.0</v>
      </c>
      <c r="AG457" s="38">
        <v>2.0E7</v>
      </c>
      <c r="AH457" s="36"/>
      <c r="AI457" s="159"/>
      <c r="AJ457" s="44"/>
      <c r="AK457" s="46"/>
      <c r="AL457" s="44"/>
      <c r="AM457" s="46"/>
      <c r="AN457" s="44"/>
      <c r="AO457" s="46"/>
      <c r="AP457" s="44"/>
      <c r="AQ457" s="46"/>
      <c r="AR457" s="44"/>
      <c r="AS457" s="44"/>
      <c r="AT457" s="44"/>
      <c r="AU457" s="45"/>
      <c r="AV457" s="44"/>
      <c r="AW457" s="38"/>
      <c r="AX457" s="44"/>
      <c r="AY457" s="38"/>
      <c r="AZ457" s="44"/>
      <c r="BA457" s="45"/>
      <c r="BB457" s="44"/>
      <c r="BC457" s="45"/>
      <c r="BD457" s="44"/>
      <c r="BE457" s="38"/>
      <c r="BF457" s="36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</row>
    <row r="458" ht="15.75" customHeight="1">
      <c r="A458" s="442" t="s">
        <v>2384</v>
      </c>
      <c r="B458" s="68" t="s">
        <v>568</v>
      </c>
      <c r="C458" s="69" t="s">
        <v>123</v>
      </c>
      <c r="D458" s="184"/>
      <c r="E458" s="200" t="s">
        <v>2385</v>
      </c>
      <c r="F458" s="185" t="s">
        <v>2386</v>
      </c>
      <c r="G458" s="193" t="s">
        <v>2387</v>
      </c>
      <c r="H458" s="193" t="s">
        <v>2388</v>
      </c>
      <c r="I458" s="193" t="s">
        <v>358</v>
      </c>
      <c r="J458" s="1164" t="s">
        <v>2389</v>
      </c>
      <c r="K458" s="26">
        <v>2.0</v>
      </c>
      <c r="L458" s="26">
        <v>2010.0</v>
      </c>
      <c r="M458" s="25">
        <f t="shared" si="383"/>
        <v>15</v>
      </c>
      <c r="N458" s="26">
        <f t="shared" si="384"/>
        <v>1</v>
      </c>
      <c r="O458" s="27" t="str">
        <f t="shared" si="3"/>
        <v>#N/A</v>
      </c>
      <c r="P458" s="28" t="str">
        <f t="shared" si="385"/>
        <v>#N/A</v>
      </c>
      <c r="Q458" s="28" t="str">
        <f t="shared" si="386"/>
        <v>#N/A</v>
      </c>
      <c r="R458" s="28"/>
      <c r="S458" s="28"/>
      <c r="T458" s="29">
        <f t="shared" si="387"/>
        <v>1333333.333</v>
      </c>
      <c r="U458" s="28"/>
      <c r="V458" s="30">
        <f t="shared" si="28"/>
        <v>20000000</v>
      </c>
      <c r="W458" s="30"/>
      <c r="X458" s="32">
        <f t="shared" si="388"/>
        <v>0</v>
      </c>
      <c r="Y458" s="33">
        <f t="shared" si="389"/>
        <v>0</v>
      </c>
      <c r="Z458" s="692"/>
      <c r="AA458" s="665"/>
      <c r="AB458" s="74"/>
      <c r="AC458" s="74"/>
      <c r="AD458" s="44"/>
      <c r="AE458" s="46"/>
      <c r="AF458" s="39"/>
      <c r="AG458" s="46"/>
      <c r="AH458" s="36"/>
      <c r="AI458" s="159"/>
      <c r="AJ458" s="44"/>
      <c r="AK458" s="46"/>
      <c r="AL458" s="228" t="str">
        <f>HYPERLINK("https://www.crunchbase.com/funding_round/enverid-series-b--13c5ead6"," 4/28/2020")</f>
        <v> 4/28/2020</v>
      </c>
      <c r="AM458" s="38">
        <v>2.0E7</v>
      </c>
      <c r="AN458" s="37"/>
      <c r="AO458" s="38"/>
      <c r="AP458" s="44"/>
      <c r="AQ458" s="46"/>
      <c r="AR458" s="44"/>
      <c r="AS458" s="44"/>
      <c r="AT458" s="44"/>
      <c r="AU458" s="45"/>
      <c r="AV458" s="44"/>
      <c r="AW458" s="38"/>
      <c r="AX458" s="44"/>
      <c r="AY458" s="38"/>
      <c r="AZ458" s="44"/>
      <c r="BA458" s="45"/>
      <c r="BB458" s="44"/>
      <c r="BC458" s="45"/>
      <c r="BD458" s="44"/>
      <c r="BE458" s="38"/>
      <c r="BF458" s="36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</row>
    <row r="459" ht="15.75" customHeight="1">
      <c r="A459" s="931" t="s">
        <v>2390</v>
      </c>
      <c r="B459" s="116"/>
      <c r="C459" s="116" t="s">
        <v>207</v>
      </c>
      <c r="D459" s="731"/>
      <c r="E459" s="192" t="s">
        <v>2391</v>
      </c>
      <c r="F459" s="756" t="s">
        <v>2392</v>
      </c>
      <c r="G459" s="119"/>
      <c r="H459" s="119" t="s">
        <v>64</v>
      </c>
      <c r="I459" s="25" t="s">
        <v>65</v>
      </c>
      <c r="J459" s="120"/>
      <c r="K459" s="25"/>
      <c r="L459" s="25">
        <v>2016.0</v>
      </c>
      <c r="M459" s="25">
        <f t="shared" si="383"/>
        <v>9</v>
      </c>
      <c r="N459" s="26">
        <f t="shared" si="384"/>
        <v>1</v>
      </c>
      <c r="O459" s="27" t="str">
        <f t="shared" si="3"/>
        <v>#N/A</v>
      </c>
      <c r="P459" s="28" t="str">
        <f t="shared" si="385"/>
        <v>#N/A</v>
      </c>
      <c r="Q459" s="28" t="str">
        <f t="shared" si="386"/>
        <v>#N/A</v>
      </c>
      <c r="R459" s="28"/>
      <c r="S459" s="28"/>
      <c r="T459" s="29">
        <f t="shared" si="387"/>
        <v>2222222.222</v>
      </c>
      <c r="U459" s="28"/>
      <c r="V459" s="30">
        <f t="shared" si="28"/>
        <v>20000000</v>
      </c>
      <c r="W459" s="30"/>
      <c r="X459" s="32">
        <f t="shared" si="388"/>
        <v>0</v>
      </c>
      <c r="Y459" s="33">
        <f t="shared" si="389"/>
        <v>0</v>
      </c>
      <c r="Z459" s="692"/>
      <c r="AA459" s="665"/>
      <c r="AB459" s="123"/>
      <c r="AC459" s="123"/>
      <c r="AD459" s="124"/>
      <c r="AE459" s="125"/>
      <c r="AF459" s="721"/>
      <c r="AG459" s="127"/>
      <c r="AH459" s="923"/>
      <c r="AI459" s="759"/>
      <c r="AJ459" s="914">
        <v>44250.0</v>
      </c>
      <c r="AK459" s="165">
        <v>2.0E7</v>
      </c>
      <c r="AL459" s="124"/>
      <c r="AM459" s="125"/>
      <c r="AN459" s="124"/>
      <c r="AO459" s="125"/>
      <c r="AP459" s="124"/>
      <c r="AQ459" s="125"/>
      <c r="AR459" s="124"/>
      <c r="AS459" s="124"/>
      <c r="AT459" s="124"/>
      <c r="AU459" s="137"/>
      <c r="AV459" s="124"/>
      <c r="AW459" s="38"/>
      <c r="AX459" s="124"/>
      <c r="AY459" s="38"/>
      <c r="AZ459" s="124"/>
      <c r="BA459" s="137"/>
      <c r="BB459" s="124"/>
      <c r="BC459" s="137"/>
      <c r="BD459" s="124"/>
      <c r="BE459" s="38"/>
      <c r="BF459" s="123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</row>
    <row r="460" ht="15.75" customHeight="1">
      <c r="A460" s="931" t="s">
        <v>2393</v>
      </c>
      <c r="B460" s="68"/>
      <c r="C460" s="69" t="s">
        <v>84</v>
      </c>
      <c r="D460" s="192" t="s">
        <v>2394</v>
      </c>
      <c r="E460" s="388" t="s">
        <v>2395</v>
      </c>
      <c r="F460" s="756" t="s">
        <v>2396</v>
      </c>
      <c r="G460" s="54"/>
      <c r="H460" s="71" t="s">
        <v>328</v>
      </c>
      <c r="I460" s="26" t="s">
        <v>329</v>
      </c>
      <c r="J460" s="72"/>
      <c r="K460" s="74"/>
      <c r="L460" s="26">
        <v>2015.0</v>
      </c>
      <c r="M460" s="25">
        <f t="shared" si="383"/>
        <v>10</v>
      </c>
      <c r="N460" s="26">
        <f t="shared" si="384"/>
        <v>1</v>
      </c>
      <c r="O460" s="27" t="str">
        <f t="shared" si="3"/>
        <v>#N/A</v>
      </c>
      <c r="P460" s="28" t="str">
        <f t="shared" si="385"/>
        <v>#N/A</v>
      </c>
      <c r="Q460" s="28" t="str">
        <f t="shared" si="386"/>
        <v>#N/A</v>
      </c>
      <c r="R460" s="28"/>
      <c r="S460" s="28"/>
      <c r="T460" s="29">
        <f t="shared" si="387"/>
        <v>2000000</v>
      </c>
      <c r="U460" s="28"/>
      <c r="V460" s="30">
        <f t="shared" si="28"/>
        <v>20000000</v>
      </c>
      <c r="W460" s="30"/>
      <c r="X460" s="32">
        <f t="shared" si="388"/>
        <v>0</v>
      </c>
      <c r="Y460" s="33">
        <f t="shared" si="389"/>
        <v>0</v>
      </c>
      <c r="Z460" s="692"/>
      <c r="AA460" s="665"/>
      <c r="AB460" s="74"/>
      <c r="AC460" s="74"/>
      <c r="AD460" s="79"/>
      <c r="AE460" s="84"/>
      <c r="AF460" s="338"/>
      <c r="AG460" s="84"/>
      <c r="AH460" s="77"/>
      <c r="AI460" s="78"/>
      <c r="AJ460" s="227">
        <v>43770.0</v>
      </c>
      <c r="AK460" s="1165">
        <v>2.0E7</v>
      </c>
      <c r="AL460" s="79"/>
      <c r="AM460" s="84"/>
      <c r="AN460" s="79"/>
      <c r="AO460" s="84"/>
      <c r="AP460" s="79"/>
      <c r="AQ460" s="84"/>
      <c r="AR460" s="79"/>
      <c r="AS460" s="79"/>
      <c r="AT460" s="79"/>
      <c r="AU460" s="80"/>
      <c r="AV460" s="79"/>
      <c r="AW460" s="38"/>
      <c r="AX460" s="79"/>
      <c r="AY460" s="38"/>
      <c r="AZ460" s="79"/>
      <c r="BA460" s="80"/>
      <c r="BB460" s="79"/>
      <c r="BC460" s="80"/>
      <c r="BD460" s="79"/>
      <c r="BE460" s="38"/>
      <c r="BF460" s="74"/>
      <c r="BG460" s="115"/>
      <c r="BH460" s="115"/>
      <c r="BI460" s="115"/>
      <c r="BJ460" s="115"/>
      <c r="BK460" s="115"/>
      <c r="BL460" s="115"/>
      <c r="BM460" s="115"/>
      <c r="BN460" s="115"/>
      <c r="BO460" s="115"/>
      <c r="BP460" s="115"/>
      <c r="BQ460" s="115"/>
      <c r="BR460" s="115"/>
      <c r="BS460" s="115"/>
      <c r="BT460" s="115"/>
      <c r="BU460" s="115"/>
      <c r="BV460" s="115"/>
      <c r="BW460" s="115"/>
      <c r="BX460" s="115"/>
      <c r="BY460" s="115"/>
      <c r="BZ460" s="115"/>
      <c r="CA460" s="115"/>
      <c r="CB460" s="115"/>
      <c r="CC460" s="115"/>
      <c r="CD460" s="115"/>
      <c r="CE460" s="115"/>
      <c r="CF460" s="115"/>
      <c r="CG460" s="115"/>
      <c r="CH460" s="115"/>
      <c r="CI460" s="115"/>
      <c r="CJ460" s="115"/>
      <c r="CK460" s="115"/>
      <c r="CL460" s="115"/>
      <c r="CM460" s="115"/>
      <c r="CN460" s="115"/>
      <c r="CO460" s="115"/>
      <c r="CP460" s="115"/>
    </row>
    <row r="461" ht="15.75" customHeight="1">
      <c r="A461" s="860" t="s">
        <v>2397</v>
      </c>
      <c r="B461" s="115"/>
      <c r="C461" s="116" t="s">
        <v>132</v>
      </c>
      <c r="D461" s="192" t="s">
        <v>2398</v>
      </c>
      <c r="E461" s="192" t="s">
        <v>2399</v>
      </c>
      <c r="F461" s="118" t="s">
        <v>2400</v>
      </c>
      <c r="G461" s="54"/>
      <c r="H461" s="119" t="s">
        <v>1065</v>
      </c>
      <c r="I461" s="25" t="s">
        <v>639</v>
      </c>
      <c r="J461" s="178"/>
      <c r="K461" s="123"/>
      <c r="L461" s="25">
        <v>2009.0</v>
      </c>
      <c r="M461" s="25">
        <f t="shared" si="383"/>
        <v>16</v>
      </c>
      <c r="N461" s="26">
        <f t="shared" si="384"/>
        <v>1</v>
      </c>
      <c r="O461" s="27" t="str">
        <f t="shared" si="3"/>
        <v>#N/A</v>
      </c>
      <c r="P461" s="28" t="str">
        <f t="shared" si="385"/>
        <v>#N/A</v>
      </c>
      <c r="Q461" s="28" t="str">
        <f t="shared" si="386"/>
        <v>#N/A</v>
      </c>
      <c r="R461" s="28"/>
      <c r="S461" s="28"/>
      <c r="T461" s="29">
        <f t="shared" si="387"/>
        <v>1250000</v>
      </c>
      <c r="U461" s="28"/>
      <c r="V461" s="30">
        <f t="shared" si="28"/>
        <v>20000000</v>
      </c>
      <c r="W461" s="30"/>
      <c r="X461" s="32">
        <f t="shared" si="388"/>
        <v>0</v>
      </c>
      <c r="Y461" s="33">
        <f t="shared" si="389"/>
        <v>0</v>
      </c>
      <c r="Z461" s="692"/>
      <c r="AA461" s="665"/>
      <c r="AB461" s="123"/>
      <c r="AC461" s="123"/>
      <c r="AD461" s="124"/>
      <c r="AE461" s="125"/>
      <c r="AF461" s="166"/>
      <c r="AG461" s="125"/>
      <c r="AH461" s="123"/>
      <c r="AI461" s="128"/>
      <c r="AJ461" s="42">
        <v>43164.0</v>
      </c>
      <c r="AK461" s="1166">
        <v>2.0E7</v>
      </c>
      <c r="AL461" s="124"/>
      <c r="AM461" s="125"/>
      <c r="AN461" s="124"/>
      <c r="AO461" s="125"/>
      <c r="AP461" s="124"/>
      <c r="AQ461" s="125"/>
      <c r="AR461" s="124"/>
      <c r="AS461" s="124"/>
      <c r="AT461" s="124"/>
      <c r="AU461" s="137"/>
      <c r="AV461" s="124"/>
      <c r="AW461" s="38"/>
      <c r="AX461" s="124"/>
      <c r="AY461" s="38"/>
      <c r="AZ461" s="124"/>
      <c r="BA461" s="137"/>
      <c r="BB461" s="124"/>
      <c r="BC461" s="137"/>
      <c r="BD461" s="124"/>
      <c r="BE461" s="38"/>
      <c r="BF461" s="123"/>
      <c r="BG461" s="115"/>
      <c r="BH461" s="115"/>
      <c r="BI461" s="115"/>
      <c r="BJ461" s="115"/>
      <c r="BK461" s="115"/>
      <c r="BL461" s="115"/>
      <c r="BM461" s="115"/>
      <c r="BN461" s="115"/>
      <c r="BO461" s="115"/>
      <c r="BP461" s="115"/>
      <c r="BQ461" s="115"/>
      <c r="BR461" s="115"/>
      <c r="BS461" s="115"/>
      <c r="BT461" s="115"/>
      <c r="BU461" s="115"/>
      <c r="BV461" s="115"/>
      <c r="BW461" s="115"/>
      <c r="BX461" s="115"/>
      <c r="BY461" s="115"/>
      <c r="BZ461" s="115"/>
      <c r="CA461" s="115"/>
      <c r="CB461" s="115"/>
      <c r="CC461" s="115"/>
      <c r="CD461" s="115"/>
      <c r="CE461" s="115"/>
      <c r="CF461" s="115"/>
      <c r="CG461" s="115"/>
      <c r="CH461" s="115"/>
      <c r="CI461" s="115"/>
      <c r="CJ461" s="115"/>
      <c r="CK461" s="115"/>
      <c r="CL461" s="115"/>
      <c r="CM461" s="115"/>
      <c r="CN461" s="115"/>
      <c r="CO461" s="115"/>
      <c r="CP461" s="115"/>
    </row>
    <row r="462" ht="15.75" customHeight="1">
      <c r="A462" s="400" t="s">
        <v>2401</v>
      </c>
      <c r="B462" s="16"/>
      <c r="C462" s="17" t="s">
        <v>76</v>
      </c>
      <c r="D462" s="184"/>
      <c r="E462" s="138"/>
      <c r="F462" s="177" t="s">
        <v>2402</v>
      </c>
      <c r="G462" s="317"/>
      <c r="H462" s="22" t="s">
        <v>64</v>
      </c>
      <c r="I462" s="23" t="s">
        <v>65</v>
      </c>
      <c r="J462" s="24"/>
      <c r="K462" s="36"/>
      <c r="L462" s="23">
        <v>2020.0</v>
      </c>
      <c r="M462" s="326"/>
      <c r="N462" s="36"/>
      <c r="O462" s="27" t="str">
        <f t="shared" si="3"/>
        <v>#N/A</v>
      </c>
      <c r="P462" s="28"/>
      <c r="Q462" s="28"/>
      <c r="R462" s="28"/>
      <c r="S462" s="28"/>
      <c r="T462" s="28"/>
      <c r="U462" s="28"/>
      <c r="V462" s="30">
        <f t="shared" si="28"/>
        <v>20000000</v>
      </c>
      <c r="W462" s="30"/>
      <c r="X462" s="847"/>
      <c r="Y462" s="847"/>
      <c r="Z462" s="692"/>
      <c r="AA462" s="665"/>
      <c r="AB462" s="36"/>
      <c r="AC462" s="36"/>
      <c r="AD462" s="44"/>
      <c r="AE462" s="46"/>
      <c r="AF462" s="39"/>
      <c r="AG462" s="38"/>
      <c r="AH462" s="36"/>
      <c r="AI462" s="46"/>
      <c r="AJ462" s="391">
        <v>44728.0</v>
      </c>
      <c r="AK462" s="46">
        <f>20000000</f>
        <v>20000000</v>
      </c>
      <c r="AL462" s="44"/>
      <c r="AM462" s="46"/>
      <c r="AN462" s="44"/>
      <c r="AO462" s="46"/>
      <c r="AP462" s="44"/>
      <c r="AQ462" s="46"/>
      <c r="AR462" s="44"/>
      <c r="AS462" s="44"/>
      <c r="AT462" s="44"/>
      <c r="AU462" s="45"/>
      <c r="AV462" s="44"/>
      <c r="AW462" s="38"/>
      <c r="AX462" s="44"/>
      <c r="AY462" s="38"/>
      <c r="AZ462" s="44"/>
      <c r="BA462" s="45"/>
      <c r="BB462" s="44"/>
      <c r="BC462" s="45"/>
      <c r="BD462" s="44"/>
      <c r="BE462" s="38"/>
      <c r="BF462" s="3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</row>
    <row r="463" ht="15.75" customHeight="1">
      <c r="A463" s="462" t="s">
        <v>2403</v>
      </c>
      <c r="B463" s="16"/>
      <c r="C463" s="17" t="s">
        <v>84</v>
      </c>
      <c r="D463" s="337"/>
      <c r="E463" s="236" t="s">
        <v>2404</v>
      </c>
      <c r="F463" s="803" t="s">
        <v>2405</v>
      </c>
      <c r="G463" s="317"/>
      <c r="H463" s="22" t="s">
        <v>2406</v>
      </c>
      <c r="I463" s="23" t="s">
        <v>65</v>
      </c>
      <c r="J463" s="24" t="s">
        <v>2407</v>
      </c>
      <c r="K463" s="23">
        <v>3.0</v>
      </c>
      <c r="L463" s="23">
        <v>2021.0</v>
      </c>
      <c r="M463" s="222"/>
      <c r="N463" s="23"/>
      <c r="O463" s="27" t="str">
        <f t="shared" si="3"/>
        <v>#N/A</v>
      </c>
      <c r="P463" s="464"/>
      <c r="Q463" s="464"/>
      <c r="R463" s="464"/>
      <c r="S463" s="464"/>
      <c r="T463" s="464"/>
      <c r="U463" s="464"/>
      <c r="V463" s="30">
        <f t="shared" si="28"/>
        <v>20000000</v>
      </c>
      <c r="W463" s="30"/>
      <c r="X463" s="33"/>
      <c r="Y463" s="33"/>
      <c r="Z463" s="692"/>
      <c r="AA463" s="665"/>
      <c r="AB463" s="36"/>
      <c r="AC463" s="36"/>
      <c r="AD463" s="75">
        <v>44652.0</v>
      </c>
      <c r="AE463" s="38">
        <v>5000000.0</v>
      </c>
      <c r="AF463" s="726">
        <v>44827.0</v>
      </c>
      <c r="AG463" s="38">
        <v>1.5E7</v>
      </c>
      <c r="AH463" s="36"/>
      <c r="AI463" s="159"/>
      <c r="AJ463" s="44"/>
      <c r="AK463" s="46"/>
      <c r="AL463" s="44"/>
      <c r="AM463" s="46"/>
      <c r="AN463" s="44"/>
      <c r="AO463" s="46"/>
      <c r="AP463" s="44"/>
      <c r="AQ463" s="46"/>
      <c r="AR463" s="44"/>
      <c r="AS463" s="44"/>
      <c r="AT463" s="44"/>
      <c r="AU463" s="45"/>
      <c r="AV463" s="44"/>
      <c r="AW463" s="38"/>
      <c r="AX463" s="44"/>
      <c r="AY463" s="38"/>
      <c r="AZ463" s="44"/>
      <c r="BA463" s="45"/>
      <c r="BB463" s="44"/>
      <c r="BC463" s="45"/>
      <c r="BD463" s="44"/>
      <c r="BE463" s="38"/>
      <c r="BF463" s="3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</row>
    <row r="464" ht="15.75" customHeight="1">
      <c r="A464" s="462" t="s">
        <v>2408</v>
      </c>
      <c r="B464" s="16"/>
      <c r="C464" s="17" t="s">
        <v>267</v>
      </c>
      <c r="D464" s="462"/>
      <c r="E464" s="138" t="s">
        <v>2409</v>
      </c>
      <c r="F464" s="20" t="s">
        <v>2410</v>
      </c>
      <c r="G464" s="317"/>
      <c r="H464" s="22" t="s">
        <v>114</v>
      </c>
      <c r="I464" s="23" t="s">
        <v>115</v>
      </c>
      <c r="J464" s="237"/>
      <c r="K464" s="23">
        <v>1.0</v>
      </c>
      <c r="L464" s="23">
        <v>2017.0</v>
      </c>
      <c r="M464" s="222"/>
      <c r="N464" s="23"/>
      <c r="O464" s="27" t="str">
        <f t="shared" si="3"/>
        <v>#N/A</v>
      </c>
      <c r="P464" s="28"/>
      <c r="Q464" s="28"/>
      <c r="R464" s="28"/>
      <c r="S464" s="28"/>
      <c r="T464" s="28"/>
      <c r="U464" s="28"/>
      <c r="V464" s="30">
        <f t="shared" si="28"/>
        <v>20000000</v>
      </c>
      <c r="W464" s="30"/>
      <c r="X464" s="33"/>
      <c r="Y464" s="33"/>
      <c r="Z464" s="692"/>
      <c r="AA464" s="665"/>
      <c r="AB464" s="23"/>
      <c r="AC464" s="36"/>
      <c r="AD464" s="44"/>
      <c r="AE464" s="38"/>
      <c r="AF464" s="39"/>
      <c r="AG464" s="46"/>
      <c r="AH464" s="36"/>
      <c r="AI464" s="159"/>
      <c r="AJ464" s="44"/>
      <c r="AK464" s="46"/>
      <c r="AL464" s="391">
        <v>44741.0</v>
      </c>
      <c r="AM464" s="46">
        <f>20000000</f>
        <v>20000000</v>
      </c>
      <c r="AN464" s="44"/>
      <c r="AO464" s="46"/>
      <c r="AP464" s="44"/>
      <c r="AQ464" s="46"/>
      <c r="AR464" s="44"/>
      <c r="AS464" s="44"/>
      <c r="AT464" s="44"/>
      <c r="AU464" s="45"/>
      <c r="AV464" s="44"/>
      <c r="AW464" s="38"/>
      <c r="AX464" s="44"/>
      <c r="AY464" s="38"/>
      <c r="AZ464" s="44"/>
      <c r="BA464" s="45"/>
      <c r="BB464" s="44"/>
      <c r="BC464" s="45"/>
      <c r="BD464" s="44"/>
      <c r="BE464" s="38"/>
      <c r="BF464" s="36"/>
      <c r="BG464" s="115"/>
      <c r="BH464" s="115"/>
      <c r="BI464" s="115"/>
      <c r="BJ464" s="115"/>
      <c r="BK464" s="115"/>
      <c r="BL464" s="115"/>
      <c r="BM464" s="115"/>
      <c r="BN464" s="115"/>
      <c r="BO464" s="115"/>
      <c r="BP464" s="115"/>
      <c r="BQ464" s="115"/>
      <c r="BR464" s="115"/>
      <c r="BS464" s="115"/>
      <c r="BT464" s="115"/>
      <c r="BU464" s="115"/>
      <c r="BV464" s="115"/>
      <c r="BW464" s="115"/>
      <c r="BX464" s="115"/>
      <c r="BY464" s="115"/>
      <c r="BZ464" s="115"/>
      <c r="CA464" s="115"/>
      <c r="CB464" s="115"/>
      <c r="CC464" s="115"/>
      <c r="CD464" s="115"/>
      <c r="CE464" s="115"/>
      <c r="CF464" s="115"/>
      <c r="CG464" s="115"/>
      <c r="CH464" s="115"/>
      <c r="CI464" s="115"/>
      <c r="CJ464" s="115"/>
      <c r="CK464" s="115"/>
      <c r="CL464" s="115"/>
      <c r="CM464" s="115"/>
      <c r="CN464" s="115"/>
      <c r="CO464" s="115"/>
      <c r="CP464" s="115"/>
    </row>
    <row r="465" ht="15.75" customHeight="1">
      <c r="A465" s="21" t="s">
        <v>2411</v>
      </c>
      <c r="B465" s="16"/>
      <c r="C465" s="16" t="s">
        <v>207</v>
      </c>
      <c r="D465" s="231"/>
      <c r="E465" s="1167" t="s">
        <v>2412</v>
      </c>
      <c r="F465" s="565" t="s">
        <v>2413</v>
      </c>
      <c r="G465" s="317"/>
      <c r="H465" s="22" t="s">
        <v>2414</v>
      </c>
      <c r="I465" s="23" t="s">
        <v>2415</v>
      </c>
      <c r="J465" s="237"/>
      <c r="K465" s="26">
        <v>2.0</v>
      </c>
      <c r="L465" s="23">
        <v>2016.0</v>
      </c>
      <c r="M465" s="25"/>
      <c r="N465" s="26"/>
      <c r="O465" s="27" t="str">
        <f t="shared" si="3"/>
        <v>#N/A</v>
      </c>
      <c r="P465" s="28"/>
      <c r="Q465" s="28"/>
      <c r="R465" s="28"/>
      <c r="S465" s="28"/>
      <c r="T465" s="28"/>
      <c r="U465" s="28"/>
      <c r="V465" s="30">
        <f t="shared" si="28"/>
        <v>20000000</v>
      </c>
      <c r="W465" s="30"/>
      <c r="X465" s="73"/>
      <c r="Y465" s="73"/>
      <c r="Z465" s="692"/>
      <c r="AA465" s="665"/>
      <c r="AB465" s="36"/>
      <c r="AC465" s="36"/>
      <c r="AD465" s="37"/>
      <c r="AE465" s="38"/>
      <c r="AF465" s="726">
        <v>42717.0</v>
      </c>
      <c r="AG465" s="46"/>
      <c r="AH465" s="36"/>
      <c r="AI465" s="159"/>
      <c r="AJ465" s="75">
        <v>43277.0</v>
      </c>
      <c r="AK465" s="38">
        <v>2.0E7</v>
      </c>
      <c r="AL465" s="44"/>
      <c r="AM465" s="46"/>
      <c r="AN465" s="44"/>
      <c r="AO465" s="46"/>
      <c r="AP465" s="44"/>
      <c r="AQ465" s="46"/>
      <c r="AR465" s="44"/>
      <c r="AS465" s="44"/>
      <c r="AT465" s="44"/>
      <c r="AU465" s="45"/>
      <c r="AV465" s="44"/>
      <c r="AW465" s="38"/>
      <c r="AX465" s="44"/>
      <c r="AY465" s="38"/>
      <c r="AZ465" s="44"/>
      <c r="BA465" s="45"/>
      <c r="BB465" s="44"/>
      <c r="BC465" s="45"/>
      <c r="BD465" s="44"/>
      <c r="BE465" s="38"/>
      <c r="BF465" s="36"/>
      <c r="BG465" s="115"/>
      <c r="BH465" s="115"/>
      <c r="BI465" s="115"/>
      <c r="BJ465" s="115"/>
      <c r="BK465" s="115"/>
      <c r="BL465" s="115"/>
      <c r="BM465" s="115"/>
      <c r="BN465" s="115"/>
      <c r="BO465" s="115"/>
      <c r="BP465" s="115"/>
      <c r="BQ465" s="115"/>
      <c r="BR465" s="115"/>
      <c r="BS465" s="115"/>
      <c r="BT465" s="115"/>
      <c r="BU465" s="115"/>
      <c r="BV465" s="115"/>
      <c r="BW465" s="115"/>
      <c r="BX465" s="115"/>
      <c r="BY465" s="115"/>
      <c r="BZ465" s="115"/>
      <c r="CA465" s="115"/>
      <c r="CB465" s="115"/>
      <c r="CC465" s="115"/>
      <c r="CD465" s="115"/>
      <c r="CE465" s="115"/>
      <c r="CF465" s="115"/>
      <c r="CG465" s="115"/>
      <c r="CH465" s="115"/>
      <c r="CI465" s="115"/>
      <c r="CJ465" s="115"/>
      <c r="CK465" s="115"/>
      <c r="CL465" s="115"/>
      <c r="CM465" s="115"/>
      <c r="CN465" s="115"/>
      <c r="CO465" s="115"/>
      <c r="CP465" s="115"/>
    </row>
    <row r="466" ht="15.75" customHeight="1">
      <c r="A466" s="21" t="s">
        <v>2416</v>
      </c>
      <c r="B466" s="69"/>
      <c r="C466" s="69" t="s">
        <v>84</v>
      </c>
      <c r="D466" s="138" t="s">
        <v>2417</v>
      </c>
      <c r="E466" s="1167" t="s">
        <v>2418</v>
      </c>
      <c r="F466" s="173" t="s">
        <v>2419</v>
      </c>
      <c r="G466" s="493"/>
      <c r="H466" s="493" t="s">
        <v>114</v>
      </c>
      <c r="I466" s="26" t="s">
        <v>115</v>
      </c>
      <c r="J466" s="494"/>
      <c r="K466" s="54">
        <v>2.0</v>
      </c>
      <c r="L466" s="26">
        <v>2017.0</v>
      </c>
      <c r="M466" s="54"/>
      <c r="N466" s="54"/>
      <c r="O466" s="27" t="str">
        <f t="shared" si="3"/>
        <v>#N/A</v>
      </c>
      <c r="P466" s="28"/>
      <c r="Q466" s="28"/>
      <c r="R466" s="28"/>
      <c r="S466" s="28"/>
      <c r="T466" s="28"/>
      <c r="U466" s="28"/>
      <c r="V466" s="30">
        <f t="shared" si="28"/>
        <v>20000000</v>
      </c>
      <c r="W466" s="30"/>
      <c r="X466" s="1168"/>
      <c r="Y466" s="1168"/>
      <c r="Z466" s="692"/>
      <c r="AA466" s="665"/>
      <c r="AB466" s="74"/>
      <c r="AC466" s="74"/>
      <c r="AD466" s="44"/>
      <c r="AE466" s="46"/>
      <c r="AF466" s="55"/>
      <c r="AG466" s="38"/>
      <c r="AH466" s="36"/>
      <c r="AI466" s="159"/>
      <c r="AJ466" s="726">
        <v>44249.0</v>
      </c>
      <c r="AK466" s="38"/>
      <c r="AL466" s="75">
        <v>44845.0</v>
      </c>
      <c r="AM466" s="38">
        <v>2.0E7</v>
      </c>
      <c r="AN466" s="44"/>
      <c r="AO466" s="38"/>
      <c r="AP466" s="44"/>
      <c r="AQ466" s="46"/>
      <c r="AR466" s="44"/>
      <c r="AS466" s="44"/>
      <c r="AT466" s="44"/>
      <c r="AU466" s="45"/>
      <c r="AV466" s="44"/>
      <c r="AW466" s="38"/>
      <c r="AX466" s="44"/>
      <c r="AY466" s="38"/>
      <c r="AZ466" s="44"/>
      <c r="BA466" s="45"/>
      <c r="BB466" s="44"/>
      <c r="BC466" s="45"/>
      <c r="BD466" s="44"/>
      <c r="BE466" s="38"/>
      <c r="BF466" s="36"/>
      <c r="BG466" s="115"/>
      <c r="BH466" s="115"/>
      <c r="BI466" s="115"/>
      <c r="BJ466" s="115"/>
      <c r="BK466" s="115"/>
      <c r="BL466" s="115"/>
      <c r="BM466" s="115"/>
      <c r="BN466" s="115"/>
      <c r="BO466" s="115"/>
      <c r="BP466" s="115"/>
      <c r="BQ466" s="115"/>
      <c r="BR466" s="115"/>
      <c r="BS466" s="115"/>
      <c r="BT466" s="115"/>
      <c r="BU466" s="115"/>
      <c r="BV466" s="115"/>
      <c r="BW466" s="115"/>
      <c r="BX466" s="115"/>
      <c r="BY466" s="115"/>
      <c r="BZ466" s="115"/>
      <c r="CA466" s="115"/>
      <c r="CB466" s="115"/>
      <c r="CC466" s="115"/>
      <c r="CD466" s="115"/>
      <c r="CE466" s="115"/>
      <c r="CF466" s="115"/>
      <c r="CG466" s="115"/>
      <c r="CH466" s="115"/>
      <c r="CI466" s="115"/>
      <c r="CJ466" s="115"/>
      <c r="CK466" s="115"/>
      <c r="CL466" s="115"/>
      <c r="CM466" s="115"/>
      <c r="CN466" s="115"/>
      <c r="CO466" s="115"/>
      <c r="CP466" s="115"/>
    </row>
    <row r="467" ht="15.75" customHeight="1">
      <c r="A467" s="21" t="s">
        <v>2420</v>
      </c>
      <c r="B467" s="68"/>
      <c r="C467" s="69" t="s">
        <v>190</v>
      </c>
      <c r="D467" s="385"/>
      <c r="E467" s="138" t="s">
        <v>2421</v>
      </c>
      <c r="F467" s="177" t="s">
        <v>2422</v>
      </c>
      <c r="G467" s="71"/>
      <c r="H467" s="71" t="s">
        <v>99</v>
      </c>
      <c r="I467" s="26" t="s">
        <v>100</v>
      </c>
      <c r="J467" s="72"/>
      <c r="K467" s="26"/>
      <c r="L467" s="26">
        <v>2019.0</v>
      </c>
      <c r="M467" s="25"/>
      <c r="N467" s="26"/>
      <c r="O467" s="27" t="str">
        <f t="shared" si="3"/>
        <v>#N/A</v>
      </c>
      <c r="P467" s="273"/>
      <c r="Q467" s="273"/>
      <c r="R467" s="273"/>
      <c r="S467" s="273"/>
      <c r="T467" s="273"/>
      <c r="U467" s="273"/>
      <c r="V467" s="30">
        <f t="shared" si="28"/>
        <v>20000000</v>
      </c>
      <c r="W467" s="30"/>
      <c r="X467" s="73"/>
      <c r="Y467" s="73"/>
      <c r="Z467" s="692"/>
      <c r="AA467" s="665"/>
      <c r="AB467" s="74"/>
      <c r="AC467" s="74"/>
      <c r="AD467" s="79"/>
      <c r="AE467" s="76"/>
      <c r="AF467" s="1169"/>
      <c r="AG467" s="76"/>
      <c r="AH467" s="74"/>
      <c r="AI467" s="78"/>
      <c r="AJ467" s="455" t="str">
        <f>HYPERLINK("https://techcrunch.com/2021/03/08/cosi-raises-e20m/","Mar 8, 2021")</f>
        <v>Mar 8, 2021</v>
      </c>
      <c r="AK467" s="1170">
        <v>2.0E7</v>
      </c>
      <c r="AL467" s="79"/>
      <c r="AM467" s="84"/>
      <c r="AN467" s="79"/>
      <c r="AO467" s="84"/>
      <c r="AP467" s="79"/>
      <c r="AQ467" s="84"/>
      <c r="AR467" s="79"/>
      <c r="AS467" s="79"/>
      <c r="AT467" s="79"/>
      <c r="AU467" s="80"/>
      <c r="AV467" s="79"/>
      <c r="AW467" s="38"/>
      <c r="AX467" s="79"/>
      <c r="AY467" s="38"/>
      <c r="AZ467" s="79"/>
      <c r="BA467" s="80"/>
      <c r="BB467" s="79"/>
      <c r="BC467" s="80"/>
      <c r="BD467" s="79"/>
      <c r="BE467" s="38"/>
      <c r="BF467" s="74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</row>
    <row r="468" ht="15.75" customHeight="1">
      <c r="A468" s="21" t="s">
        <v>2423</v>
      </c>
      <c r="B468" s="68"/>
      <c r="C468" s="69" t="s">
        <v>59</v>
      </c>
      <c r="D468" s="48"/>
      <c r="E468" s="139" t="s">
        <v>2424</v>
      </c>
      <c r="F468" s="1171" t="s">
        <v>2425</v>
      </c>
      <c r="G468" s="186"/>
      <c r="H468" s="71" t="s">
        <v>673</v>
      </c>
      <c r="I468" s="26" t="s">
        <v>674</v>
      </c>
      <c r="J468" s="155"/>
      <c r="K468" s="74"/>
      <c r="L468" s="26">
        <v>2017.0</v>
      </c>
      <c r="M468" s="123"/>
      <c r="N468" s="74"/>
      <c r="O468" s="27" t="str">
        <f t="shared" si="3"/>
        <v>#N/A</v>
      </c>
      <c r="P468" s="273"/>
      <c r="Q468" s="273"/>
      <c r="R468" s="273"/>
      <c r="S468" s="273"/>
      <c r="T468" s="273"/>
      <c r="U468" s="273"/>
      <c r="V468" s="30">
        <f t="shared" si="28"/>
        <v>20000000</v>
      </c>
      <c r="W468" s="30"/>
      <c r="X468" s="32"/>
      <c r="Y468" s="32"/>
      <c r="Z468" s="692"/>
      <c r="AA468" s="665"/>
      <c r="AB468" s="74"/>
      <c r="AC468" s="74"/>
      <c r="AD468" s="79"/>
      <c r="AE468" s="84"/>
      <c r="AF468" s="320"/>
      <c r="AG468" s="76"/>
      <c r="AH468" s="74"/>
      <c r="AI468" s="78"/>
      <c r="AJ468" s="227"/>
      <c r="AK468" s="894"/>
      <c r="AL468" s="181" t="str">
        <f>HYPERLINK("https://www.crunchbase.com/funding_round/la-fonciere-numerique-series-b--d809ee36","Apr 27, 2022")</f>
        <v>Apr 27, 2022</v>
      </c>
      <c r="AM468" s="76">
        <v>2.0E7</v>
      </c>
      <c r="AN468" s="79"/>
      <c r="AO468" s="84"/>
      <c r="AP468" s="79"/>
      <c r="AQ468" s="84"/>
      <c r="AR468" s="79"/>
      <c r="AS468" s="79"/>
      <c r="AT468" s="79"/>
      <c r="AU468" s="80"/>
      <c r="AV468" s="79"/>
      <c r="AW468" s="38"/>
      <c r="AX468" s="79"/>
      <c r="AY468" s="38"/>
      <c r="AZ468" s="79"/>
      <c r="BA468" s="80"/>
      <c r="BB468" s="79"/>
      <c r="BC468" s="80"/>
      <c r="BD468" s="79"/>
      <c r="BE468" s="38"/>
      <c r="BF468" s="74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</row>
    <row r="469" ht="15.75" customHeight="1">
      <c r="A469" s="400" t="s">
        <v>2426</v>
      </c>
      <c r="B469" s="115"/>
      <c r="C469" s="116" t="s">
        <v>132</v>
      </c>
      <c r="D469" s="401" t="s">
        <v>2427</v>
      </c>
      <c r="E469" s="401" t="s">
        <v>2428</v>
      </c>
      <c r="F469" s="161" t="s">
        <v>2429</v>
      </c>
      <c r="G469" s="119" t="s">
        <v>2430</v>
      </c>
      <c r="H469" s="71" t="s">
        <v>309</v>
      </c>
      <c r="I469" s="26" t="s">
        <v>2431</v>
      </c>
      <c r="J469" s="120" t="s">
        <v>2432</v>
      </c>
      <c r="K469" s="25">
        <v>1.0</v>
      </c>
      <c r="L469" s="25">
        <v>2019.0</v>
      </c>
      <c r="M469" s="123"/>
      <c r="N469" s="123"/>
      <c r="O469" s="27" t="str">
        <f t="shared" si="3"/>
        <v>#N/A</v>
      </c>
      <c r="P469" s="55"/>
      <c r="Q469" s="55"/>
      <c r="R469" s="55"/>
      <c r="S469" s="55"/>
      <c r="T469" s="55"/>
      <c r="U469" s="55"/>
      <c r="V469" s="30">
        <f t="shared" si="28"/>
        <v>20000000</v>
      </c>
      <c r="W469" s="30"/>
      <c r="X469" s="403"/>
      <c r="Y469" s="403"/>
      <c r="Z469" s="692"/>
      <c r="AA469" s="665"/>
      <c r="AB469" s="123"/>
      <c r="AC469" s="123"/>
      <c r="AD469" s="717"/>
      <c r="AE469" s="125"/>
      <c r="AF469" s="453"/>
      <c r="AG469" s="125"/>
      <c r="AH469" s="123"/>
      <c r="AI469" s="128"/>
      <c r="AJ469" s="404">
        <v>44866.0</v>
      </c>
      <c r="AK469" s="127">
        <v>2.0E7</v>
      </c>
      <c r="AL469" s="123"/>
      <c r="AM469" s="125"/>
      <c r="AN469" s="123"/>
      <c r="AO469" s="125"/>
      <c r="AP469" s="881"/>
      <c r="AQ469" s="125"/>
      <c r="AR469" s="123"/>
      <c r="AS469" s="123"/>
      <c r="AT469" s="123"/>
      <c r="AU469" s="137"/>
      <c r="AV469" s="123"/>
      <c r="AW469" s="38"/>
      <c r="AX469" s="123"/>
      <c r="AY469" s="38"/>
      <c r="AZ469" s="123"/>
      <c r="BA469" s="137"/>
      <c r="BB469" s="123"/>
      <c r="BC469" s="137"/>
      <c r="BD469" s="123"/>
      <c r="BE469" s="38"/>
      <c r="BF469" s="123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</row>
    <row r="470" ht="15.75" customHeight="1">
      <c r="A470" s="400" t="s">
        <v>2433</v>
      </c>
      <c r="B470" s="115"/>
      <c r="C470" s="116" t="s">
        <v>76</v>
      </c>
      <c r="D470" s="449"/>
      <c r="E470" s="161" t="s">
        <v>2434</v>
      </c>
      <c r="F470" s="402" t="s">
        <v>2435</v>
      </c>
      <c r="G470" s="286"/>
      <c r="H470" s="119" t="s">
        <v>371</v>
      </c>
      <c r="I470" s="25" t="s">
        <v>372</v>
      </c>
      <c r="J470" s="287"/>
      <c r="K470" s="25">
        <v>1.0</v>
      </c>
      <c r="L470" s="25">
        <v>2013.0</v>
      </c>
      <c r="M470" s="123"/>
      <c r="N470" s="123"/>
      <c r="O470" s="27" t="str">
        <f t="shared" si="3"/>
        <v>#N/A</v>
      </c>
      <c r="P470" s="55"/>
      <c r="Q470" s="55"/>
      <c r="R470" s="55"/>
      <c r="S470" s="55"/>
      <c r="T470" s="55"/>
      <c r="U470" s="55"/>
      <c r="V470" s="30">
        <f t="shared" si="28"/>
        <v>20000000</v>
      </c>
      <c r="W470" s="30"/>
      <c r="X470" s="403"/>
      <c r="Y470" s="403"/>
      <c r="Z470" s="692"/>
      <c r="AA470" s="665"/>
      <c r="AB470" s="123"/>
      <c r="AC470" s="123"/>
      <c r="AD470" s="452"/>
      <c r="AE470" s="123"/>
      <c r="AF470" s="453"/>
      <c r="AG470" s="123"/>
      <c r="AH470" s="123"/>
      <c r="AI470" s="123"/>
      <c r="AJ470" s="404">
        <v>44859.0</v>
      </c>
      <c r="AK470" s="170">
        <v>2.0E7</v>
      </c>
      <c r="AL470" s="25"/>
      <c r="AM470" s="25"/>
      <c r="AN470" s="1172"/>
      <c r="AO470" s="1172"/>
      <c r="AP470" s="922"/>
      <c r="AQ470" s="119"/>
      <c r="AR470" s="119"/>
      <c r="AS470" s="25"/>
      <c r="AT470" s="120"/>
      <c r="AU470" s="25"/>
      <c r="AV470" s="25"/>
      <c r="AW470" s="38"/>
      <c r="AX470" s="26"/>
      <c r="AY470" s="38"/>
      <c r="AZ470" s="28"/>
      <c r="BA470" s="28"/>
      <c r="BB470" s="28"/>
      <c r="BC470" s="28"/>
      <c r="BD470" s="29"/>
      <c r="BE470" s="38"/>
      <c r="BF470" s="335"/>
      <c r="BG470" s="115"/>
      <c r="BH470" s="115"/>
      <c r="BI470" s="115"/>
      <c r="BJ470" s="115"/>
      <c r="BK470" s="115"/>
      <c r="BL470" s="115"/>
      <c r="BM470" s="115"/>
      <c r="BN470" s="115"/>
      <c r="BO470" s="115"/>
      <c r="BP470" s="115"/>
      <c r="BQ470" s="115"/>
      <c r="BR470" s="115"/>
      <c r="BS470" s="115"/>
      <c r="BT470" s="115"/>
      <c r="BU470" s="115"/>
      <c r="BV470" s="115"/>
      <c r="BW470" s="115"/>
      <c r="BX470" s="115"/>
      <c r="BY470" s="115"/>
      <c r="BZ470" s="115"/>
      <c r="CA470" s="115"/>
      <c r="CB470" s="115"/>
      <c r="CC470" s="115"/>
      <c r="CD470" s="115"/>
      <c r="CE470" s="115"/>
      <c r="CF470" s="115"/>
      <c r="CG470" s="115"/>
      <c r="CH470" s="115"/>
      <c r="CI470" s="115"/>
      <c r="CJ470" s="115"/>
      <c r="CK470" s="115"/>
      <c r="CL470" s="115"/>
      <c r="CM470" s="115"/>
      <c r="CN470" s="115"/>
      <c r="CO470" s="115"/>
      <c r="CP470" s="115"/>
    </row>
    <row r="471" ht="15.75" customHeight="1">
      <c r="A471" s="866" t="s">
        <v>2436</v>
      </c>
      <c r="B471" s="16"/>
      <c r="C471" s="17" t="s">
        <v>123</v>
      </c>
      <c r="D471" s="236" t="s">
        <v>2437</v>
      </c>
      <c r="E471" s="236" t="s">
        <v>2438</v>
      </c>
      <c r="F471" s="1173" t="s">
        <v>2439</v>
      </c>
      <c r="G471" s="317"/>
      <c r="H471" s="22" t="s">
        <v>120</v>
      </c>
      <c r="I471" s="23" t="s">
        <v>65</v>
      </c>
      <c r="J471" s="237"/>
      <c r="K471" s="36"/>
      <c r="L471" s="23">
        <v>2005.0</v>
      </c>
      <c r="M471" s="25">
        <f t="shared" ref="M471:M472" si="390">year(now()) -L471</f>
        <v>20</v>
      </c>
      <c r="N471" s="26">
        <f t="shared" ref="N471:N472" si="391">counta(AE471,AG471,AI471,AK471,AM471,AO471,AQ471,AS471,AU471,AW471,AY471,BA471,BC471)</f>
        <v>3</v>
      </c>
      <c r="O471" s="27" t="str">
        <f t="shared" si="3"/>
        <v>#N/A</v>
      </c>
      <c r="P471" s="28" t="str">
        <f t="shared" ref="P471:P472" si="392">RANK(T471,$T$8:$T$333)</f>
        <v>#N/A</v>
      </c>
      <c r="Q471" s="28" t="str">
        <f t="shared" ref="Q471:Q472" si="393">rank(V471,$V$8:$V$344)</f>
        <v>#N/A</v>
      </c>
      <c r="R471" s="28"/>
      <c r="S471" s="28"/>
      <c r="T471" s="29">
        <f t="shared" ref="T471:T472" si="394">V471/M471</f>
        <v>990000</v>
      </c>
      <c r="U471" s="28"/>
      <c r="V471" s="30">
        <f t="shared" si="28"/>
        <v>19800000</v>
      </c>
      <c r="W471" s="30"/>
      <c r="X471" s="32">
        <f t="shared" ref="X471:X472" si="395">(max(AE471,AG471,AI471,AK471,AM471,AO471,AQ471,AS471,AU471,AW471,AY471,BA471,BC471)/min(AE471,AG471,AI471,AK471,AM471,AO471,AQ471,AS471,AU471,AW471,AY471,BA471,BC471))^(1/N471)-1</f>
        <v>1.217836468</v>
      </c>
      <c r="Y471" s="33">
        <f t="shared" ref="Y471:Y472" si="396">(max(AE471,AG471,AI471,AK471,AM471,AO471,AQ471,AS471,AU471,AW471,AY471,BA471,BC471)/min(AE471,AG471,AI471,AK471,AM471,AO471,AQ471,AS471,AU471,AW471,AY471,BA471,BC471))^(1/M471)-1</f>
        <v>0.1269105067</v>
      </c>
      <c r="Z471" s="692"/>
      <c r="AA471" s="665"/>
      <c r="AB471" s="36"/>
      <c r="AC471" s="36"/>
      <c r="AD471" s="898"/>
      <c r="AE471" s="1174"/>
      <c r="AF471" s="320">
        <v>41426.0</v>
      </c>
      <c r="AG471" s="38">
        <v>1100000.0</v>
      </c>
      <c r="AH471" s="36"/>
      <c r="AI471" s="159"/>
      <c r="AJ471" s="227">
        <v>41914.0</v>
      </c>
      <c r="AK471" s="38">
        <v>6700000.0</v>
      </c>
      <c r="AL471" s="1175">
        <v>42529.0</v>
      </c>
      <c r="AM471" s="38">
        <v>1.2E7</v>
      </c>
      <c r="AN471" s="44"/>
      <c r="AO471" s="46"/>
      <c r="AP471" s="44"/>
      <c r="AQ471" s="46"/>
      <c r="AR471" s="44"/>
      <c r="AS471" s="44"/>
      <c r="AT471" s="44"/>
      <c r="AU471" s="45"/>
      <c r="AV471" s="44"/>
      <c r="AW471" s="38"/>
      <c r="AX471" s="44"/>
      <c r="AY471" s="38"/>
      <c r="AZ471" s="44"/>
      <c r="BA471" s="45"/>
      <c r="BB471" s="44"/>
      <c r="BC471" s="45"/>
      <c r="BD471" s="44"/>
      <c r="BE471" s="38"/>
      <c r="BF471" s="3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</row>
    <row r="472" ht="15.75" customHeight="1">
      <c r="A472" s="442" t="s">
        <v>2440</v>
      </c>
      <c r="B472" s="16" t="s">
        <v>944</v>
      </c>
      <c r="C472" s="16" t="s">
        <v>207</v>
      </c>
      <c r="D472" s="337" t="s">
        <v>2441</v>
      </c>
      <c r="E472" s="535" t="s">
        <v>2442</v>
      </c>
      <c r="F472" s="652" t="s">
        <v>2443</v>
      </c>
      <c r="G472" s="317"/>
      <c r="H472" s="317" t="s">
        <v>120</v>
      </c>
      <c r="I472" s="36" t="s">
        <v>65</v>
      </c>
      <c r="J472" s="28"/>
      <c r="K472" s="36">
        <v>2.0</v>
      </c>
      <c r="L472" s="23">
        <v>2012.0</v>
      </c>
      <c r="M472" s="25">
        <f t="shared" si="390"/>
        <v>13</v>
      </c>
      <c r="N472" s="26">
        <f t="shared" si="391"/>
        <v>3</v>
      </c>
      <c r="O472" s="27" t="str">
        <f t="shared" si="3"/>
        <v>#N/A</v>
      </c>
      <c r="P472" s="28" t="str">
        <f t="shared" si="392"/>
        <v>#N/A</v>
      </c>
      <c r="Q472" s="28" t="str">
        <f t="shared" si="393"/>
        <v>#N/A</v>
      </c>
      <c r="R472" s="28"/>
      <c r="S472" s="28"/>
      <c r="T472" s="29">
        <f t="shared" si="394"/>
        <v>1523076.923</v>
      </c>
      <c r="U472" s="28"/>
      <c r="V472" s="30">
        <f t="shared" si="28"/>
        <v>19800000</v>
      </c>
      <c r="W472" s="30"/>
      <c r="X472" s="32">
        <f t="shared" si="395"/>
        <v>1.217836468</v>
      </c>
      <c r="Y472" s="33">
        <f t="shared" si="396"/>
        <v>0.2017936066</v>
      </c>
      <c r="Z472" s="692"/>
      <c r="AA472" s="665"/>
      <c r="AB472" s="36"/>
      <c r="AC472" s="36"/>
      <c r="AD472" s="44"/>
      <c r="AE472" s="46"/>
      <c r="AF472" s="158" t="str">
        <f>HYPERLINK("https://www.crunchbase.com/organization/building-robotics#section-funding-rounds"," Jun 1, 2013        
")</f>
        <v> Jun 1, 2013        
</v>
      </c>
      <c r="AG472" s="46">
        <v>1100000.0</v>
      </c>
      <c r="AH472" s="36"/>
      <c r="AI472" s="159"/>
      <c r="AJ472" s="228" t="str">
        <f>HYPERLINK("https://www.crunchbase.com/funding_round/building-robotics-series-a--feffac14"," Oct 2, 2014        
")</f>
        <v> Oct 2, 2014        
</v>
      </c>
      <c r="AK472" s="46">
        <v>6700000.0</v>
      </c>
      <c r="AL472" s="43" t="str">
        <f>HYPERLINK("https://www.crunchbase.com/funding_round/building-robotics-series-b--ffe3f775"," Jun 8, 2016")</f>
        <v> Jun 8, 2016</v>
      </c>
      <c r="AM472" s="46">
        <v>1.2E7</v>
      </c>
      <c r="AN472" s="44"/>
      <c r="AO472" s="46"/>
      <c r="AP472" s="44"/>
      <c r="AQ472" s="46"/>
      <c r="AR472" s="44"/>
      <c r="AS472" s="44"/>
      <c r="AT472" s="44"/>
      <c r="AU472" s="45"/>
      <c r="AV472" s="44"/>
      <c r="AW472" s="38"/>
      <c r="AX472" s="44"/>
      <c r="AY472" s="38"/>
      <c r="AZ472" s="44"/>
      <c r="BA472" s="45"/>
      <c r="BB472" s="44"/>
      <c r="BC472" s="45"/>
      <c r="BD472" s="44">
        <v>43277.0</v>
      </c>
      <c r="BE472" s="38"/>
      <c r="BF472" s="36" t="s">
        <v>2444</v>
      </c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</row>
    <row r="473" ht="15.75" customHeight="1">
      <c r="A473" s="747" t="s">
        <v>2445</v>
      </c>
      <c r="B473" s="68"/>
      <c r="C473" s="69" t="s">
        <v>68</v>
      </c>
      <c r="D473" s="48"/>
      <c r="E473" s="50" t="s">
        <v>2446</v>
      </c>
      <c r="F473" s="70" t="s">
        <v>2447</v>
      </c>
      <c r="G473" s="71"/>
      <c r="H473" s="71" t="s">
        <v>328</v>
      </c>
      <c r="I473" s="26" t="s">
        <v>329</v>
      </c>
      <c r="J473" s="24"/>
      <c r="K473" s="26">
        <v>1.0</v>
      </c>
      <c r="L473" s="26">
        <v>2018.0</v>
      </c>
      <c r="M473" s="25"/>
      <c r="N473" s="26"/>
      <c r="O473" s="27" t="str">
        <f t="shared" si="3"/>
        <v>#N/A</v>
      </c>
      <c r="P473" s="273"/>
      <c r="Q473" s="273"/>
      <c r="R473" s="273"/>
      <c r="S473" s="273"/>
      <c r="T473" s="273"/>
      <c r="U473" s="273"/>
      <c r="V473" s="30">
        <f t="shared" si="28"/>
        <v>19800000</v>
      </c>
      <c r="W473" s="30"/>
      <c r="X473" s="73"/>
      <c r="Y473" s="73"/>
      <c r="Z473" s="692"/>
      <c r="AA473" s="665"/>
      <c r="AB473" s="74"/>
      <c r="AC473" s="74"/>
      <c r="AD473" s="55"/>
      <c r="AE473" s="55"/>
      <c r="AF473" s="75">
        <v>44152.0</v>
      </c>
      <c r="AG473" s="76">
        <v>2300000.0</v>
      </c>
      <c r="AH473" s="74"/>
      <c r="AI473" s="78"/>
      <c r="AJ473" s="75">
        <v>44845.0</v>
      </c>
      <c r="AK473" s="76">
        <v>1.75E7</v>
      </c>
      <c r="AL473" s="79"/>
      <c r="AM473" s="76"/>
      <c r="AN473" s="79"/>
      <c r="AO473" s="76"/>
      <c r="AP473" s="79"/>
      <c r="AQ473" s="84"/>
      <c r="AR473" s="79"/>
      <c r="AS473" s="79"/>
      <c r="AT473" s="79"/>
      <c r="AU473" s="80"/>
      <c r="AV473" s="79"/>
      <c r="AW473" s="38"/>
      <c r="AX473" s="79"/>
      <c r="AY473" s="38"/>
      <c r="AZ473" s="79"/>
      <c r="BA473" s="80"/>
      <c r="BB473" s="79"/>
      <c r="BC473" s="80"/>
      <c r="BD473" s="79"/>
      <c r="BE473" s="38"/>
      <c r="BF473" s="74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</row>
    <row r="474" ht="15.75" customHeight="1">
      <c r="A474" s="400" t="s">
        <v>2448</v>
      </c>
      <c r="B474" s="116"/>
      <c r="C474" s="116" t="s">
        <v>190</v>
      </c>
      <c r="D474" s="540" t="s">
        <v>2449</v>
      </c>
      <c r="E474" s="540" t="s">
        <v>2450</v>
      </c>
      <c r="F474" s="541" t="s">
        <v>2451</v>
      </c>
      <c r="G474" s="286"/>
      <c r="H474" s="119" t="s">
        <v>64</v>
      </c>
      <c r="I474" s="25" t="s">
        <v>65</v>
      </c>
      <c r="J474" s="287"/>
      <c r="K474" s="25">
        <v>3.0</v>
      </c>
      <c r="L474" s="25">
        <v>2016.0</v>
      </c>
      <c r="M474" s="25"/>
      <c r="N474" s="25"/>
      <c r="O474" s="27" t="str">
        <f t="shared" si="3"/>
        <v>#N/A</v>
      </c>
      <c r="P474" s="356"/>
      <c r="Q474" s="356"/>
      <c r="R474" s="356"/>
      <c r="S474" s="356"/>
      <c r="T474" s="356"/>
      <c r="U474" s="356"/>
      <c r="V474" s="30">
        <f t="shared" si="28"/>
        <v>19500000</v>
      </c>
      <c r="W474" s="30"/>
      <c r="X474" s="597"/>
      <c r="Y474" s="597"/>
      <c r="Z474" s="692"/>
      <c r="AA474" s="665"/>
      <c r="AB474" s="123"/>
      <c r="AC474" s="123"/>
      <c r="AD474" s="854">
        <v>42735.0</v>
      </c>
      <c r="AE474" s="168">
        <v>500000.0</v>
      </c>
      <c r="AF474" s="855">
        <v>43635.0</v>
      </c>
      <c r="AG474" s="165">
        <v>2300000.0</v>
      </c>
      <c r="AH474" s="55"/>
      <c r="AI474" s="55"/>
      <c r="AJ474" s="1176">
        <v>44769.0</v>
      </c>
      <c r="AK474" s="165">
        <v>1.67E7</v>
      </c>
      <c r="AL474" s="124"/>
      <c r="AM474" s="127"/>
      <c r="AN474" s="124"/>
      <c r="AO474" s="125"/>
      <c r="AP474" s="124"/>
      <c r="AQ474" s="125"/>
      <c r="AR474" s="124"/>
      <c r="AS474" s="124"/>
      <c r="AT474" s="124"/>
      <c r="AU474" s="137"/>
      <c r="AV474" s="124"/>
      <c r="AW474" s="38"/>
      <c r="AX474" s="124"/>
      <c r="AY474" s="38"/>
      <c r="AZ474" s="171">
        <v>44994.0</v>
      </c>
      <c r="BA474" s="137"/>
      <c r="BB474" s="124"/>
      <c r="BC474" s="137"/>
      <c r="BD474" s="124"/>
      <c r="BE474" s="38"/>
      <c r="BF474" s="123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</row>
    <row r="475" ht="15.75" customHeight="1">
      <c r="A475" s="747" t="s">
        <v>2452</v>
      </c>
      <c r="B475" s="68"/>
      <c r="C475" s="69" t="s">
        <v>59</v>
      </c>
      <c r="D475" s="48"/>
      <c r="E475" s="192" t="s">
        <v>2453</v>
      </c>
      <c r="F475" s="428" t="s">
        <v>2454</v>
      </c>
      <c r="G475" s="186"/>
      <c r="H475" s="71" t="s">
        <v>114</v>
      </c>
      <c r="I475" s="26" t="s">
        <v>115</v>
      </c>
      <c r="J475" s="237"/>
      <c r="K475" s="26">
        <v>2.0</v>
      </c>
      <c r="L475" s="26">
        <v>2017.0</v>
      </c>
      <c r="M475" s="25"/>
      <c r="N475" s="26"/>
      <c r="O475" s="27" t="str">
        <f t="shared" si="3"/>
        <v>#N/A</v>
      </c>
      <c r="P475" s="273"/>
      <c r="Q475" s="273"/>
      <c r="R475" s="273"/>
      <c r="S475" s="273"/>
      <c r="T475" s="273"/>
      <c r="U475" s="273"/>
      <c r="V475" s="30">
        <f t="shared" si="28"/>
        <v>19300000</v>
      </c>
      <c r="W475" s="30"/>
      <c r="X475" s="73"/>
      <c r="Y475" s="73"/>
      <c r="Z475" s="692"/>
      <c r="AA475" s="665"/>
      <c r="AB475" s="74"/>
      <c r="AC475" s="74"/>
      <c r="AD475" s="279"/>
      <c r="AE475" s="76"/>
      <c r="AF475" s="175" t="str">
        <f>HYPERLINK("https://www.crunchbase.com/funding_round/yotta-solar-seed--af6ae8df","Oct 13, 2020")</f>
        <v>Oct 13, 2020</v>
      </c>
      <c r="AG475" s="76">
        <v>6300000.0</v>
      </c>
      <c r="AH475" s="74"/>
      <c r="AI475" s="78"/>
      <c r="AJ475" s="181" t="str">
        <f>HYPERLINK("https://www.crunchbase.com/funding_round/yotta-solar-series-a--523516a3","Nov 2, 2021")</f>
        <v>Nov 2, 2021</v>
      </c>
      <c r="AK475" s="76">
        <v>1.3E7</v>
      </c>
      <c r="AL475" s="79"/>
      <c r="AM475" s="84"/>
      <c r="AN475" s="79"/>
      <c r="AO475" s="84"/>
      <c r="AP475" s="79"/>
      <c r="AQ475" s="84"/>
      <c r="AR475" s="79"/>
      <c r="AS475" s="79"/>
      <c r="AT475" s="79"/>
      <c r="AU475" s="80"/>
      <c r="AV475" s="79"/>
      <c r="AW475" s="38"/>
      <c r="AX475" s="79"/>
      <c r="AY475" s="38"/>
      <c r="AZ475" s="79"/>
      <c r="BA475" s="80"/>
      <c r="BB475" s="79"/>
      <c r="BC475" s="80"/>
      <c r="BD475" s="79"/>
      <c r="BE475" s="38"/>
      <c r="BF475" s="74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</row>
    <row r="476" ht="15.75" customHeight="1">
      <c r="A476" s="400" t="s">
        <v>2455</v>
      </c>
      <c r="B476" s="115"/>
      <c r="C476" s="116" t="s">
        <v>513</v>
      </c>
      <c r="D476" s="161" t="s">
        <v>2456</v>
      </c>
      <c r="E476" s="401" t="s">
        <v>2457</v>
      </c>
      <c r="F476" s="402" t="s">
        <v>2458</v>
      </c>
      <c r="G476" s="119" t="s">
        <v>2459</v>
      </c>
      <c r="H476" s="119" t="s">
        <v>450</v>
      </c>
      <c r="I476" s="25" t="s">
        <v>450</v>
      </c>
      <c r="J476" s="120" t="s">
        <v>2460</v>
      </c>
      <c r="K476" s="25">
        <v>1.0</v>
      </c>
      <c r="L476" s="25">
        <v>2013.0</v>
      </c>
      <c r="M476" s="123"/>
      <c r="N476" s="123"/>
      <c r="O476" s="27" t="str">
        <f t="shared" si="3"/>
        <v>#N/A</v>
      </c>
      <c r="P476" s="55"/>
      <c r="Q476" s="55"/>
      <c r="R476" s="55"/>
      <c r="S476" s="55"/>
      <c r="T476" s="55"/>
      <c r="U476" s="55"/>
      <c r="V476" s="30">
        <f t="shared" si="28"/>
        <v>19175000</v>
      </c>
      <c r="W476" s="31">
        <v>3000000.0</v>
      </c>
      <c r="X476" s="403"/>
      <c r="Y476" s="403"/>
      <c r="Z476" s="692"/>
      <c r="AA476" s="665"/>
      <c r="AB476" s="123"/>
      <c r="AC476" s="123"/>
      <c r="AD476" s="55"/>
      <c r="AE476" s="55"/>
      <c r="AF476" s="404">
        <v>41466.0</v>
      </c>
      <c r="AG476" s="127">
        <v>775000.0</v>
      </c>
      <c r="AH476" s="123"/>
      <c r="AI476" s="128"/>
      <c r="AJ476" s="404">
        <v>43369.0</v>
      </c>
      <c r="AK476" s="127">
        <f>15000000+3400000</f>
        <v>18400000</v>
      </c>
      <c r="AL476" s="123"/>
      <c r="AM476" s="123"/>
      <c r="AN476" s="123"/>
      <c r="AO476" s="123"/>
      <c r="AP476" s="881"/>
      <c r="AQ476" s="123"/>
      <c r="AR476" s="123"/>
      <c r="AS476" s="123"/>
      <c r="AT476" s="123"/>
      <c r="AU476" s="137"/>
      <c r="AV476" s="123"/>
      <c r="AW476" s="38"/>
      <c r="AX476" s="123"/>
      <c r="AY476" s="38"/>
      <c r="AZ476" s="123"/>
      <c r="BA476" s="137"/>
      <c r="BB476" s="123"/>
      <c r="BC476" s="137"/>
      <c r="BD476" s="123"/>
      <c r="BE476" s="38"/>
      <c r="BF476" s="123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</row>
    <row r="477" ht="15.75" customHeight="1">
      <c r="A477" s="47" t="s">
        <v>2461</v>
      </c>
      <c r="C477" s="48" t="s">
        <v>68</v>
      </c>
      <c r="D477" s="49" t="s">
        <v>2462</v>
      </c>
      <c r="E477" s="49" t="s">
        <v>2463</v>
      </c>
      <c r="F477" s="352" t="s">
        <v>2464</v>
      </c>
      <c r="G477" s="353"/>
      <c r="H477" s="53" t="s">
        <v>2465</v>
      </c>
      <c r="I477" s="54" t="s">
        <v>100</v>
      </c>
      <c r="J477" s="55"/>
      <c r="K477" s="54">
        <v>6.0</v>
      </c>
      <c r="L477" s="56">
        <v>2018.0</v>
      </c>
      <c r="M477" s="55"/>
      <c r="N477" s="55"/>
      <c r="O477" s="27" t="str">
        <f t="shared" si="3"/>
        <v>#N/A</v>
      </c>
      <c r="P477" s="55"/>
      <c r="Q477" s="55"/>
      <c r="R477" s="55"/>
      <c r="S477" s="55"/>
      <c r="T477" s="55"/>
      <c r="U477" s="55"/>
      <c r="V477" s="30">
        <f t="shared" si="28"/>
        <v>19100000</v>
      </c>
      <c r="W477" s="30"/>
      <c r="X477" s="58"/>
      <c r="Y477" s="58"/>
      <c r="Z477" s="692"/>
      <c r="AA477" s="665"/>
      <c r="AB477" s="55"/>
      <c r="AC477" s="55"/>
      <c r="AD477" s="453"/>
      <c r="AE477" s="55"/>
      <c r="AF477" s="62">
        <v>43860.0</v>
      </c>
      <c r="AG477" s="38">
        <v>4100000.0</v>
      </c>
      <c r="AH477" s="55"/>
      <c r="AI477" s="55"/>
      <c r="AJ477" s="62">
        <v>44949.0</v>
      </c>
      <c r="AK477" s="38">
        <v>1.5E7</v>
      </c>
      <c r="AL477" s="55"/>
      <c r="AM477" s="55"/>
      <c r="AN477" s="55"/>
      <c r="AO477" s="55"/>
      <c r="AP477" s="356"/>
      <c r="AQ477" s="38"/>
      <c r="AR477" s="55"/>
      <c r="AS477" s="38"/>
      <c r="AT477" s="55"/>
      <c r="AU477" s="38"/>
      <c r="AV477" s="55"/>
      <c r="AW477" s="38"/>
      <c r="AX477" s="55"/>
      <c r="AY477" s="38"/>
      <c r="AZ477" s="55"/>
      <c r="BA477" s="722"/>
      <c r="BB477" s="55"/>
      <c r="BC477" s="38"/>
      <c r="BD477" s="55"/>
      <c r="BE477" s="38"/>
      <c r="BF477" s="55"/>
      <c r="BG477" s="115"/>
      <c r="BH477" s="115"/>
      <c r="BI477" s="115"/>
      <c r="BJ477" s="115"/>
      <c r="BK477" s="115"/>
      <c r="BL477" s="115"/>
      <c r="BM477" s="115"/>
      <c r="BN477" s="115"/>
      <c r="BO477" s="115"/>
      <c r="BP477" s="115"/>
      <c r="BQ477" s="115"/>
      <c r="BR477" s="115"/>
      <c r="BS477" s="115"/>
      <c r="BT477" s="115"/>
      <c r="BU477" s="115"/>
      <c r="BV477" s="115"/>
      <c r="BW477" s="115"/>
      <c r="BX477" s="115"/>
      <c r="BY477" s="115"/>
      <c r="BZ477" s="115"/>
      <c r="CA477" s="115"/>
      <c r="CB477" s="115"/>
      <c r="CC477" s="115"/>
      <c r="CD477" s="115"/>
      <c r="CE477" s="115"/>
      <c r="CF477" s="115"/>
      <c r="CG477" s="115"/>
      <c r="CH477" s="115"/>
      <c r="CI477" s="115"/>
      <c r="CJ477" s="115"/>
      <c r="CK477" s="115"/>
      <c r="CL477" s="115"/>
      <c r="CM477" s="115"/>
      <c r="CN477" s="115"/>
      <c r="CO477" s="115"/>
      <c r="CP477" s="115"/>
    </row>
    <row r="478" ht="15.75" customHeight="1">
      <c r="A478" s="47" t="s">
        <v>2466</v>
      </c>
      <c r="C478" s="48" t="s">
        <v>190</v>
      </c>
      <c r="D478" s="617" t="s">
        <v>2467</v>
      </c>
      <c r="E478" s="617" t="s">
        <v>2468</v>
      </c>
      <c r="F478" s="352" t="s">
        <v>2469</v>
      </c>
      <c r="G478" s="353"/>
      <c r="H478" s="53" t="s">
        <v>1546</v>
      </c>
      <c r="I478" s="54" t="s">
        <v>1547</v>
      </c>
      <c r="J478" s="55"/>
      <c r="K478" s="55"/>
      <c r="L478" s="56">
        <v>2014.0</v>
      </c>
      <c r="M478" s="55"/>
      <c r="N478" s="55"/>
      <c r="O478" s="27" t="str">
        <f t="shared" si="3"/>
        <v>#N/A</v>
      </c>
      <c r="P478" s="55"/>
      <c r="Q478" s="55"/>
      <c r="R478" s="55"/>
      <c r="S478" s="55"/>
      <c r="T478" s="55"/>
      <c r="U478" s="55"/>
      <c r="V478" s="30">
        <f t="shared" si="28"/>
        <v>19080000</v>
      </c>
      <c r="W478" s="30"/>
      <c r="X478" s="58"/>
      <c r="Y478" s="58"/>
      <c r="Z478" s="692"/>
      <c r="AA478" s="665"/>
      <c r="AB478" s="55"/>
      <c r="AC478" s="55"/>
      <c r="AD478" s="453"/>
      <c r="AE478" s="38"/>
      <c r="AF478" s="355"/>
      <c r="AG478" s="38"/>
      <c r="AH478" s="55"/>
      <c r="AI478" s="38"/>
      <c r="AJ478" s="62">
        <v>44980.0</v>
      </c>
      <c r="AK478" s="38">
        <f>1.06*18000000</f>
        <v>19080000</v>
      </c>
      <c r="AL478" s="55"/>
      <c r="AM478" s="38"/>
      <c r="AN478" s="55"/>
      <c r="AO478" s="38"/>
      <c r="AP478" s="356"/>
      <c r="AQ478" s="38"/>
      <c r="AR478" s="55"/>
      <c r="AS478" s="38"/>
      <c r="AT478" s="55"/>
      <c r="AU478" s="38"/>
      <c r="AV478" s="55"/>
      <c r="AW478" s="38"/>
      <c r="AX478" s="55"/>
      <c r="AY478" s="38"/>
      <c r="AZ478" s="55"/>
      <c r="BA478" s="38"/>
      <c r="BB478" s="55"/>
      <c r="BC478" s="38"/>
      <c r="BD478" s="55"/>
      <c r="BE478" s="38"/>
      <c r="BF478" s="55"/>
      <c r="BG478" s="1081"/>
      <c r="BH478" s="1081"/>
      <c r="BI478" s="1081"/>
      <c r="BJ478" s="1081"/>
      <c r="BK478" s="1081"/>
      <c r="BL478" s="1081"/>
      <c r="BM478" s="1081"/>
      <c r="BN478" s="1081"/>
      <c r="BO478" s="1081"/>
      <c r="BP478" s="1081"/>
      <c r="BQ478" s="1081"/>
      <c r="BR478" s="1081"/>
      <c r="BS478" s="1081"/>
      <c r="BT478" s="1081"/>
      <c r="BU478" s="1081"/>
      <c r="BV478" s="1081"/>
      <c r="BW478" s="1081"/>
      <c r="BX478" s="1081"/>
      <c r="BY478" s="1081"/>
      <c r="BZ478" s="1081"/>
      <c r="CA478" s="1081"/>
      <c r="CB478" s="1081"/>
      <c r="CC478" s="1081"/>
      <c r="CD478" s="1081"/>
      <c r="CE478" s="1081"/>
      <c r="CF478" s="1081"/>
      <c r="CG478" s="1081"/>
      <c r="CH478" s="1081"/>
      <c r="CI478" s="1081"/>
      <c r="CJ478" s="1081"/>
      <c r="CK478" s="1081"/>
      <c r="CL478" s="1081"/>
      <c r="CM478" s="1081"/>
      <c r="CN478" s="1081"/>
      <c r="CO478" s="1081"/>
      <c r="CP478" s="1081"/>
    </row>
    <row r="479" ht="15.75" customHeight="1">
      <c r="A479" s="462" t="s">
        <v>2470</v>
      </c>
      <c r="B479" s="16"/>
      <c r="C479" s="17" t="s">
        <v>207</v>
      </c>
      <c r="D479" s="380"/>
      <c r="E479" s="416" t="s">
        <v>2471</v>
      </c>
      <c r="F479" s="20" t="s">
        <v>2472</v>
      </c>
      <c r="G479" s="22"/>
      <c r="H479" s="22" t="s">
        <v>2473</v>
      </c>
      <c r="I479" s="23" t="s">
        <v>1088</v>
      </c>
      <c r="J479" s="24"/>
      <c r="K479" s="23">
        <v>4.0</v>
      </c>
      <c r="L479" s="23">
        <v>2009.0</v>
      </c>
      <c r="M479" s="25">
        <f t="shared" ref="M479:M481" si="397">year(now()) -L479</f>
        <v>16</v>
      </c>
      <c r="N479" s="26">
        <f t="shared" ref="N479:N481" si="398">counta(AE479,AG479,AI479,AK479,AM479,AO479,AQ479,AS479,AU479,AW479,AY479,BA479,BC479)</f>
        <v>2</v>
      </c>
      <c r="O479" s="27" t="str">
        <f t="shared" si="3"/>
        <v>#N/A</v>
      </c>
      <c r="P479" s="28" t="str">
        <f t="shared" ref="P479:P481" si="399">RANK(T479,$T$8:$T$333)</f>
        <v>#N/A</v>
      </c>
      <c r="Q479" s="28" t="str">
        <f t="shared" ref="Q479:Q481" si="400">rank(V479,$V$8:$V$344)</f>
        <v>#N/A</v>
      </c>
      <c r="R479" s="28"/>
      <c r="S479" s="28"/>
      <c r="T479" s="29">
        <f t="shared" ref="T479:T481" si="401">V479/M479</f>
        <v>1187500</v>
      </c>
      <c r="U479" s="28"/>
      <c r="V479" s="30">
        <f t="shared" si="28"/>
        <v>19000000</v>
      </c>
      <c r="W479" s="30"/>
      <c r="X479" s="32">
        <f t="shared" ref="X479:X481" si="402">(max(AE479,AG479,AI479,AK479,AM479,AO479,AQ479,AS479,AU479,AW479,AY479,BA479,BC479)/min(AE479,AG479,AI479,AK479,AM479,AO479,AQ479,AS479,AU479,AW479,AY479,BA479,BC479))^(1/N479)-1</f>
        <v>0.4719601444</v>
      </c>
      <c r="Y479" s="33">
        <f t="shared" ref="Y479:Y481" si="403">(max(AE479,AG479,AI479,AK479,AM479,AO479,AQ479,AS479,AU479,AW479,AY479,BA479,BC479)/min(AE479,AG479,AI479,AK479,AM479,AO479,AQ479,AS479,AU479,AW479,AY479,BA479,BC479))^(1/M479)-1</f>
        <v>0.04951102793</v>
      </c>
      <c r="Z479" s="692"/>
      <c r="AA479" s="665"/>
      <c r="AB479" s="36"/>
      <c r="AC479" s="36"/>
      <c r="AD479" s="44"/>
      <c r="AE479" s="46"/>
      <c r="AF479" s="39"/>
      <c r="AG479" s="38"/>
      <c r="AH479" s="36"/>
      <c r="AI479" s="46"/>
      <c r="AJ479" s="43" t="str">
        <f>HYPERLINK("https://www.crunchbase.com/funding_round/airside-mobile-series-a--dbf4169d","Oct 3, 2017")</f>
        <v>Oct 3, 2017</v>
      </c>
      <c r="AK479" s="38">
        <v>6000000.0</v>
      </c>
      <c r="AL479" s="43" t="str">
        <f>HYPERLINK("https://www.crunchbase.com/funding_round/airside-mobile-series-b--6f415f4a","Aug 7, 2020")</f>
        <v>Aug 7, 2020</v>
      </c>
      <c r="AM479" s="38">
        <v>1.3E7</v>
      </c>
      <c r="AN479" s="44"/>
      <c r="AO479" s="46"/>
      <c r="AP479" s="44"/>
      <c r="AQ479" s="46"/>
      <c r="AR479" s="44"/>
      <c r="AS479" s="44"/>
      <c r="AT479" s="44"/>
      <c r="AU479" s="45"/>
      <c r="AV479" s="44"/>
      <c r="AW479" s="38"/>
      <c r="AX479" s="44"/>
      <c r="AY479" s="38"/>
      <c r="AZ479" s="44"/>
      <c r="BA479" s="45"/>
      <c r="BB479" s="44"/>
      <c r="BC479" s="45"/>
      <c r="BD479" s="44"/>
      <c r="BE479" s="38"/>
      <c r="BF479" s="36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</row>
    <row r="480" ht="15.75" customHeight="1">
      <c r="A480" s="245" t="s">
        <v>2474</v>
      </c>
      <c r="B480" s="16"/>
      <c r="C480" s="17" t="s">
        <v>123</v>
      </c>
      <c r="D480" s="236" t="s">
        <v>2475</v>
      </c>
      <c r="E480" s="236" t="s">
        <v>2476</v>
      </c>
      <c r="F480" s="236" t="s">
        <v>2477</v>
      </c>
      <c r="G480" s="317"/>
      <c r="H480" s="22" t="s">
        <v>2478</v>
      </c>
      <c r="I480" s="23" t="s">
        <v>65</v>
      </c>
      <c r="J480" s="237"/>
      <c r="K480" s="36"/>
      <c r="L480" s="23">
        <v>2013.0</v>
      </c>
      <c r="M480" s="25">
        <f t="shared" si="397"/>
        <v>12</v>
      </c>
      <c r="N480" s="26">
        <f t="shared" si="398"/>
        <v>2</v>
      </c>
      <c r="O480" s="27" t="str">
        <f t="shared" si="3"/>
        <v>#N/A</v>
      </c>
      <c r="P480" s="28" t="str">
        <f t="shared" si="399"/>
        <v>#N/A</v>
      </c>
      <c r="Q480" s="28" t="str">
        <f t="shared" si="400"/>
        <v>#N/A</v>
      </c>
      <c r="R480" s="28"/>
      <c r="S480" s="28"/>
      <c r="T480" s="29">
        <f t="shared" si="401"/>
        <v>1583333.333</v>
      </c>
      <c r="U480" s="28"/>
      <c r="V480" s="30">
        <f t="shared" si="28"/>
        <v>19000000</v>
      </c>
      <c r="W480" s="30"/>
      <c r="X480" s="32">
        <f t="shared" si="402"/>
        <v>0.9364916731</v>
      </c>
      <c r="Y480" s="33">
        <f t="shared" si="403"/>
        <v>0.1164414162</v>
      </c>
      <c r="Z480" s="692"/>
      <c r="AA480" s="665"/>
      <c r="AB480" s="36"/>
      <c r="AC480" s="36"/>
      <c r="AD480" s="44"/>
      <c r="AE480" s="46"/>
      <c r="AF480" s="320">
        <v>41817.0</v>
      </c>
      <c r="AG480" s="38">
        <v>4000000.0</v>
      </c>
      <c r="AH480" s="36"/>
      <c r="AI480" s="159"/>
      <c r="AJ480" s="42">
        <v>42101.0</v>
      </c>
      <c r="AK480" s="38">
        <v>1.5E7</v>
      </c>
      <c r="AL480" s="44"/>
      <c r="AM480" s="46"/>
      <c r="AN480" s="44"/>
      <c r="AO480" s="46"/>
      <c r="AP480" s="44"/>
      <c r="AQ480" s="46"/>
      <c r="AR480" s="44"/>
      <c r="AS480" s="44"/>
      <c r="AT480" s="44"/>
      <c r="AU480" s="45"/>
      <c r="AV480" s="44"/>
      <c r="AW480" s="38"/>
      <c r="AX480" s="44"/>
      <c r="AY480" s="38"/>
      <c r="AZ480" s="44"/>
      <c r="BA480" s="45"/>
      <c r="BB480" s="44"/>
      <c r="BC480" s="45"/>
      <c r="BD480" s="44"/>
      <c r="BE480" s="38"/>
      <c r="BF480" s="36"/>
      <c r="BG480" s="115"/>
      <c r="BH480" s="115"/>
      <c r="BI480" s="115"/>
      <c r="BJ480" s="115"/>
      <c r="BK480" s="115"/>
      <c r="BL480" s="115"/>
      <c r="BM480" s="115"/>
      <c r="BN480" s="115"/>
      <c r="BO480" s="115"/>
      <c r="BP480" s="115"/>
      <c r="BQ480" s="115"/>
      <c r="BR480" s="115"/>
      <c r="BS480" s="115"/>
      <c r="BT480" s="115"/>
      <c r="BU480" s="115"/>
      <c r="BV480" s="115"/>
      <c r="BW480" s="115"/>
      <c r="BX480" s="115"/>
      <c r="BY480" s="115"/>
      <c r="BZ480" s="115"/>
      <c r="CA480" s="115"/>
      <c r="CB480" s="115"/>
      <c r="CC480" s="115"/>
      <c r="CD480" s="115"/>
      <c r="CE480" s="115"/>
      <c r="CF480" s="115"/>
      <c r="CG480" s="115"/>
      <c r="CH480" s="115"/>
      <c r="CI480" s="115"/>
      <c r="CJ480" s="115"/>
      <c r="CK480" s="115"/>
      <c r="CL480" s="115"/>
      <c r="CM480" s="115"/>
      <c r="CN480" s="115"/>
      <c r="CO480" s="115"/>
      <c r="CP480" s="115"/>
    </row>
    <row r="481" ht="15.75" customHeight="1">
      <c r="A481" s="442" t="s">
        <v>2479</v>
      </c>
      <c r="B481" s="68" t="s">
        <v>2480</v>
      </c>
      <c r="C481" s="69" t="s">
        <v>132</v>
      </c>
      <c r="D481" s="184" t="s">
        <v>2481</v>
      </c>
      <c r="E481" s="184" t="s">
        <v>2482</v>
      </c>
      <c r="F481" s="185" t="s">
        <v>2483</v>
      </c>
      <c r="G481" s="186" t="s">
        <v>2484</v>
      </c>
      <c r="H481" s="186" t="s">
        <v>64</v>
      </c>
      <c r="I481" s="26" t="s">
        <v>65</v>
      </c>
      <c r="J481" s="237" t="s">
        <v>212</v>
      </c>
      <c r="K481" s="74">
        <v>4.0</v>
      </c>
      <c r="L481" s="26">
        <v>2014.0</v>
      </c>
      <c r="M481" s="25">
        <f t="shared" si="397"/>
        <v>11</v>
      </c>
      <c r="N481" s="26">
        <f t="shared" si="398"/>
        <v>2</v>
      </c>
      <c r="O481" s="27" t="str">
        <f t="shared" si="3"/>
        <v>#N/A</v>
      </c>
      <c r="P481" s="28" t="str">
        <f t="shared" si="399"/>
        <v>#N/A</v>
      </c>
      <c r="Q481" s="28" t="str">
        <f t="shared" si="400"/>
        <v>#N/A</v>
      </c>
      <c r="R481" s="28"/>
      <c r="S481" s="28"/>
      <c r="T481" s="29">
        <f t="shared" si="401"/>
        <v>1727272.727</v>
      </c>
      <c r="U481" s="28"/>
      <c r="V481" s="30">
        <f t="shared" si="28"/>
        <v>19000000</v>
      </c>
      <c r="W481" s="30"/>
      <c r="X481" s="32">
        <f t="shared" si="402"/>
        <v>1.104417123</v>
      </c>
      <c r="Y481" s="33">
        <f t="shared" si="403"/>
        <v>0.1448569931</v>
      </c>
      <c r="Z481" s="692"/>
      <c r="AA481" s="665"/>
      <c r="AB481" s="74"/>
      <c r="AC481" s="74"/>
      <c r="AD481" s="79"/>
      <c r="AE481" s="84"/>
      <c r="AF481" s="175" t="str">
        <f>HYPERLINK("https://www.crunchbase.com/organization/usewheelhouse#section-funding-rounds"," Jun 3, 2016")</f>
        <v> Jun 3, 2016</v>
      </c>
      <c r="AG481" s="894">
        <v>3500000.0</v>
      </c>
      <c r="AH481" s="74"/>
      <c r="AI481" s="78"/>
      <c r="AJ481" s="426" t="str">
        <f>HYPERLINK("https://www.crunchbase.com/funding_round/usewheelhouse-series-a--f2f9bfb5"," 2/20/2018")</f>
        <v> 2/20/2018</v>
      </c>
      <c r="AK481" s="76">
        <v>1.55E7</v>
      </c>
      <c r="AL481" s="79"/>
      <c r="AM481" s="84"/>
      <c r="AN481" s="79"/>
      <c r="AO481" s="84"/>
      <c r="AP481" s="79"/>
      <c r="AQ481" s="84"/>
      <c r="AR481" s="79"/>
      <c r="AS481" s="79"/>
      <c r="AT481" s="79"/>
      <c r="AU481" s="80"/>
      <c r="AV481" s="79"/>
      <c r="AW481" s="38"/>
      <c r="AX481" s="79"/>
      <c r="AY481" s="38"/>
      <c r="AZ481" s="79"/>
      <c r="BA481" s="80"/>
      <c r="BB481" s="79"/>
      <c r="BC481" s="80"/>
      <c r="BD481" s="79"/>
      <c r="BE481" s="38"/>
      <c r="BF481" s="74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</row>
    <row r="482" ht="15.75" customHeight="1">
      <c r="A482" s="462" t="s">
        <v>2485</v>
      </c>
      <c r="B482" s="16"/>
      <c r="C482" s="17" t="s">
        <v>132</v>
      </c>
      <c r="D482" s="245"/>
      <c r="E482" s="236" t="s">
        <v>2486</v>
      </c>
      <c r="F482" s="803" t="s">
        <v>2487</v>
      </c>
      <c r="G482" s="317"/>
      <c r="H482" s="22" t="s">
        <v>2488</v>
      </c>
      <c r="I482" s="23" t="s">
        <v>2489</v>
      </c>
      <c r="J482" s="237"/>
      <c r="K482" s="36"/>
      <c r="L482" s="23">
        <v>2018.0</v>
      </c>
      <c r="M482" s="326"/>
      <c r="N482" s="36"/>
      <c r="O482" s="27" t="str">
        <f t="shared" si="3"/>
        <v>#N/A</v>
      </c>
      <c r="P482" s="28"/>
      <c r="Q482" s="28"/>
      <c r="R482" s="28"/>
      <c r="S482" s="28"/>
      <c r="T482" s="28"/>
      <c r="U482" s="28"/>
      <c r="V482" s="30">
        <f t="shared" si="28"/>
        <v>19000000</v>
      </c>
      <c r="W482" s="30"/>
      <c r="X482" s="847"/>
      <c r="Y482" s="847"/>
      <c r="Z482" s="692"/>
      <c r="AA482" s="665"/>
      <c r="AB482" s="36"/>
      <c r="AC482" s="36"/>
      <c r="AD482" s="44"/>
      <c r="AE482" s="46"/>
      <c r="AF482" s="39"/>
      <c r="AG482" s="46"/>
      <c r="AH482" s="36"/>
      <c r="AI482" s="159"/>
      <c r="AJ482" s="43" t="str">
        <f>HYPERLINK("https://www.crunchbase.com/funding_round/azibo-series-a--cea22f9e","Jan 11, 2022")</f>
        <v>Jan 11, 2022</v>
      </c>
      <c r="AK482" s="38">
        <v>1.9E7</v>
      </c>
      <c r="AL482" s="44"/>
      <c r="AM482" s="46"/>
      <c r="AN482" s="37"/>
      <c r="AO482" s="38"/>
      <c r="AP482" s="44"/>
      <c r="AQ482" s="46"/>
      <c r="AR482" s="44"/>
      <c r="AS482" s="44"/>
      <c r="AT482" s="44"/>
      <c r="AU482" s="45"/>
      <c r="AV482" s="44"/>
      <c r="AW482" s="38"/>
      <c r="AX482" s="44"/>
      <c r="AY482" s="38"/>
      <c r="AZ482" s="44"/>
      <c r="BA482" s="45"/>
      <c r="BB482" s="44"/>
      <c r="BC482" s="45"/>
      <c r="BD482" s="44"/>
      <c r="BE482" s="38"/>
      <c r="BF482" s="36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</row>
    <row r="483" ht="15.75" customHeight="1">
      <c r="A483" s="270" t="s">
        <v>2490</v>
      </c>
      <c r="B483" s="17"/>
      <c r="C483" s="17" t="s">
        <v>68</v>
      </c>
      <c r="D483" s="385"/>
      <c r="E483" s="236" t="s">
        <v>2491</v>
      </c>
      <c r="F483" s="1047" t="s">
        <v>2492</v>
      </c>
      <c r="G483" s="317"/>
      <c r="H483" s="22" t="s">
        <v>328</v>
      </c>
      <c r="I483" s="23" t="s">
        <v>329</v>
      </c>
      <c r="J483" s="237"/>
      <c r="K483" s="23">
        <v>2.0</v>
      </c>
      <c r="L483" s="23">
        <v>2014.0</v>
      </c>
      <c r="M483" s="222"/>
      <c r="N483" s="23"/>
      <c r="O483" s="27" t="str">
        <f t="shared" si="3"/>
        <v>#N/A</v>
      </c>
      <c r="P483" s="1177"/>
      <c r="Q483" s="1177"/>
      <c r="R483" s="1177"/>
      <c r="S483" s="1177"/>
      <c r="T483" s="1177"/>
      <c r="U483" s="1177"/>
      <c r="V483" s="30">
        <f t="shared" si="28"/>
        <v>19000000</v>
      </c>
      <c r="W483" s="30"/>
      <c r="X483" s="33"/>
      <c r="Y483" s="33"/>
      <c r="Z483" s="692"/>
      <c r="AA483" s="665"/>
      <c r="AB483" s="36"/>
      <c r="AC483" s="36"/>
      <c r="AD483" s="44"/>
      <c r="AE483" s="38"/>
      <c r="AF483" s="158" t="str">
        <f>HYPERLINK("https://www.privateequitywire.co.uk/2022/05/25/314834/ogci-climate-investments-leads-converges-ps15m-series-investment-round","May 25, 2022")</f>
        <v>May 25, 2022</v>
      </c>
      <c r="AG483" s="38">
        <v>1.9E7</v>
      </c>
      <c r="AH483" s="36"/>
      <c r="AI483" s="159"/>
      <c r="AJ483" s="44"/>
      <c r="AK483" s="38"/>
      <c r="AL483" s="44"/>
      <c r="AM483" s="38"/>
      <c r="AN483" s="44"/>
      <c r="AO483" s="46"/>
      <c r="AP483" s="37"/>
      <c r="AQ483" s="38"/>
      <c r="AR483" s="44"/>
      <c r="AS483" s="44"/>
      <c r="AT483" s="44"/>
      <c r="AU483" s="45"/>
      <c r="AV483" s="44"/>
      <c r="AW483" s="38"/>
      <c r="AX483" s="44"/>
      <c r="AY483" s="38"/>
      <c r="AZ483" s="44"/>
      <c r="BA483" s="45"/>
      <c r="BB483" s="44"/>
      <c r="BC483" s="45"/>
      <c r="BD483" s="44"/>
      <c r="BE483" s="38"/>
      <c r="BF483" s="36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</row>
    <row r="484" ht="15.75" customHeight="1">
      <c r="A484" s="21" t="s">
        <v>2493</v>
      </c>
      <c r="B484" s="68"/>
      <c r="C484" s="69" t="s">
        <v>84</v>
      </c>
      <c r="D484" s="957" t="s">
        <v>2494</v>
      </c>
      <c r="E484" s="138"/>
      <c r="F484" s="173" t="s">
        <v>2495</v>
      </c>
      <c r="G484" s="186"/>
      <c r="H484" s="71"/>
      <c r="I484" s="26"/>
      <c r="J484" s="72"/>
      <c r="K484" s="26"/>
      <c r="L484" s="26">
        <v>2018.0</v>
      </c>
      <c r="M484" s="25">
        <f>year(now()) -L484</f>
        <v>7</v>
      </c>
      <c r="N484" s="26">
        <f>counta(AE484,AG484,AI484,AK484,AM484,AO484,AQ484,AS484,AU484,AW484,AY484,BA484,BC484)</f>
        <v>2</v>
      </c>
      <c r="O484" s="27" t="str">
        <f t="shared" si="3"/>
        <v>#N/A</v>
      </c>
      <c r="P484" s="28"/>
      <c r="Q484" s="28"/>
      <c r="R484" s="28"/>
      <c r="S484" s="28"/>
      <c r="T484" s="29">
        <f>V484/M484</f>
        <v>2714285.714</v>
      </c>
      <c r="U484" s="28"/>
      <c r="V484" s="30">
        <f t="shared" si="28"/>
        <v>19000000</v>
      </c>
      <c r="W484" s="30"/>
      <c r="X484" s="73"/>
      <c r="Y484" s="33">
        <f>(max(AE484,AG484,AI484,AK484,AM484,AO484,AQ484,AS484,AU484,AW484,AY484,BA484,BC484)/min(AE484,AG484,AI484,AK484))^(1/M484)-1</f>
        <v>0.2078262578</v>
      </c>
      <c r="Z484" s="692"/>
      <c r="AA484" s="665"/>
      <c r="AB484" s="74"/>
      <c r="AC484" s="74"/>
      <c r="AD484" s="1178"/>
      <c r="AE484" s="46"/>
      <c r="AF484" s="726">
        <v>43697.0</v>
      </c>
      <c r="AG484" s="38">
        <v>4000000.0</v>
      </c>
      <c r="AH484" s="36"/>
      <c r="AI484" s="159"/>
      <c r="AJ484" s="75">
        <v>44221.0</v>
      </c>
      <c r="AK484" s="38">
        <v>1.5E7</v>
      </c>
      <c r="AL484" s="44"/>
      <c r="AM484" s="46"/>
      <c r="AN484" s="44"/>
      <c r="AO484" s="46"/>
      <c r="AP484" s="44"/>
      <c r="AQ484" s="46"/>
      <c r="AR484" s="44"/>
      <c r="AS484" s="44"/>
      <c r="AT484" s="44"/>
      <c r="AU484" s="45"/>
      <c r="AV484" s="44"/>
      <c r="AW484" s="38"/>
      <c r="AX484" s="44"/>
      <c r="AY484" s="38"/>
      <c r="AZ484" s="44"/>
      <c r="BA484" s="45"/>
      <c r="BB484" s="44"/>
      <c r="BC484" s="45"/>
      <c r="BD484" s="37">
        <v>44937.0</v>
      </c>
      <c r="BE484" s="38"/>
      <c r="BF484" s="23" t="s">
        <v>2496</v>
      </c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</row>
    <row r="485" ht="15.75" customHeight="1">
      <c r="A485" s="47" t="s">
        <v>2497</v>
      </c>
      <c r="C485" s="48" t="s">
        <v>76</v>
      </c>
      <c r="D485" s="351"/>
      <c r="E485" s="49" t="s">
        <v>2498</v>
      </c>
      <c r="F485" s="352" t="s">
        <v>2499</v>
      </c>
      <c r="G485" s="353"/>
      <c r="H485" s="53" t="s">
        <v>2500</v>
      </c>
      <c r="I485" s="54" t="s">
        <v>2501</v>
      </c>
      <c r="J485" s="55"/>
      <c r="K485" s="54">
        <v>3.0</v>
      </c>
      <c r="L485" s="56">
        <v>2018.0</v>
      </c>
      <c r="M485" s="55"/>
      <c r="N485" s="55"/>
      <c r="O485" s="27" t="str">
        <f t="shared" si="3"/>
        <v>#N/A</v>
      </c>
      <c r="P485" s="55"/>
      <c r="Q485" s="55"/>
      <c r="R485" s="55"/>
      <c r="S485" s="55"/>
      <c r="T485" s="55"/>
      <c r="U485" s="55"/>
      <c r="V485" s="30">
        <f t="shared" si="28"/>
        <v>19000000</v>
      </c>
      <c r="W485" s="30"/>
      <c r="X485" s="58"/>
      <c r="Y485" s="58"/>
      <c r="Z485" s="692"/>
      <c r="AA485" s="665"/>
      <c r="AB485" s="55"/>
      <c r="AC485" s="55"/>
      <c r="AD485" s="355"/>
      <c r="AE485" s="38"/>
      <c r="AF485" s="62">
        <v>43159.0</v>
      </c>
      <c r="AG485" s="38">
        <v>2000000.0</v>
      </c>
      <c r="AH485" s="55"/>
      <c r="AI485" s="38"/>
      <c r="AJ485" s="62">
        <v>44501.0</v>
      </c>
      <c r="AK485" s="38">
        <v>1.2E7</v>
      </c>
      <c r="AL485" s="62">
        <v>44987.0</v>
      </c>
      <c r="AM485" s="38">
        <v>5000000.0</v>
      </c>
      <c r="AN485" s="55"/>
      <c r="AO485" s="38"/>
      <c r="AP485" s="356"/>
      <c r="AQ485" s="38"/>
      <c r="AR485" s="55"/>
      <c r="AS485" s="38"/>
      <c r="AT485" s="55"/>
      <c r="AU485" s="38"/>
      <c r="AV485" s="55"/>
      <c r="AW485" s="38"/>
      <c r="AX485" s="55"/>
      <c r="AY485" s="38"/>
      <c r="AZ485" s="55"/>
      <c r="BA485" s="38"/>
      <c r="BB485" s="55"/>
      <c r="BC485" s="38"/>
      <c r="BD485" s="55"/>
      <c r="BE485" s="38"/>
      <c r="BF485" s="55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</row>
    <row r="486" ht="15.75" customHeight="1">
      <c r="A486" s="47" t="s">
        <v>2502</v>
      </c>
      <c r="C486" s="48" t="s">
        <v>84</v>
      </c>
      <c r="D486" s="351"/>
      <c r="E486" s="617" t="s">
        <v>2503</v>
      </c>
      <c r="F486" s="352" t="s">
        <v>2504</v>
      </c>
      <c r="G486" s="353"/>
      <c r="H486" s="53" t="s">
        <v>2505</v>
      </c>
      <c r="I486" s="54" t="s">
        <v>2506</v>
      </c>
      <c r="J486" s="55"/>
      <c r="K486" s="54">
        <v>3.0</v>
      </c>
      <c r="L486" s="56">
        <v>2016.0</v>
      </c>
      <c r="M486" s="55"/>
      <c r="N486" s="55"/>
      <c r="O486" s="27" t="str">
        <f t="shared" si="3"/>
        <v>#N/A</v>
      </c>
      <c r="P486" s="55"/>
      <c r="Q486" s="55"/>
      <c r="R486" s="55"/>
      <c r="S486" s="55"/>
      <c r="T486" s="55"/>
      <c r="U486" s="55"/>
      <c r="V486" s="30">
        <f t="shared" si="28"/>
        <v>18905700</v>
      </c>
      <c r="W486" s="30"/>
      <c r="X486" s="58"/>
      <c r="Y486" s="58"/>
      <c r="Z486" s="692"/>
      <c r="AA486" s="665"/>
      <c r="AB486" s="55"/>
      <c r="AC486" s="55"/>
      <c r="AD486" s="62">
        <v>43435.0</v>
      </c>
      <c r="AE486" s="38">
        <v>905700.0</v>
      </c>
      <c r="AF486" s="62">
        <v>44212.0</v>
      </c>
      <c r="AG486" s="38">
        <v>3800000.0</v>
      </c>
      <c r="AH486" s="55"/>
      <c r="AI486" s="38"/>
      <c r="AJ486" s="62">
        <v>44474.0</v>
      </c>
      <c r="AK486" s="38">
        <v>7400000.0</v>
      </c>
      <c r="AL486" s="62">
        <v>44819.0</v>
      </c>
      <c r="AM486" s="38"/>
      <c r="AN486" s="55"/>
      <c r="AO486" s="38"/>
      <c r="AP486" s="356"/>
      <c r="AQ486" s="38"/>
      <c r="AR486" s="55"/>
      <c r="AS486" s="38"/>
      <c r="AT486" s="55"/>
      <c r="AU486" s="38"/>
      <c r="AV486" s="55"/>
      <c r="AW486" s="38"/>
      <c r="AX486" s="55"/>
      <c r="AY486" s="38"/>
      <c r="AZ486" s="62">
        <v>44994.0</v>
      </c>
      <c r="BA486" s="38">
        <v>6800000.0</v>
      </c>
      <c r="BB486" s="55"/>
      <c r="BC486" s="38"/>
      <c r="BD486" s="55"/>
      <c r="BE486" s="38"/>
      <c r="BF486" s="55"/>
      <c r="BG486" s="760"/>
      <c r="BH486" s="760"/>
      <c r="BI486" s="760"/>
      <c r="BJ486" s="760"/>
      <c r="BK486" s="760"/>
      <c r="BL486" s="760"/>
      <c r="BM486" s="760"/>
      <c r="BN486" s="760"/>
      <c r="BO486" s="760"/>
      <c r="BP486" s="760"/>
      <c r="BQ486" s="760"/>
      <c r="BR486" s="760"/>
      <c r="BS486" s="760"/>
      <c r="BT486" s="760"/>
      <c r="BU486" s="760"/>
      <c r="BV486" s="760"/>
      <c r="BW486" s="760"/>
      <c r="BX486" s="760"/>
      <c r="BY486" s="760"/>
      <c r="BZ486" s="760"/>
      <c r="CA486" s="760"/>
      <c r="CB486" s="760"/>
      <c r="CC486" s="760"/>
      <c r="CD486" s="760"/>
      <c r="CE486" s="760"/>
      <c r="CF486" s="760"/>
      <c r="CG486" s="760"/>
      <c r="CH486" s="760"/>
      <c r="CI486" s="760"/>
      <c r="CJ486" s="760"/>
      <c r="CK486" s="760"/>
      <c r="CL486" s="760"/>
      <c r="CM486" s="760"/>
      <c r="CN486" s="760"/>
      <c r="CO486" s="760"/>
      <c r="CP486" s="760"/>
    </row>
    <row r="487" ht="15.75" customHeight="1">
      <c r="A487" s="860" t="s">
        <v>2507</v>
      </c>
      <c r="B487" s="115"/>
      <c r="C487" s="116" t="s">
        <v>207</v>
      </c>
      <c r="D487" s="192" t="s">
        <v>2508</v>
      </c>
      <c r="E487" s="192" t="s">
        <v>2509</v>
      </c>
      <c r="F487" s="118" t="s">
        <v>2510</v>
      </c>
      <c r="G487" s="119"/>
      <c r="H487" s="119" t="s">
        <v>526</v>
      </c>
      <c r="I487" s="25" t="s">
        <v>65</v>
      </c>
      <c r="J487" s="120"/>
      <c r="K487" s="25"/>
      <c r="L487" s="25">
        <v>2010.0</v>
      </c>
      <c r="M487" s="25">
        <f t="shared" ref="M487:M490" si="404">year(now()) -L487</f>
        <v>15</v>
      </c>
      <c r="N487" s="26">
        <f t="shared" ref="N487:N490" si="405">counta(AE487,AG487,AI487,AK487,AM487,AO487,AQ487,AS487,AU487,AW487,AY487,BA487,BC487)</f>
        <v>3</v>
      </c>
      <c r="O487" s="27" t="str">
        <f t="shared" si="3"/>
        <v>#N/A</v>
      </c>
      <c r="P487" s="28" t="str">
        <f t="shared" ref="P487:P490" si="406">RANK(T487,$T$8:$T$333)</f>
        <v>#N/A</v>
      </c>
      <c r="Q487" s="28" t="str">
        <f t="shared" ref="Q487:Q490" si="407">rank(V487,$V$8:$V$344)</f>
        <v>#N/A</v>
      </c>
      <c r="R487" s="28"/>
      <c r="S487" s="28"/>
      <c r="T487" s="29">
        <f t="shared" ref="T487:T490" si="408">V487/M487</f>
        <v>1260000</v>
      </c>
      <c r="U487" s="28"/>
      <c r="V487" s="30">
        <f t="shared" si="28"/>
        <v>18900000</v>
      </c>
      <c r="W487" s="30"/>
      <c r="X487" s="32">
        <f t="shared" ref="X487:X490" si="409">(max(AE487,AG487,AI487,AK487,AM487,AO487,AQ487,AS487,AU487,AW487,AY487,BA487,BC487)/min(AE487,AG487,AI487,AK487,AM487,AO487,AQ487,AS487,AU487,AW487,AY487,BA487,BC487))^(1/N487)-1</f>
        <v>1.208317739</v>
      </c>
      <c r="Y487" s="33">
        <f t="shared" ref="Y487:Y490" si="410">(max(AE487,AG487,AI487,AK487,AM487,AO487,AQ487,AS487,AU487,AW487,AY487,BA487,BC487)/min(AE487,AG487,AI487,AK487,AM487,AO487,AQ487,AS487,AU487,AW487,AY487,BA487,BC487))^(1/M487)-1</f>
        <v>0.1716888908</v>
      </c>
      <c r="Z487" s="692"/>
      <c r="AA487" s="665"/>
      <c r="AB487" s="123"/>
      <c r="AC487" s="123"/>
      <c r="AD487" s="124"/>
      <c r="AE487" s="125"/>
      <c r="AF487" s="225">
        <v>40533.0</v>
      </c>
      <c r="AG487" s="127">
        <v>1300000.0</v>
      </c>
      <c r="AH487" s="123"/>
      <c r="AI487" s="128"/>
      <c r="AJ487" s="42">
        <v>40673.0</v>
      </c>
      <c r="AK487" s="127">
        <v>3600000.0</v>
      </c>
      <c r="AL487" s="42">
        <v>41842.0</v>
      </c>
      <c r="AM487" s="127"/>
      <c r="AN487" s="42">
        <v>41942.0</v>
      </c>
      <c r="AO487" s="127">
        <v>1.4E7</v>
      </c>
      <c r="AP487" s="124"/>
      <c r="AQ487" s="125"/>
      <c r="AR487" s="124"/>
      <c r="AS487" s="124"/>
      <c r="AT487" s="124"/>
      <c r="AU487" s="137"/>
      <c r="AV487" s="124"/>
      <c r="AW487" s="38"/>
      <c r="AX487" s="124"/>
      <c r="AY487" s="38"/>
      <c r="AZ487" s="124"/>
      <c r="BA487" s="137"/>
      <c r="BB487" s="124"/>
      <c r="BC487" s="137"/>
      <c r="BD487" s="124"/>
      <c r="BE487" s="38"/>
      <c r="BF487" s="123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</row>
    <row r="488" ht="15.75" customHeight="1">
      <c r="A488" s="1179" t="s">
        <v>2511</v>
      </c>
      <c r="B488" s="1113" t="s">
        <v>2512</v>
      </c>
      <c r="C488" s="1113" t="s">
        <v>59</v>
      </c>
      <c r="D488" s="1180" t="s">
        <v>2513</v>
      </c>
      <c r="E488" s="1181" t="s">
        <v>2514</v>
      </c>
      <c r="F488" s="1182" t="s">
        <v>2515</v>
      </c>
      <c r="G488" s="1183"/>
      <c r="H488" s="1184" t="s">
        <v>2516</v>
      </c>
      <c r="I488" s="1185"/>
      <c r="J488" s="1186"/>
      <c r="K488" s="1187">
        <v>4.0</v>
      </c>
      <c r="L488" s="1185">
        <v>2013.0</v>
      </c>
      <c r="M488" s="25">
        <f t="shared" si="404"/>
        <v>12</v>
      </c>
      <c r="N488" s="26">
        <f t="shared" si="405"/>
        <v>4</v>
      </c>
      <c r="O488" s="27" t="str">
        <f t="shared" si="3"/>
        <v>#N/A</v>
      </c>
      <c r="P488" s="28" t="str">
        <f t="shared" si="406"/>
        <v>#N/A</v>
      </c>
      <c r="Q488" s="28" t="str">
        <f t="shared" si="407"/>
        <v>#N/A</v>
      </c>
      <c r="R488" s="28"/>
      <c r="S488" s="28"/>
      <c r="T488" s="29">
        <f t="shared" si="408"/>
        <v>1575000</v>
      </c>
      <c r="U488" s="28"/>
      <c r="V488" s="30">
        <f t="shared" si="28"/>
        <v>18900000</v>
      </c>
      <c r="W488" s="30"/>
      <c r="X488" s="32">
        <f t="shared" si="409"/>
        <v>1.432299279</v>
      </c>
      <c r="Y488" s="33">
        <f t="shared" si="410"/>
        <v>0.3448453232</v>
      </c>
      <c r="Z488" s="692"/>
      <c r="AA488" s="665"/>
      <c r="AB488" s="1187"/>
      <c r="AC488" s="1187"/>
      <c r="AD488" s="1188" t="str">
        <f>HYPERLINK("https://www.crunchbase.com/funding_round/allthings-seed--476ffb55"," Oct 15, 2015")</f>
        <v> Oct 15, 2015</v>
      </c>
      <c r="AE488" s="1106">
        <v>400000.0</v>
      </c>
      <c r="AF488" s="1189" t="str">
        <f>HYPERLINK("https://www.crunchbase.com/funding_round/allthings-seed--5f1e539c","May 17, 2016")</f>
        <v>May 17, 2016</v>
      </c>
      <c r="AG488" s="1106">
        <v>2000000.0</v>
      </c>
      <c r="AH488" s="1190" t="str">
        <f>HYPERLINK("https://www.crunchbase.com/funding_round/allthings-seed--81721da2"," Jun 20, 2017")</f>
        <v> Jun 20, 2017</v>
      </c>
      <c r="AI488" s="1106">
        <v>2500000.0</v>
      </c>
      <c r="AJ488" s="1188" t="str">
        <f>HYPERLINK("https://www.crunchbase.com/funding_round/allthings-series-a--b2d87238"," Jul 12, 2018")</f>
        <v> Jul 12, 2018</v>
      </c>
      <c r="AK488" s="1106">
        <v>1.4E7</v>
      </c>
      <c r="AL488" s="1191"/>
      <c r="AM488" s="1106"/>
      <c r="AN488" s="1191"/>
      <c r="AO488" s="1106"/>
      <c r="AP488" s="1191"/>
      <c r="AQ488" s="1106"/>
      <c r="AR488" s="1191"/>
      <c r="AS488" s="1191"/>
      <c r="AT488" s="1191"/>
      <c r="AU488" s="1192"/>
      <c r="AV488" s="1191"/>
      <c r="AW488" s="38"/>
      <c r="AX488" s="1191"/>
      <c r="AY488" s="38"/>
      <c r="AZ488" s="1191"/>
      <c r="BA488" s="1192"/>
      <c r="BB488" s="1191"/>
      <c r="BC488" s="1192"/>
      <c r="BD488" s="1191"/>
      <c r="BE488" s="38"/>
      <c r="BF488" s="1187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</row>
    <row r="489" ht="15.75" customHeight="1">
      <c r="A489" s="442" t="s">
        <v>2517</v>
      </c>
      <c r="B489" s="16" t="s">
        <v>2518</v>
      </c>
      <c r="C489" s="16" t="s">
        <v>59</v>
      </c>
      <c r="D489" s="184" t="s">
        <v>2519</v>
      </c>
      <c r="E489" s="184" t="s">
        <v>2520</v>
      </c>
      <c r="F489" s="185" t="s">
        <v>2521</v>
      </c>
      <c r="G489" s="317"/>
      <c r="H489" s="317" t="s">
        <v>128</v>
      </c>
      <c r="I489" s="36" t="s">
        <v>129</v>
      </c>
      <c r="J489" s="237"/>
      <c r="K489" s="23">
        <v>3.0</v>
      </c>
      <c r="L489" s="23">
        <v>2015.0</v>
      </c>
      <c r="M489" s="25">
        <f t="shared" si="404"/>
        <v>10</v>
      </c>
      <c r="N489" s="26">
        <f t="shared" si="405"/>
        <v>2</v>
      </c>
      <c r="O489" s="27" t="str">
        <f t="shared" si="3"/>
        <v>#N/A</v>
      </c>
      <c r="P489" s="28" t="str">
        <f t="shared" si="406"/>
        <v>#N/A</v>
      </c>
      <c r="Q489" s="28" t="str">
        <f t="shared" si="407"/>
        <v>#N/A</v>
      </c>
      <c r="R489" s="28"/>
      <c r="S489" s="28"/>
      <c r="T489" s="29">
        <f t="shared" si="408"/>
        <v>1880000</v>
      </c>
      <c r="U489" s="28"/>
      <c r="V489" s="30">
        <f t="shared" si="28"/>
        <v>18800000</v>
      </c>
      <c r="W489" s="30"/>
      <c r="X489" s="32">
        <f t="shared" si="409"/>
        <v>0.3284223283</v>
      </c>
      <c r="Y489" s="33">
        <f t="shared" si="410"/>
        <v>0.05844241088</v>
      </c>
      <c r="Z489" s="692"/>
      <c r="AA489" s="665"/>
      <c r="AB489" s="36" t="s">
        <v>2522</v>
      </c>
      <c r="AC489" s="36"/>
      <c r="AD489" s="44"/>
      <c r="AE489" s="38"/>
      <c r="AF489" s="158" t="str">
        <f>HYPERLINK("https://www.crunchbase.com/funding_round/bowery-2-seed--11d574e9","Mar 8, 2018")</f>
        <v>Mar 8, 2018</v>
      </c>
      <c r="AG489" s="38">
        <v>6800000.0</v>
      </c>
      <c r="AH489" s="36"/>
      <c r="AI489" s="159"/>
      <c r="AJ489" s="43" t="str">
        <f>HYPERLINK("https://www.crunchbase.com/funding_round/bowery-2-series-a--ea34709e"," Jan 4, 2019")</f>
        <v> Jan 4, 2019</v>
      </c>
      <c r="AK489" s="46">
        <v>1.2E7</v>
      </c>
      <c r="AL489" s="44"/>
      <c r="AM489" s="46"/>
      <c r="AN489" s="44"/>
      <c r="AO489" s="46"/>
      <c r="AP489" s="44"/>
      <c r="AQ489" s="46"/>
      <c r="AR489" s="44"/>
      <c r="AS489" s="44"/>
      <c r="AT489" s="44"/>
      <c r="AU489" s="45"/>
      <c r="AV489" s="44"/>
      <c r="AW489" s="38"/>
      <c r="AX489" s="44"/>
      <c r="AY489" s="38"/>
      <c r="AZ489" s="44"/>
      <c r="BA489" s="45"/>
      <c r="BB489" s="44"/>
      <c r="BC489" s="45"/>
      <c r="BD489" s="44"/>
      <c r="BE489" s="38"/>
      <c r="BF489" s="3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</row>
    <row r="490" ht="15.75" customHeight="1">
      <c r="A490" s="442" t="s">
        <v>2523</v>
      </c>
      <c r="B490" s="68"/>
      <c r="C490" s="69" t="s">
        <v>123</v>
      </c>
      <c r="D490" s="1193"/>
      <c r="E490" s="184" t="s">
        <v>2524</v>
      </c>
      <c r="F490" s="185" t="s">
        <v>2525</v>
      </c>
      <c r="G490" s="186" t="s">
        <v>2526</v>
      </c>
      <c r="H490" s="186" t="s">
        <v>2527</v>
      </c>
      <c r="I490" s="74" t="s">
        <v>2528</v>
      </c>
      <c r="J490" s="155">
        <v>98101.0</v>
      </c>
      <c r="K490" s="74">
        <v>2.0</v>
      </c>
      <c r="L490" s="26">
        <v>2015.0</v>
      </c>
      <c r="M490" s="25">
        <f t="shared" si="404"/>
        <v>10</v>
      </c>
      <c r="N490" s="26">
        <f t="shared" si="405"/>
        <v>2</v>
      </c>
      <c r="O490" s="27" t="str">
        <f t="shared" si="3"/>
        <v>#N/A</v>
      </c>
      <c r="P490" s="28" t="str">
        <f t="shared" si="406"/>
        <v>#N/A</v>
      </c>
      <c r="Q490" s="28" t="str">
        <f t="shared" si="407"/>
        <v>#N/A</v>
      </c>
      <c r="R490" s="28"/>
      <c r="S490" s="28"/>
      <c r="T490" s="29">
        <f t="shared" si="408"/>
        <v>1870000</v>
      </c>
      <c r="U490" s="28"/>
      <c r="V490" s="30">
        <f t="shared" si="28"/>
        <v>18700000</v>
      </c>
      <c r="W490" s="30"/>
      <c r="X490" s="32">
        <f t="shared" si="409"/>
        <v>2.386246693</v>
      </c>
      <c r="Y490" s="33">
        <f t="shared" si="410"/>
        <v>0.2762734029</v>
      </c>
      <c r="Z490" s="692"/>
      <c r="AA490" s="665"/>
      <c r="AB490" s="74"/>
      <c r="AC490" s="74"/>
      <c r="AD490" s="79"/>
      <c r="AE490" s="84"/>
      <c r="AF490" s="175" t="str">
        <f>HYPERLINK("https://www.crunchbase.com/funding_round/navigator-cre-seed--d8235b68","Feb 1, 2016")</f>
        <v>Feb 1, 2016</v>
      </c>
      <c r="AG490" s="76">
        <v>1500000.0</v>
      </c>
      <c r="AH490" s="74"/>
      <c r="AI490" s="78"/>
      <c r="AJ490" s="181" t="str">
        <f>HYPERLINK("https://www.crunchbase.com/funding_round/navigator-cre-series-a--5b85fac7","Aug 3, 2021")</f>
        <v>Aug 3, 2021</v>
      </c>
      <c r="AK490" s="76">
        <v>1.72E7</v>
      </c>
      <c r="AL490" s="79"/>
      <c r="AM490" s="84"/>
      <c r="AN490" s="79"/>
      <c r="AO490" s="84"/>
      <c r="AP490" s="79"/>
      <c r="AQ490" s="84"/>
      <c r="AR490" s="79"/>
      <c r="AS490" s="79"/>
      <c r="AT490" s="79"/>
      <c r="AU490" s="80"/>
      <c r="AV490" s="79"/>
      <c r="AW490" s="38"/>
      <c r="AX490" s="79"/>
      <c r="AY490" s="38"/>
      <c r="AZ490" s="79"/>
      <c r="BA490" s="80"/>
      <c r="BB490" s="79"/>
      <c r="BC490" s="80"/>
      <c r="BD490" s="79"/>
      <c r="BE490" s="38"/>
      <c r="BF490" s="74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</row>
    <row r="491" ht="15.75" customHeight="1">
      <c r="A491" s="400" t="s">
        <v>2529</v>
      </c>
      <c r="B491" s="115"/>
      <c r="C491" s="116" t="s">
        <v>713</v>
      </c>
      <c r="D491" s="161" t="s">
        <v>2530</v>
      </c>
      <c r="E491" s="161" t="s">
        <v>2531</v>
      </c>
      <c r="F491" s="708" t="s">
        <v>2532</v>
      </c>
      <c r="G491" s="286"/>
      <c r="H491" s="119" t="s">
        <v>64</v>
      </c>
      <c r="I491" s="25" t="s">
        <v>65</v>
      </c>
      <c r="J491" s="287"/>
      <c r="K491" s="25">
        <v>4.0</v>
      </c>
      <c r="L491" s="25">
        <v>2018.0</v>
      </c>
      <c r="M491" s="25"/>
      <c r="N491" s="123"/>
      <c r="O491" s="27" t="str">
        <f t="shared" si="3"/>
        <v>#N/A</v>
      </c>
      <c r="P491" s="55"/>
      <c r="Q491" s="55"/>
      <c r="R491" s="55"/>
      <c r="S491" s="55"/>
      <c r="T491" s="55"/>
      <c r="U491" s="55"/>
      <c r="V491" s="30">
        <f t="shared" si="28"/>
        <v>18600000</v>
      </c>
      <c r="W491" s="31">
        <v>5000000.0</v>
      </c>
      <c r="X491" s="403"/>
      <c r="Y491" s="403"/>
      <c r="Z491" s="692"/>
      <c r="AA491" s="665"/>
      <c r="AB491" s="123"/>
      <c r="AC491" s="123"/>
      <c r="AD491" s="717"/>
      <c r="AE491" s="123"/>
      <c r="AF491" s="62">
        <v>44133.0</v>
      </c>
      <c r="AG491" s="38">
        <v>6100000.0</v>
      </c>
      <c r="AH491" s="123"/>
      <c r="AI491" s="123"/>
      <c r="AJ491" s="404">
        <v>44880.0</v>
      </c>
      <c r="AK491" s="38">
        <v>1.25E7</v>
      </c>
      <c r="AL491" s="123"/>
      <c r="AM491" s="123"/>
      <c r="AN491" s="123"/>
      <c r="AO491" s="123"/>
      <c r="AP491" s="123"/>
      <c r="AQ491" s="123"/>
      <c r="AR491" s="123"/>
      <c r="AS491" s="123"/>
      <c r="AT491" s="123"/>
      <c r="AU491" s="137"/>
      <c r="AV491" s="123"/>
      <c r="AW491" s="38"/>
      <c r="AX491" s="123"/>
      <c r="AY491" s="38"/>
      <c r="AZ491" s="123"/>
      <c r="BA491" s="137"/>
      <c r="BB491" s="123"/>
      <c r="BC491" s="137"/>
      <c r="BD491" s="123"/>
      <c r="BE491" s="38"/>
      <c r="BF491" s="123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</row>
    <row r="492" ht="15.75" customHeight="1">
      <c r="A492" s="21" t="s">
        <v>2533</v>
      </c>
      <c r="B492" s="17"/>
      <c r="C492" s="17" t="s">
        <v>132</v>
      </c>
      <c r="D492" s="48"/>
      <c r="E492" s="138" t="s">
        <v>2534</v>
      </c>
      <c r="F492" s="173" t="s">
        <v>2535</v>
      </c>
      <c r="G492" s="442"/>
      <c r="H492" s="22" t="s">
        <v>64</v>
      </c>
      <c r="I492" s="23" t="s">
        <v>65</v>
      </c>
      <c r="J492" s="237"/>
      <c r="K492" s="26">
        <v>1.0</v>
      </c>
      <c r="L492" s="23">
        <v>2019.0</v>
      </c>
      <c r="M492" s="25"/>
      <c r="N492" s="26"/>
      <c r="O492" s="27" t="str">
        <f t="shared" si="3"/>
        <v>#N/A</v>
      </c>
      <c r="P492" s="28"/>
      <c r="Q492" s="28"/>
      <c r="R492" s="28"/>
      <c r="S492" s="28"/>
      <c r="T492" s="28"/>
      <c r="U492" s="28"/>
      <c r="V492" s="30">
        <f t="shared" si="28"/>
        <v>18500000</v>
      </c>
      <c r="W492" s="30"/>
      <c r="X492" s="73"/>
      <c r="Y492" s="73"/>
      <c r="Z492" s="692"/>
      <c r="AA492" s="665"/>
      <c r="AB492" s="36"/>
      <c r="AC492" s="36"/>
      <c r="AD492" s="44"/>
      <c r="AE492" s="46"/>
      <c r="AF492" s="158" t="str">
        <f>HYPERLINK("https://www.crunchbase.com/funding_round/cottage-seed--6249ef26","Nov 19, 2020")</f>
        <v>Nov 19, 2020</v>
      </c>
      <c r="AG492" s="38">
        <v>3500000.0</v>
      </c>
      <c r="AH492" s="36"/>
      <c r="AI492" s="159"/>
      <c r="AJ492" s="43" t="str">
        <f>HYPERLINK("https://www.crunchbase.com/funding_round/cottage-series-a--ae538789","Apr 6, 2022")</f>
        <v>Apr 6, 2022</v>
      </c>
      <c r="AK492" s="38">
        <v>1.5E7</v>
      </c>
      <c r="AL492" s="44"/>
      <c r="AM492" s="46"/>
      <c r="AN492" s="44"/>
      <c r="AO492" s="46"/>
      <c r="AP492" s="44"/>
      <c r="AQ492" s="46"/>
      <c r="AR492" s="44"/>
      <c r="AS492" s="44"/>
      <c r="AT492" s="44"/>
      <c r="AU492" s="45"/>
      <c r="AV492" s="44"/>
      <c r="AW492" s="38"/>
      <c r="AX492" s="44"/>
      <c r="AY492" s="38"/>
      <c r="AZ492" s="44"/>
      <c r="BA492" s="45"/>
      <c r="BB492" s="44"/>
      <c r="BC492" s="45"/>
      <c r="BD492" s="44"/>
      <c r="BE492" s="38"/>
      <c r="BF492" s="36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</row>
    <row r="493" ht="15.75" customHeight="1">
      <c r="A493" s="245" t="s">
        <v>2536</v>
      </c>
      <c r="B493" s="68"/>
      <c r="C493" s="69" t="s">
        <v>190</v>
      </c>
      <c r="D493" s="1167" t="s">
        <v>2537</v>
      </c>
      <c r="E493" s="1167" t="s">
        <v>2538</v>
      </c>
      <c r="F493" s="803" t="s">
        <v>2539</v>
      </c>
      <c r="G493" s="245"/>
      <c r="H493" s="810" t="s">
        <v>128</v>
      </c>
      <c r="I493" s="1194" t="s">
        <v>129</v>
      </c>
      <c r="J493" s="1195"/>
      <c r="K493" s="26">
        <v>3.0</v>
      </c>
      <c r="L493" s="26">
        <v>2021.0</v>
      </c>
      <c r="M493" s="25"/>
      <c r="N493" s="26"/>
      <c r="O493" s="27" t="str">
        <f t="shared" si="3"/>
        <v>#N/A</v>
      </c>
      <c r="P493" s="28"/>
      <c r="Q493" s="28"/>
      <c r="R493" s="28"/>
      <c r="S493" s="28"/>
      <c r="T493" s="28"/>
      <c r="U493" s="28"/>
      <c r="V493" s="30">
        <f t="shared" si="28"/>
        <v>18500000</v>
      </c>
      <c r="W493" s="30"/>
      <c r="X493" s="73"/>
      <c r="Y493" s="73"/>
      <c r="Z493" s="692"/>
      <c r="AA493" s="665"/>
      <c r="AB493" s="74"/>
      <c r="AC493" s="74"/>
      <c r="AD493" s="44"/>
      <c r="AE493" s="46"/>
      <c r="AF493" s="726">
        <v>44518.0</v>
      </c>
      <c r="AG493" s="38">
        <v>5000000.0</v>
      </c>
      <c r="AH493" s="36"/>
      <c r="AI493" s="159"/>
      <c r="AJ493" s="75">
        <v>44784.0</v>
      </c>
      <c r="AK493" s="38">
        <v>1.35E7</v>
      </c>
      <c r="AL493" s="44"/>
      <c r="AM493" s="46"/>
      <c r="AN493" s="44"/>
      <c r="AO493" s="46"/>
      <c r="AP493" s="44"/>
      <c r="AQ493" s="46"/>
      <c r="AR493" s="44"/>
      <c r="AS493" s="44"/>
      <c r="AT493" s="44"/>
      <c r="AU493" s="45"/>
      <c r="AV493" s="44"/>
      <c r="AW493" s="38"/>
      <c r="AX493" s="44"/>
      <c r="AY493" s="38"/>
      <c r="AZ493" s="44"/>
      <c r="BA493" s="45"/>
      <c r="BB493" s="44"/>
      <c r="BC493" s="45"/>
      <c r="BD493" s="44"/>
      <c r="BE493" s="38"/>
      <c r="BF493" s="3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</row>
    <row r="494" ht="15.75" customHeight="1">
      <c r="A494" s="442" t="s">
        <v>2540</v>
      </c>
      <c r="B494" s="68" t="s">
        <v>2541</v>
      </c>
      <c r="C494" s="69" t="s">
        <v>84</v>
      </c>
      <c r="D494" s="184" t="s">
        <v>2542</v>
      </c>
      <c r="E494" s="337" t="s">
        <v>2543</v>
      </c>
      <c r="F494" s="185" t="s">
        <v>2544</v>
      </c>
      <c r="G494" s="186"/>
      <c r="H494" s="186" t="s">
        <v>2545</v>
      </c>
      <c r="I494" s="74"/>
      <c r="J494" s="155"/>
      <c r="K494" s="74">
        <v>2.0</v>
      </c>
      <c r="L494" s="26">
        <v>2014.0</v>
      </c>
      <c r="M494" s="25">
        <f t="shared" ref="M494:M496" si="411">year(now()) -L494</f>
        <v>11</v>
      </c>
      <c r="N494" s="26">
        <f t="shared" ref="N494:N496" si="412">counta(AE494,AG494,AI494,AK494,AM494,AO494,AQ494,AS494,AU494,AW494,AY494,BA494,BC494)</f>
        <v>2</v>
      </c>
      <c r="O494" s="27" t="str">
        <f t="shared" si="3"/>
        <v>#N/A</v>
      </c>
      <c r="P494" s="28" t="str">
        <f t="shared" ref="P494:P496" si="413">RANK(T494,$T$8:$T$333)</f>
        <v>#N/A</v>
      </c>
      <c r="Q494" s="28" t="str">
        <f t="shared" ref="Q494:Q496" si="414">rank(V494,$V$8:$V$344)</f>
        <v>#N/A</v>
      </c>
      <c r="R494" s="28"/>
      <c r="S494" s="28"/>
      <c r="T494" s="29">
        <f t="shared" ref="T494:T496" si="415">V494/M494</f>
        <v>1681327.273</v>
      </c>
      <c r="U494" s="28"/>
      <c r="V494" s="30">
        <f t="shared" si="28"/>
        <v>18494600</v>
      </c>
      <c r="W494" s="30"/>
      <c r="X494" s="32">
        <f t="shared" ref="X494:X496" si="416">(max(AE494,AG494,AI494,AK494,AM494,AO494,AQ494,AS494,AU494,AW494,AY494,BA494,BC494)/min(AE494,AG494,AI494,AK494,AM494,AO494,AQ494,AS494,AU494,AW494,AY494,BA494,BC494))^(1/N494)-1</f>
        <v>0.7648934613</v>
      </c>
      <c r="Y494" s="33">
        <f t="shared" ref="Y494:Y496" si="417">(max(AE494,AG494,AI494,AK494,AM494,AO494,AQ494,AS494,AU494,AW494,AY494,BA494,BC494)/min(AE494,AG494,AI494,AK494,AM494,AO494,AQ494,AS494,AU494,AW494,AY494,BA494,BC494))^(1/M494)-1</f>
        <v>0.1088119761</v>
      </c>
      <c r="Z494" s="692"/>
      <c r="AA494" s="665"/>
      <c r="AB494" s="74"/>
      <c r="AC494" s="74"/>
      <c r="AD494" s="79"/>
      <c r="AE494" s="84"/>
      <c r="AF494" s="338"/>
      <c r="AG494" s="84"/>
      <c r="AH494" s="74"/>
      <c r="AI494" s="78"/>
      <c r="AJ494" s="181" t="str">
        <f>HYPERLINK("https://www.crunchbase.com/funding_round/homelike-series-a--080c207c"," 8/30/2017")</f>
        <v> 8/30/2017</v>
      </c>
      <c r="AK494" s="76">
        <v>4494600.0</v>
      </c>
      <c r="AL494" s="181" t="str">
        <f>HYPERLINK("https://www.crunchbase.com/funding_round/homelike-series-b--e8de7a17","Aug 23, 2018        
")</f>
        <v>Aug 23, 2018        
</v>
      </c>
      <c r="AM494" s="84">
        <v>1.4E7</v>
      </c>
      <c r="AN494" s="79"/>
      <c r="AO494" s="84"/>
      <c r="AP494" s="79"/>
      <c r="AQ494" s="84"/>
      <c r="AR494" s="79"/>
      <c r="AS494" s="79"/>
      <c r="AT494" s="79"/>
      <c r="AU494" s="80"/>
      <c r="AV494" s="79"/>
      <c r="AW494" s="38"/>
      <c r="AX494" s="79"/>
      <c r="AY494" s="38"/>
      <c r="AZ494" s="79"/>
      <c r="BA494" s="80"/>
      <c r="BB494" s="79"/>
      <c r="BC494" s="80"/>
      <c r="BD494" s="79"/>
      <c r="BE494" s="38"/>
      <c r="BF494" s="74"/>
      <c r="BG494" s="115"/>
      <c r="BH494" s="115"/>
      <c r="BI494" s="115"/>
      <c r="BJ494" s="115"/>
      <c r="BK494" s="115"/>
      <c r="BL494" s="115"/>
      <c r="BM494" s="115"/>
      <c r="BN494" s="115"/>
      <c r="BO494" s="115"/>
      <c r="BP494" s="115"/>
      <c r="BQ494" s="115"/>
      <c r="BR494" s="115"/>
      <c r="BS494" s="115"/>
      <c r="BT494" s="115"/>
      <c r="BU494" s="115"/>
      <c r="BV494" s="115"/>
      <c r="BW494" s="115"/>
      <c r="BX494" s="115"/>
      <c r="BY494" s="115"/>
      <c r="BZ494" s="115"/>
      <c r="CA494" s="115"/>
      <c r="CB494" s="115"/>
      <c r="CC494" s="115"/>
      <c r="CD494" s="115"/>
      <c r="CE494" s="115"/>
      <c r="CF494" s="115"/>
      <c r="CG494" s="115"/>
      <c r="CH494" s="115"/>
      <c r="CI494" s="115"/>
      <c r="CJ494" s="115"/>
      <c r="CK494" s="115"/>
      <c r="CL494" s="115"/>
      <c r="CM494" s="115"/>
      <c r="CN494" s="115"/>
      <c r="CO494" s="115"/>
      <c r="CP494" s="115"/>
    </row>
    <row r="495" ht="15.75" customHeight="1">
      <c r="A495" s="442" t="s">
        <v>2546</v>
      </c>
      <c r="B495" s="68" t="s">
        <v>2206</v>
      </c>
      <c r="C495" s="68" t="s">
        <v>207</v>
      </c>
      <c r="D495" s="184" t="s">
        <v>2547</v>
      </c>
      <c r="E495" s="184" t="s">
        <v>2548</v>
      </c>
      <c r="F495" s="652" t="s">
        <v>2549</v>
      </c>
      <c r="G495" s="54" t="s">
        <v>2550</v>
      </c>
      <c r="H495" s="71" t="s">
        <v>128</v>
      </c>
      <c r="I495" s="26" t="s">
        <v>129</v>
      </c>
      <c r="J495" s="72" t="s">
        <v>689</v>
      </c>
      <c r="K495" s="26">
        <v>3.0</v>
      </c>
      <c r="L495" s="26">
        <v>2011.0</v>
      </c>
      <c r="M495" s="25">
        <f t="shared" si="411"/>
        <v>14</v>
      </c>
      <c r="N495" s="26">
        <f t="shared" si="412"/>
        <v>3</v>
      </c>
      <c r="O495" s="27" t="str">
        <f t="shared" si="3"/>
        <v>#N/A</v>
      </c>
      <c r="P495" s="28" t="str">
        <f t="shared" si="413"/>
        <v>#N/A</v>
      </c>
      <c r="Q495" s="28" t="str">
        <f t="shared" si="414"/>
        <v>#N/A</v>
      </c>
      <c r="R495" s="28"/>
      <c r="S495" s="28"/>
      <c r="T495" s="29">
        <f t="shared" si="415"/>
        <v>1316071.429</v>
      </c>
      <c r="U495" s="28"/>
      <c r="V495" s="30">
        <f t="shared" si="28"/>
        <v>18425000</v>
      </c>
      <c r="W495" s="30"/>
      <c r="X495" s="32">
        <f t="shared" si="416"/>
        <v>2.351534422</v>
      </c>
      <c r="Y495" s="33">
        <f t="shared" si="417"/>
        <v>0.2958424957</v>
      </c>
      <c r="Z495" s="692"/>
      <c r="AA495" s="665"/>
      <c r="AB495" s="74"/>
      <c r="AC495" s="74"/>
      <c r="AD495" s="181" t="str">
        <f>HYPERLINK("https://www.crunchbase.com/organization/thesquarefoot","Oct 15, 2013")</f>
        <v>Oct 15, 2013</v>
      </c>
      <c r="AE495" s="84">
        <v>425000.0</v>
      </c>
      <c r="AF495" s="175" t="str">
        <f>HYPERLINK("www.thesquarefoot.com/blog/posts/ready-for-the-next-chapter","Oct, 2013")</f>
        <v>Oct, 2013</v>
      </c>
      <c r="AG495" s="84">
        <v>2000000.0</v>
      </c>
      <c r="AH495" s="77"/>
      <c r="AI495" s="78"/>
      <c r="AJ495" s="79"/>
      <c r="AK495" s="84"/>
      <c r="AL495" s="181" t="str">
        <f>HYPERLINK("https://angel.co/company/thesquarefoot/funding","Nov, 2019")</f>
        <v>Nov, 2019</v>
      </c>
      <c r="AM495" s="76">
        <v>1.6E7</v>
      </c>
      <c r="AN495" s="79"/>
      <c r="AO495" s="84"/>
      <c r="AP495" s="79"/>
      <c r="AQ495" s="84"/>
      <c r="AR495" s="79"/>
      <c r="AS495" s="79"/>
      <c r="AT495" s="79"/>
      <c r="AU495" s="80"/>
      <c r="AV495" s="79"/>
      <c r="AW495" s="38"/>
      <c r="AX495" s="79"/>
      <c r="AY495" s="38"/>
      <c r="AZ495" s="79"/>
      <c r="BA495" s="80"/>
      <c r="BB495" s="79"/>
      <c r="BC495" s="80"/>
      <c r="BD495" s="79"/>
      <c r="BE495" s="38"/>
      <c r="BF495" s="74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</row>
    <row r="496" ht="15.75" customHeight="1">
      <c r="A496" s="400" t="s">
        <v>2551</v>
      </c>
      <c r="B496" s="116"/>
      <c r="C496" s="116" t="s">
        <v>207</v>
      </c>
      <c r="D496" s="540" t="s">
        <v>2552</v>
      </c>
      <c r="E496" s="540" t="s">
        <v>2553</v>
      </c>
      <c r="F496" s="744" t="s">
        <v>2554</v>
      </c>
      <c r="G496" s="903" t="s">
        <v>2555</v>
      </c>
      <c r="H496" s="119" t="s">
        <v>128</v>
      </c>
      <c r="I496" s="25" t="s">
        <v>156</v>
      </c>
      <c r="J496" s="1196" t="s">
        <v>2556</v>
      </c>
      <c r="K496" s="25">
        <v>2.0</v>
      </c>
      <c r="L496" s="142">
        <v>2008.0</v>
      </c>
      <c r="M496" s="25">
        <f t="shared" si="411"/>
        <v>17</v>
      </c>
      <c r="N496" s="26">
        <f t="shared" si="412"/>
        <v>2</v>
      </c>
      <c r="O496" s="27" t="str">
        <f t="shared" si="3"/>
        <v>#N/A</v>
      </c>
      <c r="P496" s="28" t="str">
        <f t="shared" si="413"/>
        <v>#N/A</v>
      </c>
      <c r="Q496" s="28" t="str">
        <f t="shared" si="414"/>
        <v>#N/A</v>
      </c>
      <c r="R496" s="28"/>
      <c r="S496" s="28"/>
      <c r="T496" s="29">
        <f t="shared" si="415"/>
        <v>1081413.529</v>
      </c>
      <c r="U496" s="28"/>
      <c r="V496" s="30">
        <f t="shared" si="28"/>
        <v>18384030</v>
      </c>
      <c r="W496" s="30"/>
      <c r="X496" s="32">
        <f t="shared" si="416"/>
        <v>1.10537047</v>
      </c>
      <c r="Y496" s="33">
        <f t="shared" si="417"/>
        <v>0.09153747409</v>
      </c>
      <c r="Z496" s="692"/>
      <c r="AA496" s="665"/>
      <c r="AB496" s="123"/>
      <c r="AC496" s="123"/>
      <c r="AD496" s="164"/>
      <c r="AE496" s="905"/>
      <c r="AF496" s="166"/>
      <c r="AG496" s="127"/>
      <c r="AH496" s="907"/>
      <c r="AI496" s="908"/>
      <c r="AJ496" s="975" t="str">
        <f>HYPERLINK("https://www.crunchbase.com/funding_round/proxyclick-series-a--ff13b092","Nov 16, 2017")</f>
        <v>Nov 16, 2017</v>
      </c>
      <c r="AK496" s="165">
        <v>3384030.0</v>
      </c>
      <c r="AL496" s="167" t="str">
        <f>HYPERLINK("https://www.crunchbase.com/funding_round/proxyclick-series-b--4554e201","Jan 22, 2020")</f>
        <v>Jan 22, 2020</v>
      </c>
      <c r="AM496" s="127">
        <v>1.5E7</v>
      </c>
      <c r="AN496" s="124"/>
      <c r="AO496" s="125"/>
      <c r="AP496" s="124"/>
      <c r="AQ496" s="125"/>
      <c r="AR496" s="124"/>
      <c r="AS496" s="124"/>
      <c r="AT496" s="124"/>
      <c r="AU496" s="137"/>
      <c r="AV496" s="124"/>
      <c r="AW496" s="38"/>
      <c r="AX496" s="124"/>
      <c r="AY496" s="38"/>
      <c r="AZ496" s="124"/>
      <c r="BA496" s="137"/>
      <c r="BB496" s="124"/>
      <c r="BC496" s="137"/>
      <c r="BD496" s="124"/>
      <c r="BE496" s="38"/>
      <c r="BF496" s="123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</row>
    <row r="497" ht="15.75" customHeight="1">
      <c r="A497" s="47" t="s">
        <v>2557</v>
      </c>
      <c r="B497" s="116"/>
      <c r="C497" s="116" t="s">
        <v>68</v>
      </c>
      <c r="D497" s="48"/>
      <c r="E497" s="388" t="s">
        <v>2558</v>
      </c>
      <c r="F497" s="389" t="s">
        <v>2559</v>
      </c>
      <c r="G497" s="119" t="s">
        <v>2560</v>
      </c>
      <c r="H497" s="119" t="s">
        <v>1472</v>
      </c>
      <c r="I497" s="25" t="s">
        <v>639</v>
      </c>
      <c r="J497" s="120" t="s">
        <v>2561</v>
      </c>
      <c r="K497" s="25">
        <v>3.0</v>
      </c>
      <c r="L497" s="25">
        <v>2008.0</v>
      </c>
      <c r="M497" s="25"/>
      <c r="N497" s="25"/>
      <c r="O497" s="27" t="str">
        <f t="shared" si="3"/>
        <v>#N/A</v>
      </c>
      <c r="P497" s="55"/>
      <c r="Q497" s="55"/>
      <c r="R497" s="55"/>
      <c r="S497" s="55"/>
      <c r="T497" s="55"/>
      <c r="U497" s="55"/>
      <c r="V497" s="30">
        <f t="shared" si="28"/>
        <v>18285000</v>
      </c>
      <c r="W497" s="30"/>
      <c r="X497" s="597"/>
      <c r="Y497" s="597"/>
      <c r="Z497" s="692"/>
      <c r="AA497" s="665"/>
      <c r="AB497" s="123"/>
      <c r="AC497" s="123"/>
      <c r="AD497" s="124"/>
      <c r="AE497" s="125"/>
      <c r="AF497" s="854">
        <v>43800.0</v>
      </c>
      <c r="AG497" s="127">
        <f>1500000*0.75</f>
        <v>1125000</v>
      </c>
      <c r="AH497" s="123"/>
      <c r="AI497" s="128"/>
      <c r="AJ497" s="855">
        <v>44761.0</v>
      </c>
      <c r="AK497" s="165">
        <f>22000000*0.78</f>
        <v>17160000</v>
      </c>
      <c r="AL497" s="169"/>
      <c r="AM497" s="127"/>
      <c r="AN497" s="124"/>
      <c r="AO497" s="125"/>
      <c r="AP497" s="124"/>
      <c r="AQ497" s="125"/>
      <c r="AR497" s="124"/>
      <c r="AS497" s="124"/>
      <c r="AT497" s="124"/>
      <c r="AU497" s="137"/>
      <c r="AV497" s="124"/>
      <c r="AW497" s="38"/>
      <c r="AX497" s="124"/>
      <c r="AY497" s="38"/>
      <c r="AZ497" s="124"/>
      <c r="BA497" s="137"/>
      <c r="BB497" s="124"/>
      <c r="BC497" s="137"/>
      <c r="BD497" s="124"/>
      <c r="BE497" s="38"/>
      <c r="BF497" s="123"/>
      <c r="BG497" s="534"/>
      <c r="BH497" s="534"/>
      <c r="BI497" s="534"/>
      <c r="BJ497" s="534"/>
      <c r="BK497" s="534"/>
      <c r="BL497" s="534"/>
      <c r="BM497" s="534"/>
      <c r="BN497" s="534"/>
      <c r="BO497" s="534"/>
      <c r="BP497" s="534"/>
      <c r="BQ497" s="534"/>
      <c r="BR497" s="534"/>
      <c r="BS497" s="534"/>
      <c r="BT497" s="534"/>
      <c r="BU497" s="534"/>
      <c r="BV497" s="534"/>
      <c r="BW497" s="534"/>
      <c r="BX497" s="534"/>
      <c r="BY497" s="534"/>
      <c r="BZ497" s="534"/>
      <c r="CA497" s="534"/>
      <c r="CB497" s="534"/>
      <c r="CC497" s="534"/>
      <c r="CD497" s="534"/>
      <c r="CE497" s="534"/>
      <c r="CF497" s="534"/>
      <c r="CG497" s="534"/>
      <c r="CH497" s="534"/>
      <c r="CI497" s="534"/>
      <c r="CJ497" s="534"/>
      <c r="CK497" s="534"/>
      <c r="CL497" s="534"/>
      <c r="CM497" s="534"/>
      <c r="CN497" s="534"/>
      <c r="CO497" s="534"/>
      <c r="CP497" s="534"/>
    </row>
    <row r="498" ht="15.75" customHeight="1">
      <c r="A498" s="666" t="s">
        <v>2562</v>
      </c>
      <c r="B498" s="115" t="s">
        <v>2563</v>
      </c>
      <c r="C498" s="116" t="s">
        <v>84</v>
      </c>
      <c r="D498" s="667" t="s">
        <v>2564</v>
      </c>
      <c r="E498" s="667" t="s">
        <v>2565</v>
      </c>
      <c r="F498" s="668" t="s">
        <v>2566</v>
      </c>
      <c r="G498" s="930" t="s">
        <v>2567</v>
      </c>
      <c r="H498" s="286" t="s">
        <v>526</v>
      </c>
      <c r="I498" s="123" t="s">
        <v>826</v>
      </c>
      <c r="J498" s="287" t="s">
        <v>2568</v>
      </c>
      <c r="K498" s="123">
        <v>1.0</v>
      </c>
      <c r="L498" s="25">
        <v>2016.0</v>
      </c>
      <c r="M498" s="25">
        <f t="shared" ref="M498:M502" si="418">year(now()) -L498</f>
        <v>9</v>
      </c>
      <c r="N498" s="26">
        <f t="shared" ref="N498:N502" si="419">counta(AE498,AG498,AI498,AK498,AM498,AO498,AQ498,AS498,AU498,AW498,AY498,BA498,BC498)</f>
        <v>2</v>
      </c>
      <c r="O498" s="27" t="str">
        <f t="shared" si="3"/>
        <v>#N/A</v>
      </c>
      <c r="P498" s="28" t="str">
        <f t="shared" ref="P498:P502" si="420">RANK(T498,$T$8:$T$333)</f>
        <v>#N/A</v>
      </c>
      <c r="Q498" s="28" t="str">
        <f t="shared" ref="Q498:Q502" si="421">rank(V498,$V$8:$V$344)</f>
        <v>#N/A</v>
      </c>
      <c r="R498" s="28"/>
      <c r="S498" s="28"/>
      <c r="T498" s="29">
        <f t="shared" ref="T498:T502" si="422">V498/M498</f>
        <v>2022222.222</v>
      </c>
      <c r="U498" s="28"/>
      <c r="V498" s="30">
        <f t="shared" si="28"/>
        <v>18200000</v>
      </c>
      <c r="W498" s="30"/>
      <c r="X498" s="32">
        <f t="shared" ref="X498:X502" si="423">(max(AE498,AG498,AI498,AK498,AM498,AO498,AQ498,AS498,AU498,AW498,AY498,BA498,BC498)/min(AE498,AG498,AI498,AK498,AM498,AO498,AQ498,AS498,AU498,AW498,AY498,BA498,BC498))^(1/N498)-1</f>
        <v>1.395984295</v>
      </c>
      <c r="Y498" s="33">
        <f t="shared" ref="Y498:Y502" si="424">(max(AE498,AG498,AI498,AK498,AM498,AO498,AQ498,AS498,AU498,AW498,AY498,BA498,BC498)/min(AE498,AG498,AI498,AK498,AM498,AO498,AQ498,AS498,AU498,AW498,AY498,BA498,BC498))^(1/M498)-1</f>
        <v>0.2143105563</v>
      </c>
      <c r="Z498" s="692"/>
      <c r="AA498" s="665"/>
      <c r="AB498" s="123"/>
      <c r="AC498" s="123"/>
      <c r="AD498" s="124"/>
      <c r="AE498" s="125"/>
      <c r="AF498" s="126" t="str">
        <f>HYPERLINK("https://www.crunchbase.com/organization/propy#section-funding-rounds"," Sep 15, 2017")</f>
        <v> Sep 15, 2017</v>
      </c>
      <c r="AG498" s="127">
        <v>1.55E7</v>
      </c>
      <c r="AH498" s="123"/>
      <c r="AI498" s="128"/>
      <c r="AJ498" s="124"/>
      <c r="AK498" s="125"/>
      <c r="AL498" s="124"/>
      <c r="AM498" s="125"/>
      <c r="AN498" s="124"/>
      <c r="AO498" s="125"/>
      <c r="AP498" s="124"/>
      <c r="AQ498" s="125"/>
      <c r="AR498" s="124"/>
      <c r="AS498" s="124"/>
      <c r="AT498" s="124"/>
      <c r="AU498" s="137"/>
      <c r="AV498" s="124"/>
      <c r="AW498" s="38"/>
      <c r="AX498" s="124"/>
      <c r="AY498" s="38"/>
      <c r="AZ498" s="171">
        <v>44873.0</v>
      </c>
      <c r="BA498" s="170">
        <v>2700000.0</v>
      </c>
      <c r="BB498" s="124"/>
      <c r="BC498" s="137"/>
      <c r="BD498" s="124"/>
      <c r="BE498" s="38"/>
      <c r="BF498" s="123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</row>
    <row r="499" ht="15.75" customHeight="1">
      <c r="A499" s="860" t="s">
        <v>2569</v>
      </c>
      <c r="B499" s="534"/>
      <c r="C499" s="849" t="s">
        <v>276</v>
      </c>
      <c r="D499" s="192" t="s">
        <v>2570</v>
      </c>
      <c r="E499" s="957" t="s">
        <v>2571</v>
      </c>
      <c r="F499" s="386" t="s">
        <v>2572</v>
      </c>
      <c r="G499" s="666"/>
      <c r="H499" s="850" t="s">
        <v>129</v>
      </c>
      <c r="I499" s="222" t="s">
        <v>129</v>
      </c>
      <c r="J499" s="691"/>
      <c r="K499" s="326"/>
      <c r="L499" s="222">
        <v>2014.0</v>
      </c>
      <c r="M499" s="25">
        <f t="shared" si="418"/>
        <v>11</v>
      </c>
      <c r="N499" s="26">
        <f t="shared" si="419"/>
        <v>2</v>
      </c>
      <c r="O499" s="27" t="str">
        <f t="shared" si="3"/>
        <v>#N/A</v>
      </c>
      <c r="P499" s="28" t="str">
        <f t="shared" si="420"/>
        <v>#N/A</v>
      </c>
      <c r="Q499" s="28" t="str">
        <f t="shared" si="421"/>
        <v>#N/A</v>
      </c>
      <c r="R499" s="28"/>
      <c r="S499" s="28"/>
      <c r="T499" s="29">
        <f t="shared" si="422"/>
        <v>1636363.636</v>
      </c>
      <c r="U499" s="28"/>
      <c r="V499" s="30">
        <f t="shared" si="28"/>
        <v>18000000</v>
      </c>
      <c r="W499" s="30"/>
      <c r="X499" s="32">
        <f t="shared" si="423"/>
        <v>0.6124515497</v>
      </c>
      <c r="Y499" s="33">
        <f t="shared" si="424"/>
        <v>0.0907490661</v>
      </c>
      <c r="Z499" s="692"/>
      <c r="AA499" s="665"/>
      <c r="AB499" s="326"/>
      <c r="AC499" s="326"/>
      <c r="AD499" s="322"/>
      <c r="AE499" s="323"/>
      <c r="AF499" s="320">
        <v>41872.0</v>
      </c>
      <c r="AG499" s="325">
        <v>5000000.0</v>
      </c>
      <c r="AH499" s="326"/>
      <c r="AI499" s="323"/>
      <c r="AJ499" s="227">
        <v>42828.0</v>
      </c>
      <c r="AK499" s="325">
        <v>1.3E7</v>
      </c>
      <c r="AL499" s="322"/>
      <c r="AM499" s="323"/>
      <c r="AN499" s="322"/>
      <c r="AO499" s="323"/>
      <c r="AP499" s="322"/>
      <c r="AQ499" s="323"/>
      <c r="AR499" s="322"/>
      <c r="AS499" s="322"/>
      <c r="AT499" s="322"/>
      <c r="AU499" s="335"/>
      <c r="AV499" s="322"/>
      <c r="AW499" s="38"/>
      <c r="AX499" s="322"/>
      <c r="AY499" s="38"/>
      <c r="AZ499" s="322"/>
      <c r="BA499" s="335"/>
      <c r="BB499" s="322"/>
      <c r="BC499" s="335"/>
      <c r="BD499" s="322"/>
      <c r="BE499" s="38"/>
      <c r="BF499" s="32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</row>
    <row r="500" ht="15.75" customHeight="1">
      <c r="A500" s="462" t="s">
        <v>2573</v>
      </c>
      <c r="B500" s="16"/>
      <c r="C500" s="17" t="s">
        <v>84</v>
      </c>
      <c r="D500" s="192" t="s">
        <v>2574</v>
      </c>
      <c r="E500" s="192" t="s">
        <v>2575</v>
      </c>
      <c r="F500" s="118" t="s">
        <v>2576</v>
      </c>
      <c r="G500" s="317"/>
      <c r="H500" s="317" t="s">
        <v>64</v>
      </c>
      <c r="I500" s="36" t="s">
        <v>65</v>
      </c>
      <c r="J500" s="24" t="s">
        <v>2577</v>
      </c>
      <c r="K500" s="23">
        <v>2.0</v>
      </c>
      <c r="L500" s="23">
        <v>2020.0</v>
      </c>
      <c r="M500" s="25">
        <f t="shared" si="418"/>
        <v>5</v>
      </c>
      <c r="N500" s="26">
        <f t="shared" si="419"/>
        <v>2</v>
      </c>
      <c r="O500" s="27" t="str">
        <f t="shared" si="3"/>
        <v>#N/A</v>
      </c>
      <c r="P500" s="28" t="str">
        <f t="shared" si="420"/>
        <v>#N/A</v>
      </c>
      <c r="Q500" s="28" t="str">
        <f t="shared" si="421"/>
        <v>#N/A</v>
      </c>
      <c r="R500" s="28"/>
      <c r="S500" s="28"/>
      <c r="T500" s="29">
        <f t="shared" si="422"/>
        <v>3600000</v>
      </c>
      <c r="U500" s="28"/>
      <c r="V500" s="30">
        <f t="shared" si="28"/>
        <v>18000000</v>
      </c>
      <c r="W500" s="30"/>
      <c r="X500" s="32">
        <f t="shared" si="423"/>
        <v>0.8708286934</v>
      </c>
      <c r="Y500" s="33">
        <f t="shared" si="424"/>
        <v>0.2847351571</v>
      </c>
      <c r="Z500" s="692"/>
      <c r="AA500" s="665"/>
      <c r="AB500" s="36"/>
      <c r="AC500" s="36"/>
      <c r="AD500" s="44"/>
      <c r="AE500" s="46"/>
      <c r="AF500" s="921" t="str">
        <f>HYPERLINK("https://www.crunchbase.com/funding_round/avenue-8-seed--9e3bf872","Dec 18, 2020")</f>
        <v>Dec 18, 2020</v>
      </c>
      <c r="AG500" s="38">
        <v>4000000.0</v>
      </c>
      <c r="AH500" s="36"/>
      <c r="AI500" s="159"/>
      <c r="AJ500" s="43" t="str">
        <f>HYPERLINK("https://www.crunchbase.com/funding_round/avenue-8-series-a--74f6a1ff","May 3, 2021")</f>
        <v>May 3, 2021</v>
      </c>
      <c r="AK500" s="38">
        <v>1.4E7</v>
      </c>
      <c r="AL500" s="44"/>
      <c r="AM500" s="46"/>
      <c r="AN500" s="44"/>
      <c r="AO500" s="46"/>
      <c r="AP500" s="44"/>
      <c r="AQ500" s="46"/>
      <c r="AR500" s="44"/>
      <c r="AS500" s="44"/>
      <c r="AT500" s="44"/>
      <c r="AU500" s="45"/>
      <c r="AV500" s="44"/>
      <c r="AW500" s="38"/>
      <c r="AX500" s="44"/>
      <c r="AY500" s="38"/>
      <c r="AZ500" s="44"/>
      <c r="BA500" s="45"/>
      <c r="BB500" s="44"/>
      <c r="BC500" s="45"/>
      <c r="BD500" s="44"/>
      <c r="BE500" s="38"/>
      <c r="BF500" s="3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</row>
    <row r="501" ht="15.75" customHeight="1">
      <c r="A501" s="21" t="s">
        <v>2578</v>
      </c>
      <c r="B501" s="1197" t="s">
        <v>2579</v>
      </c>
      <c r="C501" s="69" t="s">
        <v>84</v>
      </c>
      <c r="D501" s="200" t="s">
        <v>2580</v>
      </c>
      <c r="E501" s="200" t="s">
        <v>2581</v>
      </c>
      <c r="F501" s="841" t="s">
        <v>2582</v>
      </c>
      <c r="G501" s="140" t="s">
        <v>2583</v>
      </c>
      <c r="H501" s="140" t="s">
        <v>365</v>
      </c>
      <c r="I501" s="26" t="s">
        <v>65</v>
      </c>
      <c r="J501" s="72" t="s">
        <v>2584</v>
      </c>
      <c r="K501" s="26">
        <v>1.0</v>
      </c>
      <c r="L501" s="26">
        <v>2016.0</v>
      </c>
      <c r="M501" s="25">
        <f t="shared" si="418"/>
        <v>9</v>
      </c>
      <c r="N501" s="26">
        <f t="shared" si="419"/>
        <v>3</v>
      </c>
      <c r="O501" s="27" t="str">
        <f t="shared" si="3"/>
        <v>#N/A</v>
      </c>
      <c r="P501" s="28" t="str">
        <f t="shared" si="420"/>
        <v>#N/A</v>
      </c>
      <c r="Q501" s="28" t="str">
        <f t="shared" si="421"/>
        <v>#N/A</v>
      </c>
      <c r="R501" s="28"/>
      <c r="S501" s="28"/>
      <c r="T501" s="29">
        <f t="shared" si="422"/>
        <v>2000000</v>
      </c>
      <c r="U501" s="28"/>
      <c r="V501" s="30">
        <f t="shared" si="28"/>
        <v>18000000</v>
      </c>
      <c r="W501" s="30"/>
      <c r="X501" s="32">
        <f t="shared" si="423"/>
        <v>0.4938015822</v>
      </c>
      <c r="Y501" s="33">
        <f t="shared" si="424"/>
        <v>0.1431353063</v>
      </c>
      <c r="Z501" s="692"/>
      <c r="AA501" s="665"/>
      <c r="AB501" s="74"/>
      <c r="AC501" s="74"/>
      <c r="AD501" s="79"/>
      <c r="AE501" s="84"/>
      <c r="AF501" s="175" t="str">
        <f>HYPERLINK("https://www.crunchbase.com/funding_round/tripalink-seed--e3629ebc","Oct 1, 2018")</f>
        <v>Oct 1, 2018</v>
      </c>
      <c r="AG501" s="76">
        <v>3000000.0</v>
      </c>
      <c r="AH501" s="74"/>
      <c r="AI501" s="78"/>
      <c r="AJ501" s="975" t="str">
        <f>HYPERLINK("https://www.crunchbase.com/funding_round/tripalink-series-a--f760b2a4","Feb 26, 2019")</f>
        <v>Feb 26, 2019</v>
      </c>
      <c r="AK501" s="76">
        <v>5000000.0</v>
      </c>
      <c r="AL501" s="1198" t="str">
        <f>HYPERLINK("https://www.crunchbase.com/funding_round/tripalink-series-b--7fe47b89","Aug 6, 2019")</f>
        <v>Aug 6, 2019</v>
      </c>
      <c r="AM501" s="928">
        <v>1.0E7</v>
      </c>
      <c r="AN501" s="79"/>
      <c r="AO501" s="84"/>
      <c r="AP501" s="79"/>
      <c r="AQ501" s="84"/>
      <c r="AR501" s="79"/>
      <c r="AS501" s="79"/>
      <c r="AT501" s="79"/>
      <c r="AU501" s="80"/>
      <c r="AV501" s="79"/>
      <c r="AW501" s="38"/>
      <c r="AX501" s="79"/>
      <c r="AY501" s="38"/>
      <c r="AZ501" s="79"/>
      <c r="BA501" s="80"/>
      <c r="BB501" s="79"/>
      <c r="BC501" s="80"/>
      <c r="BD501" s="79"/>
      <c r="BE501" s="38"/>
      <c r="BF501" s="74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</row>
    <row r="502" ht="15.75" customHeight="1">
      <c r="A502" s="400" t="s">
        <v>2585</v>
      </c>
      <c r="B502" s="116"/>
      <c r="C502" s="116" t="s">
        <v>190</v>
      </c>
      <c r="D502" s="731"/>
      <c r="E502" s="161" t="s">
        <v>2586</v>
      </c>
      <c r="F502" s="922" t="s">
        <v>2587</v>
      </c>
      <c r="G502" s="119"/>
      <c r="H502" s="119" t="s">
        <v>2588</v>
      </c>
      <c r="I502" s="25" t="s">
        <v>129</v>
      </c>
      <c r="J502" s="120" t="s">
        <v>466</v>
      </c>
      <c r="K502" s="25">
        <v>2.0</v>
      </c>
      <c r="L502" s="25">
        <v>2018.0</v>
      </c>
      <c r="M502" s="25">
        <f t="shared" si="418"/>
        <v>7</v>
      </c>
      <c r="N502" s="26">
        <f t="shared" si="419"/>
        <v>3</v>
      </c>
      <c r="O502" s="27" t="str">
        <f t="shared" si="3"/>
        <v>#N/A</v>
      </c>
      <c r="P502" s="28" t="str">
        <f t="shared" si="420"/>
        <v>#N/A</v>
      </c>
      <c r="Q502" s="28" t="str">
        <f t="shared" si="421"/>
        <v>#N/A</v>
      </c>
      <c r="R502" s="28"/>
      <c r="S502" s="28"/>
      <c r="T502" s="29">
        <f t="shared" si="422"/>
        <v>2564285.714</v>
      </c>
      <c r="U502" s="28"/>
      <c r="V502" s="30">
        <f t="shared" si="28"/>
        <v>17950000</v>
      </c>
      <c r="W502" s="30"/>
      <c r="X502" s="32">
        <f t="shared" si="423"/>
        <v>1.50874133</v>
      </c>
      <c r="Y502" s="33">
        <f t="shared" si="424"/>
        <v>0.483185186</v>
      </c>
      <c r="Z502" s="692"/>
      <c r="AA502" s="665"/>
      <c r="AB502" s="123"/>
      <c r="AC502" s="123"/>
      <c r="AD502" s="455" t="str">
        <f>HYPERLINK("https://www.crunchbase.com/funding_round/six-travel-pre-seed--a93560bc","Feb 1, 2019")</f>
        <v>Feb 1, 2019</v>
      </c>
      <c r="AE502" s="127">
        <v>950000.0</v>
      </c>
      <c r="AF502" s="126" t="str">
        <f>HYPERLINK("https://www.crunchbase.com/funding_round/six-travel-seed--26caa61c","Jun 11, 2021")</f>
        <v>Jun 11, 2021</v>
      </c>
      <c r="AG502" s="127">
        <v>2000000.0</v>
      </c>
      <c r="AH502" s="923"/>
      <c r="AI502" s="759"/>
      <c r="AJ502" s="167" t="str">
        <f>HYPERLINK("https://www.crunchbase.com/funding_round/six-travel-series-a--f18d34fc","Mar 8, 2022")</f>
        <v>Mar 8, 2022</v>
      </c>
      <c r="AK502" s="165">
        <v>1.5E7</v>
      </c>
      <c r="AL502" s="124"/>
      <c r="AM502" s="125"/>
      <c r="AN502" s="124"/>
      <c r="AO502" s="125"/>
      <c r="AP502" s="124"/>
      <c r="AQ502" s="125"/>
      <c r="AR502" s="124"/>
      <c r="AS502" s="124"/>
      <c r="AT502" s="124"/>
      <c r="AU502" s="137"/>
      <c r="AV502" s="124"/>
      <c r="AW502" s="38"/>
      <c r="AX502" s="124"/>
      <c r="AY502" s="38"/>
      <c r="AZ502" s="124"/>
      <c r="BA502" s="137"/>
      <c r="BB502" s="124"/>
      <c r="BC502" s="137"/>
      <c r="BD502" s="124"/>
      <c r="BE502" s="38"/>
      <c r="BF502" s="123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</row>
    <row r="503" ht="15.75" customHeight="1">
      <c r="A503" s="21" t="s">
        <v>2589</v>
      </c>
      <c r="B503" s="68"/>
      <c r="C503" s="69" t="s">
        <v>132</v>
      </c>
      <c r="D503" s="380"/>
      <c r="E503" s="200" t="s">
        <v>2590</v>
      </c>
      <c r="F503" s="841" t="s">
        <v>2591</v>
      </c>
      <c r="G503" s="54"/>
      <c r="H503" s="71" t="s">
        <v>2592</v>
      </c>
      <c r="I503" s="26" t="s">
        <v>358</v>
      </c>
      <c r="J503" s="178"/>
      <c r="K503" s="26">
        <v>2.0</v>
      </c>
      <c r="L503" s="26">
        <v>2020.0</v>
      </c>
      <c r="M503" s="25"/>
      <c r="N503" s="26"/>
      <c r="O503" s="27" t="str">
        <f t="shared" si="3"/>
        <v>#N/A</v>
      </c>
      <c r="P503" s="28"/>
      <c r="Q503" s="28"/>
      <c r="R503" s="28"/>
      <c r="S503" s="28"/>
      <c r="T503" s="28"/>
      <c r="U503" s="28"/>
      <c r="V503" s="30">
        <f t="shared" si="28"/>
        <v>17900000</v>
      </c>
      <c r="W503" s="30"/>
      <c r="X503" s="73"/>
      <c r="Y503" s="73"/>
      <c r="Z503" s="692"/>
      <c r="AA503" s="665"/>
      <c r="AB503" s="74"/>
      <c r="AC503" s="74"/>
      <c r="AD503" s="79"/>
      <c r="AE503" s="84"/>
      <c r="AF503" s="175" t="str">
        <f>HYPERLINK("https://www.crunchbase.com/funding_round/tour24-seed--4d949a90","Dec 18, 2020")</f>
        <v>Dec 18, 2020</v>
      </c>
      <c r="AG503" s="76">
        <v>1000000.0</v>
      </c>
      <c r="AH503" s="74"/>
      <c r="AI503" s="78"/>
      <c r="AJ503" s="75">
        <v>44866.0</v>
      </c>
      <c r="AK503" s="76">
        <v>1.14E7</v>
      </c>
      <c r="AL503" s="79"/>
      <c r="AM503" s="84"/>
      <c r="AN503" s="79"/>
      <c r="AO503" s="84"/>
      <c r="AP503" s="79"/>
      <c r="AQ503" s="84"/>
      <c r="AR503" s="79"/>
      <c r="AS503" s="79"/>
      <c r="AT503" s="79"/>
      <c r="AU503" s="80"/>
      <c r="AV503" s="79"/>
      <c r="AW503" s="38"/>
      <c r="AX503" s="79"/>
      <c r="AY503" s="38"/>
      <c r="AZ503" s="79"/>
      <c r="BA503" s="80"/>
      <c r="BB503" s="75">
        <v>44645.0</v>
      </c>
      <c r="BC503" s="83">
        <v>5500000.0</v>
      </c>
      <c r="BD503" s="79"/>
      <c r="BE503" s="38"/>
      <c r="BF503" s="74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</row>
    <row r="504" ht="15.75" customHeight="1">
      <c r="A504" s="400" t="s">
        <v>2593</v>
      </c>
      <c r="B504" s="115"/>
      <c r="C504" s="116" t="s">
        <v>84</v>
      </c>
      <c r="D504" s="449"/>
      <c r="E504" s="401" t="s">
        <v>2594</v>
      </c>
      <c r="F504" s="708" t="s">
        <v>2595</v>
      </c>
      <c r="G504" s="119"/>
      <c r="H504" s="119" t="s">
        <v>673</v>
      </c>
      <c r="I504" s="25" t="s">
        <v>674</v>
      </c>
      <c r="J504" s="287"/>
      <c r="K504" s="25">
        <v>2.0</v>
      </c>
      <c r="L504" s="25">
        <v>2019.0</v>
      </c>
      <c r="M504" s="123"/>
      <c r="N504" s="123"/>
      <c r="O504" s="27" t="str">
        <f t="shared" si="3"/>
        <v>#N/A</v>
      </c>
      <c r="P504" s="55"/>
      <c r="Q504" s="55"/>
      <c r="R504" s="55"/>
      <c r="S504" s="55"/>
      <c r="T504" s="55"/>
      <c r="U504" s="55"/>
      <c r="V504" s="30">
        <f t="shared" si="28"/>
        <v>17900000</v>
      </c>
      <c r="W504" s="30"/>
      <c r="X504" s="403"/>
      <c r="Y504" s="403"/>
      <c r="Z504" s="692"/>
      <c r="AA504" s="665"/>
      <c r="AB504" s="123"/>
      <c r="AC504" s="123"/>
      <c r="AD504" s="717"/>
      <c r="AE504" s="123"/>
      <c r="AF504" s="62">
        <v>43796.0</v>
      </c>
      <c r="AG504" s="38">
        <v>2300000.0</v>
      </c>
      <c r="AH504" s="123"/>
      <c r="AI504" s="123"/>
      <c r="AJ504" s="404">
        <v>44882.0</v>
      </c>
      <c r="AK504" s="38">
        <v>1.56E7</v>
      </c>
      <c r="AL504" s="123"/>
      <c r="AM504" s="123"/>
      <c r="AN504" s="123"/>
      <c r="AO504" s="123"/>
      <c r="AP504" s="123"/>
      <c r="AQ504" s="123"/>
      <c r="AR504" s="123"/>
      <c r="AS504" s="123"/>
      <c r="AT504" s="123"/>
      <c r="AU504" s="137"/>
      <c r="AV504" s="123"/>
      <c r="AW504" s="38"/>
      <c r="AX504" s="123"/>
      <c r="AY504" s="38"/>
      <c r="AZ504" s="123"/>
      <c r="BA504" s="137"/>
      <c r="BB504" s="123"/>
      <c r="BC504" s="137"/>
      <c r="BD504" s="123"/>
      <c r="BE504" s="38"/>
      <c r="BF504" s="123"/>
      <c r="BG504" s="115"/>
      <c r="BH504" s="115"/>
      <c r="BI504" s="115"/>
      <c r="BJ504" s="115"/>
      <c r="BK504" s="115"/>
      <c r="BL504" s="115"/>
      <c r="BM504" s="115"/>
      <c r="BN504" s="115"/>
      <c r="BO504" s="115"/>
      <c r="BP504" s="115"/>
      <c r="BQ504" s="115"/>
      <c r="BR504" s="115"/>
      <c r="BS504" s="115"/>
      <c r="BT504" s="115"/>
      <c r="BU504" s="115"/>
      <c r="BV504" s="115"/>
      <c r="BW504" s="115"/>
      <c r="BX504" s="115"/>
      <c r="BY504" s="115"/>
      <c r="BZ504" s="115"/>
      <c r="CA504" s="115"/>
      <c r="CB504" s="115"/>
      <c r="CC504" s="115"/>
      <c r="CD504" s="115"/>
      <c r="CE504" s="115"/>
      <c r="CF504" s="115"/>
      <c r="CG504" s="115"/>
      <c r="CH504" s="115"/>
      <c r="CI504" s="115"/>
      <c r="CJ504" s="115"/>
      <c r="CK504" s="115"/>
      <c r="CL504" s="115"/>
      <c r="CM504" s="115"/>
      <c r="CN504" s="115"/>
      <c r="CO504" s="115"/>
      <c r="CP504" s="115"/>
    </row>
    <row r="505" ht="15.75" customHeight="1">
      <c r="A505" s="442" t="s">
        <v>2596</v>
      </c>
      <c r="B505" s="16"/>
      <c r="C505" s="17" t="s">
        <v>427</v>
      </c>
      <c r="D505" s="184" t="s">
        <v>2597</v>
      </c>
      <c r="E505" s="231" t="s">
        <v>2598</v>
      </c>
      <c r="F505" s="185" t="s">
        <v>2599</v>
      </c>
      <c r="G505" s="317"/>
      <c r="H505" s="317" t="s">
        <v>771</v>
      </c>
      <c r="I505" s="36" t="s">
        <v>772</v>
      </c>
      <c r="J505" s="237"/>
      <c r="K505" s="23">
        <v>1.0</v>
      </c>
      <c r="L505" s="23">
        <v>2014.0</v>
      </c>
      <c r="M505" s="25">
        <f>year(now()) -L505</f>
        <v>11</v>
      </c>
      <c r="N505" s="26">
        <f>counta(AE505,AG504,AI505,AK505,AM505,AO505,AQ505,AS505,AU505,AW505,AY505,BA505,BC505)</f>
        <v>2</v>
      </c>
      <c r="O505" s="27" t="str">
        <f t="shared" si="3"/>
        <v>#N/A</v>
      </c>
      <c r="P505" s="28" t="str">
        <f>RANK(T505,$T$8:$T$333)</f>
        <v>#N/A</v>
      </c>
      <c r="Q505" s="28" t="str">
        <f>rank(V505,$V$8:$V$344)</f>
        <v>#N/A</v>
      </c>
      <c r="R505" s="28"/>
      <c r="S505" s="28"/>
      <c r="T505" s="29">
        <f>V505/M505</f>
        <v>1827272.727</v>
      </c>
      <c r="U505" s="28"/>
      <c r="V505" s="30">
        <f>SUM(BE505+BC505+BA505+AY505+AW505+AU505+AS505+AQ505+AO505+AM505+AK505+AI505+AG504+AE505)</f>
        <v>20100000</v>
      </c>
      <c r="W505" s="30"/>
      <c r="X505" s="32">
        <f>(max(AE505,AG504,AI505,AK505,AM505,AO505,AQ505,AS505,AU505,AW505,AY505,BA505,BC505)/min(AE505,AG504,AI505,AK505,AM505,AO505,AQ505,AS505,AU505,AW505,AY505,BA505,BC505))^(1/N505)-1</f>
        <v>1.781929265</v>
      </c>
      <c r="Y505" s="33">
        <f>(max(AE505,AG504,AI505,AK505,AM505,AO505,AQ505,AS505,AU505,AW505,AY505,BA505,BC505)/min(AE505,AG504,AI505,AK505,AM505,AO505,AQ505,AS505,AU505,AW505,AY505,BA505,BC505))^(1/M505)-1</f>
        <v>0.2044539409</v>
      </c>
      <c r="Z505" s="692"/>
      <c r="AA505" s="665"/>
      <c r="AB505" s="36"/>
      <c r="AC505" s="36"/>
      <c r="AD505" s="44"/>
      <c r="AE505" s="46"/>
      <c r="AF505" s="158" t="str">
        <f>HYPERLINK("https://www.crunchbase.com/organization/closetbox#section-funding-rounds","Apr 4, 2014        
")</f>
        <v>Apr 4, 2014        
</v>
      </c>
      <c r="AG505" s="55"/>
      <c r="AH505" s="919"/>
      <c r="AI505" s="159"/>
      <c r="AJ505" s="43" t="str">
        <f>HYPERLINK("https://www.crunchbase.com/organization/closetbox#section-funding-rounds","Jan 11, 2018")</f>
        <v>Jan 11, 2018</v>
      </c>
      <c r="AK505" s="38">
        <v>1.78E7</v>
      </c>
      <c r="AL505" s="44"/>
      <c r="AM505" s="46"/>
      <c r="AN505" s="44"/>
      <c r="AO505" s="46"/>
      <c r="AP505" s="44"/>
      <c r="AQ505" s="46"/>
      <c r="AR505" s="44"/>
      <c r="AS505" s="44"/>
      <c r="AT505" s="44"/>
      <c r="AU505" s="45"/>
      <c r="AV505" s="44"/>
      <c r="AW505" s="38"/>
      <c r="AX505" s="44"/>
      <c r="AY505" s="38"/>
      <c r="AZ505" s="44"/>
      <c r="BA505" s="45"/>
      <c r="BB505" s="44"/>
      <c r="BC505" s="45"/>
      <c r="BD505" s="44"/>
      <c r="BE505" s="38"/>
      <c r="BF505" s="36"/>
      <c r="BG505" s="115"/>
      <c r="BH505" s="115"/>
      <c r="BI505" s="115"/>
      <c r="BJ505" s="115"/>
      <c r="BK505" s="115"/>
      <c r="BL505" s="115"/>
      <c r="BM505" s="115"/>
      <c r="BN505" s="115"/>
      <c r="BO505" s="115"/>
      <c r="BP505" s="115"/>
      <c r="BQ505" s="115"/>
      <c r="BR505" s="115"/>
      <c r="BS505" s="115"/>
      <c r="BT505" s="115"/>
      <c r="BU505" s="115"/>
      <c r="BV505" s="115"/>
      <c r="BW505" s="115"/>
      <c r="BX505" s="115"/>
      <c r="BY505" s="115"/>
      <c r="BZ505" s="115"/>
      <c r="CA505" s="115"/>
      <c r="CB505" s="115"/>
      <c r="CC505" s="115"/>
      <c r="CD505" s="115"/>
      <c r="CE505" s="115"/>
      <c r="CF505" s="115"/>
      <c r="CG505" s="115"/>
      <c r="CH505" s="115"/>
      <c r="CI505" s="115"/>
      <c r="CJ505" s="115"/>
      <c r="CK505" s="115"/>
      <c r="CL505" s="115"/>
      <c r="CM505" s="115"/>
      <c r="CN505" s="115"/>
      <c r="CO505" s="115"/>
      <c r="CP505" s="115"/>
    </row>
    <row r="506" ht="15.75" customHeight="1">
      <c r="A506" s="47" t="s">
        <v>2600</v>
      </c>
      <c r="C506" s="48" t="s">
        <v>513</v>
      </c>
      <c r="D506" s="49" t="s">
        <v>2601</v>
      </c>
      <c r="E506" s="49" t="s">
        <v>2602</v>
      </c>
      <c r="F506" s="352" t="s">
        <v>2603</v>
      </c>
      <c r="G506" s="353"/>
      <c r="H506" s="53" t="s">
        <v>328</v>
      </c>
      <c r="I506" s="54" t="s">
        <v>329</v>
      </c>
      <c r="J506" s="55"/>
      <c r="K506" s="54">
        <v>3.0</v>
      </c>
      <c r="L506" s="56">
        <v>2015.0</v>
      </c>
      <c r="M506" s="55"/>
      <c r="N506" s="55"/>
      <c r="O506" s="27" t="str">
        <f t="shared" si="3"/>
        <v>#N/A</v>
      </c>
      <c r="P506" s="55"/>
      <c r="Q506" s="55"/>
      <c r="R506" s="55"/>
      <c r="S506" s="55"/>
      <c r="T506" s="55"/>
      <c r="U506" s="55"/>
      <c r="V506" s="30">
        <f t="shared" ref="V506:V2247" si="425">SUM(BE506+BC506+BA506+AY506+AW506+AU506+AS506+AQ506+AO506+AM506+AK506+AI506+AG506+AE506)</f>
        <v>17700000</v>
      </c>
      <c r="W506" s="30"/>
      <c r="X506" s="58"/>
      <c r="Y506" s="58"/>
      <c r="Z506" s="692"/>
      <c r="AA506" s="665"/>
      <c r="AB506" s="55"/>
      <c r="AC506" s="55"/>
      <c r="AD506" s="453"/>
      <c r="AE506" s="38"/>
      <c r="AF506" s="355"/>
      <c r="AG506" s="38"/>
      <c r="AH506" s="55"/>
      <c r="AI506" s="38"/>
      <c r="AJ506" s="62">
        <v>44249.0</v>
      </c>
      <c r="AK506" s="38">
        <v>7000000.0</v>
      </c>
      <c r="AL506" s="55"/>
      <c r="AM506" s="38"/>
      <c r="AN506" s="55"/>
      <c r="AO506" s="38"/>
      <c r="AP506" s="356"/>
      <c r="AQ506" s="38"/>
      <c r="AR506" s="55"/>
      <c r="AS506" s="38"/>
      <c r="AT506" s="55"/>
      <c r="AU506" s="38"/>
      <c r="AV506" s="55"/>
      <c r="AW506" s="38"/>
      <c r="AX506" s="55"/>
      <c r="AY506" s="38"/>
      <c r="AZ506" s="62">
        <v>44973.0</v>
      </c>
      <c r="BA506" s="38">
        <v>8500000.0</v>
      </c>
      <c r="BB506" s="63">
        <v>42871.0</v>
      </c>
      <c r="BC506" s="38">
        <v>2200000.0</v>
      </c>
      <c r="BD506" s="55"/>
      <c r="BE506" s="38"/>
      <c r="BF506" s="55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</row>
    <row r="507" ht="15.75" customHeight="1">
      <c r="A507" s="442" t="s">
        <v>2604</v>
      </c>
      <c r="B507" s="68"/>
      <c r="C507" s="69" t="s">
        <v>123</v>
      </c>
      <c r="D507" s="184"/>
      <c r="E507" s="138" t="s">
        <v>2605</v>
      </c>
      <c r="F507" s="173" t="s">
        <v>2606</v>
      </c>
      <c r="G507" s="407" t="s">
        <v>1901</v>
      </c>
      <c r="H507" s="186" t="s">
        <v>357</v>
      </c>
      <c r="I507" s="74" t="s">
        <v>358</v>
      </c>
      <c r="J507" s="155"/>
      <c r="K507" s="26">
        <v>1.0</v>
      </c>
      <c r="L507" s="26">
        <v>2002.0</v>
      </c>
      <c r="M507" s="25">
        <f t="shared" ref="M507:M508" si="426">year(now()) -L507</f>
        <v>23</v>
      </c>
      <c r="N507" s="26">
        <f t="shared" ref="N507:N508" si="427">counta(AE507,AG507,AI507,AK507,AM507,AO507,AQ507,AS507,AU507,AW507,AY507,BA507,BC507)</f>
        <v>3</v>
      </c>
      <c r="O507" s="27" t="str">
        <f t="shared" si="3"/>
        <v>#N/A</v>
      </c>
      <c r="P507" s="28" t="str">
        <f t="shared" ref="P507:P508" si="428">RANK(T507,$T$8:$T$333)</f>
        <v>#N/A</v>
      </c>
      <c r="Q507" s="28" t="str">
        <f t="shared" ref="Q507:Q508" si="429">rank(V507,$V$8:$V$344)</f>
        <v>#N/A</v>
      </c>
      <c r="R507" s="28"/>
      <c r="S507" s="28"/>
      <c r="T507" s="29">
        <f t="shared" ref="T507:T508" si="430">V507/M507</f>
        <v>760869.5652</v>
      </c>
      <c r="U507" s="28"/>
      <c r="V507" s="30">
        <f t="shared" si="425"/>
        <v>17500000</v>
      </c>
      <c r="W507" s="30"/>
      <c r="X507" s="32">
        <f t="shared" ref="X507:X508" si="431">(max(AE507,AG507,AI507,AK507,AM507,AO507,AQ507,AS507,AU507,AW507,AY507,BA507,BC507)/min(AE507,AG507,AI507,AK507,AM507,AO507,AQ507,AS507,AU507,AW507,AY507,BA507,BC507))^(1/N507)-1</f>
        <v>0.1586755483</v>
      </c>
      <c r="Y507" s="33">
        <f t="shared" ref="Y507:Y508" si="432">(max(AE507,AG507,AI507,AK507,AM507,AO507,AQ507,AS507,AU507,AW507,AY507,BA507,BC507)/min(AE507,AG507,AI507,AK507,AM507,AO507,AQ507,AS507,AU507,AW507,AY507,BA507,BC507))^(1/M507)-1</f>
        <v>0.01939582122</v>
      </c>
      <c r="Z507" s="692"/>
      <c r="AA507" s="665"/>
      <c r="AB507" s="74"/>
      <c r="AC507" s="74"/>
      <c r="AD507" s="44"/>
      <c r="AE507" s="46"/>
      <c r="AF507" s="39"/>
      <c r="AG507" s="46"/>
      <c r="AH507" s="36"/>
      <c r="AI507" s="159"/>
      <c r="AJ507" s="228" t="str">
        <f>HYPERLINK("https://www.crunchbase.com/organization/everyscape#section-funding-rounds"," Jan 1, 2005")</f>
        <v> Jan 1, 2005</v>
      </c>
      <c r="AK507" s="38">
        <v>4500000.0</v>
      </c>
      <c r="AL507" s="228" t="str">
        <f>HYPERLINK("https://www.crunchbase.com/funding_round/everyscape-series-b--7b157a85"," 3/5/2008")</f>
        <v> 3/5/2008</v>
      </c>
      <c r="AM507" s="38">
        <v>7000000.0</v>
      </c>
      <c r="AN507" s="228" t="str">
        <f>HYPERLINK("https://www.crunchbase.com/funding_round/everyscape-series-c--27e6a408"," 2/18/2010")</f>
        <v> 2/18/2010</v>
      </c>
      <c r="AO507" s="38">
        <v>6000000.0</v>
      </c>
      <c r="AP507" s="44"/>
      <c r="AQ507" s="46"/>
      <c r="AR507" s="44"/>
      <c r="AS507" s="44"/>
      <c r="AT507" s="44"/>
      <c r="AU507" s="45"/>
      <c r="AV507" s="44"/>
      <c r="AW507" s="38"/>
      <c r="AX507" s="44"/>
      <c r="AY507" s="38"/>
      <c r="AZ507" s="44"/>
      <c r="BA507" s="45"/>
      <c r="BB507" s="44"/>
      <c r="BC507" s="45"/>
      <c r="BD507" s="44"/>
      <c r="BE507" s="38"/>
      <c r="BF507" s="36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</row>
    <row r="508" ht="15.75" customHeight="1">
      <c r="A508" s="21" t="s">
        <v>2607</v>
      </c>
      <c r="B508" s="69"/>
      <c r="C508" s="69" t="s">
        <v>132</v>
      </c>
      <c r="D508" s="138" t="s">
        <v>2608</v>
      </c>
      <c r="E508" s="138" t="s">
        <v>2609</v>
      </c>
      <c r="F508" s="173" t="s">
        <v>2610</v>
      </c>
      <c r="G508" s="71"/>
      <c r="H508" s="71" t="s">
        <v>64</v>
      </c>
      <c r="I508" s="26" t="s">
        <v>65</v>
      </c>
      <c r="J508" s="155"/>
      <c r="K508" s="26">
        <v>2.0</v>
      </c>
      <c r="L508" s="26">
        <v>2019.0</v>
      </c>
      <c r="M508" s="25">
        <f t="shared" si="426"/>
        <v>6</v>
      </c>
      <c r="N508" s="26">
        <f t="shared" si="427"/>
        <v>3</v>
      </c>
      <c r="O508" s="27" t="str">
        <f t="shared" si="3"/>
        <v>#N/A</v>
      </c>
      <c r="P508" s="28" t="str">
        <f t="shared" si="428"/>
        <v>#N/A</v>
      </c>
      <c r="Q508" s="28" t="str">
        <f t="shared" si="429"/>
        <v>#N/A</v>
      </c>
      <c r="R508" s="28"/>
      <c r="S508" s="28"/>
      <c r="T508" s="29">
        <f t="shared" si="430"/>
        <v>2916666.667</v>
      </c>
      <c r="U508" s="28"/>
      <c r="V508" s="30">
        <f t="shared" si="425"/>
        <v>17500000</v>
      </c>
      <c r="W508" s="30"/>
      <c r="X508" s="32">
        <f t="shared" si="431"/>
        <v>1.410142264</v>
      </c>
      <c r="Y508" s="33">
        <f t="shared" si="432"/>
        <v>0.5524632892</v>
      </c>
      <c r="Z508" s="692"/>
      <c r="AA508" s="665"/>
      <c r="AB508" s="74"/>
      <c r="AC508" s="74"/>
      <c r="AD508" s="228" t="str">
        <f>HYPERLINK("https://www.crunchbase.com/funding_round/doorvest-pre-seed--81e92be9","Sep 24, 2020")</f>
        <v>Sep 24, 2020</v>
      </c>
      <c r="AE508" s="38">
        <v>1000000.0</v>
      </c>
      <c r="AF508" s="918" t="str">
        <f>HYPERLINK("https://www.crunchbase.com/funding_round/doorvest-seed--de5eb67a","Jan 27, 2021")</f>
        <v>Jan 27, 2021</v>
      </c>
      <c r="AG508" s="1002">
        <v>2500000.0</v>
      </c>
      <c r="AH508" s="36"/>
      <c r="AI508" s="159"/>
      <c r="AJ508" s="43" t="str">
        <f>HYPERLINK("https://www.crunchbase.com/funding_round/doorvest-series-a--c68bb135","Nov 18, 2021")</f>
        <v>Nov 18, 2021</v>
      </c>
      <c r="AK508" s="38">
        <v>1.4E7</v>
      </c>
      <c r="AL508" s="44"/>
      <c r="AM508" s="46"/>
      <c r="AN508" s="44"/>
      <c r="AO508" s="46"/>
      <c r="AP508" s="44"/>
      <c r="AQ508" s="46"/>
      <c r="AR508" s="44"/>
      <c r="AS508" s="44"/>
      <c r="AT508" s="44"/>
      <c r="AU508" s="45"/>
      <c r="AV508" s="44"/>
      <c r="AW508" s="38"/>
      <c r="AX508" s="44"/>
      <c r="AY508" s="38"/>
      <c r="AZ508" s="44"/>
      <c r="BA508" s="45"/>
      <c r="BB508" s="44"/>
      <c r="BC508" s="45"/>
      <c r="BD508" s="44"/>
      <c r="BE508" s="38"/>
      <c r="BF508" s="36"/>
      <c r="BG508" s="115"/>
      <c r="BH508" s="115"/>
      <c r="BI508" s="115"/>
      <c r="BJ508" s="115"/>
      <c r="BK508" s="115"/>
      <c r="BL508" s="115"/>
      <c r="BM508" s="115"/>
      <c r="BN508" s="115"/>
      <c r="BO508" s="115"/>
      <c r="BP508" s="115"/>
      <c r="BQ508" s="115"/>
      <c r="BR508" s="115"/>
      <c r="BS508" s="115"/>
      <c r="BT508" s="115"/>
      <c r="BU508" s="115"/>
      <c r="BV508" s="115"/>
      <c r="BW508" s="115"/>
      <c r="BX508" s="115"/>
      <c r="BY508" s="115"/>
      <c r="BZ508" s="115"/>
      <c r="CA508" s="115"/>
      <c r="CB508" s="115"/>
      <c r="CC508" s="115"/>
      <c r="CD508" s="115"/>
      <c r="CE508" s="115"/>
      <c r="CF508" s="115"/>
      <c r="CG508" s="115"/>
      <c r="CH508" s="115"/>
      <c r="CI508" s="115"/>
      <c r="CJ508" s="115"/>
      <c r="CK508" s="115"/>
      <c r="CL508" s="115"/>
      <c r="CM508" s="115"/>
      <c r="CN508" s="115"/>
      <c r="CO508" s="115"/>
      <c r="CP508" s="115"/>
    </row>
    <row r="509" ht="15.75" customHeight="1">
      <c r="A509" s="47" t="s">
        <v>2611</v>
      </c>
      <c r="B509" s="116"/>
      <c r="C509" s="116" t="s">
        <v>697</v>
      </c>
      <c r="D509" s="1199"/>
      <c r="E509" s="540" t="s">
        <v>2612</v>
      </c>
      <c r="F509" s="118" t="s">
        <v>2613</v>
      </c>
      <c r="G509" s="54"/>
      <c r="H509" s="54" t="s">
        <v>401</v>
      </c>
      <c r="I509" s="25" t="s">
        <v>65</v>
      </c>
      <c r="J509" s="178"/>
      <c r="K509" s="25"/>
      <c r="L509" s="25">
        <v>2021.0</v>
      </c>
      <c r="M509" s="25"/>
      <c r="N509" s="25"/>
      <c r="O509" s="27" t="str">
        <f t="shared" si="3"/>
        <v>#N/A</v>
      </c>
      <c r="P509" s="356"/>
      <c r="Q509" s="356"/>
      <c r="R509" s="356"/>
      <c r="S509" s="356"/>
      <c r="T509" s="356"/>
      <c r="U509" s="356"/>
      <c r="V509" s="30">
        <f t="shared" si="425"/>
        <v>17500000</v>
      </c>
      <c r="W509" s="30"/>
      <c r="X509" s="597"/>
      <c r="Y509" s="597"/>
      <c r="Z509" s="692"/>
      <c r="AA509" s="665"/>
      <c r="AB509" s="123"/>
      <c r="AC509" s="123"/>
      <c r="AD509" s="1200"/>
      <c r="AE509" s="1201"/>
      <c r="AF509" s="126" t="str">
        <f>HYPERLINK("https://www.crunchbase.com/funding_round/splitero-seed--dd9094c1","Apr 12, 2022")</f>
        <v>Apr 12, 2022</v>
      </c>
      <c r="AG509" s="127">
        <v>5800000.0</v>
      </c>
      <c r="AH509" s="1202"/>
      <c r="AI509" s="759"/>
      <c r="AJ509" s="1203">
        <v>44943.0</v>
      </c>
      <c r="AK509" s="165">
        <v>1.17E7</v>
      </c>
      <c r="AL509" s="124"/>
      <c r="AM509" s="125"/>
      <c r="AN509" s="124"/>
      <c r="AO509" s="125"/>
      <c r="AP509" s="124"/>
      <c r="AQ509" s="125"/>
      <c r="AR509" s="124"/>
      <c r="AS509" s="124"/>
      <c r="AT509" s="124"/>
      <c r="AU509" s="137"/>
      <c r="AV509" s="124"/>
      <c r="AW509" s="38"/>
      <c r="AX509" s="124"/>
      <c r="AY509" s="38"/>
      <c r="AZ509" s="124"/>
      <c r="BA509" s="137"/>
      <c r="BB509" s="124"/>
      <c r="BC509" s="137"/>
      <c r="BD509" s="124"/>
      <c r="BE509" s="38"/>
      <c r="BF509" s="123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</row>
    <row r="510" ht="15.75" customHeight="1">
      <c r="A510" s="47" t="s">
        <v>2614</v>
      </c>
      <c r="C510" s="48" t="s">
        <v>84</v>
      </c>
      <c r="D510" s="351"/>
      <c r="E510" s="49" t="s">
        <v>2615</v>
      </c>
      <c r="F510" s="352" t="s">
        <v>2616</v>
      </c>
      <c r="G510" s="353"/>
      <c r="H510" s="53" t="s">
        <v>2617</v>
      </c>
      <c r="I510" s="54" t="s">
        <v>2618</v>
      </c>
      <c r="J510" s="55"/>
      <c r="K510" s="54">
        <v>4.0</v>
      </c>
      <c r="L510" s="56">
        <v>2018.0</v>
      </c>
      <c r="M510" s="55"/>
      <c r="N510" s="55"/>
      <c r="O510" s="27" t="str">
        <f t="shared" si="3"/>
        <v>#N/A</v>
      </c>
      <c r="P510" s="55"/>
      <c r="Q510" s="55"/>
      <c r="R510" s="55"/>
      <c r="S510" s="55"/>
      <c r="T510" s="55"/>
      <c r="U510" s="55"/>
      <c r="V510" s="30">
        <f t="shared" si="425"/>
        <v>17500000</v>
      </c>
      <c r="W510" s="30"/>
      <c r="X510" s="58"/>
      <c r="Y510" s="58"/>
      <c r="Z510" s="692"/>
      <c r="AA510" s="665"/>
      <c r="AB510" s="55"/>
      <c r="AC510" s="55"/>
      <c r="AD510" s="453"/>
      <c r="AE510" s="38"/>
      <c r="AF510" s="355"/>
      <c r="AG510" s="55"/>
      <c r="AH510" s="55"/>
      <c r="AI510" s="55"/>
      <c r="AJ510" s="55"/>
      <c r="AK510" s="38"/>
      <c r="AL510" s="55"/>
      <c r="AM510" s="38"/>
      <c r="AN510" s="55"/>
      <c r="AO510" s="38"/>
      <c r="AP510" s="356"/>
      <c r="AQ510" s="38"/>
      <c r="AR510" s="55"/>
      <c r="AS510" s="38"/>
      <c r="AT510" s="55"/>
      <c r="AU510" s="38"/>
      <c r="AV510" s="55"/>
      <c r="AW510" s="38"/>
      <c r="AX510" s="55"/>
      <c r="AY510" s="38"/>
      <c r="AZ510" s="62">
        <v>44949.0</v>
      </c>
      <c r="BA510" s="743">
        <v>1.75E7</v>
      </c>
      <c r="BB510" s="55"/>
      <c r="BC510" s="38"/>
      <c r="BD510" s="55"/>
      <c r="BE510" s="38"/>
      <c r="BF510" s="55"/>
      <c r="BG510" s="115"/>
      <c r="BH510" s="115"/>
      <c r="BI510" s="115"/>
      <c r="BJ510" s="115"/>
      <c r="BK510" s="115"/>
      <c r="BL510" s="115"/>
      <c r="BM510" s="115"/>
      <c r="BN510" s="115"/>
      <c r="BO510" s="115"/>
      <c r="BP510" s="115"/>
      <c r="BQ510" s="115"/>
      <c r="BR510" s="115"/>
      <c r="BS510" s="115"/>
      <c r="BT510" s="115"/>
      <c r="BU510" s="115"/>
      <c r="BV510" s="115"/>
      <c r="BW510" s="115"/>
      <c r="BX510" s="115"/>
      <c r="BY510" s="115"/>
      <c r="BZ510" s="115"/>
      <c r="CA510" s="115"/>
      <c r="CB510" s="115"/>
      <c r="CC510" s="115"/>
      <c r="CD510" s="115"/>
      <c r="CE510" s="115"/>
      <c r="CF510" s="115"/>
      <c r="CG510" s="115"/>
      <c r="CH510" s="115"/>
      <c r="CI510" s="115"/>
      <c r="CJ510" s="115"/>
      <c r="CK510" s="115"/>
      <c r="CL510" s="115"/>
      <c r="CM510" s="115"/>
      <c r="CN510" s="115"/>
      <c r="CO510" s="115"/>
      <c r="CP510" s="115"/>
    </row>
    <row r="511" ht="15.75" customHeight="1">
      <c r="A511" s="442" t="s">
        <v>2619</v>
      </c>
      <c r="B511" s="16" t="s">
        <v>122</v>
      </c>
      <c r="C511" s="16" t="s">
        <v>207</v>
      </c>
      <c r="D511" s="184" t="s">
        <v>2620</v>
      </c>
      <c r="E511" s="231" t="s">
        <v>2621</v>
      </c>
      <c r="F511" s="185" t="s">
        <v>2622</v>
      </c>
      <c r="G511" s="710" t="s">
        <v>2623</v>
      </c>
      <c r="H511" s="317" t="s">
        <v>64</v>
      </c>
      <c r="I511" s="36" t="s">
        <v>65</v>
      </c>
      <c r="J511" s="24" t="s">
        <v>1673</v>
      </c>
      <c r="K511" s="36">
        <v>8.0</v>
      </c>
      <c r="L511" s="23">
        <v>2011.0</v>
      </c>
      <c r="M511" s="25">
        <f t="shared" ref="M511:M516" si="433">year(now()) -L511</f>
        <v>14</v>
      </c>
      <c r="N511" s="26">
        <f t="shared" ref="N511:N516" si="434">counta(AE511,AG511,AI511,AK511,AM511,AO511,AQ511,AS511,AU511,AW511,AY511,BA511,BC511)</f>
        <v>3</v>
      </c>
      <c r="O511" s="27" t="str">
        <f t="shared" si="3"/>
        <v>#N/A</v>
      </c>
      <c r="P511" s="28" t="str">
        <f t="shared" ref="P511:P516" si="435">RANK(T511,$T$8:$T$333)</f>
        <v>#N/A</v>
      </c>
      <c r="Q511" s="28" t="str">
        <f t="shared" ref="Q511:Q516" si="436">rank(V511,$V$8:$V$344)</f>
        <v>#N/A</v>
      </c>
      <c r="R511" s="28"/>
      <c r="S511" s="28"/>
      <c r="T511" s="29">
        <f t="shared" ref="T511:T516" si="437">V511/M511</f>
        <v>1242857.143</v>
      </c>
      <c r="U511" s="28"/>
      <c r="V511" s="30">
        <f t="shared" si="425"/>
        <v>17400000</v>
      </c>
      <c r="W511" s="30"/>
      <c r="X511" s="32">
        <f t="shared" ref="X511:X516" si="438">(max(AE511,AG511,AI511,AK511,AM511,AO511,AQ511,AS511,AU511,AW511,AY511,BA511,BC511)/min(AE511,AG511,AI511,AK511,AM511,AO511,AQ511,AS511,AU511,AW511,AY511,BA511,BC511))^(1/N511)-1</f>
        <v>2.107232506</v>
      </c>
      <c r="Y511" s="33">
        <f t="shared" ref="Y511:Y516" si="439">(max(AE511,AG511,AI511,AK511,AM511,AO511,AQ511,AS511,AU511,AW511,AY511,BA511,BC511)/min(AE511,AG511,AI511,AK511,AM511,AO511,AQ511,AS511,AU511,AW511,AY511,BA511,BC511))^(1/M511)-1</f>
        <v>0.2749955267</v>
      </c>
      <c r="Z511" s="692"/>
      <c r="AA511" s="665"/>
      <c r="AB511" s="36" t="s">
        <v>997</v>
      </c>
      <c r="AC511" s="36" t="s">
        <v>499</v>
      </c>
      <c r="AD511" s="43" t="str">
        <f>HYPERLINK("https://www.crunchbase.com/funding_round/42floors-series-unknown--661cafe8","Sep 1, 2011")</f>
        <v>Sep 1, 2011</v>
      </c>
      <c r="AE511" s="46"/>
      <c r="AF511" s="158" t="str">
        <f>HYPERLINK("https://www.crunchbase.com/funding_round/42floors-seed--82a150cc","Dec 1, 2011")</f>
        <v>Dec 1, 2011</v>
      </c>
      <c r="AG511" s="46">
        <v>400000.0</v>
      </c>
      <c r="AH511" s="36"/>
      <c r="AI511" s="46"/>
      <c r="AJ511" s="228" t="str">
        <f>HYPERLINK("https://www.crunchbase.com/funding_round/42floors-series-a--cc48bd0e","Nov 16, 2012")</f>
        <v>Nov 16, 2012</v>
      </c>
      <c r="AK511" s="46">
        <v>5000000.0</v>
      </c>
      <c r="AL511" s="43" t="str">
        <f>HYPERLINK("https://www.crunchbase.com/funding_round/42floors-series-b--b9050f10","Jan 31, 2013")</f>
        <v>Jan 31, 2013</v>
      </c>
      <c r="AM511" s="46">
        <v>1.2E7</v>
      </c>
      <c r="AN511" s="44"/>
      <c r="AO511" s="46"/>
      <c r="AP511" s="44"/>
      <c r="AQ511" s="46"/>
      <c r="AR511" s="44"/>
      <c r="AS511" s="44"/>
      <c r="AT511" s="44"/>
      <c r="AU511" s="45"/>
      <c r="AV511" s="44"/>
      <c r="AW511" s="38"/>
      <c r="AX511" s="44"/>
      <c r="AY511" s="38"/>
      <c r="AZ511" s="44"/>
      <c r="BA511" s="45"/>
      <c r="BB511" s="44"/>
      <c r="BC511" s="45"/>
      <c r="BD511" s="44">
        <v>43299.0</v>
      </c>
      <c r="BE511" s="38"/>
      <c r="BF511" s="36" t="s">
        <v>2624</v>
      </c>
      <c r="BG511" s="115"/>
      <c r="BH511" s="115"/>
      <c r="BI511" s="115"/>
      <c r="BJ511" s="115"/>
      <c r="BK511" s="115"/>
      <c r="BL511" s="115"/>
      <c r="BM511" s="115"/>
      <c r="BN511" s="115"/>
      <c r="BO511" s="115"/>
      <c r="BP511" s="115"/>
      <c r="BQ511" s="115"/>
      <c r="BR511" s="115"/>
      <c r="BS511" s="115"/>
      <c r="BT511" s="115"/>
      <c r="BU511" s="115"/>
      <c r="BV511" s="115"/>
      <c r="BW511" s="115"/>
      <c r="BX511" s="115"/>
      <c r="BY511" s="115"/>
      <c r="BZ511" s="115"/>
      <c r="CA511" s="115"/>
      <c r="CB511" s="115"/>
      <c r="CC511" s="115"/>
      <c r="CD511" s="115"/>
      <c r="CE511" s="115"/>
      <c r="CF511" s="115"/>
      <c r="CG511" s="115"/>
      <c r="CH511" s="115"/>
      <c r="CI511" s="115"/>
      <c r="CJ511" s="115"/>
      <c r="CK511" s="115"/>
      <c r="CL511" s="115"/>
      <c r="CM511" s="115"/>
      <c r="CN511" s="115"/>
      <c r="CO511" s="115"/>
      <c r="CP511" s="115"/>
    </row>
    <row r="512" ht="15.75" customHeight="1">
      <c r="A512" s="400" t="s">
        <v>2625</v>
      </c>
      <c r="B512" s="115"/>
      <c r="C512" s="116" t="s">
        <v>84</v>
      </c>
      <c r="D512" s="162" t="s">
        <v>2626</v>
      </c>
      <c r="E512" s="192" t="s">
        <v>2627</v>
      </c>
      <c r="F512" s="163" t="s">
        <v>2628</v>
      </c>
      <c r="G512" s="119"/>
      <c r="H512" s="119" t="s">
        <v>141</v>
      </c>
      <c r="I512" s="25" t="s">
        <v>65</v>
      </c>
      <c r="J512" s="287"/>
      <c r="K512" s="25">
        <v>2.0</v>
      </c>
      <c r="L512" s="25">
        <v>2017.0</v>
      </c>
      <c r="M512" s="25">
        <f t="shared" si="433"/>
        <v>8</v>
      </c>
      <c r="N512" s="26">
        <f t="shared" si="434"/>
        <v>1</v>
      </c>
      <c r="O512" s="27" t="str">
        <f t="shared" si="3"/>
        <v>#N/A</v>
      </c>
      <c r="P512" s="28" t="str">
        <f t="shared" si="435"/>
        <v>#N/A</v>
      </c>
      <c r="Q512" s="28" t="str">
        <f t="shared" si="436"/>
        <v>#N/A</v>
      </c>
      <c r="R512" s="28"/>
      <c r="S512" s="28"/>
      <c r="T512" s="29">
        <f t="shared" si="437"/>
        <v>2175000</v>
      </c>
      <c r="U512" s="28"/>
      <c r="V512" s="30">
        <f t="shared" si="425"/>
        <v>17400000</v>
      </c>
      <c r="W512" s="30"/>
      <c r="X512" s="32">
        <f t="shared" si="438"/>
        <v>0</v>
      </c>
      <c r="Y512" s="33">
        <f t="shared" si="439"/>
        <v>0</v>
      </c>
      <c r="Z512" s="692"/>
      <c r="AA512" s="665"/>
      <c r="AB512" s="123"/>
      <c r="AC512" s="123"/>
      <c r="AD512" s="124"/>
      <c r="AE512" s="125"/>
      <c r="AF512" s="194" t="str">
        <f>HYPERLINK("https://www.crunchbase.com/funding_round/social-construct-company-series-unknown--435f6a5a#section-overview"," Nov 1, 2019")</f>
        <v> Nov 1, 2019</v>
      </c>
      <c r="AG512" s="127">
        <v>1.74E7</v>
      </c>
      <c r="AH512" s="123"/>
      <c r="AI512" s="128"/>
      <c r="AJ512" s="195"/>
      <c r="AK512" s="730"/>
      <c r="AL512" s="195"/>
      <c r="AM512" s="730"/>
      <c r="AN512" s="195"/>
      <c r="AO512" s="730"/>
      <c r="AP512" s="195"/>
      <c r="AQ512" s="730"/>
      <c r="AR512" s="195"/>
      <c r="AS512" s="197"/>
      <c r="AT512" s="124"/>
      <c r="AU512" s="137"/>
      <c r="AV512" s="124"/>
      <c r="AW512" s="38"/>
      <c r="AX512" s="124"/>
      <c r="AY512" s="38"/>
      <c r="AZ512" s="124"/>
      <c r="BA512" s="137"/>
      <c r="BB512" s="124"/>
      <c r="BC512" s="137"/>
      <c r="BD512" s="124"/>
      <c r="BE512" s="38"/>
      <c r="BF512" s="123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</row>
    <row r="513" ht="15.75" customHeight="1">
      <c r="A513" s="21" t="s">
        <v>2629</v>
      </c>
      <c r="B513" s="16"/>
      <c r="C513" s="17" t="s">
        <v>76</v>
      </c>
      <c r="D513" s="236" t="s">
        <v>2630</v>
      </c>
      <c r="E513" s="18" t="s">
        <v>2631</v>
      </c>
      <c r="F513" s="173" t="s">
        <v>2632</v>
      </c>
      <c r="G513" s="317"/>
      <c r="H513" s="22" t="s">
        <v>120</v>
      </c>
      <c r="I513" s="23" t="s">
        <v>65</v>
      </c>
      <c r="J513" s="237"/>
      <c r="K513" s="36"/>
      <c r="L513" s="23">
        <v>2004.0</v>
      </c>
      <c r="M513" s="25">
        <f t="shared" si="433"/>
        <v>21</v>
      </c>
      <c r="N513" s="26">
        <f t="shared" si="434"/>
        <v>2</v>
      </c>
      <c r="O513" s="27" t="str">
        <f t="shared" si="3"/>
        <v>#N/A</v>
      </c>
      <c r="P513" s="28" t="str">
        <f t="shared" si="435"/>
        <v>#N/A</v>
      </c>
      <c r="Q513" s="28" t="str">
        <f t="shared" si="436"/>
        <v>#N/A</v>
      </c>
      <c r="R513" s="28"/>
      <c r="S513" s="28"/>
      <c r="T513" s="29">
        <f t="shared" si="437"/>
        <v>819047.619</v>
      </c>
      <c r="U513" s="28"/>
      <c r="V513" s="30">
        <f t="shared" si="425"/>
        <v>17200000</v>
      </c>
      <c r="W513" s="30"/>
      <c r="X513" s="32">
        <f t="shared" si="438"/>
        <v>2.235222816</v>
      </c>
      <c r="Y513" s="33">
        <f t="shared" si="439"/>
        <v>0.1183102473</v>
      </c>
      <c r="Z513" s="692"/>
      <c r="AA513" s="665"/>
      <c r="AB513" s="36"/>
      <c r="AC513" s="36"/>
      <c r="AD513" s="898"/>
      <c r="AE513" s="1174"/>
      <c r="AF513" s="39"/>
      <c r="AG513" s="46"/>
      <c r="AH513" s="36"/>
      <c r="AI513" s="159"/>
      <c r="AJ513" s="227">
        <v>40199.0</v>
      </c>
      <c r="AK513" s="38">
        <v>1500000.0</v>
      </c>
      <c r="AL513" s="227">
        <v>42154.0</v>
      </c>
      <c r="AM513" s="38">
        <v>1.57E7</v>
      </c>
      <c r="AN513" s="44"/>
      <c r="AO513" s="46"/>
      <c r="AP513" s="44"/>
      <c r="AQ513" s="46"/>
      <c r="AR513" s="44"/>
      <c r="AS513" s="44"/>
      <c r="AT513" s="44"/>
      <c r="AU513" s="45"/>
      <c r="AV513" s="44"/>
      <c r="AW513" s="38"/>
      <c r="AX513" s="44"/>
      <c r="AY513" s="38"/>
      <c r="AZ513" s="44"/>
      <c r="BA513" s="45"/>
      <c r="BB513" s="44"/>
      <c r="BC513" s="45"/>
      <c r="BD513" s="44"/>
      <c r="BE513" s="38"/>
      <c r="BF513" s="3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</row>
    <row r="514" ht="15.75" customHeight="1">
      <c r="A514" s="1162" t="s">
        <v>2633</v>
      </c>
      <c r="B514" s="16"/>
      <c r="C514" s="17" t="s">
        <v>123</v>
      </c>
      <c r="D514" s="18" t="s">
        <v>2634</v>
      </c>
      <c r="E514" s="18" t="s">
        <v>2520</v>
      </c>
      <c r="F514" s="20" t="s">
        <v>2635</v>
      </c>
      <c r="G514" s="22"/>
      <c r="H514" s="22" t="s">
        <v>129</v>
      </c>
      <c r="I514" s="23" t="s">
        <v>129</v>
      </c>
      <c r="J514" s="24"/>
      <c r="K514" s="74"/>
      <c r="L514" s="23">
        <v>2015.0</v>
      </c>
      <c r="M514" s="25">
        <f t="shared" si="433"/>
        <v>10</v>
      </c>
      <c r="N514" s="26">
        <f t="shared" si="434"/>
        <v>2</v>
      </c>
      <c r="O514" s="27" t="str">
        <f t="shared" si="3"/>
        <v>#N/A</v>
      </c>
      <c r="P514" s="28" t="str">
        <f t="shared" si="435"/>
        <v>#N/A</v>
      </c>
      <c r="Q514" s="28" t="str">
        <f t="shared" si="436"/>
        <v>#N/A</v>
      </c>
      <c r="R514" s="28"/>
      <c r="S514" s="28"/>
      <c r="T514" s="29">
        <f t="shared" si="437"/>
        <v>1700000</v>
      </c>
      <c r="U514" s="28"/>
      <c r="V514" s="30">
        <f t="shared" si="425"/>
        <v>17000000</v>
      </c>
      <c r="W514" s="30"/>
      <c r="X514" s="32">
        <f t="shared" si="438"/>
        <v>0.5491933385</v>
      </c>
      <c r="Y514" s="33">
        <f t="shared" si="439"/>
        <v>0.09149342562</v>
      </c>
      <c r="Z514" s="692"/>
      <c r="AA514" s="665"/>
      <c r="AB514" s="36"/>
      <c r="AC514" s="36"/>
      <c r="AD514" s="44"/>
      <c r="AE514" s="46"/>
      <c r="AF514" s="320">
        <v>43167.0</v>
      </c>
      <c r="AG514" s="38">
        <v>5000000.0</v>
      </c>
      <c r="AH514" s="36"/>
      <c r="AI514" s="159"/>
      <c r="AJ514" s="42">
        <v>43454.0</v>
      </c>
      <c r="AK514" s="38">
        <v>1.2E7</v>
      </c>
      <c r="AL514" s="44"/>
      <c r="AM514" s="46"/>
      <c r="AN514" s="44"/>
      <c r="AO514" s="46"/>
      <c r="AP514" s="44"/>
      <c r="AQ514" s="46"/>
      <c r="AR514" s="44"/>
      <c r="AS514" s="44"/>
      <c r="AT514" s="44"/>
      <c r="AU514" s="45"/>
      <c r="AV514" s="44"/>
      <c r="AW514" s="38"/>
      <c r="AX514" s="44"/>
      <c r="AY514" s="38"/>
      <c r="AZ514" s="44"/>
      <c r="BA514" s="45"/>
      <c r="BB514" s="44"/>
      <c r="BC514" s="45"/>
      <c r="BD514" s="44"/>
      <c r="BE514" s="38"/>
      <c r="BF514" s="3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</row>
    <row r="515" ht="15.75" customHeight="1">
      <c r="A515" s="47" t="s">
        <v>2636</v>
      </c>
      <c r="B515" s="115"/>
      <c r="C515" s="116" t="s">
        <v>123</v>
      </c>
      <c r="D515" s="449"/>
      <c r="E515" s="192" t="s">
        <v>2637</v>
      </c>
      <c r="F515" s="118" t="s">
        <v>2638</v>
      </c>
      <c r="G515" s="54" t="s">
        <v>2639</v>
      </c>
      <c r="H515" s="119" t="s">
        <v>1918</v>
      </c>
      <c r="I515" s="25" t="s">
        <v>2640</v>
      </c>
      <c r="J515" s="178" t="s">
        <v>2641</v>
      </c>
      <c r="K515" s="25">
        <v>4.0</v>
      </c>
      <c r="L515" s="25">
        <v>2013.0</v>
      </c>
      <c r="M515" s="25">
        <f t="shared" si="433"/>
        <v>12</v>
      </c>
      <c r="N515" s="26">
        <f t="shared" si="434"/>
        <v>1</v>
      </c>
      <c r="O515" s="27" t="str">
        <f t="shared" si="3"/>
        <v>#N/A</v>
      </c>
      <c r="P515" s="28" t="str">
        <f t="shared" si="435"/>
        <v>#N/A</v>
      </c>
      <c r="Q515" s="28" t="str">
        <f t="shared" si="436"/>
        <v>#N/A</v>
      </c>
      <c r="R515" s="28"/>
      <c r="S515" s="28"/>
      <c r="T515" s="29">
        <f t="shared" si="437"/>
        <v>1416666.667</v>
      </c>
      <c r="U515" s="28"/>
      <c r="V515" s="30">
        <f t="shared" si="425"/>
        <v>17000000</v>
      </c>
      <c r="W515" s="30"/>
      <c r="X515" s="32">
        <f t="shared" si="438"/>
        <v>0</v>
      </c>
      <c r="Y515" s="33">
        <f t="shared" si="439"/>
        <v>0</v>
      </c>
      <c r="Z515" s="692"/>
      <c r="AA515" s="665"/>
      <c r="AB515" s="123"/>
      <c r="AC515" s="123"/>
      <c r="AD515" s="169"/>
      <c r="AE515" s="127"/>
      <c r="AF515" s="1204">
        <v>42156.0</v>
      </c>
      <c r="AG515" s="971">
        <v>1.7E7</v>
      </c>
      <c r="AH515" s="123"/>
      <c r="AI515" s="128"/>
      <c r="AJ515" s="124"/>
      <c r="AK515" s="125"/>
      <c r="AL515" s="124"/>
      <c r="AM515" s="125"/>
      <c r="AN515" s="124"/>
      <c r="AO515" s="125"/>
      <c r="AP515" s="124"/>
      <c r="AQ515" s="125"/>
      <c r="AR515" s="124"/>
      <c r="AS515" s="124"/>
      <c r="AT515" s="124"/>
      <c r="AU515" s="137"/>
      <c r="AV515" s="124"/>
      <c r="AW515" s="38"/>
      <c r="AX515" s="124"/>
      <c r="AY515" s="38"/>
      <c r="AZ515" s="124"/>
      <c r="BA515" s="137"/>
      <c r="BB515" s="124"/>
      <c r="BC515" s="137"/>
      <c r="BD515" s="124"/>
      <c r="BE515" s="38"/>
      <c r="BF515" s="123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</row>
    <row r="516" ht="15.75" customHeight="1">
      <c r="A516" s="931" t="s">
        <v>2642</v>
      </c>
      <c r="B516" s="69"/>
      <c r="C516" s="69" t="s">
        <v>1257</v>
      </c>
      <c r="D516" s="48"/>
      <c r="E516" s="192" t="s">
        <v>2643</v>
      </c>
      <c r="F516" s="118" t="s">
        <v>2644</v>
      </c>
      <c r="G516" s="71"/>
      <c r="H516" s="71" t="s">
        <v>187</v>
      </c>
      <c r="I516" s="26" t="s">
        <v>188</v>
      </c>
      <c r="J516" s="72"/>
      <c r="K516" s="26">
        <v>1.0</v>
      </c>
      <c r="L516" s="26">
        <v>2018.0</v>
      </c>
      <c r="M516" s="25">
        <f t="shared" si="433"/>
        <v>7</v>
      </c>
      <c r="N516" s="26">
        <f t="shared" si="434"/>
        <v>2</v>
      </c>
      <c r="O516" s="27" t="str">
        <f t="shared" si="3"/>
        <v>#N/A</v>
      </c>
      <c r="P516" s="28" t="str">
        <f t="shared" si="435"/>
        <v>#N/A</v>
      </c>
      <c r="Q516" s="28" t="str">
        <f t="shared" si="436"/>
        <v>#N/A</v>
      </c>
      <c r="R516" s="28"/>
      <c r="S516" s="28"/>
      <c r="T516" s="29">
        <f t="shared" si="437"/>
        <v>2428571.429</v>
      </c>
      <c r="U516" s="28"/>
      <c r="V516" s="30">
        <f t="shared" si="425"/>
        <v>17000000</v>
      </c>
      <c r="W516" s="30"/>
      <c r="X516" s="32">
        <f t="shared" si="438"/>
        <v>1.738612788</v>
      </c>
      <c r="Y516" s="33">
        <f t="shared" si="439"/>
        <v>0.3335483056</v>
      </c>
      <c r="Z516" s="692"/>
      <c r="AA516" s="665"/>
      <c r="AB516" s="74"/>
      <c r="AC516" s="74"/>
      <c r="AD516" s="42">
        <v>43476.0</v>
      </c>
      <c r="AE516" s="76">
        <v>2000000.0</v>
      </c>
      <c r="AF516" s="883"/>
      <c r="AG516" s="76"/>
      <c r="AH516" s="74"/>
      <c r="AI516" s="78"/>
      <c r="AJ516" s="180" t="str">
        <f>HYPERLINK("https://www.crunchbase.com/funding_round/zerv-series-a--5c037b85","Jun 29, 2021")</f>
        <v>Jun 29, 2021</v>
      </c>
      <c r="AK516" s="76">
        <v>1.5E7</v>
      </c>
      <c r="AL516" s="804"/>
      <c r="AM516" s="846"/>
      <c r="AN516" s="79"/>
      <c r="AO516" s="76"/>
      <c r="AP516" s="79"/>
      <c r="AQ516" s="84"/>
      <c r="AR516" s="79"/>
      <c r="AS516" s="79"/>
      <c r="AT516" s="79"/>
      <c r="AU516" s="80"/>
      <c r="AV516" s="79"/>
      <c r="AW516" s="38"/>
      <c r="AX516" s="79"/>
      <c r="AY516" s="38"/>
      <c r="AZ516" s="79"/>
      <c r="BA516" s="80"/>
      <c r="BB516" s="79"/>
      <c r="BC516" s="80"/>
      <c r="BD516" s="79"/>
      <c r="BE516" s="38"/>
      <c r="BF516" s="74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</row>
    <row r="517" ht="15.75" customHeight="1">
      <c r="A517" s="1205" t="s">
        <v>2645</v>
      </c>
      <c r="B517" s="582"/>
      <c r="C517" s="1206" t="s">
        <v>59</v>
      </c>
      <c r="D517" s="1146" t="s">
        <v>2646</v>
      </c>
      <c r="E517" s="1207" t="s">
        <v>2647</v>
      </c>
      <c r="F517" s="1208" t="s">
        <v>2648</v>
      </c>
      <c r="G517" s="1209"/>
      <c r="H517" s="1210" t="s">
        <v>64</v>
      </c>
      <c r="I517" s="1211" t="s">
        <v>65</v>
      </c>
      <c r="J517" s="1151"/>
      <c r="K517" s="1211">
        <v>2.0</v>
      </c>
      <c r="L517" s="1211">
        <v>2015.0</v>
      </c>
      <c r="M517" s="25"/>
      <c r="N517" s="1211"/>
      <c r="O517" s="27" t="str">
        <f t="shared" si="3"/>
        <v>#N/A</v>
      </c>
      <c r="P517" s="1212"/>
      <c r="Q517" s="1212"/>
      <c r="R517" s="1212"/>
      <c r="S517" s="1212"/>
      <c r="T517" s="1212"/>
      <c r="U517" s="1212"/>
      <c r="V517" s="30">
        <f t="shared" si="425"/>
        <v>17000000</v>
      </c>
      <c r="W517" s="30"/>
      <c r="X517" s="1213"/>
      <c r="Y517" s="1213"/>
      <c r="Z517" s="692"/>
      <c r="AA517" s="665"/>
      <c r="AB517" s="1214"/>
      <c r="AC517" s="1214"/>
      <c r="AD517" s="1215"/>
      <c r="AE517" s="1216"/>
      <c r="AF517" s="1217" t="str">
        <f>HYPERLINK("https://www.crunchbase.com/funding_round/radiusagent-seed--4c340b21","Feb 21, 2018")</f>
        <v>Feb 21, 2018</v>
      </c>
      <c r="AG517" s="1218">
        <v>4000000.0</v>
      </c>
      <c r="AH517" s="1214"/>
      <c r="AI517" s="1219"/>
      <c r="AJ517" s="1220" t="str">
        <f>HYPERLINK("https://www.crunchbase.com/funding_round/radiusagent-series-a--df35213d","Apr 27, 2022")</f>
        <v>Apr 27, 2022</v>
      </c>
      <c r="AK517" s="1218">
        <v>1.3E7</v>
      </c>
      <c r="AL517" s="1215"/>
      <c r="AM517" s="1216"/>
      <c r="AN517" s="1215"/>
      <c r="AO517" s="1216"/>
      <c r="AP517" s="1215"/>
      <c r="AQ517" s="1216"/>
      <c r="AR517" s="1215"/>
      <c r="AS517" s="1215"/>
      <c r="AT517" s="1215"/>
      <c r="AU517" s="1221"/>
      <c r="AV517" s="1215"/>
      <c r="AW517" s="38"/>
      <c r="AX517" s="1215"/>
      <c r="AY517" s="38"/>
      <c r="AZ517" s="1215"/>
      <c r="BA517" s="1221"/>
      <c r="BB517" s="1215"/>
      <c r="BC517" s="1221"/>
      <c r="BD517" s="1215"/>
      <c r="BE517" s="38"/>
      <c r="BF517" s="1214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</row>
    <row r="518" ht="15.75" customHeight="1">
      <c r="A518" s="47" t="s">
        <v>2649</v>
      </c>
      <c r="C518" s="48" t="s">
        <v>84</v>
      </c>
      <c r="D518" s="617" t="s">
        <v>2650</v>
      </c>
      <c r="E518" s="617" t="s">
        <v>2651</v>
      </c>
      <c r="F518" s="352" t="s">
        <v>2652</v>
      </c>
      <c r="G518" s="353"/>
      <c r="H518" s="53" t="s">
        <v>64</v>
      </c>
      <c r="I518" s="54" t="s">
        <v>65</v>
      </c>
      <c r="J518" s="55"/>
      <c r="K518" s="54">
        <v>3.0</v>
      </c>
      <c r="L518" s="56">
        <v>2018.0</v>
      </c>
      <c r="M518" s="55"/>
      <c r="N518" s="55"/>
      <c r="O518" s="27" t="str">
        <f t="shared" si="3"/>
        <v>#N/A</v>
      </c>
      <c r="P518" s="55"/>
      <c r="Q518" s="55"/>
      <c r="R518" s="55"/>
      <c r="S518" s="55"/>
      <c r="T518" s="55"/>
      <c r="U518" s="55"/>
      <c r="V518" s="30">
        <f t="shared" si="425"/>
        <v>16900000</v>
      </c>
      <c r="W518" s="30"/>
      <c r="X518" s="58"/>
      <c r="Y518" s="58"/>
      <c r="Z518" s="692"/>
      <c r="AA518" s="665"/>
      <c r="AB518" s="55"/>
      <c r="AC518" s="55"/>
      <c r="AD518" s="355"/>
      <c r="AE518" s="38"/>
      <c r="AF518" s="62">
        <v>45014.0</v>
      </c>
      <c r="AG518" s="38">
        <v>1.69E7</v>
      </c>
      <c r="AH518" s="55"/>
      <c r="AI518" s="38"/>
      <c r="AJ518" s="55"/>
      <c r="AK518" s="38"/>
      <c r="AL518" s="55"/>
      <c r="AM518" s="38"/>
      <c r="AN518" s="55"/>
      <c r="AO518" s="38"/>
      <c r="AP518" s="356"/>
      <c r="AQ518" s="38"/>
      <c r="AR518" s="55"/>
      <c r="AS518" s="38"/>
      <c r="AT518" s="55"/>
      <c r="AU518" s="38"/>
      <c r="AV518" s="55"/>
      <c r="AW518" s="38"/>
      <c r="AX518" s="55"/>
      <c r="AY518" s="38"/>
      <c r="AZ518" s="55"/>
      <c r="BA518" s="38"/>
      <c r="BB518" s="55"/>
      <c r="BC518" s="38"/>
      <c r="BD518" s="55"/>
      <c r="BE518" s="38"/>
      <c r="BF518" s="55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</row>
    <row r="519" ht="15.75" customHeight="1">
      <c r="A519" s="162" t="s">
        <v>2653</v>
      </c>
      <c r="B519" s="115"/>
      <c r="C519" s="116" t="s">
        <v>267</v>
      </c>
      <c r="D519" s="161" t="s">
        <v>2654</v>
      </c>
      <c r="E519" s="192" t="s">
        <v>2655</v>
      </c>
      <c r="F519" s="402" t="s">
        <v>2656</v>
      </c>
      <c r="G519" s="119" t="s">
        <v>2657</v>
      </c>
      <c r="H519" s="119" t="s">
        <v>736</v>
      </c>
      <c r="I519" s="25" t="s">
        <v>358</v>
      </c>
      <c r="J519" s="120" t="s">
        <v>2658</v>
      </c>
      <c r="K519" s="25">
        <v>1.0</v>
      </c>
      <c r="L519" s="712">
        <v>2015.0</v>
      </c>
      <c r="M519" s="25">
        <f t="shared" ref="M519:M520" si="440">year(now()) -L519</f>
        <v>10</v>
      </c>
      <c r="N519" s="26">
        <f t="shared" ref="N519:N520" si="441">counta(AE519,AG519,AI519,AK519,AM519,AO519,AQ519,AS519,AU519,AW519,AY519,BA519,BC519)</f>
        <v>2</v>
      </c>
      <c r="O519" s="27" t="str">
        <f t="shared" si="3"/>
        <v>#N/A</v>
      </c>
      <c r="P519" s="28" t="str">
        <f t="shared" ref="P519:P520" si="442">RANK(T519,$T$8:$T$333)</f>
        <v>#N/A</v>
      </c>
      <c r="Q519" s="28" t="str">
        <f t="shared" ref="Q519:Q520" si="443">rank(V519,$V$8:$V$344)</f>
        <v>#N/A</v>
      </c>
      <c r="R519" s="28"/>
      <c r="S519" s="28"/>
      <c r="T519" s="29">
        <f t="shared" ref="T519:T520" si="444">V519/M519</f>
        <v>1680000</v>
      </c>
      <c r="U519" s="28"/>
      <c r="V519" s="30">
        <f t="shared" si="425"/>
        <v>16800000</v>
      </c>
      <c r="W519" s="30"/>
      <c r="X519" s="32">
        <f t="shared" ref="X519:X520" si="445">(max(AE519,AG519,AI519,AK519,AM519,AO519,AQ519,AS519,AU519,AW519,AY519,BA519,BC519)/min(AE519,AG519,AI519,AK519,AM519,AO519,AQ519,AS519,AU519,AW519,AY519,BA519,BC519))^(1/N519)-1</f>
        <v>0.9852396507</v>
      </c>
      <c r="Y519" s="33">
        <f t="shared" ref="Y519:Y520" si="446">(max(AE519,AG519,AI519,AK519,AM519,AO519,AQ519,AS519,AU519,AW519,AY519,BA519,BC519)/min(AE519,AG519,AI519,AK519,AM519,AO519,AQ519,AS519,AU519,AW519,AY519,BA519,BC519))^(1/M519)-1</f>
        <v>0.1469978085</v>
      </c>
      <c r="Z519" s="692"/>
      <c r="AA519" s="665"/>
      <c r="AB519" s="123"/>
      <c r="AC519" s="123"/>
      <c r="AD519" s="124"/>
      <c r="AE519" s="125"/>
      <c r="AF519" s="126" t="str">
        <f>HYPERLINK("https://www.crunchbase.com/funding_round/smartvid-io-seed--a0a4dcde","Aug 3, 2015")</f>
        <v>Aug 3, 2015</v>
      </c>
      <c r="AG519" s="127">
        <v>3400000.0</v>
      </c>
      <c r="AH519" s="123"/>
      <c r="AI519" s="128"/>
      <c r="AJ519" s="455" t="str">
        <f>HYPERLINK("https://www.crunchbase.com/funding_round/smartvid-io-series-a--1eabd9ce","Feb 19, 2019")</f>
        <v>Feb 19, 2019</v>
      </c>
      <c r="AK519" s="127">
        <v>1.34E7</v>
      </c>
      <c r="AL519" s="124"/>
      <c r="AM519" s="125"/>
      <c r="AN519" s="124"/>
      <c r="AO519" s="125"/>
      <c r="AP519" s="124"/>
      <c r="AQ519" s="125"/>
      <c r="AR519" s="124"/>
      <c r="AS519" s="124"/>
      <c r="AT519" s="124"/>
      <c r="AU519" s="137"/>
      <c r="AV519" s="124"/>
      <c r="AW519" s="38"/>
      <c r="AX519" s="124"/>
      <c r="AY519" s="38"/>
      <c r="AZ519" s="124"/>
      <c r="BA519" s="137"/>
      <c r="BB519" s="124"/>
      <c r="BC519" s="137"/>
      <c r="BD519" s="124"/>
      <c r="BE519" s="38"/>
      <c r="BF519" s="123"/>
      <c r="BG519" s="760"/>
      <c r="BH519" s="760"/>
      <c r="BI519" s="760"/>
      <c r="BJ519" s="760"/>
      <c r="BK519" s="760"/>
      <c r="BL519" s="760"/>
      <c r="BM519" s="760"/>
      <c r="BN519" s="760"/>
      <c r="BO519" s="760"/>
      <c r="BP519" s="760"/>
      <c r="BQ519" s="760"/>
      <c r="BR519" s="760"/>
      <c r="BS519" s="760"/>
      <c r="BT519" s="760"/>
      <c r="BU519" s="760"/>
      <c r="BV519" s="760"/>
      <c r="BW519" s="760"/>
      <c r="BX519" s="760"/>
      <c r="BY519" s="760"/>
      <c r="BZ519" s="760"/>
      <c r="CA519" s="760"/>
      <c r="CB519" s="760"/>
      <c r="CC519" s="760"/>
      <c r="CD519" s="760"/>
      <c r="CE519" s="760"/>
      <c r="CF519" s="760"/>
      <c r="CG519" s="760"/>
      <c r="CH519" s="760"/>
      <c r="CI519" s="760"/>
      <c r="CJ519" s="760"/>
      <c r="CK519" s="760"/>
      <c r="CL519" s="760"/>
      <c r="CM519" s="760"/>
      <c r="CN519" s="760"/>
      <c r="CO519" s="760"/>
      <c r="CP519" s="760"/>
    </row>
    <row r="520" ht="15.75" customHeight="1">
      <c r="A520" s="400" t="s">
        <v>2659</v>
      </c>
      <c r="B520" s="116"/>
      <c r="C520" s="116" t="s">
        <v>59</v>
      </c>
      <c r="D520" s="731"/>
      <c r="E520" s="161" t="s">
        <v>2660</v>
      </c>
      <c r="F520" s="402" t="s">
        <v>2661</v>
      </c>
      <c r="G520" s="119"/>
      <c r="H520" s="119" t="s">
        <v>2662</v>
      </c>
      <c r="I520" s="25" t="s">
        <v>65</v>
      </c>
      <c r="J520" s="287"/>
      <c r="K520" s="25">
        <v>2.0</v>
      </c>
      <c r="L520" s="25">
        <v>2016.0</v>
      </c>
      <c r="M520" s="25">
        <f t="shared" si="440"/>
        <v>9</v>
      </c>
      <c r="N520" s="26">
        <f t="shared" si="441"/>
        <v>1</v>
      </c>
      <c r="O520" s="27" t="str">
        <f t="shared" si="3"/>
        <v>#N/A</v>
      </c>
      <c r="P520" s="28" t="str">
        <f t="shared" si="442"/>
        <v>#N/A</v>
      </c>
      <c r="Q520" s="28" t="str">
        <f t="shared" si="443"/>
        <v>#N/A</v>
      </c>
      <c r="R520" s="28"/>
      <c r="S520" s="28"/>
      <c r="T520" s="29">
        <f t="shared" si="444"/>
        <v>1855555.556</v>
      </c>
      <c r="U520" s="28"/>
      <c r="V520" s="30">
        <f t="shared" si="425"/>
        <v>16700000</v>
      </c>
      <c r="W520" s="30"/>
      <c r="X520" s="32">
        <f t="shared" si="445"/>
        <v>0</v>
      </c>
      <c r="Y520" s="33">
        <f t="shared" si="446"/>
        <v>0</v>
      </c>
      <c r="Z520" s="692"/>
      <c r="AA520" s="665"/>
      <c r="AB520" s="123"/>
      <c r="AC520" s="123"/>
      <c r="AD520" s="322"/>
      <c r="AE520" s="323"/>
      <c r="AF520" s="868"/>
      <c r="AG520" s="323"/>
      <c r="AH520" s="326"/>
      <c r="AI520" s="327"/>
      <c r="AJ520" s="732" t="str">
        <f>HYPERLINK("https://www.crunchbase.com/funding_round/deep-north-series-a--4588ba67","Oct 21, 2021")</f>
        <v>Oct 21, 2021</v>
      </c>
      <c r="AK520" s="325">
        <v>1.67E7</v>
      </c>
      <c r="AL520" s="1134"/>
      <c r="AM520" s="733"/>
      <c r="AN520" s="1134"/>
      <c r="AO520" s="325"/>
      <c r="AP520" s="322"/>
      <c r="AQ520" s="323"/>
      <c r="AR520" s="322"/>
      <c r="AS520" s="322"/>
      <c r="AT520" s="322"/>
      <c r="AU520" s="335"/>
      <c r="AV520" s="322"/>
      <c r="AW520" s="38"/>
      <c r="AX520" s="322"/>
      <c r="AY520" s="38"/>
      <c r="AZ520" s="322"/>
      <c r="BA520" s="335"/>
      <c r="BB520" s="322"/>
      <c r="BC520" s="335"/>
      <c r="BD520" s="322"/>
      <c r="BE520" s="38"/>
      <c r="BF520" s="326"/>
      <c r="BG520" s="115"/>
      <c r="BH520" s="115"/>
      <c r="BI520" s="115"/>
      <c r="BJ520" s="115"/>
      <c r="BK520" s="115"/>
      <c r="BL520" s="115"/>
      <c r="BM520" s="115"/>
      <c r="BN520" s="115"/>
      <c r="BO520" s="115"/>
      <c r="BP520" s="115"/>
      <c r="BQ520" s="115"/>
      <c r="BR520" s="115"/>
      <c r="BS520" s="115"/>
      <c r="BT520" s="115"/>
      <c r="BU520" s="115"/>
      <c r="BV520" s="115"/>
      <c r="BW520" s="115"/>
      <c r="BX520" s="115"/>
      <c r="BY520" s="115"/>
      <c r="BZ520" s="115"/>
      <c r="CA520" s="115"/>
      <c r="CB520" s="115"/>
      <c r="CC520" s="115"/>
      <c r="CD520" s="115"/>
      <c r="CE520" s="115"/>
      <c r="CF520" s="115"/>
      <c r="CG520" s="115"/>
      <c r="CH520" s="115"/>
      <c r="CI520" s="115"/>
      <c r="CJ520" s="115"/>
      <c r="CK520" s="115"/>
      <c r="CL520" s="115"/>
      <c r="CM520" s="115"/>
      <c r="CN520" s="115"/>
      <c r="CO520" s="115"/>
      <c r="CP520" s="115"/>
    </row>
    <row r="521" ht="15.75" customHeight="1">
      <c r="A521" s="245" t="s">
        <v>2663</v>
      </c>
      <c r="B521" s="16"/>
      <c r="C521" s="17" t="s">
        <v>513</v>
      </c>
      <c r="D521" s="138" t="s">
        <v>2664</v>
      </c>
      <c r="E521" s="1167" t="s">
        <v>2665</v>
      </c>
      <c r="F521" s="910" t="s">
        <v>2666</v>
      </c>
      <c r="G521" s="22" t="s">
        <v>2667</v>
      </c>
      <c r="H521" s="22" t="s">
        <v>1304</v>
      </c>
      <c r="I521" s="23" t="s">
        <v>65</v>
      </c>
      <c r="J521" s="24" t="s">
        <v>2668</v>
      </c>
      <c r="K521" s="23">
        <v>5.0</v>
      </c>
      <c r="L521" s="23">
        <v>2014.0</v>
      </c>
      <c r="M521" s="222"/>
      <c r="N521" s="23"/>
      <c r="O521" s="27" t="str">
        <f t="shared" si="3"/>
        <v>#N/A</v>
      </c>
      <c r="P521" s="28"/>
      <c r="Q521" s="28"/>
      <c r="R521" s="28"/>
      <c r="S521" s="28"/>
      <c r="T521" s="28"/>
      <c r="U521" s="28"/>
      <c r="V521" s="30">
        <f t="shared" si="425"/>
        <v>16700000</v>
      </c>
      <c r="W521" s="30"/>
      <c r="X521" s="33"/>
      <c r="Y521" s="33"/>
      <c r="Z521" s="692"/>
      <c r="AA521" s="665"/>
      <c r="AB521" s="23"/>
      <c r="AC521" s="36"/>
      <c r="AD521" s="44"/>
      <c r="AE521" s="38"/>
      <c r="AF521" s="726">
        <v>42612.0</v>
      </c>
      <c r="AG521" s="38">
        <v>2100000.0</v>
      </c>
      <c r="AH521" s="36"/>
      <c r="AI521" s="159"/>
      <c r="AJ521" s="75">
        <v>43907.0</v>
      </c>
      <c r="AK521" s="38">
        <v>5000000.0</v>
      </c>
      <c r="AL521" s="75">
        <v>44796.0</v>
      </c>
      <c r="AM521" s="38">
        <v>9600000.0</v>
      </c>
      <c r="AN521" s="44"/>
      <c r="AO521" s="46"/>
      <c r="AP521" s="44"/>
      <c r="AQ521" s="46"/>
      <c r="AR521" s="44"/>
      <c r="AS521" s="44"/>
      <c r="AT521" s="44"/>
      <c r="AU521" s="45"/>
      <c r="AV521" s="44"/>
      <c r="AW521" s="38"/>
      <c r="AX521" s="44"/>
      <c r="AY521" s="38"/>
      <c r="AZ521" s="44"/>
      <c r="BA521" s="45"/>
      <c r="BB521" s="44"/>
      <c r="BC521" s="45"/>
      <c r="BD521" s="44"/>
      <c r="BE521" s="38"/>
      <c r="BF521" s="36"/>
      <c r="BG521" s="66"/>
      <c r="BH521" s="66"/>
      <c r="BI521" s="66"/>
      <c r="BJ521" s="66"/>
      <c r="BK521" s="66"/>
      <c r="BL521" s="66"/>
      <c r="BM521" s="66"/>
      <c r="BN521" s="66"/>
      <c r="BO521" s="66"/>
      <c r="BP521" s="66"/>
      <c r="BQ521" s="66"/>
      <c r="BR521" s="66"/>
      <c r="BS521" s="66"/>
      <c r="BT521" s="66"/>
      <c r="BU521" s="66"/>
      <c r="BV521" s="66"/>
      <c r="BW521" s="66"/>
      <c r="BX521" s="66"/>
      <c r="BY521" s="66"/>
      <c r="BZ521" s="66"/>
      <c r="CA521" s="66"/>
      <c r="CB521" s="66"/>
      <c r="CC521" s="66"/>
      <c r="CD521" s="66"/>
      <c r="CE521" s="66"/>
      <c r="CF521" s="66"/>
      <c r="CG521" s="66"/>
      <c r="CH521" s="66"/>
      <c r="CI521" s="66"/>
      <c r="CJ521" s="66"/>
      <c r="CK521" s="66"/>
      <c r="CL521" s="66"/>
      <c r="CM521" s="66"/>
      <c r="CN521" s="66"/>
      <c r="CO521" s="66"/>
      <c r="CP521" s="66"/>
    </row>
    <row r="522" ht="15.75" customHeight="1">
      <c r="A522" s="21" t="s">
        <v>2669</v>
      </c>
      <c r="B522" s="68"/>
      <c r="C522" s="69" t="s">
        <v>123</v>
      </c>
      <c r="D522" s="138" t="s">
        <v>2670</v>
      </c>
      <c r="E522" s="138" t="s">
        <v>2671</v>
      </c>
      <c r="F522" s="173" t="s">
        <v>2672</v>
      </c>
      <c r="G522" s="54" t="s">
        <v>2673</v>
      </c>
      <c r="H522" s="71" t="s">
        <v>2674</v>
      </c>
      <c r="I522" s="26" t="s">
        <v>772</v>
      </c>
      <c r="J522" s="72" t="s">
        <v>2675</v>
      </c>
      <c r="K522" s="26">
        <v>2.0</v>
      </c>
      <c r="L522" s="26">
        <v>2010.0</v>
      </c>
      <c r="M522" s="25">
        <f t="shared" ref="M522:M523" si="447">year(now()) -L522</f>
        <v>15</v>
      </c>
      <c r="N522" s="26">
        <f t="shared" ref="N522:N523" si="448">counta(AE522,AG522,AI522,AK522,AM522,AO522,AQ522,AS522,AU522,AW522,AY522,BA522,BC522)</f>
        <v>2</v>
      </c>
      <c r="O522" s="27" t="str">
        <f t="shared" si="3"/>
        <v>#N/A</v>
      </c>
      <c r="P522" s="28"/>
      <c r="Q522" s="28"/>
      <c r="R522" s="28"/>
      <c r="S522" s="28"/>
      <c r="T522" s="29">
        <f t="shared" ref="T522:T523" si="449">V522/M522</f>
        <v>1113333.333</v>
      </c>
      <c r="U522" s="28"/>
      <c r="V522" s="30">
        <f t="shared" si="425"/>
        <v>16700000</v>
      </c>
      <c r="W522" s="30"/>
      <c r="X522" s="73"/>
      <c r="Y522" s="33">
        <f>(max(AE522,AG522,AI522,AK522,AM522,AO522,AQ522,AS522,AU522,AW522,AY522,BA522,BC522)/min(AE522,AG522,AI522,AK522))^(1/M522)-1</f>
        <v>0.06448339824</v>
      </c>
      <c r="Z522" s="692"/>
      <c r="AA522" s="665"/>
      <c r="AB522" s="74"/>
      <c r="AC522" s="74"/>
      <c r="AD522" s="44"/>
      <c r="AE522" s="46"/>
      <c r="AF522" s="158" t="str">
        <f>HYPERLINK("https://www.crunchbase.com/funding_round/engrain-seed--4749e079","Oct 2, 2020")</f>
        <v>Oct 2, 2020</v>
      </c>
      <c r="AG522" s="38">
        <v>4700000.0</v>
      </c>
      <c r="AH522" s="886"/>
      <c r="AI522" s="41"/>
      <c r="AJ522" s="75">
        <v>45000.0</v>
      </c>
      <c r="AK522" s="41">
        <v>1.2E7</v>
      </c>
      <c r="AL522" s="37"/>
      <c r="AM522" s="38"/>
      <c r="AN522" s="37"/>
      <c r="AO522" s="38"/>
      <c r="AP522" s="37"/>
      <c r="AQ522" s="887"/>
      <c r="AR522" s="44"/>
      <c r="AS522" s="44"/>
      <c r="AT522" s="44"/>
      <c r="AU522" s="45"/>
      <c r="AV522" s="44"/>
      <c r="AW522" s="38"/>
      <c r="AX522" s="44"/>
      <c r="AY522" s="38"/>
      <c r="AZ522" s="44"/>
      <c r="BA522" s="45"/>
      <c r="BB522" s="44"/>
      <c r="BC522" s="45"/>
      <c r="BD522" s="44"/>
      <c r="BE522" s="38"/>
      <c r="BF522" s="36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</row>
    <row r="523" ht="15.75" customHeight="1">
      <c r="A523" s="245" t="s">
        <v>2676</v>
      </c>
      <c r="B523" s="16"/>
      <c r="C523" s="17" t="s">
        <v>513</v>
      </c>
      <c r="D523" s="245"/>
      <c r="E523" s="18" t="s">
        <v>2677</v>
      </c>
      <c r="F523" s="20" t="s">
        <v>2678</v>
      </c>
      <c r="G523" s="317"/>
      <c r="H523" s="22" t="s">
        <v>271</v>
      </c>
      <c r="I523" s="23" t="s">
        <v>272</v>
      </c>
      <c r="J523" s="237"/>
      <c r="K523" s="26">
        <v>2.0</v>
      </c>
      <c r="L523" s="23">
        <v>2018.0</v>
      </c>
      <c r="M523" s="25">
        <f t="shared" si="447"/>
        <v>7</v>
      </c>
      <c r="N523" s="26">
        <f t="shared" si="448"/>
        <v>1</v>
      </c>
      <c r="O523" s="27" t="str">
        <f t="shared" si="3"/>
        <v>#N/A</v>
      </c>
      <c r="P523" s="28" t="str">
        <f>RANK(T523,$T$8:$T$333)</f>
        <v>#N/A</v>
      </c>
      <c r="Q523" s="28" t="str">
        <f>rank(V523,$V$8:$V$344)</f>
        <v>#N/A</v>
      </c>
      <c r="R523" s="28"/>
      <c r="S523" s="28"/>
      <c r="T523" s="29">
        <f t="shared" si="449"/>
        <v>2357142.857</v>
      </c>
      <c r="U523" s="28"/>
      <c r="V523" s="30">
        <f t="shared" si="425"/>
        <v>16500000</v>
      </c>
      <c r="W523" s="30"/>
      <c r="X523" s="32">
        <f>(max(AE523,AG523,AI523,AK523,AM523,AO523,AQ523,AS523,AU523,AW523,AY523,BA523,BC523)/min(AE523,AG523,AI523,AK523,AM523,AO523,AQ523,AS523,AU523,AW523,AY523,BA523,BC523))^(1/N523)-1</f>
        <v>0</v>
      </c>
      <c r="Y523" s="33">
        <f>(max(AE523,AG523,AI523,AK523,AM523,AO523,AQ523,AS523,AU523,AW523,AY523,BA523,BC523)/min(AE523,AG523,AI523,AK523,AM523,AO523,AQ523,AS523,AU523,AW523,AY523,BA523,BC523))^(1/M523)-1</f>
        <v>0</v>
      </c>
      <c r="Z523" s="692"/>
      <c r="AA523" s="665"/>
      <c r="AB523" s="36"/>
      <c r="AC523" s="36"/>
      <c r="AD523" s="44"/>
      <c r="AE523" s="46"/>
      <c r="AF523" s="914" t="str">
        <f>HYPERLINK("https://www.crunchbase.com/funding_round/concreit-seed--a2a4e293","Sep 16, 2021")</f>
        <v>Sep 16, 2021</v>
      </c>
      <c r="AG523" s="1141">
        <v>1.65E7</v>
      </c>
      <c r="AH523" s="36"/>
      <c r="AI523" s="159"/>
      <c r="AJ523" s="37"/>
      <c r="AK523" s="38"/>
      <c r="AL523" s="44"/>
      <c r="AM523" s="38"/>
      <c r="AN523" s="44"/>
      <c r="AO523" s="46"/>
      <c r="AP523" s="44"/>
      <c r="AQ523" s="46"/>
      <c r="AR523" s="44"/>
      <c r="AS523" s="44"/>
      <c r="AT523" s="44"/>
      <c r="AU523" s="45"/>
      <c r="AV523" s="44"/>
      <c r="AW523" s="38"/>
      <c r="AX523" s="44"/>
      <c r="AY523" s="38"/>
      <c r="AZ523" s="44"/>
      <c r="BA523" s="45"/>
      <c r="BB523" s="44"/>
      <c r="BC523" s="45"/>
      <c r="BD523" s="44"/>
      <c r="BE523" s="38"/>
      <c r="BF523" s="36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</row>
    <row r="524" ht="15.75" customHeight="1">
      <c r="A524" s="400" t="s">
        <v>2679</v>
      </c>
      <c r="B524" s="115"/>
      <c r="C524" s="116" t="s">
        <v>84</v>
      </c>
      <c r="D524" s="401" t="s">
        <v>2680</v>
      </c>
      <c r="E524" s="161" t="s">
        <v>2681</v>
      </c>
      <c r="F524" s="402" t="s">
        <v>2682</v>
      </c>
      <c r="G524" s="286"/>
      <c r="H524" s="119" t="s">
        <v>328</v>
      </c>
      <c r="I524" s="25" t="s">
        <v>329</v>
      </c>
      <c r="J524" s="287"/>
      <c r="K524" s="25">
        <v>3.0</v>
      </c>
      <c r="L524" s="25">
        <v>2016.0</v>
      </c>
      <c r="M524" s="123"/>
      <c r="N524" s="123"/>
      <c r="O524" s="27" t="str">
        <f t="shared" si="3"/>
        <v>#N/A</v>
      </c>
      <c r="P524" s="55"/>
      <c r="Q524" s="55"/>
      <c r="R524" s="55"/>
      <c r="S524" s="55"/>
      <c r="T524" s="55"/>
      <c r="U524" s="55"/>
      <c r="V524" s="30">
        <f t="shared" si="425"/>
        <v>26500000</v>
      </c>
      <c r="W524" s="31">
        <v>1.0E7</v>
      </c>
      <c r="X524" s="403"/>
      <c r="Y524" s="403"/>
      <c r="Z524" s="692"/>
      <c r="AA524" s="665"/>
      <c r="AB524" s="123"/>
      <c r="AC524" s="123"/>
      <c r="AD524" s="717"/>
      <c r="AE524" s="123"/>
      <c r="AF524" s="62">
        <v>43352.0</v>
      </c>
      <c r="AG524" s="38">
        <v>1.29E7</v>
      </c>
      <c r="AH524" s="123"/>
      <c r="AI524" s="123"/>
      <c r="AJ524" s="404">
        <v>45043.0</v>
      </c>
      <c r="AK524" s="38">
        <v>1.0E7</v>
      </c>
      <c r="AL524" s="123"/>
      <c r="AM524" s="123"/>
      <c r="AN524" s="123"/>
      <c r="AO524" s="123"/>
      <c r="AP524" s="123"/>
      <c r="AQ524" s="123"/>
      <c r="AR524" s="123"/>
      <c r="AS524" s="123"/>
      <c r="AT524" s="123"/>
      <c r="AU524" s="137"/>
      <c r="AV524" s="123"/>
      <c r="AW524" s="38"/>
      <c r="AX524" s="123"/>
      <c r="AY524" s="38"/>
      <c r="AZ524" s="404">
        <v>44878.0</v>
      </c>
      <c r="BA524" s="170">
        <v>3600000.0</v>
      </c>
      <c r="BB524" s="123"/>
      <c r="BC524" s="137"/>
      <c r="BD524" s="123"/>
      <c r="BE524" s="38"/>
      <c r="BF524" s="123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</row>
    <row r="525" ht="15.75" customHeight="1">
      <c r="A525" s="47" t="s">
        <v>2683</v>
      </c>
      <c r="C525" s="48" t="s">
        <v>84</v>
      </c>
      <c r="D525" s="617" t="s">
        <v>2684</v>
      </c>
      <c r="E525" s="617" t="s">
        <v>2685</v>
      </c>
      <c r="F525" s="352" t="s">
        <v>2686</v>
      </c>
      <c r="G525" s="353"/>
      <c r="H525" s="1222" t="s">
        <v>2687</v>
      </c>
      <c r="I525" s="54" t="s">
        <v>329</v>
      </c>
      <c r="J525" s="55"/>
      <c r="K525" s="54">
        <v>2.0</v>
      </c>
      <c r="L525" s="56">
        <v>2018.0</v>
      </c>
      <c r="M525" s="55"/>
      <c r="N525" s="55"/>
      <c r="O525" s="27" t="str">
        <f t="shared" si="3"/>
        <v>#N/A</v>
      </c>
      <c r="P525" s="55"/>
      <c r="Q525" s="55"/>
      <c r="R525" s="55"/>
      <c r="S525" s="55"/>
      <c r="T525" s="55"/>
      <c r="U525" s="55"/>
      <c r="V525" s="30">
        <f t="shared" si="425"/>
        <v>16500000</v>
      </c>
      <c r="W525" s="30"/>
      <c r="X525" s="58"/>
      <c r="Y525" s="58"/>
      <c r="Z525" s="692"/>
      <c r="AA525" s="665"/>
      <c r="AB525" s="55"/>
      <c r="AC525" s="55"/>
      <c r="AD525" s="355"/>
      <c r="AE525" s="55"/>
      <c r="AF525" s="62">
        <v>44404.0</v>
      </c>
      <c r="AG525" s="38">
        <v>3500000.0</v>
      </c>
      <c r="AH525" s="55"/>
      <c r="AI525" s="55"/>
      <c r="AJ525" s="62">
        <v>44909.0</v>
      </c>
      <c r="AK525" s="38">
        <v>1.3E7</v>
      </c>
      <c r="AL525" s="55"/>
      <c r="AM525" s="55"/>
      <c r="AN525" s="55"/>
      <c r="AO525" s="55"/>
      <c r="AP525" s="356"/>
      <c r="AQ525" s="356"/>
      <c r="AR525" s="55"/>
      <c r="AS525" s="55"/>
      <c r="AT525" s="55"/>
      <c r="AU525" s="722"/>
      <c r="AV525" s="55"/>
      <c r="AW525" s="38"/>
      <c r="AX525" s="55"/>
      <c r="AY525" s="38"/>
      <c r="AZ525" s="55"/>
      <c r="BA525" s="722"/>
      <c r="BB525" s="55"/>
      <c r="BC525" s="722"/>
      <c r="BD525" s="55"/>
      <c r="BE525" s="38"/>
      <c r="BF525" s="55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</row>
    <row r="526" ht="15.75" customHeight="1">
      <c r="A526" s="860" t="s">
        <v>2688</v>
      </c>
      <c r="B526" s="68"/>
      <c r="C526" s="69" t="s">
        <v>207</v>
      </c>
      <c r="D526" s="192" t="s">
        <v>2689</v>
      </c>
      <c r="E526" s="192" t="s">
        <v>2690</v>
      </c>
      <c r="F526" s="118" t="s">
        <v>2691</v>
      </c>
      <c r="G526" s="186"/>
      <c r="H526" s="71" t="s">
        <v>736</v>
      </c>
      <c r="I526" s="26" t="s">
        <v>518</v>
      </c>
      <c r="J526" s="155"/>
      <c r="K526" s="26"/>
      <c r="L526" s="26">
        <v>2010.0</v>
      </c>
      <c r="M526" s="25">
        <f>year(now()) -L526</f>
        <v>15</v>
      </c>
      <c r="N526" s="26">
        <f>counta(AE526,AG526,AI526,AK526,AM526,AO526,AQ526,AS526,AU526,AW526,AY526,BA526,BC526)</f>
        <v>3</v>
      </c>
      <c r="O526" s="27" t="str">
        <f t="shared" si="3"/>
        <v>#N/A</v>
      </c>
      <c r="P526" s="28" t="str">
        <f>RANK(T526,$T$8:$T$333)</f>
        <v>#N/A</v>
      </c>
      <c r="Q526" s="28" t="str">
        <f>rank(V526,$V$8:$V$344)</f>
        <v>#N/A</v>
      </c>
      <c r="R526" s="28"/>
      <c r="S526" s="28"/>
      <c r="T526" s="29">
        <f>V526/M526</f>
        <v>1093333.333</v>
      </c>
      <c r="U526" s="28"/>
      <c r="V526" s="30">
        <f t="shared" si="425"/>
        <v>16400000</v>
      </c>
      <c r="W526" s="30"/>
      <c r="X526" s="32">
        <f>(max(AE526,AG526,AI526,AK526,AM526,AO526,AQ526,AS526,AU526,AW526,AY526,BA526,BC526)/min(AE526,AG526,AI526,AK526,AM526,AO526,AQ526,AS526,AU526,AW526,AY526,BA526,BC526))^(1/N526)-1</f>
        <v>0.7324782107</v>
      </c>
      <c r="Y526" s="33">
        <f>(max(AE526,AG526,AI526,AK526,AM526,AO526,AQ526,AS526,AU526,AW526,AY526,BA526,BC526)/min(AE526,AG526,AI526,AK526,AM526,AO526,AQ526,AS526,AU526,AW526,AY526,BA526,BC526))^(1/M526)-1</f>
        <v>0.1161782518</v>
      </c>
      <c r="Z526" s="692"/>
      <c r="AA526" s="665"/>
      <c r="AB526" s="74"/>
      <c r="AC526" s="74"/>
      <c r="AD526" s="79"/>
      <c r="AE526" s="84"/>
      <c r="AF526" s="320">
        <v>40836.0</v>
      </c>
      <c r="AG526" s="76">
        <v>2000000.0</v>
      </c>
      <c r="AH526" s="74"/>
      <c r="AI526" s="78"/>
      <c r="AJ526" s="42">
        <v>40848.0</v>
      </c>
      <c r="AK526" s="76">
        <v>4000000.0</v>
      </c>
      <c r="AL526" s="42">
        <v>42563.0</v>
      </c>
      <c r="AM526" s="76">
        <v>1.04E7</v>
      </c>
      <c r="AN526" s="79"/>
      <c r="AO526" s="84"/>
      <c r="AP526" s="79"/>
      <c r="AQ526" s="84"/>
      <c r="AR526" s="79"/>
      <c r="AS526" s="79"/>
      <c r="AT526" s="79"/>
      <c r="AU526" s="80"/>
      <c r="AV526" s="79"/>
      <c r="AW526" s="38"/>
      <c r="AX526" s="79"/>
      <c r="AY526" s="38"/>
      <c r="AZ526" s="79"/>
      <c r="BA526" s="80"/>
      <c r="BB526" s="79"/>
      <c r="BC526" s="80"/>
      <c r="BD526" s="79"/>
      <c r="BE526" s="38"/>
      <c r="BF526" s="74"/>
      <c r="BG526" s="582"/>
      <c r="BH526" s="582"/>
      <c r="BI526" s="582"/>
      <c r="BJ526" s="582"/>
      <c r="BK526" s="582"/>
      <c r="BL526" s="582"/>
      <c r="BM526" s="582"/>
      <c r="BN526" s="582"/>
      <c r="BO526" s="582"/>
      <c r="BP526" s="582"/>
      <c r="BQ526" s="582"/>
      <c r="BR526" s="582"/>
      <c r="BS526" s="582"/>
      <c r="BT526" s="582"/>
      <c r="BU526" s="582"/>
      <c r="BV526" s="582"/>
      <c r="BW526" s="582"/>
      <c r="BX526" s="582"/>
      <c r="BY526" s="582"/>
      <c r="BZ526" s="582"/>
      <c r="CA526" s="582"/>
      <c r="CB526" s="582"/>
      <c r="CC526" s="582"/>
      <c r="CD526" s="582"/>
      <c r="CE526" s="582"/>
      <c r="CF526" s="582"/>
      <c r="CG526" s="582"/>
      <c r="CH526" s="582"/>
      <c r="CI526" s="582"/>
      <c r="CJ526" s="582"/>
      <c r="CK526" s="582"/>
      <c r="CL526" s="582"/>
      <c r="CM526" s="582"/>
      <c r="CN526" s="582"/>
      <c r="CO526" s="582"/>
      <c r="CP526" s="582"/>
    </row>
    <row r="527" ht="15.75" customHeight="1">
      <c r="A527" s="400" t="s">
        <v>2692</v>
      </c>
      <c r="B527" s="115"/>
      <c r="C527" s="116" t="s">
        <v>132</v>
      </c>
      <c r="D527" s="401" t="s">
        <v>2693</v>
      </c>
      <c r="E527" s="161" t="s">
        <v>2694</v>
      </c>
      <c r="F527" s="402" t="s">
        <v>2695</v>
      </c>
      <c r="G527" s="286"/>
      <c r="H527" s="119" t="s">
        <v>450</v>
      </c>
      <c r="I527" s="1016" t="s">
        <v>450</v>
      </c>
      <c r="J527" s="287"/>
      <c r="K527" s="25">
        <v>1.0</v>
      </c>
      <c r="L527" s="25">
        <v>2018.0</v>
      </c>
      <c r="M527" s="25"/>
      <c r="N527" s="25"/>
      <c r="O527" s="27" t="str">
        <f t="shared" si="3"/>
        <v>#N/A</v>
      </c>
      <c r="P527" s="55"/>
      <c r="Q527" s="55"/>
      <c r="R527" s="55"/>
      <c r="S527" s="55"/>
      <c r="T527" s="55"/>
      <c r="U527" s="55"/>
      <c r="V527" s="30">
        <f t="shared" si="425"/>
        <v>16400000</v>
      </c>
      <c r="W527" s="30"/>
      <c r="X527" s="597"/>
      <c r="Y527" s="597"/>
      <c r="Z527" s="692"/>
      <c r="AA527" s="665"/>
      <c r="AB527" s="123"/>
      <c r="AC527" s="123"/>
      <c r="AD527" s="171">
        <v>43440.0</v>
      </c>
      <c r="AE527" s="127">
        <v>730000.0</v>
      </c>
      <c r="AF527" s="728">
        <v>44123.0</v>
      </c>
      <c r="AG527" s="125">
        <f>1700000*0.74+3200000*0.72+150000*0.72</f>
        <v>3670000</v>
      </c>
      <c r="AH527" s="123"/>
      <c r="AI527" s="128"/>
      <c r="AJ527" s="171">
        <v>44802.0</v>
      </c>
      <c r="AK527" s="127">
        <v>1.2E7</v>
      </c>
      <c r="AL527" s="124"/>
      <c r="AM527" s="125"/>
      <c r="AN527" s="124"/>
      <c r="AO527" s="125"/>
      <c r="AP527" s="124"/>
      <c r="AQ527" s="125"/>
      <c r="AR527" s="124"/>
      <c r="AS527" s="124"/>
      <c r="AT527" s="124"/>
      <c r="AU527" s="137"/>
      <c r="AV527" s="124"/>
      <c r="AW527" s="38"/>
      <c r="AX527" s="124"/>
      <c r="AY527" s="38"/>
      <c r="AZ527" s="124"/>
      <c r="BA527" s="137"/>
      <c r="BB527" s="124"/>
      <c r="BC527" s="137"/>
      <c r="BD527" s="124"/>
      <c r="BE527" s="38"/>
      <c r="BF527" s="123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</row>
    <row r="528" ht="15.75" customHeight="1">
      <c r="A528" s="860" t="s">
        <v>2696</v>
      </c>
      <c r="B528" s="115"/>
      <c r="C528" s="116" t="s">
        <v>2214</v>
      </c>
      <c r="D528" s="192" t="s">
        <v>2697</v>
      </c>
      <c r="E528" s="192" t="s">
        <v>2698</v>
      </c>
      <c r="F528" s="118" t="s">
        <v>2699</v>
      </c>
      <c r="G528" s="286"/>
      <c r="H528" s="119" t="s">
        <v>271</v>
      </c>
      <c r="I528" s="25" t="s">
        <v>163</v>
      </c>
      <c r="J528" s="287"/>
      <c r="K528" s="25"/>
      <c r="L528" s="25">
        <v>2016.0</v>
      </c>
      <c r="M528" s="25">
        <f t="shared" ref="M528:M533" si="450">year(now()) -L528</f>
        <v>9</v>
      </c>
      <c r="N528" s="26">
        <f t="shared" ref="N528:N533" si="451">counta(AE528,AG528,AI528,AK528,AM528,AO528,AQ528,AS528,AU528,AW528,AY528,BA528,BC528)</f>
        <v>2</v>
      </c>
      <c r="O528" s="27" t="str">
        <f t="shared" si="3"/>
        <v>#N/A</v>
      </c>
      <c r="P528" s="28" t="str">
        <f>RANK(T528,$T$8:$T$333)</f>
        <v>#N/A</v>
      </c>
      <c r="Q528" s="28" t="str">
        <f>rank(V528,$V$8:$V$344)</f>
        <v>#N/A</v>
      </c>
      <c r="R528" s="28"/>
      <c r="S528" s="28"/>
      <c r="T528" s="29">
        <f t="shared" ref="T528:T533" si="452">V528/M528</f>
        <v>1811111.111</v>
      </c>
      <c r="U528" s="28"/>
      <c r="V528" s="30">
        <f t="shared" si="425"/>
        <v>16300000</v>
      </c>
      <c r="W528" s="30"/>
      <c r="X528" s="32">
        <f>(max(AE528,AG528,AI528,AK528,AM528,AO528,AQ528,AS528,AU528,AW528,AY528,BA528,BC528)/min(AE528,AG528,AI528,AK528,AM528,AO528,AQ528,AS528,AU528,AW528,AY528,BA528,BC528))^(1/N528)-1</f>
        <v>2.396831102</v>
      </c>
      <c r="Y528" s="33">
        <f>(max(AE528,AG528,AI528,AK528,AM528,AO528,AQ528,AS528,AU528,AW528,AY528,BA528,BC528)/min(AE528,AG528,AI528,AK528,AM528,AO528,AQ528,AS528,AU528,AW528,AY528,BA528,BC528))^(1/M528)-1</f>
        <v>0.3122495548</v>
      </c>
      <c r="Z528" s="692"/>
      <c r="AA528" s="665"/>
      <c r="AB528" s="123"/>
      <c r="AC528" s="123"/>
      <c r="AD528" s="124"/>
      <c r="AE528" s="125"/>
      <c r="AF528" s="126" t="str">
        <f>HYPERLINK("https://www.crunchbase.com/funding_round/pallet-seed--7bfcc758","Apr 30, 2020")</f>
        <v>Apr 30, 2020</v>
      </c>
      <c r="AG528" s="127">
        <v>1300000.0</v>
      </c>
      <c r="AH528" s="123"/>
      <c r="AI528" s="128"/>
      <c r="AJ528" s="455" t="str">
        <f>HYPERLINK("https://www.crunchbase.com/funding_round/pallet-series-a--1ebbe964","Mar 15, 2022")</f>
        <v>Mar 15, 2022</v>
      </c>
      <c r="AK528" s="127">
        <v>1.5E7</v>
      </c>
      <c r="AL528" s="124"/>
      <c r="AM528" s="125"/>
      <c r="AN528" s="124"/>
      <c r="AO528" s="125"/>
      <c r="AP528" s="124"/>
      <c r="AQ528" s="125"/>
      <c r="AR528" s="124"/>
      <c r="AS528" s="124"/>
      <c r="AT528" s="124"/>
      <c r="AU528" s="137"/>
      <c r="AV528" s="124"/>
      <c r="AW528" s="38"/>
      <c r="AX528" s="124"/>
      <c r="AY528" s="38"/>
      <c r="AZ528" s="124"/>
      <c r="BA528" s="137"/>
      <c r="BB528" s="124"/>
      <c r="BC528" s="137"/>
      <c r="BD528" s="124"/>
      <c r="BE528" s="38"/>
      <c r="BF528" s="123"/>
      <c r="BG528" s="115"/>
      <c r="BH528" s="115"/>
      <c r="BI528" s="115"/>
      <c r="BJ528" s="115"/>
      <c r="BK528" s="115"/>
      <c r="BL528" s="115"/>
      <c r="BM528" s="115"/>
      <c r="BN528" s="115"/>
      <c r="BO528" s="115"/>
      <c r="BP528" s="115"/>
      <c r="BQ528" s="115"/>
      <c r="BR528" s="115"/>
      <c r="BS528" s="115"/>
      <c r="BT528" s="115"/>
      <c r="BU528" s="115"/>
      <c r="BV528" s="115"/>
      <c r="BW528" s="115"/>
      <c r="BX528" s="115"/>
      <c r="BY528" s="115"/>
      <c r="BZ528" s="115"/>
      <c r="CA528" s="115"/>
      <c r="CB528" s="115"/>
      <c r="CC528" s="115"/>
      <c r="CD528" s="115"/>
      <c r="CE528" s="115"/>
      <c r="CF528" s="115"/>
      <c r="CG528" s="115"/>
      <c r="CH528" s="115"/>
      <c r="CI528" s="115"/>
      <c r="CJ528" s="115"/>
      <c r="CK528" s="115"/>
      <c r="CL528" s="115"/>
      <c r="CM528" s="115"/>
      <c r="CN528" s="115"/>
      <c r="CO528" s="115"/>
      <c r="CP528" s="115"/>
    </row>
    <row r="529" ht="15.75" customHeight="1">
      <c r="A529" s="400" t="s">
        <v>2700</v>
      </c>
      <c r="B529" s="116" t="s">
        <v>2701</v>
      </c>
      <c r="C529" s="116" t="s">
        <v>1007</v>
      </c>
      <c r="D529" s="540" t="s">
        <v>2702</v>
      </c>
      <c r="E529" s="540" t="s">
        <v>2703</v>
      </c>
      <c r="F529" s="744" t="s">
        <v>2704</v>
      </c>
      <c r="G529" s="1223" t="s">
        <v>2705</v>
      </c>
      <c r="H529" s="119" t="s">
        <v>187</v>
      </c>
      <c r="I529" s="25" t="s">
        <v>1171</v>
      </c>
      <c r="J529" s="1224" t="s">
        <v>1018</v>
      </c>
      <c r="K529" s="25">
        <v>2.0</v>
      </c>
      <c r="L529" s="142">
        <v>2012.0</v>
      </c>
      <c r="M529" s="25">
        <f t="shared" si="450"/>
        <v>13</v>
      </c>
      <c r="N529" s="26">
        <f t="shared" si="451"/>
        <v>3</v>
      </c>
      <c r="O529" s="27" t="str">
        <f t="shared" si="3"/>
        <v>#N/A</v>
      </c>
      <c r="P529" s="28"/>
      <c r="Q529" s="28"/>
      <c r="R529" s="28"/>
      <c r="S529" s="28"/>
      <c r="T529" s="29">
        <f t="shared" si="452"/>
        <v>1251153.846</v>
      </c>
      <c r="U529" s="28"/>
      <c r="V529" s="30">
        <f t="shared" si="425"/>
        <v>16265000</v>
      </c>
      <c r="W529" s="31">
        <v>1000000.0</v>
      </c>
      <c r="X529" s="597"/>
      <c r="Y529" s="33">
        <f>(max(AE529,AG529,AI529,AK529,AM529,AO529,AQ529,AS529,AU529,AW529,AY529,BA529,BC529)/min(AE529,AG529,AI529,AK529))^(1/M529)-1</f>
        <v>0.1349030099</v>
      </c>
      <c r="Z529" s="692"/>
      <c r="AA529" s="665"/>
      <c r="AB529" s="123"/>
      <c r="AC529" s="123"/>
      <c r="AD529" s="55"/>
      <c r="AE529" s="905"/>
      <c r="AF529" s="975" t="str">
        <f>HYPERLINK("https://www.crunchbase.com/funding_round/purchasing-platform-seed--820429af","Mar 18, 2013")</f>
        <v>Mar 18, 2013</v>
      </c>
      <c r="AG529" s="1225">
        <f>965000+1100000</f>
        <v>2065000</v>
      </c>
      <c r="AH529" s="907"/>
      <c r="AI529" s="908"/>
      <c r="AJ529" s="975" t="str">
        <f>HYPERLINK("https://www.americaninno.com/chicago/funding-chicago/purchasing-platform-raises-3-5m-to-help-real-estate-developers-buy-products-for-their-properties/","Oct 17, 2019")</f>
        <v>Oct 17, 2019</v>
      </c>
      <c r="AK529" s="165">
        <v>3500000.0</v>
      </c>
      <c r="AL529" s="124"/>
      <c r="AM529" s="125"/>
      <c r="AN529" s="124"/>
      <c r="AO529" s="125"/>
      <c r="AP529" s="124"/>
      <c r="AQ529" s="125"/>
      <c r="AR529" s="124"/>
      <c r="AS529" s="124"/>
      <c r="AT529" s="124"/>
      <c r="AU529" s="137"/>
      <c r="AV529" s="124"/>
      <c r="AW529" s="38"/>
      <c r="AX529" s="124"/>
      <c r="AY529" s="38"/>
      <c r="AZ529" s="171">
        <v>44869.0</v>
      </c>
      <c r="BA529" s="170">
        <v>1.07E7</v>
      </c>
      <c r="BB529" s="124"/>
      <c r="BC529" s="137"/>
      <c r="BD529" s="124"/>
      <c r="BE529" s="38"/>
      <c r="BF529" s="123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</row>
    <row r="530" ht="15.75" customHeight="1">
      <c r="A530" s="21" t="s">
        <v>863</v>
      </c>
      <c r="B530" s="16"/>
      <c r="C530" s="17" t="s">
        <v>123</v>
      </c>
      <c r="D530" s="337"/>
      <c r="E530" s="18" t="s">
        <v>864</v>
      </c>
      <c r="F530" s="177" t="s">
        <v>865</v>
      </c>
      <c r="G530" s="22"/>
      <c r="H530" s="317"/>
      <c r="I530" s="36"/>
      <c r="J530" s="237"/>
      <c r="K530" s="36"/>
      <c r="L530" s="23"/>
      <c r="M530" s="25">
        <f t="shared" si="450"/>
        <v>2025</v>
      </c>
      <c r="N530" s="26">
        <f t="shared" si="451"/>
        <v>2</v>
      </c>
      <c r="O530" s="27" t="str">
        <f t="shared" si="3"/>
        <v>#N/A</v>
      </c>
      <c r="P530" s="28" t="str">
        <f t="shared" ref="P530:P533" si="453">RANK(T530,$T$8:$T$333)</f>
        <v>#N/A</v>
      </c>
      <c r="Q530" s="28" t="str">
        <f t="shared" ref="Q530:Q533" si="454">rank(V530,$V$8:$V$344)</f>
        <v>#N/A</v>
      </c>
      <c r="R530" s="28"/>
      <c r="S530" s="28"/>
      <c r="T530" s="29">
        <f t="shared" si="452"/>
        <v>7901.234568</v>
      </c>
      <c r="U530" s="28"/>
      <c r="V530" s="30">
        <f t="shared" si="425"/>
        <v>16000000</v>
      </c>
      <c r="W530" s="30"/>
      <c r="X530" s="32">
        <f t="shared" ref="X530:X533" si="455">(max(AE530,AG530,AI530,AK530,AM530,AO530,AQ530,AS530,AU530,AW530,AY530,BA530,BC530)/min(AE530,AG530,AI530,AK530,AM530,AO530,AQ530,AS530,AU530,AW530,AY530,BA530,BC530))^(1/N530)-1</f>
        <v>1.081665999</v>
      </c>
      <c r="Y530" s="33">
        <f>(max(AE530,AG530,AI530,AK530,AM530,AO530,AQ530,AS530,AU530,AW530,AY530,BA530,BC530)/min(AE530,AG530,AI530,AK530,AM530,AO530,AQ530,AS530,AU530,AW530,AY530,BA530,BC530))^(1/M530)-1</f>
        <v>0.0007243793071</v>
      </c>
      <c r="Z530" s="692"/>
      <c r="AA530" s="665"/>
      <c r="AB530" s="36"/>
      <c r="AC530" s="36"/>
      <c r="AD530" s="44"/>
      <c r="AE530" s="46"/>
      <c r="AF530" s="918" t="str">
        <f>HYPERLINK("https://www.crunchbase.com/funding_round/buildots-seed--5677070b"," 1/1/2019")</f>
        <v> 1/1/2019</v>
      </c>
      <c r="AG530" s="38">
        <v>3000000.0</v>
      </c>
      <c r="AH530" s="46"/>
      <c r="AI530" s="159"/>
      <c r="AJ530" s="43" t="str">
        <f>HYPERLINK("https://www.crunchbase.com/funding_round/buildots-series-a--f99f28b3"," Jul 30, 2020        
")</f>
        <v> Jul 30, 2020        
</v>
      </c>
      <c r="AK530" s="38">
        <v>1.3E7</v>
      </c>
      <c r="AL530" s="44"/>
      <c r="AM530" s="46"/>
      <c r="AN530" s="44"/>
      <c r="AO530" s="46"/>
      <c r="AP530" s="44"/>
      <c r="AQ530" s="46"/>
      <c r="AR530" s="44"/>
      <c r="AS530" s="44"/>
      <c r="AT530" s="44"/>
      <c r="AU530" s="45"/>
      <c r="AV530" s="44"/>
      <c r="AW530" s="38"/>
      <c r="AX530" s="44"/>
      <c r="AY530" s="38"/>
      <c r="AZ530" s="44"/>
      <c r="BA530" s="45"/>
      <c r="BB530" s="44"/>
      <c r="BC530" s="45"/>
      <c r="BD530" s="44"/>
      <c r="BE530" s="38"/>
      <c r="BF530" s="46"/>
      <c r="BG530" s="1226"/>
      <c r="BH530" s="1226"/>
      <c r="BI530" s="1226"/>
      <c r="BJ530" s="1226"/>
      <c r="BK530" s="1226"/>
      <c r="BL530" s="1226"/>
      <c r="BM530" s="1226"/>
      <c r="BN530" s="1226"/>
      <c r="BO530" s="1226"/>
      <c r="BP530" s="1226"/>
      <c r="BQ530" s="1226"/>
      <c r="BR530" s="1226"/>
      <c r="BS530" s="1226"/>
      <c r="BT530" s="1226"/>
      <c r="BU530" s="1226"/>
      <c r="BV530" s="1226"/>
      <c r="BW530" s="1226"/>
      <c r="BX530" s="1226"/>
      <c r="BY530" s="1226"/>
      <c r="BZ530" s="1226"/>
      <c r="CA530" s="1226"/>
      <c r="CB530" s="1226"/>
      <c r="CC530" s="1226"/>
      <c r="CD530" s="1226"/>
      <c r="CE530" s="1226"/>
      <c r="CF530" s="1226"/>
      <c r="CG530" s="1226"/>
      <c r="CH530" s="1226"/>
      <c r="CI530" s="1226"/>
      <c r="CJ530" s="1226"/>
      <c r="CK530" s="1226"/>
      <c r="CL530" s="1226"/>
      <c r="CM530" s="1226"/>
      <c r="CN530" s="1226"/>
      <c r="CO530" s="1226"/>
      <c r="CP530" s="1226"/>
    </row>
    <row r="531" ht="15.75" customHeight="1">
      <c r="A531" s="21" t="s">
        <v>2706</v>
      </c>
      <c r="B531" s="69" t="s">
        <v>2707</v>
      </c>
      <c r="C531" s="69" t="s">
        <v>59</v>
      </c>
      <c r="D531" s="200" t="s">
        <v>2708</v>
      </c>
      <c r="E531" s="200" t="s">
        <v>2709</v>
      </c>
      <c r="F531" s="841" t="s">
        <v>2710</v>
      </c>
      <c r="G531" s="54" t="s">
        <v>2711</v>
      </c>
      <c r="H531" s="71" t="s">
        <v>64</v>
      </c>
      <c r="I531" s="26" t="s">
        <v>65</v>
      </c>
      <c r="J531" s="72" t="s">
        <v>566</v>
      </c>
      <c r="K531" s="26">
        <v>2.0</v>
      </c>
      <c r="L531" s="26">
        <v>2016.0</v>
      </c>
      <c r="M531" s="25">
        <f t="shared" si="450"/>
        <v>9</v>
      </c>
      <c r="N531" s="26">
        <f t="shared" si="451"/>
        <v>2</v>
      </c>
      <c r="O531" s="27" t="str">
        <f t="shared" si="3"/>
        <v>#N/A</v>
      </c>
      <c r="P531" s="28" t="str">
        <f t="shared" si="453"/>
        <v>#N/A</v>
      </c>
      <c r="Q531" s="28" t="str">
        <f t="shared" si="454"/>
        <v>#N/A</v>
      </c>
      <c r="R531" s="28"/>
      <c r="S531" s="28"/>
      <c r="T531" s="29">
        <f t="shared" si="452"/>
        <v>1777777.778</v>
      </c>
      <c r="U531" s="28"/>
      <c r="V531" s="30">
        <f t="shared" si="425"/>
        <v>16000000</v>
      </c>
      <c r="W531" s="30"/>
      <c r="X531" s="32" t="str">
        <f t="shared" si="455"/>
        <v>#DIV/0!</v>
      </c>
      <c r="Y531" s="33"/>
      <c r="Z531" s="692"/>
      <c r="AA531" s="665"/>
      <c r="AB531" s="74"/>
      <c r="AC531" s="74"/>
      <c r="AD531" s="79"/>
      <c r="AE531" s="84"/>
      <c r="AF531" s="175" t="str">
        <f>HYPERLINK("https://www.crunchbase.com/funding_round/safegraph-seed--00a2acbb","Jan 5, 2017")</f>
        <v>Jan 5, 2017</v>
      </c>
      <c r="AG531" s="76">
        <v>0.0</v>
      </c>
      <c r="AH531" s="74"/>
      <c r="AI531" s="78"/>
      <c r="AJ531" s="181" t="str">
        <f>HYPERLINK("https://www.crunchbase.com/funding_round/safegraph-series-a--03c9a00c","Apr 19, 2017")</f>
        <v>Apr 19, 2017</v>
      </c>
      <c r="AK531" s="76">
        <v>1.6E7</v>
      </c>
      <c r="AL531" s="79"/>
      <c r="AM531" s="84"/>
      <c r="AN531" s="79"/>
      <c r="AO531" s="84"/>
      <c r="AP531" s="79"/>
      <c r="AQ531" s="84"/>
      <c r="AR531" s="79"/>
      <c r="AS531" s="79"/>
      <c r="AT531" s="79"/>
      <c r="AU531" s="80"/>
      <c r="AV531" s="79"/>
      <c r="AW531" s="38"/>
      <c r="AX531" s="79"/>
      <c r="AY531" s="38"/>
      <c r="AZ531" s="79"/>
      <c r="BA531" s="80"/>
      <c r="BB531" s="79"/>
      <c r="BC531" s="80"/>
      <c r="BD531" s="79"/>
      <c r="BE531" s="38"/>
      <c r="BF531" s="74"/>
      <c r="BG531" s="534"/>
      <c r="BH531" s="534"/>
      <c r="BI531" s="534"/>
      <c r="BJ531" s="534"/>
      <c r="BK531" s="534"/>
      <c r="BL531" s="534"/>
      <c r="BM531" s="534"/>
      <c r="BN531" s="534"/>
      <c r="BO531" s="534"/>
      <c r="BP531" s="534"/>
      <c r="BQ531" s="534"/>
      <c r="BR531" s="534"/>
      <c r="BS531" s="534"/>
      <c r="BT531" s="534"/>
      <c r="BU531" s="534"/>
      <c r="BV531" s="534"/>
      <c r="BW531" s="534"/>
      <c r="BX531" s="534"/>
      <c r="BY531" s="534"/>
      <c r="BZ531" s="534"/>
      <c r="CA531" s="534"/>
      <c r="CB531" s="534"/>
      <c r="CC531" s="534"/>
      <c r="CD531" s="534"/>
      <c r="CE531" s="534"/>
      <c r="CF531" s="534"/>
      <c r="CG531" s="534"/>
      <c r="CH531" s="534"/>
      <c r="CI531" s="534"/>
      <c r="CJ531" s="534"/>
      <c r="CK531" s="534"/>
      <c r="CL531" s="534"/>
      <c r="CM531" s="534"/>
      <c r="CN531" s="534"/>
      <c r="CO531" s="534"/>
      <c r="CP531" s="534"/>
    </row>
    <row r="532" ht="15.75" customHeight="1">
      <c r="A532" s="666" t="s">
        <v>2712</v>
      </c>
      <c r="B532" s="115"/>
      <c r="C532" s="116" t="s">
        <v>207</v>
      </c>
      <c r="D532" s="667" t="s">
        <v>2713</v>
      </c>
      <c r="E532" s="667" t="s">
        <v>2714</v>
      </c>
      <c r="F532" s="1227" t="s">
        <v>2715</v>
      </c>
      <c r="G532" s="286" t="s">
        <v>2716</v>
      </c>
      <c r="H532" s="119" t="s">
        <v>99</v>
      </c>
      <c r="I532" s="25" t="s">
        <v>100</v>
      </c>
      <c r="J532" s="287">
        <v>10117.0</v>
      </c>
      <c r="K532" s="123">
        <v>2.0</v>
      </c>
      <c r="L532" s="25">
        <v>2013.0</v>
      </c>
      <c r="M532" s="25">
        <f t="shared" si="450"/>
        <v>12</v>
      </c>
      <c r="N532" s="26">
        <f t="shared" si="451"/>
        <v>1</v>
      </c>
      <c r="O532" s="27" t="str">
        <f t="shared" si="3"/>
        <v>#N/A</v>
      </c>
      <c r="P532" s="28" t="str">
        <f t="shared" si="453"/>
        <v>#N/A</v>
      </c>
      <c r="Q532" s="28" t="str">
        <f t="shared" si="454"/>
        <v>#N/A</v>
      </c>
      <c r="R532" s="28"/>
      <c r="S532" s="28"/>
      <c r="T532" s="29">
        <f t="shared" si="452"/>
        <v>1333333.333</v>
      </c>
      <c r="U532" s="28"/>
      <c r="V532" s="30">
        <f t="shared" si="425"/>
        <v>16000000</v>
      </c>
      <c r="W532" s="30"/>
      <c r="X532" s="32">
        <f t="shared" si="455"/>
        <v>0</v>
      </c>
      <c r="Y532" s="33">
        <f t="shared" ref="Y532:Y533" si="456">(max(AE532,AG532,AI532,AK532,AM532,AO532,AQ532,AS532,AU532,AW532,AY532,BA532,BC532)/min(AE532,AG532,AI532,AK532,AM532,AO532,AQ532,AS532,AU532,AW532,AY532,BA532,BC532))^(1/M532)-1</f>
        <v>0</v>
      </c>
      <c r="Z532" s="692"/>
      <c r="AA532" s="665"/>
      <c r="AB532" s="123"/>
      <c r="AC532" s="123"/>
      <c r="AD532" s="124"/>
      <c r="AE532" s="125"/>
      <c r="AF532" s="166"/>
      <c r="AG532" s="125"/>
      <c r="AH532" s="123"/>
      <c r="AI532" s="128"/>
      <c r="AJ532" s="167" t="str">
        <f>HYPERLINK("https://www.crunchbase.com/organization/safegraph#section-funding-rounds"," Apr 19, 2017")</f>
        <v> Apr 19, 2017</v>
      </c>
      <c r="AK532" s="127">
        <v>1.6E7</v>
      </c>
      <c r="AL532" s="124"/>
      <c r="AM532" s="125"/>
      <c r="AN532" s="124"/>
      <c r="AO532" s="125"/>
      <c r="AP532" s="124"/>
      <c r="AQ532" s="125"/>
      <c r="AR532" s="124"/>
      <c r="AS532" s="124"/>
      <c r="AT532" s="124"/>
      <c r="AU532" s="137"/>
      <c r="AV532" s="124"/>
      <c r="AW532" s="38"/>
      <c r="AX532" s="124"/>
      <c r="AY532" s="38"/>
      <c r="AZ532" s="124"/>
      <c r="BA532" s="137"/>
      <c r="BB532" s="124"/>
      <c r="BC532" s="137"/>
      <c r="BD532" s="124"/>
      <c r="BE532" s="38"/>
      <c r="BF532" s="123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</row>
    <row r="533" ht="15.75" customHeight="1">
      <c r="A533" s="860" t="s">
        <v>2717</v>
      </c>
      <c r="B533" s="68"/>
      <c r="C533" s="69" t="s">
        <v>132</v>
      </c>
      <c r="D533" s="138" t="s">
        <v>2718</v>
      </c>
      <c r="E533" s="192" t="s">
        <v>2719</v>
      </c>
      <c r="F533" s="118" t="s">
        <v>2720</v>
      </c>
      <c r="G533" s="54"/>
      <c r="H533" s="71" t="s">
        <v>129</v>
      </c>
      <c r="I533" s="26" t="s">
        <v>129</v>
      </c>
      <c r="J533" s="72"/>
      <c r="K533" s="74"/>
      <c r="L533" s="26">
        <v>2018.0</v>
      </c>
      <c r="M533" s="25">
        <f t="shared" si="450"/>
        <v>7</v>
      </c>
      <c r="N533" s="26">
        <f t="shared" si="451"/>
        <v>2</v>
      </c>
      <c r="O533" s="27" t="str">
        <f t="shared" si="3"/>
        <v>#N/A</v>
      </c>
      <c r="P533" s="28" t="str">
        <f t="shared" si="453"/>
        <v>#N/A</v>
      </c>
      <c r="Q533" s="28" t="str">
        <f t="shared" si="454"/>
        <v>#N/A</v>
      </c>
      <c r="R533" s="28"/>
      <c r="S533" s="28"/>
      <c r="T533" s="29">
        <f t="shared" si="452"/>
        <v>2285714.286</v>
      </c>
      <c r="U533" s="28"/>
      <c r="V533" s="30">
        <f t="shared" si="425"/>
        <v>16000000</v>
      </c>
      <c r="W533" s="30"/>
      <c r="X533" s="32">
        <f t="shared" si="455"/>
        <v>0.7320508076</v>
      </c>
      <c r="Y533" s="33">
        <f t="shared" si="456"/>
        <v>0.1699308128</v>
      </c>
      <c r="Z533" s="692"/>
      <c r="AA533" s="665"/>
      <c r="AB533" s="74"/>
      <c r="AC533" s="74"/>
      <c r="AD533" s="79"/>
      <c r="AE533" s="84"/>
      <c r="AF533" s="719" t="str">
        <f>HYPERLINK("https://www.crunchbase.com/funding_round/stake-2f06-seed--de53eb55","Sep 17, 2021")</f>
        <v>Sep 17, 2021</v>
      </c>
      <c r="AG533" s="76">
        <v>4000000.0</v>
      </c>
      <c r="AH533" s="77"/>
      <c r="AI533" s="78"/>
      <c r="AJ533" s="391">
        <v>44742.0</v>
      </c>
      <c r="AK533" s="84">
        <f>12000000</f>
        <v>12000000</v>
      </c>
      <c r="AL533" s="279"/>
      <c r="AM533" s="76"/>
      <c r="AN533" s="79"/>
      <c r="AO533" s="84"/>
      <c r="AP533" s="79"/>
      <c r="AQ533" s="84"/>
      <c r="AR533" s="79"/>
      <c r="AS533" s="79"/>
      <c r="AT533" s="79"/>
      <c r="AU533" s="80"/>
      <c r="AV533" s="79"/>
      <c r="AW533" s="38"/>
      <c r="AX533" s="79"/>
      <c r="AY533" s="38"/>
      <c r="AZ533" s="79"/>
      <c r="BA533" s="80"/>
      <c r="BB533" s="79"/>
      <c r="BC533" s="80"/>
      <c r="BD533" s="79"/>
      <c r="BE533" s="38"/>
      <c r="BF533" s="74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</row>
    <row r="534" ht="15.75" customHeight="1">
      <c r="A534" s="21" t="s">
        <v>2721</v>
      </c>
      <c r="B534" s="68"/>
      <c r="C534" s="69" t="s">
        <v>68</v>
      </c>
      <c r="D534" s="337"/>
      <c r="E534" s="231" t="s">
        <v>2722</v>
      </c>
      <c r="F534" s="757" t="s">
        <v>2723</v>
      </c>
      <c r="G534" s="71" t="s">
        <v>2724</v>
      </c>
      <c r="H534" s="71" t="s">
        <v>120</v>
      </c>
      <c r="I534" s="26" t="s">
        <v>65</v>
      </c>
      <c r="J534" s="72" t="s">
        <v>2725</v>
      </c>
      <c r="K534" s="26">
        <v>4.0</v>
      </c>
      <c r="L534" s="142">
        <v>2017.0</v>
      </c>
      <c r="M534" s="25"/>
      <c r="N534" s="26"/>
      <c r="O534" s="27" t="str">
        <f t="shared" si="3"/>
        <v>#N/A</v>
      </c>
      <c r="P534" s="28"/>
      <c r="Q534" s="28"/>
      <c r="R534" s="28"/>
      <c r="S534" s="28"/>
      <c r="T534" s="28"/>
      <c r="U534" s="28"/>
      <c r="V534" s="30">
        <f t="shared" si="425"/>
        <v>16000000</v>
      </c>
      <c r="W534" s="30"/>
      <c r="X534" s="73"/>
      <c r="Y534" s="73"/>
      <c r="Z534" s="692"/>
      <c r="AA534" s="665"/>
      <c r="AB534" s="74"/>
      <c r="AC534" s="74"/>
      <c r="AD534" s="279"/>
      <c r="AE534" s="84"/>
      <c r="AF534" s="338"/>
      <c r="AG534" s="84"/>
      <c r="AH534" s="77"/>
      <c r="AI534" s="78"/>
      <c r="AJ534" s="391">
        <v>44733.0</v>
      </c>
      <c r="AK534" s="84">
        <f>16000000</f>
        <v>16000000</v>
      </c>
      <c r="AL534" s="79"/>
      <c r="AM534" s="84"/>
      <c r="AN534" s="79"/>
      <c r="AO534" s="84"/>
      <c r="AP534" s="79"/>
      <c r="AQ534" s="84"/>
      <c r="AR534" s="79"/>
      <c r="AS534" s="79"/>
      <c r="AT534" s="79"/>
      <c r="AU534" s="80"/>
      <c r="AV534" s="79"/>
      <c r="AW534" s="38"/>
      <c r="AX534" s="79"/>
      <c r="AY534" s="38"/>
      <c r="AZ534" s="79"/>
      <c r="BA534" s="80"/>
      <c r="BB534" s="79"/>
      <c r="BC534" s="80"/>
      <c r="BD534" s="79"/>
      <c r="BE534" s="38"/>
      <c r="BF534" s="74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</row>
    <row r="535" ht="15.75" customHeight="1">
      <c r="A535" s="442" t="s">
        <v>2726</v>
      </c>
      <c r="B535" s="16" t="s">
        <v>2727</v>
      </c>
      <c r="C535" s="16" t="s">
        <v>384</v>
      </c>
      <c r="D535" s="184" t="s">
        <v>2728</v>
      </c>
      <c r="E535" s="184" t="s">
        <v>2729</v>
      </c>
      <c r="F535" s="185" t="s">
        <v>2730</v>
      </c>
      <c r="G535" s="317" t="s">
        <v>2731</v>
      </c>
      <c r="H535" s="317" t="s">
        <v>64</v>
      </c>
      <c r="I535" s="36" t="s">
        <v>287</v>
      </c>
      <c r="J535" s="237" t="s">
        <v>2577</v>
      </c>
      <c r="K535" s="36">
        <v>2.0</v>
      </c>
      <c r="L535" s="23">
        <v>2016.0</v>
      </c>
      <c r="M535" s="25">
        <f>year(now()) -L535</f>
        <v>9</v>
      </c>
      <c r="N535" s="26">
        <f>counta(AE535,AG535,AI535,AK535,AM535,AO535,AQ535,AS535,AU535,AW535,AY535,BA535,BC535)</f>
        <v>4</v>
      </c>
      <c r="O535" s="27" t="str">
        <f t="shared" si="3"/>
        <v>#N/A</v>
      </c>
      <c r="P535" s="28"/>
      <c r="Q535" s="28"/>
      <c r="R535" s="28"/>
      <c r="S535" s="28"/>
      <c r="T535" s="29">
        <f>V535/M535</f>
        <v>1777777.778</v>
      </c>
      <c r="U535" s="28"/>
      <c r="V535" s="30">
        <f t="shared" si="425"/>
        <v>16000000</v>
      </c>
      <c r="W535" s="30"/>
      <c r="X535" s="847"/>
      <c r="Y535" s="33">
        <f>(max(AE535,AG535,AI535,AK535,AM535,AO535,AQ535,AS535,AU535,AW535,AY535,BA535,BC535)/min(AE535,AG535,AI535,AK535))^(1/M535)-1</f>
        <v>0.3607900002</v>
      </c>
      <c r="Z535" s="692"/>
      <c r="AA535" s="665"/>
      <c r="AB535" s="36"/>
      <c r="AC535" s="36"/>
      <c r="AD535" s="75">
        <v>43040.0</v>
      </c>
      <c r="AE535" s="38">
        <v>500000.0</v>
      </c>
      <c r="AF535" s="158" t="str">
        <f>HYPERLINK("https://www.crunchbase.com/funding_round/amenify-seed--c1071bf1"," Mar 27, 2019")</f>
        <v> Mar 27, 2019</v>
      </c>
      <c r="AG535" s="38">
        <v>2700000.0</v>
      </c>
      <c r="AH535" s="36"/>
      <c r="AI535" s="46"/>
      <c r="AJ535" s="43" t="str">
        <f>HYPERLINK("https://www.crunchbase.com/funding_round/amenify-series-a--db08628f","Apr 13, 2021")</f>
        <v>Apr 13, 2021</v>
      </c>
      <c r="AK535" s="38">
        <v>4800000.0</v>
      </c>
      <c r="AL535" s="44"/>
      <c r="AM535" s="46"/>
      <c r="AN535" s="44"/>
      <c r="AO535" s="46"/>
      <c r="AP535" s="44"/>
      <c r="AQ535" s="46"/>
      <c r="AR535" s="44"/>
      <c r="AS535" s="44"/>
      <c r="AT535" s="44"/>
      <c r="AU535" s="45"/>
      <c r="AV535" s="44"/>
      <c r="AW535" s="38"/>
      <c r="AX535" s="44"/>
      <c r="AY535" s="38"/>
      <c r="AZ535" s="75">
        <v>44861.0</v>
      </c>
      <c r="BA535" s="229">
        <v>8000000.0</v>
      </c>
      <c r="BB535" s="44"/>
      <c r="BC535" s="45"/>
      <c r="BD535" s="44"/>
      <c r="BE535" s="38"/>
      <c r="BF535" s="3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</row>
    <row r="536" ht="15.75" customHeight="1">
      <c r="A536" s="47" t="s">
        <v>2732</v>
      </c>
      <c r="C536" s="48" t="s">
        <v>84</v>
      </c>
      <c r="D536" s="351"/>
      <c r="E536" s="49" t="s">
        <v>2733</v>
      </c>
      <c r="F536" s="749" t="s">
        <v>2734</v>
      </c>
      <c r="G536" s="353"/>
      <c r="H536" s="53" t="s">
        <v>2735</v>
      </c>
      <c r="I536" s="54" t="s">
        <v>329</v>
      </c>
      <c r="J536" s="55"/>
      <c r="K536" s="54">
        <v>2.0</v>
      </c>
      <c r="L536" s="56">
        <v>2014.0</v>
      </c>
      <c r="M536" s="55"/>
      <c r="N536" s="55"/>
      <c r="O536" s="27" t="str">
        <f t="shared" si="3"/>
        <v>#N/A</v>
      </c>
      <c r="P536" s="55"/>
      <c r="Q536" s="55"/>
      <c r="R536" s="55"/>
      <c r="S536" s="55"/>
      <c r="T536" s="55"/>
      <c r="U536" s="55"/>
      <c r="V536" s="30">
        <f t="shared" si="425"/>
        <v>16000000</v>
      </c>
      <c r="W536" s="30"/>
      <c r="X536" s="58"/>
      <c r="Y536" s="58"/>
      <c r="Z536" s="692"/>
      <c r="AA536" s="665"/>
      <c r="AB536" s="55"/>
      <c r="AC536" s="55"/>
      <c r="AD536" s="355"/>
      <c r="AE536" s="38"/>
      <c r="AF536" s="62">
        <v>42370.0</v>
      </c>
      <c r="AG536" s="38"/>
      <c r="AH536" s="55"/>
      <c r="AI536" s="38"/>
      <c r="AJ536" s="62">
        <v>43809.0</v>
      </c>
      <c r="AK536" s="38">
        <v>4700000.0</v>
      </c>
      <c r="AL536" s="55"/>
      <c r="AM536" s="38"/>
      <c r="AN536" s="55"/>
      <c r="AO536" s="38"/>
      <c r="AP536" s="356"/>
      <c r="AQ536" s="38"/>
      <c r="AR536" s="55"/>
      <c r="AS536" s="38"/>
      <c r="AT536" s="55"/>
      <c r="AU536" s="38"/>
      <c r="AV536" s="55"/>
      <c r="AW536" s="38"/>
      <c r="AX536" s="55"/>
      <c r="AY536" s="38"/>
      <c r="AZ536" s="62">
        <v>45012.0</v>
      </c>
      <c r="BA536" s="38">
        <v>1.13E7</v>
      </c>
      <c r="BB536" s="62">
        <v>42186.0</v>
      </c>
      <c r="BC536" s="38"/>
      <c r="BD536" s="55"/>
      <c r="BE536" s="38"/>
      <c r="BF536" s="55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</row>
    <row r="537" ht="15.75" customHeight="1">
      <c r="A537" s="21" t="s">
        <v>2736</v>
      </c>
      <c r="B537" s="69" t="s">
        <v>2737</v>
      </c>
      <c r="C537" s="69" t="s">
        <v>1007</v>
      </c>
      <c r="D537" s="200" t="s">
        <v>2738</v>
      </c>
      <c r="E537" s="200" t="s">
        <v>2739</v>
      </c>
      <c r="F537" s="154" t="s">
        <v>2740</v>
      </c>
      <c r="G537" s="71" t="s">
        <v>2741</v>
      </c>
      <c r="H537" s="71" t="s">
        <v>328</v>
      </c>
      <c r="I537" s="26" t="s">
        <v>2742</v>
      </c>
      <c r="J537" s="1228" t="s">
        <v>2743</v>
      </c>
      <c r="K537" s="26">
        <v>3.0</v>
      </c>
      <c r="L537" s="26">
        <v>2017.0</v>
      </c>
      <c r="M537" s="25">
        <f>year(now()) -L537</f>
        <v>8</v>
      </c>
      <c r="N537" s="26">
        <f>counta(AE537,AG537,AI537,AK537,AM537,AO537,AQ537,AS537,AU537,AW537,AY537,BA537,BC537)</f>
        <v>3</v>
      </c>
      <c r="O537" s="27" t="str">
        <f t="shared" si="3"/>
        <v>#N/A</v>
      </c>
      <c r="P537" s="28" t="str">
        <f>RANK(T537,$T$8:$T$333)</f>
        <v>#N/A</v>
      </c>
      <c r="Q537" s="28" t="str">
        <f>rank(V537,$V$8:$V$344)</f>
        <v>#N/A</v>
      </c>
      <c r="R537" s="28"/>
      <c r="S537" s="28"/>
      <c r="T537" s="29">
        <f>V537/M537</f>
        <v>1998984.75</v>
      </c>
      <c r="U537" s="28"/>
      <c r="V537" s="30">
        <f t="shared" si="425"/>
        <v>15991878</v>
      </c>
      <c r="W537" s="30"/>
      <c r="X537" s="32">
        <f>(max(AE537,AG537,AI537,AK537,AM537,AO537,AQ537,AS537,AU537,AW537,AY537,BA537,BC537)/min(AE537,AG537,AI537,AK537,AM537,AO537,AQ537,AS537,AU537,AW537,AY537,BA537,BC537))^(1/N537)-1</f>
        <v>2.155792654</v>
      </c>
      <c r="Y537" s="33">
        <f>(max(AE537,AG537,AI537,AK537,AM537,AO537,AQ537,AS537,AU537,AW537,AY537,BA537,BC537)/min(AE537,AG537,AI537,AK537,AM537,AO537,AQ537,AS537,AU537,AW537,AY537,BA537,BC537))^(1/M537)-1</f>
        <v>0.5387415211</v>
      </c>
      <c r="Z537" s="692"/>
      <c r="AA537" s="665"/>
      <c r="AB537" s="74"/>
      <c r="AC537" s="74"/>
      <c r="AD537" s="228" t="str">
        <f>HYPERLINK("https://www.crunchbase.com/funding_round/flatfair-pre-seed--dd78d32b"," 11/30/2017")</f>
        <v> 11/30/2017</v>
      </c>
      <c r="AE537" s="1229">
        <v>438992.0</v>
      </c>
      <c r="AF537" s="158" t="str">
        <f>HYPERLINK("https://www.crunchbase.com/funding_round/flatfair-seed--5f41bd17"," 10/1/2018")</f>
        <v> 10/1/2018</v>
      </c>
      <c r="AG537" s="38">
        <v>1755971.0</v>
      </c>
      <c r="AH537" s="1230"/>
      <c r="AI537" s="159"/>
      <c r="AJ537" s="228" t="str">
        <f>HYPERLINK("https://www.crunchbase.com/funding_round/flatfair-series-a--11770e13"," 8/14/2019")</f>
        <v> 8/14/2019</v>
      </c>
      <c r="AK537" s="715">
        <v>1.3796915E7</v>
      </c>
      <c r="AL537" s="44"/>
      <c r="AM537" s="46"/>
      <c r="AN537" s="44"/>
      <c r="AO537" s="46"/>
      <c r="AP537" s="44"/>
      <c r="AQ537" s="46"/>
      <c r="AR537" s="44"/>
      <c r="AS537" s="44"/>
      <c r="AT537" s="44"/>
      <c r="AU537" s="45"/>
      <c r="AV537" s="44"/>
      <c r="AW537" s="38"/>
      <c r="AX537" s="44"/>
      <c r="AY537" s="38"/>
      <c r="AZ537" s="44"/>
      <c r="BA537" s="45"/>
      <c r="BB537" s="44"/>
      <c r="BC537" s="45"/>
      <c r="BD537" s="44"/>
      <c r="BE537" s="38"/>
      <c r="BF537" s="36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</row>
    <row r="538" ht="15.75" customHeight="1">
      <c r="A538" s="245" t="s">
        <v>2744</v>
      </c>
      <c r="B538" s="16"/>
      <c r="C538" s="17" t="s">
        <v>76</v>
      </c>
      <c r="D538" s="236" t="s">
        <v>2745</v>
      </c>
      <c r="E538" s="138" t="s">
        <v>2746</v>
      </c>
      <c r="F538" s="803" t="s">
        <v>2747</v>
      </c>
      <c r="G538" s="810"/>
      <c r="H538" s="22" t="s">
        <v>673</v>
      </c>
      <c r="I538" s="23" t="s">
        <v>674</v>
      </c>
      <c r="J538" s="24"/>
      <c r="K538" s="26">
        <v>2.0</v>
      </c>
      <c r="L538" s="23">
        <v>2020.0</v>
      </c>
      <c r="M538" s="25"/>
      <c r="N538" s="26"/>
      <c r="O538" s="27" t="str">
        <f t="shared" si="3"/>
        <v>#N/A</v>
      </c>
      <c r="P538" s="464"/>
      <c r="Q538" s="464"/>
      <c r="R538" s="464"/>
      <c r="S538" s="464"/>
      <c r="T538" s="464"/>
      <c r="U538" s="464"/>
      <c r="V538" s="30">
        <f t="shared" si="425"/>
        <v>15660000</v>
      </c>
      <c r="W538" s="30"/>
      <c r="X538" s="73"/>
      <c r="Y538" s="73"/>
      <c r="Z538" s="692"/>
      <c r="AA538" s="665"/>
      <c r="AB538" s="36"/>
      <c r="AC538" s="36"/>
      <c r="AD538" s="44"/>
      <c r="AE538" s="46"/>
      <c r="AF538" s="158" t="str">
        <f>HYPERLINK("https://www.crunchbase.com/funding_round/beanstock-a735-seed--d3a80f5b","Jun 1, 2021")</f>
        <v>Jun 1, 2021</v>
      </c>
      <c r="AG538" s="38">
        <v>2700000.0</v>
      </c>
      <c r="AH538" s="36"/>
      <c r="AI538" s="159"/>
      <c r="AJ538" s="43" t="str">
        <f>HYPERLINK("https://www.crunchbase.com/funding_round/beanstock-a735-series-a--7a6d61b2","Apr 14, 2022")</f>
        <v>Apr 14, 2022</v>
      </c>
      <c r="AK538" s="38">
        <v>1.296E7</v>
      </c>
      <c r="AL538" s="44"/>
      <c r="AM538" s="46"/>
      <c r="AN538" s="44"/>
      <c r="AO538" s="46"/>
      <c r="AP538" s="44"/>
      <c r="AQ538" s="46"/>
      <c r="AR538" s="44"/>
      <c r="AS538" s="44"/>
      <c r="AT538" s="44"/>
      <c r="AU538" s="45"/>
      <c r="AV538" s="44"/>
      <c r="AW538" s="38"/>
      <c r="AX538" s="44"/>
      <c r="AY538" s="38"/>
      <c r="AZ538" s="44"/>
      <c r="BA538" s="45"/>
      <c r="BB538" s="44"/>
      <c r="BC538" s="45"/>
      <c r="BD538" s="44"/>
      <c r="BE538" s="38"/>
      <c r="BF538" s="36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</row>
    <row r="539" ht="15.75" customHeight="1">
      <c r="A539" s="400" t="s">
        <v>2748</v>
      </c>
      <c r="B539" s="115"/>
      <c r="C539" s="116" t="s">
        <v>2749</v>
      </c>
      <c r="D539" s="449"/>
      <c r="E539" s="192" t="s">
        <v>2750</v>
      </c>
      <c r="F539" s="118" t="s">
        <v>2751</v>
      </c>
      <c r="G539" s="286"/>
      <c r="H539" s="286"/>
      <c r="I539" s="123"/>
      <c r="J539" s="287"/>
      <c r="K539" s="123"/>
      <c r="L539" s="25">
        <v>2010.0</v>
      </c>
      <c r="M539" s="25">
        <f t="shared" ref="M539:M540" si="457">year(now()) -L539</f>
        <v>15</v>
      </c>
      <c r="N539" s="26">
        <f t="shared" ref="N539:N540" si="458">counta(AE539,AG539,AI539,AK539,AM539,AO539,AQ539,AS539,AU539,AW539,AY539,BA539,BC539)</f>
        <v>1</v>
      </c>
      <c r="O539" s="27" t="str">
        <f t="shared" si="3"/>
        <v>#N/A</v>
      </c>
      <c r="P539" s="28" t="str">
        <f t="shared" ref="P539:P540" si="459">RANK(T539,$T$8:$T$333)</f>
        <v>#N/A</v>
      </c>
      <c r="Q539" s="28" t="str">
        <f t="shared" ref="Q539:Q540" si="460">rank(V539,$V$8:$V$344)</f>
        <v>#N/A</v>
      </c>
      <c r="R539" s="28"/>
      <c r="S539" s="28"/>
      <c r="T539" s="29">
        <f t="shared" ref="T539:T540" si="461">V539/M539</f>
        <v>1040000</v>
      </c>
      <c r="U539" s="28"/>
      <c r="V539" s="30">
        <f t="shared" si="425"/>
        <v>15600000</v>
      </c>
      <c r="W539" s="30"/>
      <c r="X539" s="32">
        <f t="shared" ref="X539:X540" si="462">(max(AE539,AG539,AI539,AK539,AM539,AO539,AQ539,AS539,AU539,AW539,AY539,BA539,BC539)/min(AE539,AG539,AI539,AK539,AM539,AO539,AQ539,AS539,AU539,AW539,AY539,BA539,BC539))^(1/N539)-1</f>
        <v>0</v>
      </c>
      <c r="Y539" s="33">
        <f t="shared" ref="Y539:Y540" si="463">(max(AE539,AG539,AI539,AK539,AM539,AO539,AQ539,AS539,AU539,AW539,AY539,BA539,BC539)/min(AE539,AG539,AI539,AK539,AM539,AO539,AQ539,AS539,AU539,AW539,AY539,BA539,BC539))^(1/M539)-1</f>
        <v>0</v>
      </c>
      <c r="Z539" s="692"/>
      <c r="AA539" s="665"/>
      <c r="AB539" s="123"/>
      <c r="AC539" s="123"/>
      <c r="AD539" s="124"/>
      <c r="AE539" s="125"/>
      <c r="AF539" s="166"/>
      <c r="AG539" s="127"/>
      <c r="AH539" s="923"/>
      <c r="AI539" s="759"/>
      <c r="AJ539" s="1231" t="s">
        <v>2752</v>
      </c>
      <c r="AK539" s="127">
        <v>1.56E7</v>
      </c>
      <c r="AL539" s="124"/>
      <c r="AM539" s="125"/>
      <c r="AN539" s="124"/>
      <c r="AO539" s="125"/>
      <c r="AP539" s="124"/>
      <c r="AQ539" s="125"/>
      <c r="AR539" s="124"/>
      <c r="AS539" s="124"/>
      <c r="AT539" s="124"/>
      <c r="AU539" s="137"/>
      <c r="AV539" s="124"/>
      <c r="AW539" s="38"/>
      <c r="AX539" s="124"/>
      <c r="AY539" s="38"/>
      <c r="AZ539" s="124"/>
      <c r="BA539" s="137"/>
      <c r="BB539" s="124"/>
      <c r="BC539" s="137"/>
      <c r="BD539" s="124"/>
      <c r="BE539" s="38"/>
      <c r="BF539" s="123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</row>
    <row r="540" ht="15.75" customHeight="1">
      <c r="A540" s="442" t="s">
        <v>2753</v>
      </c>
      <c r="B540" s="68" t="s">
        <v>2754</v>
      </c>
      <c r="C540" s="69" t="s">
        <v>132</v>
      </c>
      <c r="D540" s="184" t="s">
        <v>2755</v>
      </c>
      <c r="E540" s="184" t="s">
        <v>2756</v>
      </c>
      <c r="F540" s="185" t="s">
        <v>2757</v>
      </c>
      <c r="G540" s="186" t="s">
        <v>2758</v>
      </c>
      <c r="H540" s="186" t="s">
        <v>128</v>
      </c>
      <c r="I540" s="74" t="s">
        <v>156</v>
      </c>
      <c r="J540" s="155" t="s">
        <v>416</v>
      </c>
      <c r="K540" s="74">
        <v>3.0</v>
      </c>
      <c r="L540" s="26">
        <v>2012.0</v>
      </c>
      <c r="M540" s="25">
        <f t="shared" si="457"/>
        <v>13</v>
      </c>
      <c r="N540" s="26">
        <f t="shared" si="458"/>
        <v>3</v>
      </c>
      <c r="O540" s="27" t="str">
        <f t="shared" si="3"/>
        <v>#N/A</v>
      </c>
      <c r="P540" s="28" t="str">
        <f t="shared" si="459"/>
        <v>#N/A</v>
      </c>
      <c r="Q540" s="28" t="str">
        <f t="shared" si="460"/>
        <v>#N/A</v>
      </c>
      <c r="R540" s="28"/>
      <c r="S540" s="28"/>
      <c r="T540" s="29">
        <f t="shared" si="461"/>
        <v>1192307.692</v>
      </c>
      <c r="U540" s="28"/>
      <c r="V540" s="30">
        <f t="shared" si="425"/>
        <v>15500000</v>
      </c>
      <c r="W540" s="30"/>
      <c r="X540" s="32">
        <f t="shared" si="462"/>
        <v>0.03228011546</v>
      </c>
      <c r="Y540" s="33">
        <f t="shared" si="463"/>
        <v>0.007358493923</v>
      </c>
      <c r="Z540" s="692"/>
      <c r="AA540" s="665"/>
      <c r="AB540" s="74"/>
      <c r="AC540" s="74"/>
      <c r="AD540" s="79"/>
      <c r="AE540" s="84"/>
      <c r="AF540" s="175" t="str">
        <f>HYPERLINK("https://www.crunchbase.com/organization/honest-buildings#section-funding-rounds"," 6/24/2013")</f>
        <v> 6/24/2013</v>
      </c>
      <c r="AG540" s="84">
        <v>5500000.0</v>
      </c>
      <c r="AH540" s="74"/>
      <c r="AI540" s="78"/>
      <c r="AJ540" s="181" t="str">
        <f>HYPERLINK("https://www.crunchbase.com/funding_round/honest-buildings-series-a--283bf3cd"," Jun 3, 2015        
")</f>
        <v> Jun 3, 2015        
</v>
      </c>
      <c r="AK540" s="76">
        <v>5000000.0</v>
      </c>
      <c r="AL540" s="181" t="str">
        <f>HYPERLINK("https://www.crunchbase.com/funding_round/honest-buildings-series-b--0488578f"," 6/1/2018")</f>
        <v> 6/1/2018</v>
      </c>
      <c r="AM540" s="76">
        <v>5000000.0</v>
      </c>
      <c r="AN540" s="79"/>
      <c r="AO540" s="84"/>
      <c r="AP540" s="79"/>
      <c r="AQ540" s="84"/>
      <c r="AR540" s="79"/>
      <c r="AS540" s="79"/>
      <c r="AT540" s="79"/>
      <c r="AU540" s="80"/>
      <c r="AV540" s="79"/>
      <c r="AW540" s="38"/>
      <c r="AX540" s="79"/>
      <c r="AY540" s="38"/>
      <c r="AZ540" s="79"/>
      <c r="BA540" s="80"/>
      <c r="BB540" s="79"/>
      <c r="BC540" s="80"/>
      <c r="BD540" s="79"/>
      <c r="BE540" s="38"/>
      <c r="BF540" s="74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</row>
    <row r="541" ht="15.75" customHeight="1">
      <c r="A541" s="47" t="s">
        <v>2759</v>
      </c>
      <c r="B541" s="68"/>
      <c r="C541" s="69" t="s">
        <v>132</v>
      </c>
      <c r="D541" s="48"/>
      <c r="E541" s="192" t="s">
        <v>2760</v>
      </c>
      <c r="F541" s="756" t="s">
        <v>2761</v>
      </c>
      <c r="G541" s="71"/>
      <c r="H541" s="23" t="s">
        <v>771</v>
      </c>
      <c r="I541" s="26" t="s">
        <v>772</v>
      </c>
      <c r="J541" s="72"/>
      <c r="K541" s="26">
        <v>2.0</v>
      </c>
      <c r="L541" s="26">
        <v>2019.0</v>
      </c>
      <c r="M541" s="25"/>
      <c r="N541" s="26"/>
      <c r="O541" s="27" t="str">
        <f t="shared" si="3"/>
        <v>#N/A</v>
      </c>
      <c r="P541" s="28"/>
      <c r="Q541" s="28"/>
      <c r="R541" s="28"/>
      <c r="S541" s="28"/>
      <c r="T541" s="28"/>
      <c r="U541" s="28"/>
      <c r="V541" s="30">
        <f t="shared" si="425"/>
        <v>15400000</v>
      </c>
      <c r="W541" s="30"/>
      <c r="X541" s="73"/>
      <c r="Y541" s="73"/>
      <c r="Z541" s="692"/>
      <c r="AA541" s="665"/>
      <c r="AB541" s="74"/>
      <c r="AC541" s="74"/>
      <c r="AD541" s="79"/>
      <c r="AE541" s="84"/>
      <c r="AF541" s="338"/>
      <c r="AG541" s="84"/>
      <c r="AH541" s="77"/>
      <c r="AI541" s="78"/>
      <c r="AJ541" s="181" t="str">
        <f>HYPERLINK("https://www.crunchbase.com/funding_round/honeycombinsurance-series-a--0d46fd58","Jan 19, 2022")</f>
        <v>Jan 19, 2022</v>
      </c>
      <c r="AK541" s="76">
        <v>1.54E7</v>
      </c>
      <c r="AL541" s="79"/>
      <c r="AM541" s="84"/>
      <c r="AN541" s="79"/>
      <c r="AO541" s="84"/>
      <c r="AP541" s="79"/>
      <c r="AQ541" s="84"/>
      <c r="AR541" s="79"/>
      <c r="AS541" s="79"/>
      <c r="AT541" s="79"/>
      <c r="AU541" s="80"/>
      <c r="AV541" s="79"/>
      <c r="AW541" s="38"/>
      <c r="AX541" s="79"/>
      <c r="AY541" s="38"/>
      <c r="AZ541" s="79"/>
      <c r="BA541" s="80"/>
      <c r="BB541" s="79"/>
      <c r="BC541" s="80"/>
      <c r="BD541" s="79"/>
      <c r="BE541" s="38"/>
      <c r="BF541" s="74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</row>
    <row r="542" ht="15.75" customHeight="1">
      <c r="A542" s="21" t="s">
        <v>2762</v>
      </c>
      <c r="B542" s="68"/>
      <c r="C542" s="69" t="s">
        <v>84</v>
      </c>
      <c r="D542" s="337"/>
      <c r="E542" s="231" t="s">
        <v>2763</v>
      </c>
      <c r="F542" s="177" t="s">
        <v>2764</v>
      </c>
      <c r="G542" s="71" t="s">
        <v>2765</v>
      </c>
      <c r="H542" s="71" t="s">
        <v>114</v>
      </c>
      <c r="I542" s="26" t="s">
        <v>115</v>
      </c>
      <c r="J542" s="72" t="s">
        <v>336</v>
      </c>
      <c r="K542" s="26">
        <v>1.0</v>
      </c>
      <c r="L542" s="26">
        <v>2019.0</v>
      </c>
      <c r="M542" s="25"/>
      <c r="N542" s="26"/>
      <c r="O542" s="27" t="str">
        <f t="shared" si="3"/>
        <v>#N/A</v>
      </c>
      <c r="P542" s="273"/>
      <c r="Q542" s="273"/>
      <c r="R542" s="273"/>
      <c r="S542" s="273"/>
      <c r="T542" s="273"/>
      <c r="U542" s="273"/>
      <c r="V542" s="30">
        <f t="shared" si="425"/>
        <v>15400000</v>
      </c>
      <c r="W542" s="30"/>
      <c r="X542" s="73"/>
      <c r="Y542" s="73"/>
      <c r="Z542" s="692"/>
      <c r="AA542" s="665"/>
      <c r="AB542" s="74"/>
      <c r="AC542" s="74"/>
      <c r="AD542" s="79"/>
      <c r="AE542" s="84"/>
      <c r="AF542" s="885">
        <v>44470.0</v>
      </c>
      <c r="AG542" s="76">
        <v>5100000.0</v>
      </c>
      <c r="AH542" s="74"/>
      <c r="AI542" s="78"/>
      <c r="AJ542" s="1232">
        <v>44686.0</v>
      </c>
      <c r="AK542" s="1028">
        <v>1.03E7</v>
      </c>
      <c r="AL542" s="1029"/>
      <c r="AM542" s="1028"/>
      <c r="AN542" s="79"/>
      <c r="AO542" s="84"/>
      <c r="AP542" s="79"/>
      <c r="AQ542" s="84"/>
      <c r="AR542" s="79"/>
      <c r="AS542" s="79"/>
      <c r="AT542" s="79"/>
      <c r="AU542" s="80"/>
      <c r="AV542" s="79"/>
      <c r="AW542" s="38"/>
      <c r="AX542" s="79"/>
      <c r="AY542" s="38"/>
      <c r="AZ542" s="79"/>
      <c r="BA542" s="80"/>
      <c r="BB542" s="79"/>
      <c r="BC542" s="80"/>
      <c r="BD542" s="79"/>
      <c r="BE542" s="38"/>
      <c r="BF542" s="74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</row>
    <row r="543" ht="15.75" customHeight="1">
      <c r="A543" s="442" t="s">
        <v>2766</v>
      </c>
      <c r="B543" s="68" t="s">
        <v>2541</v>
      </c>
      <c r="C543" s="68" t="s">
        <v>59</v>
      </c>
      <c r="D543" s="231" t="s">
        <v>2767</v>
      </c>
      <c r="E543" s="138" t="s">
        <v>2768</v>
      </c>
      <c r="F543" s="185" t="s">
        <v>2769</v>
      </c>
      <c r="G543" s="71" t="s">
        <v>2770</v>
      </c>
      <c r="H543" s="186" t="s">
        <v>2771</v>
      </c>
      <c r="I543" s="74" t="s">
        <v>65</v>
      </c>
      <c r="J543" s="155"/>
      <c r="K543" s="74">
        <v>4.0</v>
      </c>
      <c r="L543" s="26">
        <v>2015.0</v>
      </c>
      <c r="M543" s="25">
        <f t="shared" ref="M543:M544" si="464">year(now()) -L543</f>
        <v>10</v>
      </c>
      <c r="N543" s="26">
        <f t="shared" ref="N543:N544" si="465">counta(AE543,AG543,AI543,AK543,AM543,AO543,AQ543,AS543,AU543,AW543,AY543,BA543,BC543)</f>
        <v>2</v>
      </c>
      <c r="O543" s="27" t="str">
        <f t="shared" si="3"/>
        <v>#N/A</v>
      </c>
      <c r="P543" s="28" t="str">
        <f>RANK(T543,$T$8:$T$333)</f>
        <v>#N/A</v>
      </c>
      <c r="Q543" s="28" t="str">
        <f>rank(V543,$V$8:$V$344)</f>
        <v>#N/A</v>
      </c>
      <c r="R543" s="28"/>
      <c r="S543" s="28"/>
      <c r="T543" s="29">
        <f t="shared" ref="T543:T544" si="466">V543/M543</f>
        <v>1530000</v>
      </c>
      <c r="U543" s="28"/>
      <c r="V543" s="30">
        <f t="shared" si="425"/>
        <v>15300000</v>
      </c>
      <c r="W543" s="30"/>
      <c r="X543" s="32">
        <f>(max(AE543,AG543,AI543,AK543,AM543,AO543,AQ543,AS543,AU543,AW543,AY543,BA543,BC543)/min(AE543,AG543,AI543,AK543,AM543,AO543,AQ543,AS543,AU543,AW543,AY543,BA543,BC543))^(1/N543)-1</f>
        <v>0.599418499</v>
      </c>
      <c r="Y543" s="33">
        <f>(max(AE543,AG543,AI543,AK543,AM543,AO543,AQ543,AS543,AU543,AW543,AY543,BA543,BC543)/min(AE543,AG543,AI543,AK543,AM543,AO543,AQ543,AS543,AU543,AW543,AY543,BA543,BC543))^(1/M543)-1</f>
        <v>0.09848067994</v>
      </c>
      <c r="Z543" s="692"/>
      <c r="AA543" s="665"/>
      <c r="AB543" s="74"/>
      <c r="AC543" s="74"/>
      <c r="AD543" s="44"/>
      <c r="AE543" s="46"/>
      <c r="AF543" s="158" t="str">
        <f>HYPERLINK("https://www.crunchbase.com/organization/crexi#section-funding-rounds","Feb 25, 2016")</f>
        <v>Feb 25, 2016</v>
      </c>
      <c r="AG543" s="46">
        <v>4300000.0</v>
      </c>
      <c r="AH543" s="919"/>
      <c r="AI543" s="159"/>
      <c r="AJ543" s="43" t="str">
        <f>HYPERLINK("https://www.crunchbase.com/funding_round/crexi-series-a--fd16ec45","May 21, 2018")</f>
        <v>May 21, 2018</v>
      </c>
      <c r="AK543" s="46">
        <v>1.1E7</v>
      </c>
      <c r="AL543" s="44"/>
      <c r="AM543" s="46"/>
      <c r="AN543" s="44"/>
      <c r="AO543" s="46"/>
      <c r="AP543" s="44"/>
      <c r="AQ543" s="46"/>
      <c r="AR543" s="44"/>
      <c r="AS543" s="44"/>
      <c r="AT543" s="44"/>
      <c r="AU543" s="45"/>
      <c r="AV543" s="44"/>
      <c r="AW543" s="38"/>
      <c r="AX543" s="44"/>
      <c r="AY543" s="38"/>
      <c r="AZ543" s="44"/>
      <c r="BA543" s="45"/>
      <c r="BB543" s="44"/>
      <c r="BC543" s="45"/>
      <c r="BD543" s="44"/>
      <c r="BE543" s="38"/>
      <c r="BF543" s="36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</row>
    <row r="544" ht="15.75" customHeight="1">
      <c r="A544" s="47" t="s">
        <v>2772</v>
      </c>
      <c r="B544" s="115"/>
      <c r="C544" s="116" t="s">
        <v>123</v>
      </c>
      <c r="D544" s="192" t="s">
        <v>2773</v>
      </c>
      <c r="E544" s="192" t="s">
        <v>2774</v>
      </c>
      <c r="F544" s="118" t="s">
        <v>2775</v>
      </c>
      <c r="G544" s="286"/>
      <c r="H544" s="119" t="s">
        <v>64</v>
      </c>
      <c r="I544" s="25" t="s">
        <v>65</v>
      </c>
      <c r="J544" s="287"/>
      <c r="K544" s="123"/>
      <c r="L544" s="25">
        <v>2018.0</v>
      </c>
      <c r="M544" s="25">
        <f t="shared" si="464"/>
        <v>7</v>
      </c>
      <c r="N544" s="26">
        <f t="shared" si="465"/>
        <v>2</v>
      </c>
      <c r="O544" s="27" t="str">
        <f t="shared" si="3"/>
        <v>#N/A</v>
      </c>
      <c r="P544" s="28"/>
      <c r="Q544" s="28"/>
      <c r="R544" s="28"/>
      <c r="S544" s="28"/>
      <c r="T544" s="29">
        <f t="shared" si="466"/>
        <v>2185714.286</v>
      </c>
      <c r="U544" s="28"/>
      <c r="V544" s="30">
        <f t="shared" si="425"/>
        <v>15300000</v>
      </c>
      <c r="W544" s="30"/>
      <c r="X544" s="403"/>
      <c r="Y544" s="33">
        <f>(max(AE544,AG544,AI544,AK544,AM544,AO544,AQ544,AS544,AU544,AW544,AY544,BA544,BC544)/min(AE544,AG544,AI544,AK544))^(1/M544)-1</f>
        <v>0.1040895137</v>
      </c>
      <c r="Z544" s="692"/>
      <c r="AA544" s="665"/>
      <c r="AB544" s="123"/>
      <c r="AC544" s="123"/>
      <c r="AD544" s="124"/>
      <c r="AE544" s="127"/>
      <c r="AF544" s="320">
        <v>43677.0</v>
      </c>
      <c r="AG544" s="127">
        <v>5100000.0</v>
      </c>
      <c r="AH544" s="123"/>
      <c r="AI544" s="128"/>
      <c r="AJ544" s="171">
        <v>44896.0</v>
      </c>
      <c r="AK544" s="127">
        <v>1.02E7</v>
      </c>
      <c r="AL544" s="124"/>
      <c r="AM544" s="125"/>
      <c r="AN544" s="124"/>
      <c r="AO544" s="125"/>
      <c r="AP544" s="124"/>
      <c r="AQ544" s="125"/>
      <c r="AR544" s="124"/>
      <c r="AS544" s="124"/>
      <c r="AT544" s="124"/>
      <c r="AU544" s="137"/>
      <c r="AV544" s="124"/>
      <c r="AW544" s="38"/>
      <c r="AX544" s="124"/>
      <c r="AY544" s="38"/>
      <c r="AZ544" s="124"/>
      <c r="BA544" s="137"/>
      <c r="BB544" s="124"/>
      <c r="BC544" s="137"/>
      <c r="BD544" s="124"/>
      <c r="BE544" s="38"/>
      <c r="BF544" s="123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</row>
    <row r="545" ht="15.75" customHeight="1">
      <c r="A545" s="400" t="s">
        <v>2776</v>
      </c>
      <c r="B545" s="116"/>
      <c r="C545" s="116" t="s">
        <v>59</v>
      </c>
      <c r="D545" s="731"/>
      <c r="E545" s="161" t="s">
        <v>2777</v>
      </c>
      <c r="F545" s="402" t="s">
        <v>2778</v>
      </c>
      <c r="G545" s="119"/>
      <c r="H545" s="119" t="s">
        <v>371</v>
      </c>
      <c r="I545" s="26" t="s">
        <v>372</v>
      </c>
      <c r="J545" s="120"/>
      <c r="K545" s="25">
        <v>2.0</v>
      </c>
      <c r="L545" s="25">
        <v>2016.0</v>
      </c>
      <c r="M545" s="25"/>
      <c r="N545" s="25"/>
      <c r="O545" s="27" t="str">
        <f t="shared" si="3"/>
        <v>#N/A</v>
      </c>
      <c r="P545" s="55"/>
      <c r="Q545" s="55"/>
      <c r="R545" s="55"/>
      <c r="S545" s="55"/>
      <c r="T545" s="55"/>
      <c r="U545" s="55"/>
      <c r="V545" s="30">
        <f t="shared" si="425"/>
        <v>15130000</v>
      </c>
      <c r="W545" s="30"/>
      <c r="X545" s="597"/>
      <c r="Y545" s="597"/>
      <c r="Z545" s="692"/>
      <c r="AA545" s="665"/>
      <c r="AB545" s="123"/>
      <c r="AC545" s="123"/>
      <c r="AD545" s="455" t="str">
        <f>HYPERLINK("https://www.crunchbase.com/funding_round/oriient-pre-seed--c5061267","Feb 1, 2017")</f>
        <v>Feb 1, 2017</v>
      </c>
      <c r="AE545" s="127">
        <v>130000.0</v>
      </c>
      <c r="AF545" s="126" t="str">
        <f>HYPERLINK("https://www.crunchbase.com/funding_round/oriient-seed--86ec8971","Apr 25, 2019")</f>
        <v>Apr 25, 2019</v>
      </c>
      <c r="AG545" s="127">
        <v>4000000.0</v>
      </c>
      <c r="AH545" s="1089"/>
      <c r="AI545" s="128"/>
      <c r="AJ545" s="167" t="str">
        <f>HYPERLINK("https://www.crunchbase.com/funding_round/oriient-series-a--22489ee5","May 10, 2022")</f>
        <v>May 10, 2022</v>
      </c>
      <c r="AK545" s="127">
        <v>1.1E7</v>
      </c>
      <c r="AL545" s="169"/>
      <c r="AM545" s="165"/>
      <c r="AN545" s="124"/>
      <c r="AO545" s="125"/>
      <c r="AP545" s="124"/>
      <c r="AQ545" s="125"/>
      <c r="AR545" s="124"/>
      <c r="AS545" s="124"/>
      <c r="AT545" s="124"/>
      <c r="AU545" s="137"/>
      <c r="AV545" s="124"/>
      <c r="AW545" s="38"/>
      <c r="AX545" s="124"/>
      <c r="AY545" s="38"/>
      <c r="AZ545" s="124"/>
      <c r="BA545" s="137"/>
      <c r="BB545" s="124"/>
      <c r="BC545" s="137"/>
      <c r="BD545" s="124"/>
      <c r="BE545" s="38"/>
      <c r="BF545" s="123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</row>
    <row r="546" ht="15.75" customHeight="1">
      <c r="A546" s="21" t="s">
        <v>2779</v>
      </c>
      <c r="B546" s="69" t="s">
        <v>820</v>
      </c>
      <c r="C546" s="69" t="s">
        <v>276</v>
      </c>
      <c r="D546" s="200" t="s">
        <v>2780</v>
      </c>
      <c r="E546" s="200" t="s">
        <v>2781</v>
      </c>
      <c r="F546" s="154" t="s">
        <v>2782</v>
      </c>
      <c r="G546" s="1233" t="s">
        <v>2783</v>
      </c>
      <c r="H546" s="71" t="s">
        <v>2784</v>
      </c>
      <c r="I546" s="26" t="s">
        <v>2785</v>
      </c>
      <c r="J546" s="1234" t="s">
        <v>2786</v>
      </c>
      <c r="K546" s="26">
        <v>1.0</v>
      </c>
      <c r="L546" s="26">
        <v>2003.0</v>
      </c>
      <c r="M546" s="25">
        <f t="shared" ref="M546:M554" si="467">year(now()) -L546</f>
        <v>22</v>
      </c>
      <c r="N546" s="26">
        <f t="shared" ref="N546:N554" si="468">counta(AE546,AG546,AI546,AK546,AM546,AO546,AQ546,AS546,AU546,AW546,AY546,BA546,BC546)</f>
        <v>2</v>
      </c>
      <c r="O546" s="27" t="str">
        <f t="shared" si="3"/>
        <v>#N/A</v>
      </c>
      <c r="P546" s="28" t="str">
        <f t="shared" ref="P546:P554" si="469">RANK(T546,$T$8:$T$333)</f>
        <v>#N/A</v>
      </c>
      <c r="Q546" s="28" t="str">
        <f t="shared" ref="Q546:Q554" si="470">rank(V546,$V$8:$V$344)</f>
        <v>#N/A</v>
      </c>
      <c r="R546" s="28"/>
      <c r="S546" s="28"/>
      <c r="T546" s="29">
        <f t="shared" ref="T546:T554" si="471">V546/M546</f>
        <v>681818.1818</v>
      </c>
      <c r="U546" s="28"/>
      <c r="V546" s="30">
        <f t="shared" si="425"/>
        <v>15000000</v>
      </c>
      <c r="W546" s="30"/>
      <c r="X546" s="32">
        <f t="shared" ref="X546:X554" si="472">(max(AE546,AG546,AI546,AK546,AM546,AO546,AQ546,AS546,AU546,AW546,AY546,BA546,BC546)/min(AE546,AG546,AI546,AK546,AM546,AO546,AQ546,AS546,AU546,AW546,AY546,BA546,BC546))^(1/N546)-1</f>
        <v>0.4142135624</v>
      </c>
      <c r="Y546" s="33">
        <f t="shared" ref="Y546:Y554" si="473">(max(AE546,AG546,AI546,AK546,AM546,AO546,AQ546,AS546,AU546,AW546,AY546,BA546,BC546)/min(AE546,AG546,AI546,AK546,AM546,AO546,AQ546,AS546,AU546,AW546,AY546,BA546,BC546))^(1/M546)-1</f>
        <v>0.03200827973</v>
      </c>
      <c r="Z546" s="692"/>
      <c r="AA546" s="665"/>
      <c r="AB546" s="74"/>
      <c r="AC546" s="74"/>
      <c r="AD546" s="44"/>
      <c r="AE546" s="46"/>
      <c r="AF546" s="158" t="str">
        <f>HYPERLINK("https://www.crunchbase.com/organization/daisy-intelligence-corporation#section-funding-rounds","Sep 26, 2018")</f>
        <v>Sep 26, 2018</v>
      </c>
      <c r="AG546" s="38">
        <v>5000000.0</v>
      </c>
      <c r="AH546" s="36"/>
      <c r="AI546" s="159"/>
      <c r="AJ546" s="228" t="str">
        <f>HYPERLINK("https://www.businesswire.com/news/home/20190920005078/en/Daisy-Intelligence-Raises-10-Million-Funding-Scale","Sep 20, 2019")</f>
        <v>Sep 20, 2019</v>
      </c>
      <c r="AK546" s="715">
        <v>1.0E7</v>
      </c>
      <c r="AL546" s="44"/>
      <c r="AM546" s="46"/>
      <c r="AN546" s="44"/>
      <c r="AO546" s="46"/>
      <c r="AP546" s="44"/>
      <c r="AQ546" s="46"/>
      <c r="AR546" s="44"/>
      <c r="AS546" s="44"/>
      <c r="AT546" s="44"/>
      <c r="AU546" s="45"/>
      <c r="AV546" s="44"/>
      <c r="AW546" s="38"/>
      <c r="AX546" s="44"/>
      <c r="AY546" s="38"/>
      <c r="AZ546" s="44"/>
      <c r="BA546" s="45"/>
      <c r="BB546" s="44"/>
      <c r="BC546" s="45"/>
      <c r="BD546" s="44"/>
      <c r="BE546" s="38"/>
      <c r="BF546" s="36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</row>
    <row r="547" ht="15.75" customHeight="1">
      <c r="A547" s="21" t="s">
        <v>2787</v>
      </c>
      <c r="B547" s="68"/>
      <c r="C547" s="69" t="s">
        <v>132</v>
      </c>
      <c r="D547" s="270" t="s">
        <v>2788</v>
      </c>
      <c r="E547" s="270" t="s">
        <v>2789</v>
      </c>
      <c r="F547" s="173" t="s">
        <v>2790</v>
      </c>
      <c r="G547" s="71" t="s">
        <v>2791</v>
      </c>
      <c r="H547" s="71" t="s">
        <v>365</v>
      </c>
      <c r="I547" s="26" t="s">
        <v>65</v>
      </c>
      <c r="J547" s="155"/>
      <c r="K547" s="26">
        <v>2.0</v>
      </c>
      <c r="L547" s="26">
        <v>2017.0</v>
      </c>
      <c r="M547" s="25">
        <f t="shared" si="467"/>
        <v>8</v>
      </c>
      <c r="N547" s="26">
        <f t="shared" si="468"/>
        <v>1</v>
      </c>
      <c r="O547" s="27" t="str">
        <f t="shared" si="3"/>
        <v>#N/A</v>
      </c>
      <c r="P547" s="28" t="str">
        <f t="shared" si="469"/>
        <v>#N/A</v>
      </c>
      <c r="Q547" s="28" t="str">
        <f t="shared" si="470"/>
        <v>#N/A</v>
      </c>
      <c r="R547" s="28"/>
      <c r="S547" s="28"/>
      <c r="T547" s="29">
        <f t="shared" si="471"/>
        <v>1875000</v>
      </c>
      <c r="U547" s="28"/>
      <c r="V547" s="30">
        <f t="shared" si="425"/>
        <v>15000000</v>
      </c>
      <c r="W547" s="30"/>
      <c r="X547" s="32">
        <f t="shared" si="472"/>
        <v>0</v>
      </c>
      <c r="Y547" s="33">
        <f t="shared" si="473"/>
        <v>0</v>
      </c>
      <c r="Z547" s="692"/>
      <c r="AA547" s="665"/>
      <c r="AB547" s="74"/>
      <c r="AC547" s="74"/>
      <c r="AD547" s="44"/>
      <c r="AE547" s="46"/>
      <c r="AF547" s="39"/>
      <c r="AG547" s="38"/>
      <c r="AH547" s="36"/>
      <c r="AI547" s="159"/>
      <c r="AJ547" s="228" t="str">
        <f>HYPERLINK("https://www.crunchbase.com/funding_round/fernish-series-a--4f21bca3"," 5/27/2020")</f>
        <v> 5/27/2020</v>
      </c>
      <c r="AK547" s="38">
        <v>1.5E7</v>
      </c>
      <c r="AL547" s="44"/>
      <c r="AM547" s="46"/>
      <c r="AN547" s="44"/>
      <c r="AO547" s="46"/>
      <c r="AP547" s="44"/>
      <c r="AQ547" s="46"/>
      <c r="AR547" s="44"/>
      <c r="AS547" s="44"/>
      <c r="AT547" s="44"/>
      <c r="AU547" s="45"/>
      <c r="AV547" s="44"/>
      <c r="AW547" s="38"/>
      <c r="AX547" s="44"/>
      <c r="AY547" s="38"/>
      <c r="AZ547" s="44"/>
      <c r="BA547" s="45"/>
      <c r="BB547" s="44"/>
      <c r="BC547" s="45"/>
      <c r="BD547" s="44"/>
      <c r="BE547" s="38"/>
      <c r="BF547" s="36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</row>
    <row r="548" ht="15.75" customHeight="1">
      <c r="A548" s="400" t="s">
        <v>2792</v>
      </c>
      <c r="B548" s="115"/>
      <c r="C548" s="116" t="s">
        <v>755</v>
      </c>
      <c r="D548" s="192" t="s">
        <v>2793</v>
      </c>
      <c r="E548" s="139" t="s">
        <v>2794</v>
      </c>
      <c r="F548" s="402" t="s">
        <v>2795</v>
      </c>
      <c r="G548" s="286"/>
      <c r="H548" s="119" t="s">
        <v>2796</v>
      </c>
      <c r="I548" s="25" t="s">
        <v>1384</v>
      </c>
      <c r="J548" s="287"/>
      <c r="K548" s="123"/>
      <c r="L548" s="25">
        <v>2017.0</v>
      </c>
      <c r="M548" s="25">
        <f t="shared" si="467"/>
        <v>8</v>
      </c>
      <c r="N548" s="26">
        <f t="shared" si="468"/>
        <v>2</v>
      </c>
      <c r="O548" s="27" t="str">
        <f t="shared" si="3"/>
        <v>#N/A</v>
      </c>
      <c r="P548" s="28" t="str">
        <f t="shared" si="469"/>
        <v>#N/A</v>
      </c>
      <c r="Q548" s="28" t="str">
        <f t="shared" si="470"/>
        <v>#N/A</v>
      </c>
      <c r="R548" s="28"/>
      <c r="S548" s="28"/>
      <c r="T548" s="29">
        <f t="shared" si="471"/>
        <v>1875000</v>
      </c>
      <c r="U548" s="28"/>
      <c r="V548" s="30">
        <f t="shared" si="425"/>
        <v>15000000</v>
      </c>
      <c r="W548" s="30"/>
      <c r="X548" s="32">
        <f t="shared" si="472"/>
        <v>1</v>
      </c>
      <c r="Y548" s="33">
        <f t="shared" si="473"/>
        <v>0.189207115</v>
      </c>
      <c r="Z548" s="692"/>
      <c r="AA548" s="665"/>
      <c r="AB548" s="123"/>
      <c r="AC548" s="123"/>
      <c r="AD548" s="124"/>
      <c r="AE548" s="127"/>
      <c r="AF548" s="320">
        <v>44243.0</v>
      </c>
      <c r="AG548" s="127">
        <v>3000000.0</v>
      </c>
      <c r="AH548" s="123"/>
      <c r="AI548" s="128"/>
      <c r="AJ548" s="455" t="str">
        <f>HYPERLINK("https://www.crunchbase.com/funding_round/leasecake-inc-series-a--3edab66c","Apr 25, 2022")</f>
        <v>Apr 25, 2022</v>
      </c>
      <c r="AK548" s="127">
        <v>1.2E7</v>
      </c>
      <c r="AL548" s="124"/>
      <c r="AM548" s="125"/>
      <c r="AN548" s="124"/>
      <c r="AO548" s="125"/>
      <c r="AP548" s="124"/>
      <c r="AQ548" s="125"/>
      <c r="AR548" s="124"/>
      <c r="AS548" s="124"/>
      <c r="AT548" s="124"/>
      <c r="AU548" s="137"/>
      <c r="AV548" s="124"/>
      <c r="AW548" s="38"/>
      <c r="AX548" s="124"/>
      <c r="AY548" s="38"/>
      <c r="AZ548" s="124"/>
      <c r="BA548" s="137"/>
      <c r="BB548" s="124"/>
      <c r="BC548" s="137"/>
      <c r="BD548" s="124"/>
      <c r="BE548" s="38"/>
      <c r="BF548" s="123"/>
      <c r="BG548" s="115"/>
      <c r="BH548" s="115"/>
      <c r="BI548" s="115"/>
      <c r="BJ548" s="115"/>
      <c r="BK548" s="115"/>
      <c r="BL548" s="115"/>
      <c r="BM548" s="115"/>
      <c r="BN548" s="115"/>
      <c r="BO548" s="115"/>
      <c r="BP548" s="115"/>
      <c r="BQ548" s="115"/>
      <c r="BR548" s="115"/>
      <c r="BS548" s="115"/>
      <c r="BT548" s="115"/>
      <c r="BU548" s="115"/>
      <c r="BV548" s="115"/>
      <c r="BW548" s="115"/>
      <c r="BX548" s="115"/>
      <c r="BY548" s="115"/>
      <c r="BZ548" s="115"/>
      <c r="CA548" s="115"/>
      <c r="CB548" s="115"/>
      <c r="CC548" s="115"/>
      <c r="CD548" s="115"/>
      <c r="CE548" s="115"/>
      <c r="CF548" s="115"/>
      <c r="CG548" s="115"/>
      <c r="CH548" s="115"/>
      <c r="CI548" s="115"/>
      <c r="CJ548" s="115"/>
      <c r="CK548" s="115"/>
      <c r="CL548" s="115"/>
      <c r="CM548" s="115"/>
      <c r="CN548" s="115"/>
      <c r="CO548" s="115"/>
      <c r="CP548" s="115"/>
    </row>
    <row r="549" ht="15.75" customHeight="1">
      <c r="A549" s="666" t="s">
        <v>2797</v>
      </c>
      <c r="B549" s="115" t="s">
        <v>2798</v>
      </c>
      <c r="C549" s="115" t="s">
        <v>384</v>
      </c>
      <c r="D549" s="667" t="s">
        <v>2799</v>
      </c>
      <c r="E549" s="667" t="s">
        <v>2800</v>
      </c>
      <c r="F549" s="668" t="s">
        <v>2801</v>
      </c>
      <c r="G549" s="1235" t="s">
        <v>2802</v>
      </c>
      <c r="H549" s="286" t="s">
        <v>128</v>
      </c>
      <c r="I549" s="123" t="s">
        <v>128</v>
      </c>
      <c r="J549" s="287">
        <v>10016.0</v>
      </c>
      <c r="K549" s="123">
        <v>2.0</v>
      </c>
      <c r="L549" s="25">
        <v>2012.0</v>
      </c>
      <c r="M549" s="25">
        <f t="shared" si="467"/>
        <v>13</v>
      </c>
      <c r="N549" s="26">
        <f t="shared" si="468"/>
        <v>1</v>
      </c>
      <c r="O549" s="27" t="str">
        <f t="shared" si="3"/>
        <v>#N/A</v>
      </c>
      <c r="P549" s="28" t="str">
        <f t="shared" si="469"/>
        <v>#N/A</v>
      </c>
      <c r="Q549" s="28" t="str">
        <f t="shared" si="470"/>
        <v>#N/A</v>
      </c>
      <c r="R549" s="28"/>
      <c r="S549" s="28"/>
      <c r="T549" s="29">
        <f t="shared" si="471"/>
        <v>1153846.154</v>
      </c>
      <c r="U549" s="28"/>
      <c r="V549" s="30">
        <f t="shared" si="425"/>
        <v>15000000</v>
      </c>
      <c r="W549" s="30"/>
      <c r="X549" s="32">
        <f t="shared" si="472"/>
        <v>0</v>
      </c>
      <c r="Y549" s="33">
        <f t="shared" si="473"/>
        <v>0</v>
      </c>
      <c r="Z549" s="692"/>
      <c r="AA549" s="665"/>
      <c r="AB549" s="123"/>
      <c r="AC549" s="123"/>
      <c r="AD549" s="124"/>
      <c r="AE549" s="125"/>
      <c r="AF549" s="166"/>
      <c r="AG549" s="125"/>
      <c r="AH549" s="123"/>
      <c r="AI549" s="128"/>
      <c r="AJ549" s="167" t="str">
        <f>HYPERLINK("https://www.crunchbase.com/funding_round/ollie-2-series-a--7a2e5900"," 1/19/2018")</f>
        <v> 1/19/2018</v>
      </c>
      <c r="AK549" s="127">
        <v>1.5E7</v>
      </c>
      <c r="AL549" s="124"/>
      <c r="AM549" s="125"/>
      <c r="AN549" s="124"/>
      <c r="AO549" s="125"/>
      <c r="AP549" s="124"/>
      <c r="AQ549" s="125"/>
      <c r="AR549" s="124"/>
      <c r="AS549" s="124"/>
      <c r="AT549" s="124"/>
      <c r="AU549" s="137"/>
      <c r="AV549" s="124"/>
      <c r="AW549" s="38"/>
      <c r="AX549" s="124"/>
      <c r="AY549" s="38"/>
      <c r="AZ549" s="124"/>
      <c r="BA549" s="137"/>
      <c r="BB549" s="124"/>
      <c r="BC549" s="137"/>
      <c r="BD549" s="124"/>
      <c r="BE549" s="38"/>
      <c r="BF549" s="123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</row>
    <row r="550" ht="15.75" customHeight="1">
      <c r="A550" s="47" t="s">
        <v>2803</v>
      </c>
      <c r="B550" s="115"/>
      <c r="C550" s="116" t="s">
        <v>84</v>
      </c>
      <c r="D550" s="161" t="s">
        <v>2804</v>
      </c>
      <c r="E550" s="192" t="s">
        <v>2805</v>
      </c>
      <c r="F550" s="118" t="s">
        <v>2806</v>
      </c>
      <c r="G550" s="930"/>
      <c r="H550" s="119" t="s">
        <v>128</v>
      </c>
      <c r="I550" s="25" t="s">
        <v>156</v>
      </c>
      <c r="J550" s="287"/>
      <c r="K550" s="123"/>
      <c r="L550" s="25">
        <v>2015.0</v>
      </c>
      <c r="M550" s="25">
        <f t="shared" si="467"/>
        <v>10</v>
      </c>
      <c r="N550" s="26">
        <f t="shared" si="468"/>
        <v>1</v>
      </c>
      <c r="O550" s="27" t="str">
        <f t="shared" si="3"/>
        <v>#N/A</v>
      </c>
      <c r="P550" s="28" t="str">
        <f t="shared" si="469"/>
        <v>#N/A</v>
      </c>
      <c r="Q550" s="28" t="str">
        <f t="shared" si="470"/>
        <v>#N/A</v>
      </c>
      <c r="R550" s="28"/>
      <c r="S550" s="28"/>
      <c r="T550" s="29">
        <f t="shared" si="471"/>
        <v>1500000</v>
      </c>
      <c r="U550" s="28"/>
      <c r="V550" s="30">
        <f t="shared" si="425"/>
        <v>15000000</v>
      </c>
      <c r="W550" s="30"/>
      <c r="X550" s="32">
        <f t="shared" si="472"/>
        <v>0</v>
      </c>
      <c r="Y550" s="33">
        <f t="shared" si="473"/>
        <v>0</v>
      </c>
      <c r="Z550" s="692"/>
      <c r="AA550" s="665"/>
      <c r="AB550" s="123"/>
      <c r="AC550" s="123"/>
      <c r="AD550" s="169"/>
      <c r="AE550" s="127"/>
      <c r="AF550" s="166"/>
      <c r="AG550" s="127"/>
      <c r="AH550" s="25"/>
      <c r="AI550" s="759"/>
      <c r="AJ550" s="455" t="str">
        <f>HYPERLINK("https://www.crunchbase.com/funding_round/perchwell-series-a--bba5efa7","Dec 8, 2021")</f>
        <v>Dec 8, 2021</v>
      </c>
      <c r="AK550" s="127">
        <v>1.5E7</v>
      </c>
      <c r="AL550" s="124"/>
      <c r="AM550" s="125"/>
      <c r="AN550" s="124"/>
      <c r="AO550" s="125"/>
      <c r="AP550" s="124"/>
      <c r="AQ550" s="125"/>
      <c r="AR550" s="124"/>
      <c r="AS550" s="124"/>
      <c r="AT550" s="124"/>
      <c r="AU550" s="137"/>
      <c r="AV550" s="124"/>
      <c r="AW550" s="38"/>
      <c r="AX550" s="124"/>
      <c r="AY550" s="38"/>
      <c r="AZ550" s="124"/>
      <c r="BA550" s="137"/>
      <c r="BB550" s="124"/>
      <c r="BC550" s="137"/>
      <c r="BD550" s="124"/>
      <c r="BE550" s="38"/>
      <c r="BF550" s="123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</row>
    <row r="551" ht="15.75" customHeight="1">
      <c r="A551" s="21" t="s">
        <v>2807</v>
      </c>
      <c r="B551" s="68"/>
      <c r="C551" s="69" t="s">
        <v>2808</v>
      </c>
      <c r="D551" s="337"/>
      <c r="E551" s="192" t="s">
        <v>2809</v>
      </c>
      <c r="F551" s="118" t="s">
        <v>2810</v>
      </c>
      <c r="G551" s="71"/>
      <c r="H551" s="71" t="s">
        <v>2811</v>
      </c>
      <c r="I551" s="26" t="s">
        <v>2501</v>
      </c>
      <c r="J551" s="72"/>
      <c r="K551" s="26"/>
      <c r="L551" s="26">
        <v>2016.0</v>
      </c>
      <c r="M551" s="25">
        <f t="shared" si="467"/>
        <v>9</v>
      </c>
      <c r="N551" s="26">
        <f t="shared" si="468"/>
        <v>1</v>
      </c>
      <c r="O551" s="27" t="str">
        <f t="shared" si="3"/>
        <v>#N/A</v>
      </c>
      <c r="P551" s="28" t="str">
        <f t="shared" si="469"/>
        <v>#N/A</v>
      </c>
      <c r="Q551" s="28" t="str">
        <f t="shared" si="470"/>
        <v>#N/A</v>
      </c>
      <c r="R551" s="28"/>
      <c r="S551" s="28"/>
      <c r="T551" s="29">
        <f t="shared" si="471"/>
        <v>1666666.667</v>
      </c>
      <c r="U551" s="28"/>
      <c r="V551" s="30">
        <f t="shared" si="425"/>
        <v>15000000</v>
      </c>
      <c r="W551" s="30"/>
      <c r="X551" s="32">
        <f t="shared" si="472"/>
        <v>0</v>
      </c>
      <c r="Y551" s="33">
        <f t="shared" si="473"/>
        <v>0</v>
      </c>
      <c r="Z551" s="692"/>
      <c r="AA551" s="665"/>
      <c r="AB551" s="74"/>
      <c r="AC551" s="74"/>
      <c r="AD551" s="79"/>
      <c r="AE551" s="84"/>
      <c r="AF551" s="1169"/>
      <c r="AG551" s="76"/>
      <c r="AH551" s="74"/>
      <c r="AI551" s="78"/>
      <c r="AJ551" s="279"/>
      <c r="AK551" s="76"/>
      <c r="AL551" s="227">
        <v>44062.0</v>
      </c>
      <c r="AM551" s="127">
        <v>1.5E7</v>
      </c>
      <c r="AN551" s="79"/>
      <c r="AO551" s="84"/>
      <c r="AP551" s="79"/>
      <c r="AQ551" s="84"/>
      <c r="AR551" s="79"/>
      <c r="AS551" s="79"/>
      <c r="AT551" s="79"/>
      <c r="AU551" s="80"/>
      <c r="AV551" s="79"/>
      <c r="AW551" s="38"/>
      <c r="AX551" s="79"/>
      <c r="AY551" s="38"/>
      <c r="AZ551" s="79"/>
      <c r="BA551" s="80"/>
      <c r="BB551" s="79"/>
      <c r="BC551" s="80"/>
      <c r="BD551" s="79"/>
      <c r="BE551" s="38"/>
      <c r="BF551" s="74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</row>
    <row r="552" ht="15.75" customHeight="1">
      <c r="A552" s="48" t="s">
        <v>2812</v>
      </c>
      <c r="B552" s="68"/>
      <c r="C552" s="69" t="s">
        <v>84</v>
      </c>
      <c r="D552" s="192" t="s">
        <v>2813</v>
      </c>
      <c r="E552" s="192" t="s">
        <v>2814</v>
      </c>
      <c r="F552" s="118" t="s">
        <v>2815</v>
      </c>
      <c r="G552" s="186"/>
      <c r="H552" s="71" t="s">
        <v>128</v>
      </c>
      <c r="I552" s="26" t="s">
        <v>129</v>
      </c>
      <c r="J552" s="155"/>
      <c r="K552" s="26">
        <v>1.0</v>
      </c>
      <c r="L552" s="26">
        <v>2019.0</v>
      </c>
      <c r="M552" s="25">
        <f t="shared" si="467"/>
        <v>6</v>
      </c>
      <c r="N552" s="26">
        <f t="shared" si="468"/>
        <v>2</v>
      </c>
      <c r="O552" s="27" t="str">
        <f t="shared" si="3"/>
        <v>#N/A</v>
      </c>
      <c r="P552" s="28" t="str">
        <f t="shared" si="469"/>
        <v>#N/A</v>
      </c>
      <c r="Q552" s="28" t="str">
        <f t="shared" si="470"/>
        <v>#N/A</v>
      </c>
      <c r="R552" s="28"/>
      <c r="S552" s="28"/>
      <c r="T552" s="29">
        <f t="shared" si="471"/>
        <v>2500000</v>
      </c>
      <c r="U552" s="28"/>
      <c r="V552" s="30">
        <f t="shared" si="425"/>
        <v>15000000</v>
      </c>
      <c r="W552" s="30"/>
      <c r="X552" s="32">
        <f t="shared" si="472"/>
        <v>1</v>
      </c>
      <c r="Y552" s="33">
        <f t="shared" si="473"/>
        <v>0.2599210499</v>
      </c>
      <c r="Z552" s="692"/>
      <c r="AA552" s="665"/>
      <c r="AB552" s="74"/>
      <c r="AC552" s="74"/>
      <c r="AD552" s="79"/>
      <c r="AE552" s="84"/>
      <c r="AF552" s="175" t="str">
        <f>HYPERLINK("https://www.crunchbase.com/funding_round/realm-8a75-seed--933b8b25","Feb 16, 2021")</f>
        <v>Feb 16, 2021</v>
      </c>
      <c r="AG552" s="76">
        <v>3000000.0</v>
      </c>
      <c r="AH552" s="74"/>
      <c r="AI552" s="78"/>
      <c r="AJ552" s="227" t="str">
        <f>HYPERLINK("https://www.crunchbase.com/funding_round/realm-8a75-series-a--d45a36a5","Jul 29, 2021")</f>
        <v>Jul 29, 2021</v>
      </c>
      <c r="AK552" s="76">
        <v>1.2E7</v>
      </c>
      <c r="AL552" s="79"/>
      <c r="AM552" s="84"/>
      <c r="AN552" s="79"/>
      <c r="AO552" s="84"/>
      <c r="AP552" s="79"/>
      <c r="AQ552" s="84"/>
      <c r="AR552" s="79"/>
      <c r="AS552" s="79"/>
      <c r="AT552" s="79"/>
      <c r="AU552" s="80"/>
      <c r="AV552" s="79"/>
      <c r="AW552" s="38"/>
      <c r="AX552" s="79"/>
      <c r="AY552" s="38"/>
      <c r="AZ552" s="79"/>
      <c r="BA552" s="80"/>
      <c r="BB552" s="79"/>
      <c r="BC552" s="80"/>
      <c r="BD552" s="79"/>
      <c r="BE552" s="38"/>
      <c r="BF552" s="74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</row>
    <row r="553" ht="15.75" customHeight="1">
      <c r="A553" s="21" t="s">
        <v>2816</v>
      </c>
      <c r="B553" s="68"/>
      <c r="C553" s="69" t="s">
        <v>267</v>
      </c>
      <c r="D553" s="192" t="s">
        <v>2817</v>
      </c>
      <c r="E553" s="192" t="s">
        <v>2818</v>
      </c>
      <c r="F553" s="1049" t="s">
        <v>2819</v>
      </c>
      <c r="G553" s="186"/>
      <c r="H553" s="71" t="s">
        <v>394</v>
      </c>
      <c r="I553" s="74"/>
      <c r="J553" s="155"/>
      <c r="K553" s="74"/>
      <c r="L553" s="26">
        <v>2015.0</v>
      </c>
      <c r="M553" s="25">
        <f t="shared" si="467"/>
        <v>10</v>
      </c>
      <c r="N553" s="26">
        <f t="shared" si="468"/>
        <v>2</v>
      </c>
      <c r="O553" s="27" t="str">
        <f t="shared" si="3"/>
        <v>#N/A</v>
      </c>
      <c r="P553" s="28" t="str">
        <f t="shared" si="469"/>
        <v>#N/A</v>
      </c>
      <c r="Q553" s="28" t="str">
        <f t="shared" si="470"/>
        <v>#N/A</v>
      </c>
      <c r="R553" s="28"/>
      <c r="S553" s="28"/>
      <c r="T553" s="29">
        <f t="shared" si="471"/>
        <v>1500000</v>
      </c>
      <c r="U553" s="28"/>
      <c r="V553" s="30">
        <f t="shared" si="425"/>
        <v>15000000</v>
      </c>
      <c r="W553" s="30"/>
      <c r="X553" s="32">
        <f t="shared" si="472"/>
        <v>1.183856856</v>
      </c>
      <c r="Y553" s="33">
        <f t="shared" si="473"/>
        <v>0.1690816227</v>
      </c>
      <c r="Z553" s="692"/>
      <c r="AA553" s="665"/>
      <c r="AB553" s="74"/>
      <c r="AC553" s="74"/>
      <c r="AD553" s="79"/>
      <c r="AE553" s="84"/>
      <c r="AF553" s="320">
        <v>43208.0</v>
      </c>
      <c r="AG553" s="76">
        <v>2600000.0</v>
      </c>
      <c r="AH553" s="74"/>
      <c r="AI553" s="78"/>
      <c r="AJ553" s="227">
        <v>43560.0</v>
      </c>
      <c r="AK553" s="894">
        <v>1.24E7</v>
      </c>
      <c r="AL553" s="79"/>
      <c r="AM553" s="84"/>
      <c r="AN553" s="79"/>
      <c r="AO553" s="84"/>
      <c r="AP553" s="79"/>
      <c r="AQ553" s="84"/>
      <c r="AR553" s="79"/>
      <c r="AS553" s="79"/>
      <c r="AT553" s="79"/>
      <c r="AU553" s="80"/>
      <c r="AV553" s="79"/>
      <c r="AW553" s="38"/>
      <c r="AX553" s="79"/>
      <c r="AY553" s="38"/>
      <c r="AZ553" s="79"/>
      <c r="BA553" s="80"/>
      <c r="BB553" s="79"/>
      <c r="BC553" s="80"/>
      <c r="BD553" s="79"/>
      <c r="BE553" s="38"/>
      <c r="BF553" s="74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</row>
    <row r="554" ht="15.75" customHeight="1">
      <c r="A554" s="860" t="s">
        <v>2820</v>
      </c>
      <c r="B554" s="115"/>
      <c r="C554" s="116" t="s">
        <v>513</v>
      </c>
      <c r="D554" s="48"/>
      <c r="E554" s="192" t="s">
        <v>2821</v>
      </c>
      <c r="F554" s="118" t="s">
        <v>2822</v>
      </c>
      <c r="G554" s="54" t="s">
        <v>2823</v>
      </c>
      <c r="H554" s="119" t="s">
        <v>2824</v>
      </c>
      <c r="I554" s="25" t="s">
        <v>65</v>
      </c>
      <c r="J554" s="178"/>
      <c r="K554" s="123"/>
      <c r="L554" s="25">
        <v>2018.0</v>
      </c>
      <c r="M554" s="25">
        <f t="shared" si="467"/>
        <v>7</v>
      </c>
      <c r="N554" s="26">
        <f t="shared" si="468"/>
        <v>1</v>
      </c>
      <c r="O554" s="27" t="str">
        <f t="shared" si="3"/>
        <v>#N/A</v>
      </c>
      <c r="P554" s="28" t="str">
        <f t="shared" si="469"/>
        <v>#N/A</v>
      </c>
      <c r="Q554" s="28" t="str">
        <f t="shared" si="470"/>
        <v>#N/A</v>
      </c>
      <c r="R554" s="28"/>
      <c r="S554" s="28"/>
      <c r="T554" s="29">
        <f t="shared" si="471"/>
        <v>2142857.143</v>
      </c>
      <c r="U554" s="28"/>
      <c r="V554" s="30">
        <f t="shared" si="425"/>
        <v>15000000</v>
      </c>
      <c r="W554" s="30"/>
      <c r="X554" s="32">
        <f t="shared" si="472"/>
        <v>0</v>
      </c>
      <c r="Y554" s="33">
        <f t="shared" si="473"/>
        <v>0</v>
      </c>
      <c r="Z554" s="692"/>
      <c r="AA554" s="665"/>
      <c r="AB554" s="123"/>
      <c r="AC554" s="123"/>
      <c r="AD554" s="124"/>
      <c r="AE554" s="125"/>
      <c r="AF554" s="166"/>
      <c r="AG554" s="125"/>
      <c r="AH554" s="123"/>
      <c r="AI554" s="128"/>
      <c r="AJ554" s="227">
        <v>44005.0</v>
      </c>
      <c r="AK554" s="127">
        <v>1.5E7</v>
      </c>
      <c r="AL554" s="124"/>
      <c r="AM554" s="125"/>
      <c r="AN554" s="124"/>
      <c r="AO554" s="125"/>
      <c r="AP554" s="124"/>
      <c r="AQ554" s="125"/>
      <c r="AR554" s="124"/>
      <c r="AS554" s="124"/>
      <c r="AT554" s="124"/>
      <c r="AU554" s="137"/>
      <c r="AV554" s="124"/>
      <c r="AW554" s="38"/>
      <c r="AX554" s="124"/>
      <c r="AY554" s="38"/>
      <c r="AZ554" s="124"/>
      <c r="BA554" s="137"/>
      <c r="BB554" s="124"/>
      <c r="BC554" s="137"/>
      <c r="BD554" s="124"/>
      <c r="BE554" s="38"/>
      <c r="BF554" s="123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</row>
    <row r="555" ht="15.75" customHeight="1">
      <c r="A555" s="245" t="s">
        <v>2825</v>
      </c>
      <c r="B555" s="16"/>
      <c r="C555" s="17" t="s">
        <v>132</v>
      </c>
      <c r="D555" s="18" t="s">
        <v>2826</v>
      </c>
      <c r="E555" s="416" t="s">
        <v>2827</v>
      </c>
      <c r="F555" s="416" t="s">
        <v>2828</v>
      </c>
      <c r="G555" s="22"/>
      <c r="H555" s="22"/>
      <c r="I555" s="23"/>
      <c r="J555" s="24"/>
      <c r="K555" s="23">
        <v>3.0</v>
      </c>
      <c r="L555" s="23">
        <v>2002.0</v>
      </c>
      <c r="M555" s="222"/>
      <c r="N555" s="23"/>
      <c r="O555" s="27" t="str">
        <f t="shared" si="3"/>
        <v>#N/A</v>
      </c>
      <c r="P555" s="464"/>
      <c r="Q555" s="464"/>
      <c r="R555" s="464"/>
      <c r="S555" s="464"/>
      <c r="T555" s="464"/>
      <c r="U555" s="464"/>
      <c r="V555" s="30">
        <f t="shared" si="425"/>
        <v>15000000</v>
      </c>
      <c r="W555" s="30"/>
      <c r="X555" s="33"/>
      <c r="Y555" s="33"/>
      <c r="Z555" s="692"/>
      <c r="AA555" s="665"/>
      <c r="AB555" s="36"/>
      <c r="AC555" s="36"/>
      <c r="AD555" s="37"/>
      <c r="AE555" s="38"/>
      <c r="AF555" s="39"/>
      <c r="AG555" s="38"/>
      <c r="AH555" s="40"/>
      <c r="AI555" s="41"/>
      <c r="AJ555" s="42">
        <v>44735.0</v>
      </c>
      <c r="AK555" s="38">
        <f>15000000</f>
        <v>15000000</v>
      </c>
      <c r="AL555" s="44"/>
      <c r="AM555" s="38"/>
      <c r="AN555" s="44"/>
      <c r="AO555" s="38"/>
      <c r="AP555" s="44"/>
      <c r="AQ555" s="38"/>
      <c r="AR555" s="44"/>
      <c r="AS555" s="44"/>
      <c r="AT555" s="44"/>
      <c r="AU555" s="45"/>
      <c r="AV555" s="44"/>
      <c r="AW555" s="38"/>
      <c r="AX555" s="44"/>
      <c r="AY555" s="38"/>
      <c r="AZ555" s="44"/>
      <c r="BA555" s="45"/>
      <c r="BB555" s="44"/>
      <c r="BC555" s="45"/>
      <c r="BD555" s="44"/>
      <c r="BE555" s="38"/>
      <c r="BF555" s="36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</row>
    <row r="556" ht="15.75" customHeight="1">
      <c r="A556" s="1236" t="s">
        <v>2829</v>
      </c>
      <c r="B556" s="16"/>
      <c r="C556" s="17" t="s">
        <v>76</v>
      </c>
      <c r="D556" s="245"/>
      <c r="E556" s="138" t="s">
        <v>2830</v>
      </c>
      <c r="F556" s="236" t="s">
        <v>2831</v>
      </c>
      <c r="G556" s="810"/>
      <c r="H556" s="22" t="s">
        <v>371</v>
      </c>
      <c r="I556" s="23" t="s">
        <v>372</v>
      </c>
      <c r="J556" s="24"/>
      <c r="K556" s="26"/>
      <c r="L556" s="23">
        <v>2019.0</v>
      </c>
      <c r="M556" s="25"/>
      <c r="N556" s="26"/>
      <c r="O556" s="27" t="str">
        <f t="shared" si="3"/>
        <v>#N/A</v>
      </c>
      <c r="P556" s="464"/>
      <c r="Q556" s="464"/>
      <c r="R556" s="464"/>
      <c r="S556" s="464"/>
      <c r="T556" s="464"/>
      <c r="U556" s="464"/>
      <c r="V556" s="30">
        <f t="shared" si="425"/>
        <v>15000000</v>
      </c>
      <c r="W556" s="30"/>
      <c r="X556" s="73"/>
      <c r="Y556" s="73"/>
      <c r="Z556" s="692"/>
      <c r="AA556" s="665"/>
      <c r="AB556" s="36"/>
      <c r="AC556" s="36"/>
      <c r="AD556" s="44"/>
      <c r="AE556" s="46"/>
      <c r="AF556" s="158" t="str">
        <f>HYPERLINK("https://www.crunchbase.com/funding_round/beamup-seed--bc14f492","Mar 30, 2022")</f>
        <v>Mar 30, 2022</v>
      </c>
      <c r="AG556" s="38">
        <v>1.5E7</v>
      </c>
      <c r="AH556" s="36"/>
      <c r="AI556" s="159"/>
      <c r="AJ556" s="44"/>
      <c r="AK556" s="46"/>
      <c r="AL556" s="44"/>
      <c r="AM556" s="46"/>
      <c r="AN556" s="44"/>
      <c r="AO556" s="46"/>
      <c r="AP556" s="44"/>
      <c r="AQ556" s="46"/>
      <c r="AR556" s="44"/>
      <c r="AS556" s="44"/>
      <c r="AT556" s="44"/>
      <c r="AU556" s="45"/>
      <c r="AV556" s="44"/>
      <c r="AW556" s="38"/>
      <c r="AX556" s="44"/>
      <c r="AY556" s="38"/>
      <c r="AZ556" s="44"/>
      <c r="BA556" s="45"/>
      <c r="BB556" s="44"/>
      <c r="BC556" s="45"/>
      <c r="BD556" s="44"/>
      <c r="BE556" s="38"/>
      <c r="BF556" s="36"/>
      <c r="BG556" s="115"/>
      <c r="BH556" s="115"/>
      <c r="BI556" s="115"/>
      <c r="BJ556" s="115"/>
      <c r="BK556" s="115"/>
      <c r="BL556" s="115"/>
      <c r="BM556" s="115"/>
      <c r="BN556" s="115"/>
      <c r="BO556" s="115"/>
      <c r="BP556" s="115"/>
      <c r="BQ556" s="115"/>
      <c r="BR556" s="115"/>
      <c r="BS556" s="115"/>
      <c r="BT556" s="115"/>
      <c r="BU556" s="115"/>
      <c r="BV556" s="115"/>
      <c r="BW556" s="115"/>
      <c r="BX556" s="115"/>
      <c r="BY556" s="115"/>
      <c r="BZ556" s="115"/>
      <c r="CA556" s="115"/>
      <c r="CB556" s="115"/>
      <c r="CC556" s="115"/>
      <c r="CD556" s="115"/>
      <c r="CE556" s="115"/>
      <c r="CF556" s="115"/>
      <c r="CG556" s="115"/>
      <c r="CH556" s="115"/>
      <c r="CI556" s="115"/>
      <c r="CJ556" s="115"/>
      <c r="CK556" s="115"/>
      <c r="CL556" s="115"/>
      <c r="CM556" s="115"/>
      <c r="CN556" s="115"/>
      <c r="CO556" s="115"/>
      <c r="CP556" s="115"/>
    </row>
    <row r="557" ht="15.75" customHeight="1">
      <c r="A557" s="21" t="s">
        <v>2832</v>
      </c>
      <c r="B557" s="68"/>
      <c r="C557" s="69" t="s">
        <v>276</v>
      </c>
      <c r="D557" s="138" t="s">
        <v>2833</v>
      </c>
      <c r="E557" s="388" t="s">
        <v>2834</v>
      </c>
      <c r="F557" s="50" t="s">
        <v>2835</v>
      </c>
      <c r="G557" s="140"/>
      <c r="H557" s="71" t="s">
        <v>271</v>
      </c>
      <c r="I557" s="26" t="s">
        <v>272</v>
      </c>
      <c r="J557" s="155"/>
      <c r="K557" s="26">
        <v>2.0</v>
      </c>
      <c r="L557" s="26">
        <v>2012.0</v>
      </c>
      <c r="M557" s="25"/>
      <c r="N557" s="26"/>
      <c r="O557" s="27" t="str">
        <f t="shared" si="3"/>
        <v>#N/A</v>
      </c>
      <c r="P557" s="273"/>
      <c r="Q557" s="273"/>
      <c r="R557" s="273"/>
      <c r="S557" s="273"/>
      <c r="T557" s="273"/>
      <c r="U557" s="273"/>
      <c r="V557" s="30">
        <f t="shared" si="425"/>
        <v>15000000</v>
      </c>
      <c r="W557" s="30"/>
      <c r="X557" s="73"/>
      <c r="Y557" s="73"/>
      <c r="Z557" s="692"/>
      <c r="AA557" s="665"/>
      <c r="AB557" s="74"/>
      <c r="AC557" s="74"/>
      <c r="AD557" s="44"/>
      <c r="AE557" s="46"/>
      <c r="AF557" s="158" t="str">
        <f>HYPERLINK("https://www.crunchbase.com/funding_round/evocalize-seed--449e1ca3","Jan 16, 2014")</f>
        <v>Jan 16, 2014</v>
      </c>
      <c r="AG557" s="38">
        <v>3000000.0</v>
      </c>
      <c r="AH557" s="36"/>
      <c r="AI557" s="159"/>
      <c r="AJ557" s="43" t="str">
        <f>HYPERLINK("https://www.crunchbase.com/funding_round/evocalize-series-a--6efde18e","Jan 18, 2022")</f>
        <v>Jan 18, 2022</v>
      </c>
      <c r="AK557" s="38">
        <v>1.2E7</v>
      </c>
      <c r="AL557" s="44"/>
      <c r="AM557" s="46"/>
      <c r="AN557" s="44"/>
      <c r="AO557" s="46"/>
      <c r="AP557" s="44"/>
      <c r="AQ557" s="46"/>
      <c r="AR557" s="44"/>
      <c r="AS557" s="44"/>
      <c r="AT557" s="44"/>
      <c r="AU557" s="45"/>
      <c r="AV557" s="44"/>
      <c r="AW557" s="38"/>
      <c r="AX557" s="44"/>
      <c r="AY557" s="38"/>
      <c r="AZ557" s="44"/>
      <c r="BA557" s="45"/>
      <c r="BB557" s="44"/>
      <c r="BC557" s="45"/>
      <c r="BD557" s="44"/>
      <c r="BE557" s="38"/>
      <c r="BF557" s="36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</row>
    <row r="558" ht="15.75" customHeight="1">
      <c r="A558" s="21" t="s">
        <v>2836</v>
      </c>
      <c r="B558" s="68"/>
      <c r="C558" s="69" t="s">
        <v>76</v>
      </c>
      <c r="D558" s="269"/>
      <c r="E558" s="270" t="s">
        <v>2837</v>
      </c>
      <c r="F558" s="173" t="s">
        <v>2838</v>
      </c>
      <c r="G558" s="71"/>
      <c r="H558" s="71" t="s">
        <v>2839</v>
      </c>
      <c r="I558" s="26" t="s">
        <v>2840</v>
      </c>
      <c r="J558" s="155"/>
      <c r="K558" s="26">
        <v>3.0</v>
      </c>
      <c r="L558" s="26">
        <v>2012.0</v>
      </c>
      <c r="M558" s="25"/>
      <c r="N558" s="26"/>
      <c r="O558" s="27" t="str">
        <f t="shared" si="3"/>
        <v>#N/A</v>
      </c>
      <c r="P558" s="273"/>
      <c r="Q558" s="273"/>
      <c r="R558" s="273"/>
      <c r="S558" s="273"/>
      <c r="T558" s="273"/>
      <c r="U558" s="273"/>
      <c r="V558" s="30">
        <f t="shared" si="425"/>
        <v>15000000</v>
      </c>
      <c r="W558" s="30"/>
      <c r="X558" s="73"/>
      <c r="Y558" s="73"/>
      <c r="Z558" s="692"/>
      <c r="AA558" s="665"/>
      <c r="AB558" s="74"/>
      <c r="AC558" s="74"/>
      <c r="AD558" s="44"/>
      <c r="AE558" s="46"/>
      <c r="AF558" s="39"/>
      <c r="AG558" s="38"/>
      <c r="AH558" s="36"/>
      <c r="AI558" s="159"/>
      <c r="AJ558" s="37"/>
      <c r="AK558" s="38"/>
      <c r="AL558" s="43" t="str">
        <f>HYPERLINK("https://www.crunchbase.com/funding_round/fergus-software-series-b--930b4bf4","Jun 7, 2022")</f>
        <v>Jun 7, 2022</v>
      </c>
      <c r="AM558" s="38">
        <v>1.5E7</v>
      </c>
      <c r="AN558" s="44"/>
      <c r="AO558" s="46"/>
      <c r="AP558" s="44"/>
      <c r="AQ558" s="46"/>
      <c r="AR558" s="44"/>
      <c r="AS558" s="44"/>
      <c r="AT558" s="44"/>
      <c r="AU558" s="45"/>
      <c r="AV558" s="44"/>
      <c r="AW558" s="38"/>
      <c r="AX558" s="44"/>
      <c r="AY558" s="38"/>
      <c r="AZ558" s="44"/>
      <c r="BA558" s="45"/>
      <c r="BB558" s="44"/>
      <c r="BC558" s="45"/>
      <c r="BD558" s="44"/>
      <c r="BE558" s="38"/>
      <c r="BF558" s="36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</row>
    <row r="559" ht="15.75" customHeight="1">
      <c r="A559" s="21" t="s">
        <v>2841</v>
      </c>
      <c r="B559" s="68"/>
      <c r="C559" s="69" t="s">
        <v>123</v>
      </c>
      <c r="D559" s="200" t="s">
        <v>2842</v>
      </c>
      <c r="E559" s="270" t="s">
        <v>2843</v>
      </c>
      <c r="F559" s="173" t="s">
        <v>2844</v>
      </c>
      <c r="G559" s="71"/>
      <c r="H559" s="71" t="s">
        <v>394</v>
      </c>
      <c r="I559" s="26" t="s">
        <v>395</v>
      </c>
      <c r="J559" s="155"/>
      <c r="K559" s="26">
        <v>2.0</v>
      </c>
      <c r="L559" s="26">
        <v>2018.0</v>
      </c>
      <c r="M559" s="25"/>
      <c r="N559" s="26"/>
      <c r="O559" s="27" t="str">
        <f t="shared" si="3"/>
        <v>#N/A</v>
      </c>
      <c r="P559" s="273"/>
      <c r="Q559" s="273"/>
      <c r="R559" s="273"/>
      <c r="S559" s="273"/>
      <c r="T559" s="273"/>
      <c r="U559" s="273"/>
      <c r="V559" s="30">
        <f t="shared" si="425"/>
        <v>15000000</v>
      </c>
      <c r="W559" s="30"/>
      <c r="X559" s="73"/>
      <c r="Y559" s="73"/>
      <c r="Z559" s="692"/>
      <c r="AA559" s="665"/>
      <c r="AB559" s="74"/>
      <c r="AC559" s="74"/>
      <c r="AD559" s="44"/>
      <c r="AE559" s="46"/>
      <c r="AF559" s="39"/>
      <c r="AG559" s="46"/>
      <c r="AH559" s="36"/>
      <c r="AI559" s="159"/>
      <c r="AJ559" s="43" t="str">
        <f>HYPERLINK("https://www.crunchbase.com/funding_round/flashtract-series-a--f6755f98","Jan 13, 2022")</f>
        <v>Jan 13, 2022</v>
      </c>
      <c r="AK559" s="38">
        <v>1.5E7</v>
      </c>
      <c r="AL559" s="44"/>
      <c r="AM559" s="46"/>
      <c r="AN559" s="44"/>
      <c r="AO559" s="46"/>
      <c r="AP559" s="44"/>
      <c r="AQ559" s="46"/>
      <c r="AR559" s="44"/>
      <c r="AS559" s="44"/>
      <c r="AT559" s="44"/>
      <c r="AU559" s="45"/>
      <c r="AV559" s="44"/>
      <c r="AW559" s="38"/>
      <c r="AX559" s="44"/>
      <c r="AY559" s="38"/>
      <c r="AZ559" s="44"/>
      <c r="BA559" s="45"/>
      <c r="BB559" s="44"/>
      <c r="BC559" s="45"/>
      <c r="BD559" s="44"/>
      <c r="BE559" s="38"/>
      <c r="BF559" s="36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</row>
    <row r="560" ht="15.75" customHeight="1">
      <c r="A560" s="21" t="s">
        <v>2845</v>
      </c>
      <c r="B560" s="16"/>
      <c r="C560" s="17" t="s">
        <v>123</v>
      </c>
      <c r="D560" s="18" t="s">
        <v>2846</v>
      </c>
      <c r="E560" s="18" t="s">
        <v>2847</v>
      </c>
      <c r="F560" s="20" t="s">
        <v>2848</v>
      </c>
      <c r="G560" s="317"/>
      <c r="H560" s="317" t="s">
        <v>64</v>
      </c>
      <c r="I560" s="36" t="s">
        <v>65</v>
      </c>
      <c r="J560" s="237"/>
      <c r="K560" s="36"/>
      <c r="L560" s="23">
        <v>2013.0</v>
      </c>
      <c r="M560" s="25">
        <f>year(now()) -L560</f>
        <v>12</v>
      </c>
      <c r="N560" s="26">
        <f>counta(AE560,AG560,AI560,AK560,AM560,AO560,AQ560,AS560,AU560,AW560,AY560,BA560,BC560)</f>
        <v>3</v>
      </c>
      <c r="O560" s="27" t="str">
        <f t="shared" si="3"/>
        <v>#N/A</v>
      </c>
      <c r="P560" s="28" t="str">
        <f>RANK(T560,$T$8:$T$333)</f>
        <v>#N/A</v>
      </c>
      <c r="Q560" s="28" t="str">
        <f>rank(V560,$V$8:$V$344)</f>
        <v>#N/A</v>
      </c>
      <c r="R560" s="28"/>
      <c r="S560" s="28"/>
      <c r="T560" s="29">
        <f>V560/M560</f>
        <v>1247500</v>
      </c>
      <c r="U560" s="28"/>
      <c r="V560" s="30">
        <f t="shared" si="425"/>
        <v>14970000</v>
      </c>
      <c r="W560" s="30"/>
      <c r="X560" s="32">
        <f>(max(AE560,AG560,AI560,AK560,AM560,AO560,AQ560,AS560,AU560,AW560,AY560,BA560,BC560)/min(AE560,AG560,AI560,AK560,AM560,AO560,AQ560,AS560,AU560,AW560,AY560,BA560,BC560))^(1/N560)-1</f>
        <v>1.770984187</v>
      </c>
      <c r="Y560" s="33">
        <f>(max(AE560,AG560,AI560,AK560,AM560,AO560,AQ560,AS560,AU560,AW560,AY560,BA560,BC560)/min(AE560,AG560,AI560,AK560,AM560,AO560,AQ560,AS560,AU560,AW560,AY560,BA560,BC560))^(1/M560)-1</f>
        <v>0.2902043798</v>
      </c>
      <c r="Z560" s="692"/>
      <c r="AA560" s="665"/>
      <c r="AB560" s="36"/>
      <c r="AC560" s="36"/>
      <c r="AD560" s="44"/>
      <c r="AE560" s="46"/>
      <c r="AF560" s="320">
        <v>42522.0</v>
      </c>
      <c r="AG560" s="38">
        <v>470000.0</v>
      </c>
      <c r="AH560" s="36"/>
      <c r="AI560" s="159"/>
      <c r="AJ560" s="227">
        <v>42605.0</v>
      </c>
      <c r="AK560" s="38">
        <v>4500000.0</v>
      </c>
      <c r="AL560" s="227">
        <v>43587.0</v>
      </c>
      <c r="AM560" s="38">
        <v>1.0E7</v>
      </c>
      <c r="AN560" s="44"/>
      <c r="AO560" s="46"/>
      <c r="AP560" s="44"/>
      <c r="AQ560" s="46"/>
      <c r="AR560" s="44"/>
      <c r="AS560" s="44"/>
      <c r="AT560" s="44"/>
      <c r="AU560" s="45"/>
      <c r="AV560" s="44"/>
      <c r="AW560" s="38"/>
      <c r="AX560" s="44"/>
      <c r="AY560" s="38"/>
      <c r="AZ560" s="44"/>
      <c r="BA560" s="45"/>
      <c r="BB560" s="44"/>
      <c r="BC560" s="45"/>
      <c r="BD560" s="44"/>
      <c r="BE560" s="38"/>
      <c r="BF560" s="3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</row>
    <row r="561" ht="15.75" customHeight="1">
      <c r="A561" s="400" t="s">
        <v>2849</v>
      </c>
      <c r="B561" s="115"/>
      <c r="C561" s="116" t="s">
        <v>84</v>
      </c>
      <c r="D561" s="449"/>
      <c r="E561" s="161" t="s">
        <v>2850</v>
      </c>
      <c r="F561" s="402" t="s">
        <v>2851</v>
      </c>
      <c r="G561" s="286"/>
      <c r="H561" s="119" t="s">
        <v>187</v>
      </c>
      <c r="I561" s="25" t="s">
        <v>188</v>
      </c>
      <c r="J561" s="287"/>
      <c r="K561" s="25">
        <v>3.0</v>
      </c>
      <c r="L561" s="25">
        <v>2020.0</v>
      </c>
      <c r="M561" s="123"/>
      <c r="N561" s="123"/>
      <c r="O561" s="27" t="str">
        <f t="shared" si="3"/>
        <v>#N/A</v>
      </c>
      <c r="P561" s="55"/>
      <c r="Q561" s="55"/>
      <c r="R561" s="55"/>
      <c r="S561" s="55"/>
      <c r="T561" s="55"/>
      <c r="U561" s="55"/>
      <c r="V561" s="30">
        <f t="shared" si="425"/>
        <v>14800000</v>
      </c>
      <c r="W561" s="30"/>
      <c r="X561" s="403"/>
      <c r="Y561" s="403"/>
      <c r="Z561" s="692"/>
      <c r="AA561" s="665"/>
      <c r="AB561" s="123"/>
      <c r="AC561" s="123"/>
      <c r="AD561" s="452"/>
      <c r="AE561" s="123"/>
      <c r="AF561" s="880">
        <v>44902.0</v>
      </c>
      <c r="AG561" s="76">
        <v>6000000.0</v>
      </c>
      <c r="AH561" s="123"/>
      <c r="AI561" s="123"/>
      <c r="AJ561" s="123"/>
      <c r="AK561" s="123"/>
      <c r="AL561" s="123"/>
      <c r="AM561" s="123"/>
      <c r="AN561" s="123"/>
      <c r="AO561" s="123"/>
      <c r="AP561" s="123"/>
      <c r="AQ561" s="123"/>
      <c r="AR561" s="123"/>
      <c r="AS561" s="123"/>
      <c r="AT561" s="123"/>
      <c r="AU561" s="137"/>
      <c r="AV561" s="123"/>
      <c r="AW561" s="38"/>
      <c r="AX561" s="123"/>
      <c r="AY561" s="38"/>
      <c r="AZ561" s="404">
        <v>44866.0</v>
      </c>
      <c r="BA561" s="170">
        <v>8800000.0</v>
      </c>
      <c r="BB561" s="404">
        <v>44866.0</v>
      </c>
      <c r="BC561" s="137"/>
      <c r="BD561" s="123"/>
      <c r="BE561" s="38"/>
      <c r="BF561" s="123"/>
      <c r="BG561" s="115"/>
      <c r="BH561" s="115"/>
      <c r="BI561" s="115"/>
      <c r="BJ561" s="115"/>
      <c r="BK561" s="115"/>
      <c r="BL561" s="115"/>
      <c r="BM561" s="115"/>
      <c r="BN561" s="115"/>
      <c r="BO561" s="115"/>
      <c r="BP561" s="115"/>
      <c r="BQ561" s="115"/>
      <c r="BR561" s="115"/>
      <c r="BS561" s="115"/>
      <c r="BT561" s="115"/>
      <c r="BU561" s="115"/>
      <c r="BV561" s="115"/>
      <c r="BW561" s="115"/>
      <c r="BX561" s="115"/>
      <c r="BY561" s="115"/>
      <c r="BZ561" s="115"/>
      <c r="CA561" s="115"/>
      <c r="CB561" s="115"/>
      <c r="CC561" s="115"/>
      <c r="CD561" s="115"/>
      <c r="CE561" s="115"/>
      <c r="CF561" s="115"/>
      <c r="CG561" s="115"/>
      <c r="CH561" s="115"/>
      <c r="CI561" s="115"/>
      <c r="CJ561" s="115"/>
      <c r="CK561" s="115"/>
      <c r="CL561" s="115"/>
      <c r="CM561" s="115"/>
      <c r="CN561" s="115"/>
      <c r="CO561" s="115"/>
      <c r="CP561" s="115"/>
    </row>
    <row r="562" ht="15.75" customHeight="1">
      <c r="A562" s="400" t="s">
        <v>2852</v>
      </c>
      <c r="B562" s="115"/>
      <c r="C562" s="116" t="s">
        <v>84</v>
      </c>
      <c r="D562" s="161" t="s">
        <v>2853</v>
      </c>
      <c r="E562" s="161" t="s">
        <v>2854</v>
      </c>
      <c r="F562" s="402" t="s">
        <v>2855</v>
      </c>
      <c r="G562" s="286"/>
      <c r="H562" s="119" t="s">
        <v>1833</v>
      </c>
      <c r="I562" s="25" t="s">
        <v>651</v>
      </c>
      <c r="J562" s="287"/>
      <c r="K562" s="25">
        <v>3.0</v>
      </c>
      <c r="L562" s="25">
        <v>2018.0</v>
      </c>
      <c r="M562" s="25"/>
      <c r="N562" s="25"/>
      <c r="O562" s="27" t="str">
        <f t="shared" si="3"/>
        <v>#N/A</v>
      </c>
      <c r="P562" s="55"/>
      <c r="Q562" s="55"/>
      <c r="R562" s="55"/>
      <c r="S562" s="55"/>
      <c r="T562" s="55"/>
      <c r="U562" s="55"/>
      <c r="V562" s="30">
        <f t="shared" si="425"/>
        <v>14750000</v>
      </c>
      <c r="W562" s="30"/>
      <c r="X562" s="597"/>
      <c r="Y562" s="597"/>
      <c r="Z562" s="692"/>
      <c r="AA562" s="665"/>
      <c r="AB562" s="123"/>
      <c r="AC562" s="123"/>
      <c r="AD562" s="124"/>
      <c r="AE562" s="125"/>
      <c r="AF562" s="126" t="str">
        <f>HYPERLINK("https://www.crunchbase.com/funding_round/renofi-seed--a96844f8","Jan 1, 2020")</f>
        <v>Jan 1, 2020</v>
      </c>
      <c r="AG562" s="127">
        <v>750000.0</v>
      </c>
      <c r="AH562" s="123"/>
      <c r="AI562" s="759"/>
      <c r="AJ562" s="455" t="str">
        <f>HYPERLINK("https://www.crunchbase.com/funding_round/renofi-series-a--b1132ba6","Apr 4, 2022")</f>
        <v>Apr 4, 2022</v>
      </c>
      <c r="AK562" s="127">
        <v>1.4E7</v>
      </c>
      <c r="AL562" s="124"/>
      <c r="AM562" s="127"/>
      <c r="AN562" s="124"/>
      <c r="AO562" s="125"/>
      <c r="AP562" s="124"/>
      <c r="AQ562" s="125"/>
      <c r="AR562" s="124"/>
      <c r="AS562" s="124"/>
      <c r="AT562" s="124"/>
      <c r="AU562" s="137"/>
      <c r="AV562" s="124"/>
      <c r="AW562" s="38"/>
      <c r="AX562" s="124"/>
      <c r="AY562" s="38"/>
      <c r="AZ562" s="124"/>
      <c r="BA562" s="137"/>
      <c r="BB562" s="124"/>
      <c r="BC562" s="137"/>
      <c r="BD562" s="124"/>
      <c r="BE562" s="38"/>
      <c r="BF562" s="123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</row>
    <row r="563" ht="15.75" customHeight="1">
      <c r="A563" s="47" t="s">
        <v>2856</v>
      </c>
      <c r="C563" s="48" t="s">
        <v>84</v>
      </c>
      <c r="D563" s="617" t="s">
        <v>2857</v>
      </c>
      <c r="E563" s="49" t="s">
        <v>2858</v>
      </c>
      <c r="F563" s="749" t="s">
        <v>2859</v>
      </c>
      <c r="G563" s="353"/>
      <c r="H563" s="53" t="s">
        <v>2860</v>
      </c>
      <c r="I563" s="54" t="s">
        <v>65</v>
      </c>
      <c r="J563" s="55"/>
      <c r="K563" s="54">
        <v>1.0</v>
      </c>
      <c r="L563" s="56">
        <v>2020.0</v>
      </c>
      <c r="M563" s="55"/>
      <c r="N563" s="55"/>
      <c r="O563" s="27" t="str">
        <f t="shared" si="3"/>
        <v>#N/A</v>
      </c>
      <c r="P563" s="55"/>
      <c r="Q563" s="55"/>
      <c r="R563" s="55"/>
      <c r="S563" s="55"/>
      <c r="T563" s="55"/>
      <c r="U563" s="55"/>
      <c r="V563" s="30">
        <f t="shared" si="425"/>
        <v>14700000</v>
      </c>
      <c r="W563" s="30"/>
      <c r="X563" s="58"/>
      <c r="Y563" s="58"/>
      <c r="Z563" s="692"/>
      <c r="AA563" s="665"/>
      <c r="AB563" s="55"/>
      <c r="AC563" s="55"/>
      <c r="AD563" s="880">
        <v>44348.0</v>
      </c>
      <c r="AE563" s="38">
        <v>800000.0</v>
      </c>
      <c r="AF563" s="62">
        <v>44576.0</v>
      </c>
      <c r="AG563" s="38">
        <v>5900000.0</v>
      </c>
      <c r="AH563" s="62">
        <v>44900.0</v>
      </c>
      <c r="AI563" s="38">
        <v>1000000.0</v>
      </c>
      <c r="AJ563" s="62">
        <v>44959.0</v>
      </c>
      <c r="AK563" s="38">
        <v>7000000.0</v>
      </c>
      <c r="AL563" s="55"/>
      <c r="AM563" s="38"/>
      <c r="AN563" s="55"/>
      <c r="AO563" s="38"/>
      <c r="AP563" s="356"/>
      <c r="AQ563" s="38"/>
      <c r="AR563" s="55"/>
      <c r="AS563" s="38"/>
      <c r="AT563" s="55"/>
      <c r="AU563" s="38"/>
      <c r="AV563" s="55"/>
      <c r="AW563" s="38"/>
      <c r="AX563" s="55"/>
      <c r="AY563" s="38"/>
      <c r="AZ563" s="55"/>
      <c r="BA563" s="38"/>
      <c r="BB563" s="55"/>
      <c r="BC563" s="38"/>
      <c r="BD563" s="55"/>
      <c r="BE563" s="38"/>
      <c r="BF563" s="55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</row>
    <row r="564" ht="15.75" customHeight="1">
      <c r="A564" s="47" t="s">
        <v>2861</v>
      </c>
      <c r="C564" s="48" t="s">
        <v>84</v>
      </c>
      <c r="D564" s="351"/>
      <c r="E564" s="617" t="s">
        <v>2862</v>
      </c>
      <c r="F564" s="749" t="s">
        <v>2863</v>
      </c>
      <c r="G564" s="353"/>
      <c r="H564" s="53" t="s">
        <v>99</v>
      </c>
      <c r="I564" s="54" t="s">
        <v>100</v>
      </c>
      <c r="J564" s="55"/>
      <c r="K564" s="55"/>
      <c r="L564" s="56">
        <v>2021.0</v>
      </c>
      <c r="M564" s="55"/>
      <c r="N564" s="55"/>
      <c r="O564" s="27" t="str">
        <f t="shared" si="3"/>
        <v>#N/A</v>
      </c>
      <c r="P564" s="55"/>
      <c r="Q564" s="55"/>
      <c r="R564" s="55"/>
      <c r="S564" s="55"/>
      <c r="T564" s="55"/>
      <c r="U564" s="55"/>
      <c r="V564" s="30">
        <f t="shared" si="425"/>
        <v>14700000</v>
      </c>
      <c r="W564" s="30"/>
      <c r="X564" s="58"/>
      <c r="Y564" s="58"/>
      <c r="Z564" s="692"/>
      <c r="AA564" s="665"/>
      <c r="AB564" s="55"/>
      <c r="AC564" s="55"/>
      <c r="AD564" s="355"/>
      <c r="AE564" s="38"/>
      <c r="AF564" s="62">
        <v>44606.0</v>
      </c>
      <c r="AG564" s="38">
        <v>4000000.0</v>
      </c>
      <c r="AH564" s="55"/>
      <c r="AI564" s="38"/>
      <c r="AJ564" s="62">
        <v>44998.0</v>
      </c>
      <c r="AK564" s="38">
        <v>1.07E7</v>
      </c>
      <c r="AL564" s="55"/>
      <c r="AM564" s="38"/>
      <c r="AN564" s="55"/>
      <c r="AO564" s="38"/>
      <c r="AP564" s="356"/>
      <c r="AQ564" s="38"/>
      <c r="AR564" s="55"/>
      <c r="AS564" s="38"/>
      <c r="AT564" s="55"/>
      <c r="AU564" s="38"/>
      <c r="AV564" s="55"/>
      <c r="AW564" s="38"/>
      <c r="AX564" s="55"/>
      <c r="AY564" s="38"/>
      <c r="AZ564" s="55"/>
      <c r="BA564" s="38"/>
      <c r="BB564" s="55"/>
      <c r="BC564" s="38"/>
      <c r="BD564" s="55"/>
      <c r="BE564" s="38"/>
      <c r="BF564" s="55"/>
      <c r="BG564" s="534"/>
      <c r="BH564" s="534"/>
      <c r="BI564" s="534"/>
      <c r="BJ564" s="534"/>
      <c r="BK564" s="534"/>
      <c r="BL564" s="534"/>
      <c r="BM564" s="534"/>
      <c r="BN564" s="534"/>
      <c r="BO564" s="534"/>
      <c r="BP564" s="534"/>
      <c r="BQ564" s="534"/>
      <c r="BR564" s="534"/>
      <c r="BS564" s="534"/>
      <c r="BT564" s="534"/>
      <c r="BU564" s="534"/>
      <c r="BV564" s="534"/>
      <c r="BW564" s="534"/>
      <c r="BX564" s="534"/>
      <c r="BY564" s="534"/>
      <c r="BZ564" s="534"/>
      <c r="CA564" s="534"/>
      <c r="CB564" s="534"/>
      <c r="CC564" s="534"/>
      <c r="CD564" s="534"/>
      <c r="CE564" s="534"/>
      <c r="CF564" s="534"/>
      <c r="CG564" s="534"/>
      <c r="CH564" s="534"/>
      <c r="CI564" s="534"/>
      <c r="CJ564" s="534"/>
      <c r="CK564" s="534"/>
      <c r="CL564" s="534"/>
      <c r="CM564" s="534"/>
      <c r="CN564" s="534"/>
      <c r="CO564" s="534"/>
      <c r="CP564" s="534"/>
    </row>
    <row r="565" ht="15.75" customHeight="1">
      <c r="A565" s="1237" t="s">
        <v>2864</v>
      </c>
      <c r="B565" s="1237"/>
      <c r="C565" s="1237" t="s">
        <v>59</v>
      </c>
      <c r="D565" s="1121" t="s">
        <v>2865</v>
      </c>
      <c r="E565" s="1121" t="s">
        <v>2866</v>
      </c>
      <c r="F565" s="1122" t="s">
        <v>2867</v>
      </c>
      <c r="G565" s="1123"/>
      <c r="H565" s="1123" t="s">
        <v>1098</v>
      </c>
      <c r="I565" s="1123" t="s">
        <v>65</v>
      </c>
      <c r="J565" s="1124"/>
      <c r="K565" s="1123">
        <v>1.0</v>
      </c>
      <c r="L565" s="1123">
        <v>2019.0</v>
      </c>
      <c r="M565" s="25">
        <f t="shared" ref="M565:M566" si="474">year(now()) -L565</f>
        <v>6</v>
      </c>
      <c r="N565" s="26">
        <f t="shared" ref="N565:N566" si="475">counta(AE565,AG565,AI565,AK565,AM565,AO565,AQ565,AS565,AU565,AW565,AY565,BA565,BC565)</f>
        <v>2</v>
      </c>
      <c r="O565" s="27" t="str">
        <f t="shared" si="3"/>
        <v>#N/A</v>
      </c>
      <c r="P565" s="28" t="str">
        <f>RANK(T565,$T$8:$T$333)</f>
        <v>#N/A</v>
      </c>
      <c r="Q565" s="28" t="str">
        <f>rank(V565,$V$8:$V$344)</f>
        <v>#N/A</v>
      </c>
      <c r="R565" s="28"/>
      <c r="S565" s="28"/>
      <c r="T565" s="29">
        <f t="shared" ref="T565:T566" si="476">V565/M565</f>
        <v>2441666.667</v>
      </c>
      <c r="U565" s="28"/>
      <c r="V565" s="30">
        <f t="shared" si="425"/>
        <v>14650000</v>
      </c>
      <c r="W565" s="30"/>
      <c r="X565" s="32">
        <f>(max(AE565,AG565,AI565,AK565,AM565,AO565,AQ565,AS565,AU565,AW565,AY565,BA565,BC565)/min(AE565,AG565,AI565,AK565,AM565,AO565,AQ565,AS565,AU565,AW565,AY565,BA565,BC565))^(1/N565)-1</f>
        <v>8.831920803</v>
      </c>
      <c r="Y565" s="33">
        <f>(max(AE565,AG565,AI565,AK565,AM565,AO565,AQ565,AS565,AU565,AW565,AY565,BA565,BC565)/min(AE565,AG565,AI565,AK565,AM565,AO565,AQ565,AS565,AU565,AW565,AY565,BA565,BC565))^(1/M565)-1</f>
        <v>1.142295903</v>
      </c>
      <c r="Z565" s="692"/>
      <c r="AA565" s="665"/>
      <c r="AB565" s="1125"/>
      <c r="AC565" s="1125"/>
      <c r="AD565" s="1126"/>
      <c r="AE565" s="1127"/>
      <c r="AF565" s="1128" t="str">
        <f>HYPERLINK("https://www.crunchbase.com/funding_round/1build-seed--604fe3f0","Mar 16, 2020")</f>
        <v>Mar 16, 2020</v>
      </c>
      <c r="AG565" s="1129">
        <v>150000.0</v>
      </c>
      <c r="AH565" s="1125"/>
      <c r="AI565" s="1130"/>
      <c r="AJ565" s="1126" t="str">
        <f>HYPERLINK("https://www.crunchbase.com/funding_round/1build-series-a--312fd045","Sep 22, 2021")</f>
        <v>Sep 22, 2021</v>
      </c>
      <c r="AK565" s="1129">
        <v>1.45E7</v>
      </c>
      <c r="AL565" s="1238"/>
      <c r="AM565" s="1129"/>
      <c r="AN565" s="1132"/>
      <c r="AO565" s="1125"/>
      <c r="AP565" s="1132"/>
      <c r="AQ565" s="1125"/>
      <c r="AR565" s="1132"/>
      <c r="AS565" s="1132"/>
      <c r="AT565" s="1132"/>
      <c r="AU565" s="1133"/>
      <c r="AV565" s="1132"/>
      <c r="AW565" s="38"/>
      <c r="AX565" s="1132"/>
      <c r="AY565" s="38"/>
      <c r="AZ565" s="1132"/>
      <c r="BA565" s="1133"/>
      <c r="BB565" s="1132"/>
      <c r="BC565" s="1133"/>
      <c r="BD565" s="1132"/>
      <c r="BE565" s="38"/>
      <c r="BF565" s="1125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</row>
    <row r="566" ht="15.75" customHeight="1">
      <c r="A566" s="747" t="s">
        <v>2868</v>
      </c>
      <c r="B566" s="68"/>
      <c r="C566" s="69" t="s">
        <v>267</v>
      </c>
      <c r="D566" s="192" t="s">
        <v>2869</v>
      </c>
      <c r="E566" s="192" t="s">
        <v>2870</v>
      </c>
      <c r="F566" s="118" t="s">
        <v>2871</v>
      </c>
      <c r="G566" s="71" t="s">
        <v>2872</v>
      </c>
      <c r="H566" s="71" t="s">
        <v>128</v>
      </c>
      <c r="I566" s="26" t="s">
        <v>129</v>
      </c>
      <c r="J566" s="72" t="s">
        <v>2873</v>
      </c>
      <c r="K566" s="26">
        <v>2.0</v>
      </c>
      <c r="L566" s="26">
        <v>2016.0</v>
      </c>
      <c r="M566" s="25">
        <f t="shared" si="474"/>
        <v>9</v>
      </c>
      <c r="N566" s="26">
        <f t="shared" si="475"/>
        <v>3</v>
      </c>
      <c r="O566" s="27" t="str">
        <f t="shared" si="3"/>
        <v>#N/A</v>
      </c>
      <c r="P566" s="28"/>
      <c r="Q566" s="28"/>
      <c r="R566" s="28"/>
      <c r="S566" s="28"/>
      <c r="T566" s="29">
        <f t="shared" si="476"/>
        <v>1622222.222</v>
      </c>
      <c r="U566" s="28"/>
      <c r="V566" s="30">
        <f t="shared" si="425"/>
        <v>14600000</v>
      </c>
      <c r="W566" s="30"/>
      <c r="X566" s="73"/>
      <c r="Y566" s="33">
        <f>(max(AE566,AG566,AI566,AK566,AM566,AO566,AQ566,AS566,AU566,AW566,AY566,BA566,BC566)/min(AE566,AG566,AI566,AK566))^(1/M566)-1</f>
        <v>0.4451930184</v>
      </c>
      <c r="Z566" s="692"/>
      <c r="AA566" s="665"/>
      <c r="AB566" s="74"/>
      <c r="AC566" s="74"/>
      <c r="AD566" s="181" t="str">
        <f>HYPERLINK("https://www.crunchbase.com/funding_round/toggle-pre-seed--733063e1","Nov 10, 2018")</f>
        <v>Nov 10, 2018</v>
      </c>
      <c r="AE566" s="76">
        <v>400000.0</v>
      </c>
      <c r="AF566" s="175" t="str">
        <f>HYPERLINK("https://www.crunchbase.com/funding_round/toggle-seed--f0c7d24b","Oct 15, 2019")</f>
        <v>Oct 15, 2019</v>
      </c>
      <c r="AG566" s="76">
        <v>3200000.0</v>
      </c>
      <c r="AH566" s="55"/>
      <c r="AI566" s="55"/>
      <c r="AJ566" s="1239">
        <v>44960.0</v>
      </c>
      <c r="AK566" s="435">
        <v>1.1E7</v>
      </c>
      <c r="AL566" s="79"/>
      <c r="AM566" s="84"/>
      <c r="AN566" s="79"/>
      <c r="AO566" s="84"/>
      <c r="AP566" s="79"/>
      <c r="AQ566" s="84"/>
      <c r="AR566" s="79"/>
      <c r="AS566" s="79"/>
      <c r="AT566" s="79"/>
      <c r="AU566" s="80"/>
      <c r="AV566" s="79"/>
      <c r="AW566" s="38"/>
      <c r="AX566" s="79"/>
      <c r="AY566" s="38"/>
      <c r="AZ566" s="79"/>
      <c r="BA566" s="80"/>
      <c r="BB566" s="79"/>
      <c r="BC566" s="80"/>
      <c r="BD566" s="79"/>
      <c r="BE566" s="38"/>
      <c r="BF566" s="74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</row>
    <row r="567" ht="15.75" customHeight="1">
      <c r="A567" s="21" t="s">
        <v>2874</v>
      </c>
      <c r="B567" s="68"/>
      <c r="C567" s="69" t="s">
        <v>1007</v>
      </c>
      <c r="D567" s="138" t="s">
        <v>2875</v>
      </c>
      <c r="E567" s="138" t="s">
        <v>2876</v>
      </c>
      <c r="F567" s="173" t="s">
        <v>2877</v>
      </c>
      <c r="G567" s="54"/>
      <c r="H567" s="71" t="s">
        <v>128</v>
      </c>
      <c r="I567" s="26" t="s">
        <v>129</v>
      </c>
      <c r="J567" s="178"/>
      <c r="K567" s="26">
        <v>2.0</v>
      </c>
      <c r="L567" s="26">
        <v>2016.0</v>
      </c>
      <c r="M567" s="25"/>
      <c r="N567" s="26"/>
      <c r="O567" s="27" t="str">
        <f t="shared" si="3"/>
        <v>#N/A</v>
      </c>
      <c r="P567" s="28"/>
      <c r="Q567" s="28"/>
      <c r="R567" s="28"/>
      <c r="S567" s="28"/>
      <c r="T567" s="28"/>
      <c r="U567" s="28"/>
      <c r="V567" s="30">
        <f t="shared" si="425"/>
        <v>14558000</v>
      </c>
      <c r="W567" s="30"/>
      <c r="X567" s="73"/>
      <c r="Y567" s="73"/>
      <c r="Z567" s="692"/>
      <c r="AA567" s="665"/>
      <c r="AB567" s="74"/>
      <c r="AC567" s="74"/>
      <c r="AD567" s="181" t="str">
        <f>HYPERLINK("https://www.crunchbase.com/funding_round/rentredi-pre-seed--4e996c49","Jan 1, 2019")</f>
        <v>Jan 1, 2019</v>
      </c>
      <c r="AE567" s="76">
        <v>58000.0</v>
      </c>
      <c r="AF567" s="175" t="str">
        <f>HYPERLINK("https://www.crunchbase.com/funding_round/rentredi-seed--cc6a1031","Apr 22, 2021")</f>
        <v>Apr 22, 2021</v>
      </c>
      <c r="AG567" s="76">
        <v>2500000.0</v>
      </c>
      <c r="AH567" s="74"/>
      <c r="AI567" s="78"/>
      <c r="AJ567" s="874" t="str">
        <f>HYPERLINK("https://www.crunchbase.com/funding_round/rentredi-series-a--31275f23","Apr 13, 2022")</f>
        <v>Apr 13, 2022</v>
      </c>
      <c r="AK567" s="891">
        <v>1.2E7</v>
      </c>
      <c r="AL567" s="79"/>
      <c r="AM567" s="84"/>
      <c r="AN567" s="79"/>
      <c r="AO567" s="76"/>
      <c r="AP567" s="79"/>
      <c r="AQ567" s="76"/>
      <c r="AR567" s="79"/>
      <c r="AS567" s="79"/>
      <c r="AT567" s="79"/>
      <c r="AU567" s="80"/>
      <c r="AV567" s="79"/>
      <c r="AW567" s="38"/>
      <c r="AX567" s="79"/>
      <c r="AY567" s="38"/>
      <c r="AZ567" s="79"/>
      <c r="BA567" s="80"/>
      <c r="BB567" s="79"/>
      <c r="BC567" s="80"/>
      <c r="BD567" s="79"/>
      <c r="BE567" s="38"/>
      <c r="BF567" s="74"/>
      <c r="BG567" s="115"/>
      <c r="BH567" s="115"/>
      <c r="BI567" s="115"/>
      <c r="BJ567" s="115"/>
      <c r="BK567" s="115"/>
      <c r="BL567" s="115"/>
      <c r="BM567" s="115"/>
      <c r="BN567" s="115"/>
      <c r="BO567" s="115"/>
      <c r="BP567" s="115"/>
      <c r="BQ567" s="115"/>
      <c r="BR567" s="115"/>
      <c r="BS567" s="115"/>
      <c r="BT567" s="115"/>
      <c r="BU567" s="115"/>
      <c r="BV567" s="115"/>
      <c r="BW567" s="115"/>
      <c r="BX567" s="115"/>
      <c r="BY567" s="115"/>
      <c r="BZ567" s="115"/>
      <c r="CA567" s="115"/>
      <c r="CB567" s="115"/>
      <c r="CC567" s="115"/>
      <c r="CD567" s="115"/>
      <c r="CE567" s="115"/>
      <c r="CF567" s="115"/>
      <c r="CG567" s="115"/>
      <c r="CH567" s="115"/>
      <c r="CI567" s="115"/>
      <c r="CJ567" s="115"/>
      <c r="CK567" s="115"/>
      <c r="CL567" s="115"/>
      <c r="CM567" s="115"/>
      <c r="CN567" s="115"/>
      <c r="CO567" s="115"/>
      <c r="CP567" s="115"/>
    </row>
    <row r="568" ht="15.75" customHeight="1">
      <c r="A568" s="747" t="s">
        <v>2878</v>
      </c>
      <c r="B568" s="116"/>
      <c r="C568" s="116" t="s">
        <v>59</v>
      </c>
      <c r="D568" s="192" t="s">
        <v>2879</v>
      </c>
      <c r="E568" s="192" t="s">
        <v>2880</v>
      </c>
      <c r="F568" s="756" t="s">
        <v>2881</v>
      </c>
      <c r="G568" s="119"/>
      <c r="H568" s="119" t="s">
        <v>1984</v>
      </c>
      <c r="I568" s="25" t="s">
        <v>772</v>
      </c>
      <c r="J568" s="120"/>
      <c r="K568" s="25">
        <v>3.0</v>
      </c>
      <c r="L568" s="25">
        <v>2018.0</v>
      </c>
      <c r="M568" s="25">
        <f t="shared" ref="M568:M570" si="477">year(now()) -L568</f>
        <v>7</v>
      </c>
      <c r="N568" s="26">
        <f t="shared" ref="N568:N570" si="478">counta(AE568,AG568,AI568,AK568,AM568,AO568,AQ568,AS568,AU568,AW568,AY568,BA568,BC568)</f>
        <v>2</v>
      </c>
      <c r="O568" s="27" t="str">
        <f t="shared" si="3"/>
        <v>#N/A</v>
      </c>
      <c r="P568" s="28" t="str">
        <f t="shared" ref="P568:P570" si="479">RANK(T568,$T$8:$T$333)</f>
        <v>#N/A</v>
      </c>
      <c r="Q568" s="28" t="str">
        <f t="shared" ref="Q568:Q570" si="480">rank(V568,$V$8:$V$344)</f>
        <v>#N/A</v>
      </c>
      <c r="R568" s="28"/>
      <c r="S568" s="28"/>
      <c r="T568" s="29">
        <f t="shared" ref="T568:T570" si="481">V568/M568</f>
        <v>2078428.571</v>
      </c>
      <c r="U568" s="28"/>
      <c r="V568" s="30">
        <f t="shared" si="425"/>
        <v>14549000</v>
      </c>
      <c r="W568" s="30"/>
      <c r="X568" s="32">
        <f t="shared" ref="X568:X570" si="482">(max(AE568,AG568,AI568,AK568,AM568,AO568,AQ568,AS568,AU568,AW568,AY568,BA568,BC568)/min(AE568,AG568,AI568,AK568,AM568,AO568,AQ568,AS568,AU568,AW568,AY568,BA568,BC568))^(1/N568)-1</f>
        <v>3.292384662</v>
      </c>
      <c r="Y568" s="33">
        <f t="shared" ref="Y568:Y570" si="483">(max(AE568,AG568,AI568,AK568,AM568,AO568,AQ568,AS568,AU568,AW568,AY568,BA568,BC568)/min(AE568,AG568,AI568,AK568,AM568,AO568,AQ568,AS568,AU568,AW568,AY568,BA568,BC568))^(1/M568)-1</f>
        <v>0.5162507838</v>
      </c>
      <c r="Z568" s="692"/>
      <c r="AA568" s="665"/>
      <c r="AB568" s="123"/>
      <c r="AC568" s="123"/>
      <c r="AD568" s="124"/>
      <c r="AE568" s="125"/>
      <c r="AF568" s="126" t="str">
        <f>HYPERLINK("https://www.crunchbase.com/funding_round/scythe-robotics-seed--5b4d4100","Apr 18, 2018")</f>
        <v>Apr 18, 2018</v>
      </c>
      <c r="AG568" s="127">
        <v>749000.0</v>
      </c>
      <c r="AH568" s="923"/>
      <c r="AI568" s="759"/>
      <c r="AJ568" s="167" t="str">
        <f>HYPERLINK("https://www.crunchbase.com/funding_round/scythe-robotics-series-a--271b0d42","Jun 15, 2021")</f>
        <v>Jun 15, 2021</v>
      </c>
      <c r="AK568" s="165">
        <v>1.38E7</v>
      </c>
      <c r="AL568" s="124"/>
      <c r="AM568" s="125"/>
      <c r="AN568" s="124"/>
      <c r="AO568" s="125"/>
      <c r="AP568" s="124"/>
      <c r="AQ568" s="125"/>
      <c r="AR568" s="124"/>
      <c r="AS568" s="124"/>
      <c r="AT568" s="124"/>
      <c r="AU568" s="137"/>
      <c r="AV568" s="124"/>
      <c r="AW568" s="38"/>
      <c r="AX568" s="124"/>
      <c r="AY568" s="38"/>
      <c r="AZ568" s="124"/>
      <c r="BA568" s="137"/>
      <c r="BB568" s="124"/>
      <c r="BC568" s="137"/>
      <c r="BD568" s="124"/>
      <c r="BE568" s="38"/>
      <c r="BF568" s="123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</row>
    <row r="569" ht="15.75" customHeight="1">
      <c r="A569" s="21" t="s">
        <v>2882</v>
      </c>
      <c r="B569" s="68"/>
      <c r="C569" s="69" t="s">
        <v>84</v>
      </c>
      <c r="D569" s="192" t="s">
        <v>2883</v>
      </c>
      <c r="E569" s="117" t="s">
        <v>2884</v>
      </c>
      <c r="F569" s="756" t="s">
        <v>2885</v>
      </c>
      <c r="G569" s="71"/>
      <c r="H569" s="71" t="s">
        <v>587</v>
      </c>
      <c r="I569" s="26" t="s">
        <v>65</v>
      </c>
      <c r="J569" s="72"/>
      <c r="K569" s="26"/>
      <c r="L569" s="26">
        <v>2015.0</v>
      </c>
      <c r="M569" s="25">
        <f t="shared" si="477"/>
        <v>10</v>
      </c>
      <c r="N569" s="26">
        <f t="shared" si="478"/>
        <v>2</v>
      </c>
      <c r="O569" s="27" t="str">
        <f t="shared" si="3"/>
        <v>#N/A</v>
      </c>
      <c r="P569" s="28" t="str">
        <f t="shared" si="479"/>
        <v>#N/A</v>
      </c>
      <c r="Q569" s="28" t="str">
        <f t="shared" si="480"/>
        <v>#N/A</v>
      </c>
      <c r="R569" s="28"/>
      <c r="S569" s="28"/>
      <c r="T569" s="29">
        <f t="shared" si="481"/>
        <v>1450000</v>
      </c>
      <c r="U569" s="28"/>
      <c r="V569" s="30">
        <f t="shared" si="425"/>
        <v>14500000</v>
      </c>
      <c r="W569" s="30"/>
      <c r="X569" s="32">
        <f t="shared" si="482"/>
        <v>0.490711985</v>
      </c>
      <c r="Y569" s="33">
        <f t="shared" si="483"/>
        <v>0.0831254204</v>
      </c>
      <c r="Z569" s="692"/>
      <c r="AA569" s="665"/>
      <c r="AB569" s="74"/>
      <c r="AC569" s="74"/>
      <c r="AD569" s="79"/>
      <c r="AE569" s="84"/>
      <c r="AF569" s="225">
        <v>44173.0</v>
      </c>
      <c r="AG569" s="76">
        <v>4500000.0</v>
      </c>
      <c r="AH569" s="74"/>
      <c r="AI569" s="78"/>
      <c r="AJ569" s="391">
        <v>44742.0</v>
      </c>
      <c r="AK569" s="84">
        <f>10000000</f>
        <v>10000000</v>
      </c>
      <c r="AL569" s="79"/>
      <c r="AM569" s="84"/>
      <c r="AN569" s="79"/>
      <c r="AO569" s="84"/>
      <c r="AP569" s="79"/>
      <c r="AQ569" s="84"/>
      <c r="AR569" s="79"/>
      <c r="AS569" s="79"/>
      <c r="AT569" s="79"/>
      <c r="AU569" s="80"/>
      <c r="AV569" s="79"/>
      <c r="AW569" s="38"/>
      <c r="AX569" s="79"/>
      <c r="AY569" s="38"/>
      <c r="AZ569" s="79"/>
      <c r="BA569" s="80"/>
      <c r="BB569" s="79"/>
      <c r="BC569" s="80"/>
      <c r="BD569" s="79"/>
      <c r="BE569" s="38"/>
      <c r="BF569" s="74"/>
      <c r="BG569" s="115"/>
      <c r="BH569" s="115"/>
      <c r="BI569" s="115"/>
      <c r="BJ569" s="115"/>
      <c r="BK569" s="115"/>
      <c r="BL569" s="115"/>
      <c r="BM569" s="115"/>
      <c r="BN569" s="115"/>
      <c r="BO569" s="115"/>
      <c r="BP569" s="115"/>
      <c r="BQ569" s="115"/>
      <c r="BR569" s="115"/>
      <c r="BS569" s="115"/>
      <c r="BT569" s="115"/>
      <c r="BU569" s="115"/>
      <c r="BV569" s="115"/>
      <c r="BW569" s="115"/>
      <c r="BX569" s="115"/>
      <c r="BY569" s="115"/>
      <c r="BZ569" s="115"/>
      <c r="CA569" s="115"/>
      <c r="CB569" s="115"/>
      <c r="CC569" s="115"/>
      <c r="CD569" s="115"/>
      <c r="CE569" s="115"/>
      <c r="CF569" s="115"/>
      <c r="CG569" s="115"/>
      <c r="CH569" s="115"/>
      <c r="CI569" s="115"/>
      <c r="CJ569" s="115"/>
      <c r="CK569" s="115"/>
      <c r="CL569" s="115"/>
      <c r="CM569" s="115"/>
      <c r="CN569" s="115"/>
      <c r="CO569" s="115"/>
      <c r="CP569" s="115"/>
    </row>
    <row r="570" ht="15.75" customHeight="1">
      <c r="A570" s="442" t="s">
        <v>2886</v>
      </c>
      <c r="B570" s="68" t="s">
        <v>2887</v>
      </c>
      <c r="C570" s="68" t="s">
        <v>207</v>
      </c>
      <c r="D570" s="138" t="s">
        <v>2888</v>
      </c>
      <c r="E570" s="184" t="s">
        <v>2889</v>
      </c>
      <c r="F570" s="185" t="s">
        <v>2890</v>
      </c>
      <c r="G570" s="54" t="s">
        <v>2891</v>
      </c>
      <c r="H570" s="186" t="s">
        <v>128</v>
      </c>
      <c r="I570" s="74" t="s">
        <v>129</v>
      </c>
      <c r="J570" s="178" t="s">
        <v>466</v>
      </c>
      <c r="K570" s="74">
        <v>2.0</v>
      </c>
      <c r="L570" s="26">
        <v>2017.0</v>
      </c>
      <c r="M570" s="25">
        <f t="shared" si="477"/>
        <v>8</v>
      </c>
      <c r="N570" s="26">
        <f t="shared" si="478"/>
        <v>2</v>
      </c>
      <c r="O570" s="27" t="str">
        <f t="shared" si="3"/>
        <v>#N/A</v>
      </c>
      <c r="P570" s="28" t="str">
        <f t="shared" si="479"/>
        <v>#N/A</v>
      </c>
      <c r="Q570" s="28" t="str">
        <f t="shared" si="480"/>
        <v>#N/A</v>
      </c>
      <c r="R570" s="28"/>
      <c r="S570" s="28"/>
      <c r="T570" s="29">
        <f t="shared" si="481"/>
        <v>1812500</v>
      </c>
      <c r="U570" s="28"/>
      <c r="V570" s="30">
        <f t="shared" si="425"/>
        <v>14500000</v>
      </c>
      <c r="W570" s="30"/>
      <c r="X570" s="32">
        <f t="shared" si="482"/>
        <v>1.5</v>
      </c>
      <c r="Y570" s="33">
        <f t="shared" si="483"/>
        <v>0.2574334297</v>
      </c>
      <c r="Z570" s="692"/>
      <c r="AA570" s="665"/>
      <c r="AB570" s="74"/>
      <c r="AC570" s="74"/>
      <c r="AD570" s="44"/>
      <c r="AE570" s="46"/>
      <c r="AF570" s="158" t="str">
        <f>HYPERLINK("https://www.crunchbase.com/organization/room-8767#section-funding-rounds"," Aug 14, 2018")</f>
        <v> Aug 14, 2018</v>
      </c>
      <c r="AG570" s="46">
        <v>2000000.0</v>
      </c>
      <c r="AH570" s="36"/>
      <c r="AI570" s="159"/>
      <c r="AJ570" s="180">
        <v>44048.0</v>
      </c>
      <c r="AK570" s="38">
        <v>1.25E7</v>
      </c>
      <c r="AL570" s="44"/>
      <c r="AM570" s="84"/>
      <c r="AN570" s="79"/>
      <c r="AO570" s="84"/>
      <c r="AP570" s="79"/>
      <c r="AQ570" s="84"/>
      <c r="AR570" s="79"/>
      <c r="AS570" s="79"/>
      <c r="AT570" s="79"/>
      <c r="AU570" s="80"/>
      <c r="AV570" s="79"/>
      <c r="AW570" s="38"/>
      <c r="AX570" s="79"/>
      <c r="AY570" s="38"/>
      <c r="AZ570" s="79"/>
      <c r="BA570" s="80"/>
      <c r="BB570" s="79"/>
      <c r="BC570" s="80"/>
      <c r="BD570" s="79"/>
      <c r="BE570" s="38"/>
      <c r="BF570" s="74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</row>
    <row r="571" ht="15.75" customHeight="1">
      <c r="A571" s="21" t="s">
        <v>2892</v>
      </c>
      <c r="B571" s="69"/>
      <c r="C571" s="69" t="s">
        <v>267</v>
      </c>
      <c r="D571" s="184"/>
      <c r="E571" s="200" t="s">
        <v>2893</v>
      </c>
      <c r="F571" s="757" t="s">
        <v>2894</v>
      </c>
      <c r="G571" s="140"/>
      <c r="H571" s="71" t="s">
        <v>64</v>
      </c>
      <c r="I571" s="26" t="s">
        <v>65</v>
      </c>
      <c r="J571" s="72"/>
      <c r="K571" s="26">
        <v>4.0</v>
      </c>
      <c r="L571" s="26">
        <v>2018.0</v>
      </c>
      <c r="M571" s="25"/>
      <c r="N571" s="26"/>
      <c r="O571" s="27" t="str">
        <f t="shared" si="3"/>
        <v>#N/A</v>
      </c>
      <c r="P571" s="28"/>
      <c r="Q571" s="28"/>
      <c r="R571" s="28"/>
      <c r="S571" s="28"/>
      <c r="T571" s="28"/>
      <c r="U571" s="28"/>
      <c r="V571" s="30">
        <f t="shared" si="425"/>
        <v>14500000</v>
      </c>
      <c r="W571" s="30"/>
      <c r="X571" s="73"/>
      <c r="Y571" s="73"/>
      <c r="Z571" s="692"/>
      <c r="AA571" s="665"/>
      <c r="AB571" s="74"/>
      <c r="AC571" s="74"/>
      <c r="AD571" s="79"/>
      <c r="AE571" s="84"/>
      <c r="AF571" s="175" t="str">
        <f>HYPERLINK("https://www.crunchbase.com/funding_round/handle-com-seed--d457c5d9","May 1, 2019")</f>
        <v>May 1, 2019</v>
      </c>
      <c r="AG571" s="76">
        <v>4500000.0</v>
      </c>
      <c r="AH571" s="74"/>
      <c r="AI571" s="78"/>
      <c r="AJ571" s="181" t="str">
        <f>HYPERLINK("https://www.crunchbase.com/funding_round/handle-com-series-a--20dc9e39","Mar 23, 2022")</f>
        <v>Mar 23, 2022</v>
      </c>
      <c r="AK571" s="76">
        <v>1.0E7</v>
      </c>
      <c r="AL571" s="79"/>
      <c r="AM571" s="84"/>
      <c r="AN571" s="79"/>
      <c r="AO571" s="84"/>
      <c r="AP571" s="79"/>
      <c r="AQ571" s="84"/>
      <c r="AR571" s="79"/>
      <c r="AS571" s="79"/>
      <c r="AT571" s="79"/>
      <c r="AU571" s="80"/>
      <c r="AV571" s="79"/>
      <c r="AW571" s="38"/>
      <c r="AX571" s="79"/>
      <c r="AY571" s="38"/>
      <c r="AZ571" s="79"/>
      <c r="BA571" s="80"/>
      <c r="BB571" s="79"/>
      <c r="BC571" s="80"/>
      <c r="BD571" s="79"/>
      <c r="BE571" s="38"/>
      <c r="BF571" s="74"/>
      <c r="BG571" s="534"/>
      <c r="BH571" s="534"/>
      <c r="BI571" s="534"/>
      <c r="BJ571" s="534"/>
      <c r="BK571" s="534"/>
      <c r="BL571" s="534"/>
      <c r="BM571" s="534"/>
      <c r="BN571" s="534"/>
      <c r="BO571" s="534"/>
      <c r="BP571" s="534"/>
      <c r="BQ571" s="534"/>
      <c r="BR571" s="534"/>
      <c r="BS571" s="534"/>
      <c r="BT571" s="534"/>
      <c r="BU571" s="534"/>
      <c r="BV571" s="534"/>
      <c r="BW571" s="534"/>
      <c r="BX571" s="534"/>
      <c r="BY571" s="534"/>
      <c r="BZ571" s="534"/>
      <c r="CA571" s="534"/>
      <c r="CB571" s="534"/>
      <c r="CC571" s="534"/>
      <c r="CD571" s="534"/>
      <c r="CE571" s="534"/>
      <c r="CF571" s="534"/>
      <c r="CG571" s="534"/>
      <c r="CH571" s="534"/>
      <c r="CI571" s="534"/>
      <c r="CJ571" s="534"/>
      <c r="CK571" s="534"/>
      <c r="CL571" s="534"/>
      <c r="CM571" s="534"/>
      <c r="CN571" s="534"/>
      <c r="CO571" s="534"/>
      <c r="CP571" s="534"/>
    </row>
    <row r="572" ht="15.75" customHeight="1">
      <c r="A572" s="21" t="s">
        <v>2895</v>
      </c>
      <c r="B572" s="68"/>
      <c r="C572" s="69" t="s">
        <v>84</v>
      </c>
      <c r="D572" s="138" t="s">
        <v>2896</v>
      </c>
      <c r="E572" s="200" t="s">
        <v>2897</v>
      </c>
      <c r="F572" s="173" t="s">
        <v>2898</v>
      </c>
      <c r="G572" s="71" t="s">
        <v>2899</v>
      </c>
      <c r="H572" s="71" t="s">
        <v>357</v>
      </c>
      <c r="I572" s="26" t="s">
        <v>358</v>
      </c>
      <c r="J572" s="72" t="s">
        <v>2900</v>
      </c>
      <c r="K572" s="26">
        <v>2.0</v>
      </c>
      <c r="L572" s="26">
        <v>2018.0</v>
      </c>
      <c r="M572" s="25">
        <f t="shared" ref="M572:M575" si="484">year(now()) -L572</f>
        <v>7</v>
      </c>
      <c r="N572" s="26">
        <f t="shared" ref="N572:N575" si="485">counta(AE572,AG572,AI572,AK572,AM572,AO572,AQ572,AS572,AU572,AW572,AY572,BA572,BC572)</f>
        <v>3</v>
      </c>
      <c r="O572" s="27" t="str">
        <f t="shared" si="3"/>
        <v>#N/A</v>
      </c>
      <c r="P572" s="28" t="str">
        <f t="shared" ref="P572:P575" si="486">RANK(T572,$T$8:$T$333)</f>
        <v>#N/A</v>
      </c>
      <c r="Q572" s="28" t="str">
        <f t="shared" ref="Q572:Q575" si="487">rank(V572,$V$8:$V$344)</f>
        <v>#N/A</v>
      </c>
      <c r="R572" s="28"/>
      <c r="S572" s="28"/>
      <c r="T572" s="29">
        <f t="shared" ref="T572:T575" si="488">V572/M572</f>
        <v>2057142.857</v>
      </c>
      <c r="U572" s="28"/>
      <c r="V572" s="30">
        <f t="shared" si="425"/>
        <v>14400000</v>
      </c>
      <c r="W572" s="30"/>
      <c r="X572" s="32">
        <f t="shared" ref="X572:X575" si="489">(max(AE572,AG572,AI572,AK572,AM572,AO572,AQ572,AS572,AU572,AW572,AY572,BA572,BC572)/min(AE572,AG572,AI572,AK572,AM572,AO572,AQ572,AS572,AU572,AW572,AY572,BA572,BC572))^(1/N572)-1</f>
        <v>0.9258567856</v>
      </c>
      <c r="Y572" s="33">
        <f t="shared" ref="Y572:Y575" si="490">(max(AE572,AG572,AI572,AK572,AM572,AO572,AQ572,AS572,AU572,AW572,AY572,BA572,BC572)/min(AE572,AG572,AI572,AK572,AM572,AO572,AQ572,AS572,AU572,AW572,AY572,BA572,BC572))^(1/M572)-1</f>
        <v>0.3242857602</v>
      </c>
      <c r="Z572" s="692"/>
      <c r="AA572" s="665"/>
      <c r="AB572" s="74"/>
      <c r="AC572" s="74"/>
      <c r="AD572" s="1035" t="str">
        <f>HYPERLINK("https://www.crunchbase.com/funding_round/knox-financial-pre-seed--52d763c8","Mar 11, 2019")</f>
        <v>Mar 11, 2019</v>
      </c>
      <c r="AE572" s="1240">
        <v>1400000.0</v>
      </c>
      <c r="AF572" s="1241" t="str">
        <f>HYPERLINK("https://www.crunchbase.com/funding_round/knox-financial-seed--07d5b696","Jan 27, 2020")</f>
        <v>Jan 27, 2020</v>
      </c>
      <c r="AG572" s="76">
        <v>3000000.0</v>
      </c>
      <c r="AH572" s="74"/>
      <c r="AI572" s="78"/>
      <c r="AJ572" s="181" t="str">
        <f>HYPERLINK("https://www.crunchbase.com/funding_round/knox-financial-series-a--064a0941","Apr 19, 2021")</f>
        <v>Apr 19, 2021</v>
      </c>
      <c r="AK572" s="76">
        <v>1.0E7</v>
      </c>
      <c r="AL572" s="79"/>
      <c r="AM572" s="84"/>
      <c r="AN572" s="79"/>
      <c r="AO572" s="84"/>
      <c r="AP572" s="79"/>
      <c r="AQ572" s="84"/>
      <c r="AR572" s="79"/>
      <c r="AS572" s="79"/>
      <c r="AT572" s="79"/>
      <c r="AU572" s="80"/>
      <c r="AV572" s="79"/>
      <c r="AW572" s="38"/>
      <c r="AX572" s="79"/>
      <c r="AY572" s="38"/>
      <c r="AZ572" s="79"/>
      <c r="BA572" s="80"/>
      <c r="BB572" s="79"/>
      <c r="BC572" s="80"/>
      <c r="BD572" s="79"/>
      <c r="BE572" s="38"/>
      <c r="BF572" s="74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</row>
    <row r="573" ht="15.75" customHeight="1">
      <c r="A573" s="21" t="s">
        <v>2901</v>
      </c>
      <c r="B573" s="68"/>
      <c r="C573" s="69" t="s">
        <v>84</v>
      </c>
      <c r="D573" s="138" t="s">
        <v>2902</v>
      </c>
      <c r="E573" s="138" t="s">
        <v>2903</v>
      </c>
      <c r="F573" s="173" t="s">
        <v>2904</v>
      </c>
      <c r="G573" s="71"/>
      <c r="H573" s="71" t="s">
        <v>2905</v>
      </c>
      <c r="I573" s="26" t="s">
        <v>65</v>
      </c>
      <c r="J573" s="72" t="s">
        <v>2906</v>
      </c>
      <c r="K573" s="26">
        <v>1.0</v>
      </c>
      <c r="L573" s="26">
        <v>2017.0</v>
      </c>
      <c r="M573" s="25">
        <f t="shared" si="484"/>
        <v>8</v>
      </c>
      <c r="N573" s="26">
        <f t="shared" si="485"/>
        <v>1</v>
      </c>
      <c r="O573" s="27" t="str">
        <f t="shared" si="3"/>
        <v>#N/A</v>
      </c>
      <c r="P573" s="28" t="str">
        <f t="shared" si="486"/>
        <v>#N/A</v>
      </c>
      <c r="Q573" s="28" t="str">
        <f t="shared" si="487"/>
        <v>#N/A</v>
      </c>
      <c r="R573" s="28"/>
      <c r="S573" s="28"/>
      <c r="T573" s="29">
        <f t="shared" si="488"/>
        <v>1750000</v>
      </c>
      <c r="U573" s="28"/>
      <c r="V573" s="30">
        <f t="shared" si="425"/>
        <v>14000000</v>
      </c>
      <c r="W573" s="30"/>
      <c r="X573" s="32">
        <f t="shared" si="489"/>
        <v>0</v>
      </c>
      <c r="Y573" s="33">
        <f t="shared" si="490"/>
        <v>0</v>
      </c>
      <c r="Z573" s="692"/>
      <c r="AA573" s="665"/>
      <c r="AB573" s="74"/>
      <c r="AC573" s="74"/>
      <c r="AD573" s="44"/>
      <c r="AE573" s="46"/>
      <c r="AF573" s="39"/>
      <c r="AG573" s="46"/>
      <c r="AH573" s="36"/>
      <c r="AI573" s="159"/>
      <c r="AJ573" s="228" t="str">
        <f>HYPERLINK("https://www.crunchbase.com/organization/dvele#section-funding-rounds"," Mar 27, 2019")</f>
        <v> Mar 27, 2019</v>
      </c>
      <c r="AK573" s="38">
        <v>1.4E7</v>
      </c>
      <c r="AL573" s="44"/>
      <c r="AM573" s="46"/>
      <c r="AN573" s="44"/>
      <c r="AO573" s="46"/>
      <c r="AP573" s="44"/>
      <c r="AQ573" s="46"/>
      <c r="AR573" s="44"/>
      <c r="AS573" s="44"/>
      <c r="AT573" s="44"/>
      <c r="AU573" s="45"/>
      <c r="AV573" s="44"/>
      <c r="AW573" s="38"/>
      <c r="AX573" s="44"/>
      <c r="AY573" s="38"/>
      <c r="AZ573" s="44"/>
      <c r="BA573" s="45"/>
      <c r="BB573" s="44"/>
      <c r="BC573" s="45"/>
      <c r="BD573" s="44"/>
      <c r="BE573" s="38"/>
      <c r="BF573" s="36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</row>
    <row r="574" ht="15.75" customHeight="1">
      <c r="A574" s="1242" t="s">
        <v>2907</v>
      </c>
      <c r="B574" s="760" t="s">
        <v>521</v>
      </c>
      <c r="C574" s="824" t="s">
        <v>513</v>
      </c>
      <c r="D574" s="1243" t="s">
        <v>2908</v>
      </c>
      <c r="E574" s="1243" t="s">
        <v>2909</v>
      </c>
      <c r="F574" s="1244" t="s">
        <v>2910</v>
      </c>
      <c r="G574" s="1245" t="s">
        <v>2911</v>
      </c>
      <c r="H574" s="1245" t="s">
        <v>128</v>
      </c>
      <c r="I574" s="831" t="s">
        <v>129</v>
      </c>
      <c r="J574" s="829">
        <v>10017.0</v>
      </c>
      <c r="K574" s="831">
        <v>1.0</v>
      </c>
      <c r="L574" s="830">
        <v>2009.0</v>
      </c>
      <c r="M574" s="25">
        <f t="shared" si="484"/>
        <v>16</v>
      </c>
      <c r="N574" s="26">
        <f t="shared" si="485"/>
        <v>3</v>
      </c>
      <c r="O574" s="27" t="str">
        <f t="shared" si="3"/>
        <v>#N/A</v>
      </c>
      <c r="P574" s="28" t="str">
        <f t="shared" si="486"/>
        <v>#N/A</v>
      </c>
      <c r="Q574" s="28" t="str">
        <f t="shared" si="487"/>
        <v>#N/A</v>
      </c>
      <c r="R574" s="28"/>
      <c r="S574" s="28"/>
      <c r="T574" s="29">
        <f t="shared" si="488"/>
        <v>875000</v>
      </c>
      <c r="U574" s="28"/>
      <c r="V574" s="30">
        <f t="shared" si="425"/>
        <v>14000000</v>
      </c>
      <c r="W574" s="30"/>
      <c r="X574" s="32">
        <f t="shared" si="489"/>
        <v>0.07721734502</v>
      </c>
      <c r="Y574" s="33">
        <f t="shared" si="490"/>
        <v>0.01404417769</v>
      </c>
      <c r="Z574" s="692"/>
      <c r="AA574" s="665"/>
      <c r="AB574" s="831"/>
      <c r="AC574" s="831"/>
      <c r="AD574" s="1246"/>
      <c r="AE574" s="1247"/>
      <c r="AF574" s="1248" t="str">
        <f>HYPERLINK("https://www.crunchbase.com/organization/rs-metrics#section-funding-rounds"," Jan 3, 2013")</f>
        <v> Jan 3, 2013</v>
      </c>
      <c r="AG574" s="1249">
        <v>5000000.0</v>
      </c>
      <c r="AH574" s="1250"/>
      <c r="AI574" s="1251"/>
      <c r="AJ574" s="1252" t="str">
        <f>HYPERLINK("https://www.crunchbase.com/funding_round/rs-metrics-series-a--c8d9010b","Sep 5, 2015")</f>
        <v>Sep 5, 2015</v>
      </c>
      <c r="AK574" s="1249">
        <v>4000000.0</v>
      </c>
      <c r="AL574" s="1252" t="str">
        <f>HYPERLINK("https://www.crunchbase.com/funding_round/rs-metrics-series-b--3986f761","Oct 1, 2017")</f>
        <v>Oct 1, 2017</v>
      </c>
      <c r="AM574" s="837">
        <v>5000000.0</v>
      </c>
      <c r="AN574" s="832"/>
      <c r="AO574" s="833"/>
      <c r="AP574" s="832"/>
      <c r="AQ574" s="833"/>
      <c r="AR574" s="832"/>
      <c r="AS574" s="832"/>
      <c r="AT574" s="832"/>
      <c r="AU574" s="838"/>
      <c r="AV574" s="832"/>
      <c r="AW574" s="38"/>
      <c r="AX574" s="832"/>
      <c r="AY574" s="38"/>
      <c r="AZ574" s="832"/>
      <c r="BA574" s="838"/>
      <c r="BB574" s="832"/>
      <c r="BC574" s="838"/>
      <c r="BD574" s="832"/>
      <c r="BE574" s="38"/>
      <c r="BF574" s="831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</row>
    <row r="575" ht="15.75" customHeight="1">
      <c r="A575" s="21" t="s">
        <v>2912</v>
      </c>
      <c r="B575" s="68"/>
      <c r="C575" s="69" t="s">
        <v>59</v>
      </c>
      <c r="D575" s="337"/>
      <c r="E575" s="236" t="s">
        <v>2913</v>
      </c>
      <c r="F575" s="803" t="s">
        <v>2914</v>
      </c>
      <c r="G575" s="174"/>
      <c r="H575" s="71" t="s">
        <v>2811</v>
      </c>
      <c r="I575" s="26" t="s">
        <v>2501</v>
      </c>
      <c r="J575" s="514"/>
      <c r="K575" s="74"/>
      <c r="L575" s="26">
        <v>2016.0</v>
      </c>
      <c r="M575" s="25">
        <f t="shared" si="484"/>
        <v>9</v>
      </c>
      <c r="N575" s="26">
        <f t="shared" si="485"/>
        <v>1</v>
      </c>
      <c r="O575" s="27" t="str">
        <f t="shared" si="3"/>
        <v>#N/A</v>
      </c>
      <c r="P575" s="28" t="str">
        <f t="shared" si="486"/>
        <v>#N/A</v>
      </c>
      <c r="Q575" s="28" t="str">
        <f t="shared" si="487"/>
        <v>#N/A</v>
      </c>
      <c r="R575" s="28"/>
      <c r="S575" s="28"/>
      <c r="T575" s="29">
        <f t="shared" si="488"/>
        <v>1555555.556</v>
      </c>
      <c r="U575" s="28"/>
      <c r="V575" s="30">
        <f t="shared" si="425"/>
        <v>14000000</v>
      </c>
      <c r="W575" s="30"/>
      <c r="X575" s="32">
        <f t="shared" si="489"/>
        <v>0</v>
      </c>
      <c r="Y575" s="33">
        <f t="shared" si="490"/>
        <v>0</v>
      </c>
      <c r="Z575" s="692"/>
      <c r="AA575" s="665"/>
      <c r="AB575" s="74"/>
      <c r="AC575" s="74"/>
      <c r="AD575" s="79"/>
      <c r="AE575" s="84"/>
      <c r="AF575" s="338"/>
      <c r="AG575" s="84"/>
      <c r="AH575" s="74"/>
      <c r="AI575" s="78"/>
      <c r="AJ575" s="42">
        <v>43938.0</v>
      </c>
      <c r="AK575" s="76">
        <v>1.4E7</v>
      </c>
      <c r="AL575" s="79"/>
      <c r="AM575" s="84"/>
      <c r="AN575" s="79"/>
      <c r="AO575" s="84"/>
      <c r="AP575" s="79"/>
      <c r="AQ575" s="84"/>
      <c r="AR575" s="79"/>
      <c r="AS575" s="79"/>
      <c r="AT575" s="79"/>
      <c r="AU575" s="80"/>
      <c r="AV575" s="79"/>
      <c r="AW575" s="38"/>
      <c r="AX575" s="79"/>
      <c r="AY575" s="38"/>
      <c r="AZ575" s="79"/>
      <c r="BA575" s="80"/>
      <c r="BB575" s="79"/>
      <c r="BC575" s="80"/>
      <c r="BD575" s="79"/>
      <c r="BE575" s="38"/>
      <c r="BF575" s="74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</row>
    <row r="576" ht="15.75" customHeight="1">
      <c r="A576" s="21" t="s">
        <v>2915</v>
      </c>
      <c r="B576" s="16"/>
      <c r="C576" s="17" t="s">
        <v>267</v>
      </c>
      <c r="D576" s="184"/>
      <c r="E576" s="138" t="s">
        <v>2916</v>
      </c>
      <c r="F576" s="173" t="s">
        <v>2917</v>
      </c>
      <c r="G576" s="317"/>
      <c r="H576" s="22" t="s">
        <v>64</v>
      </c>
      <c r="I576" s="23" t="s">
        <v>65</v>
      </c>
      <c r="J576" s="237"/>
      <c r="K576" s="23">
        <v>2.0</v>
      </c>
      <c r="L576" s="23">
        <v>2018.0</v>
      </c>
      <c r="M576" s="222"/>
      <c r="N576" s="23"/>
      <c r="O576" s="27" t="str">
        <f t="shared" si="3"/>
        <v>#N/A</v>
      </c>
      <c r="P576" s="28"/>
      <c r="Q576" s="28"/>
      <c r="R576" s="28"/>
      <c r="S576" s="28"/>
      <c r="T576" s="28"/>
      <c r="U576" s="28"/>
      <c r="V576" s="30">
        <f t="shared" si="425"/>
        <v>14000000</v>
      </c>
      <c r="W576" s="30"/>
      <c r="X576" s="33"/>
      <c r="Y576" s="33"/>
      <c r="Z576" s="692"/>
      <c r="AA576" s="665"/>
      <c r="AB576" s="36"/>
      <c r="AC576" s="36"/>
      <c r="AD576" s="44"/>
      <c r="AE576" s="38"/>
      <c r="AF576" s="158" t="str">
        <f>HYPERLINK("https://www.crunchbase.com/funding_round/bounce-2-seed--b9968480","Dec 21, 2021")</f>
        <v>Dec 21, 2021</v>
      </c>
      <c r="AG576" s="38">
        <v>2000000.0</v>
      </c>
      <c r="AH576" s="36"/>
      <c r="AI576" s="159"/>
      <c r="AJ576" s="43" t="str">
        <f>HYPERLINK("https://www.crunchbase.com/funding_round/bounce-2-series-a--a42d31c5","Apr 26, 2022")</f>
        <v>Apr 26, 2022</v>
      </c>
      <c r="AK576" s="38">
        <v>1.2E7</v>
      </c>
      <c r="AL576" s="44"/>
      <c r="AM576" s="46"/>
      <c r="AN576" s="44"/>
      <c r="AO576" s="46"/>
      <c r="AP576" s="44"/>
      <c r="AQ576" s="46"/>
      <c r="AR576" s="44"/>
      <c r="AS576" s="44"/>
      <c r="AT576" s="44"/>
      <c r="AU576" s="45"/>
      <c r="AV576" s="44"/>
      <c r="AW576" s="38"/>
      <c r="AX576" s="44"/>
      <c r="AY576" s="38"/>
      <c r="AZ576" s="44"/>
      <c r="BA576" s="45"/>
      <c r="BB576" s="44"/>
      <c r="BC576" s="45"/>
      <c r="BD576" s="44"/>
      <c r="BE576" s="38"/>
      <c r="BF576" s="36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</row>
    <row r="577" ht="15.75" customHeight="1">
      <c r="A577" s="21" t="s">
        <v>2918</v>
      </c>
      <c r="B577" s="68"/>
      <c r="C577" s="69" t="s">
        <v>84</v>
      </c>
      <c r="D577" s="535" t="s">
        <v>2919</v>
      </c>
      <c r="E577" s="796" t="s">
        <v>2920</v>
      </c>
      <c r="F577" s="565" t="s">
        <v>2921</v>
      </c>
      <c r="G577" s="140"/>
      <c r="H577" s="71" t="s">
        <v>2922</v>
      </c>
      <c r="I577" s="26" t="s">
        <v>65</v>
      </c>
      <c r="J577" s="72"/>
      <c r="K577" s="26"/>
      <c r="L577" s="26"/>
      <c r="M577" s="25"/>
      <c r="N577" s="26"/>
      <c r="O577" s="27" t="str">
        <f t="shared" si="3"/>
        <v>#N/A</v>
      </c>
      <c r="P577" s="28"/>
      <c r="Q577" s="28"/>
      <c r="R577" s="28"/>
      <c r="S577" s="28"/>
      <c r="T577" s="28"/>
      <c r="U577" s="28"/>
      <c r="V577" s="30">
        <f t="shared" si="425"/>
        <v>14000000</v>
      </c>
      <c r="W577" s="30"/>
      <c r="X577" s="73"/>
      <c r="Y577" s="73"/>
      <c r="Z577" s="819"/>
      <c r="AA577" s="665"/>
      <c r="AB577" s="74"/>
      <c r="AC577" s="74"/>
      <c r="AD577" s="37"/>
      <c r="AE577" s="23"/>
      <c r="AF577" s="726">
        <v>44216.0</v>
      </c>
      <c r="AG577" s="1230">
        <v>2500000.0</v>
      </c>
      <c r="AH577" s="886"/>
      <c r="AI577" s="886"/>
      <c r="AJ577" s="75">
        <v>44824.0</v>
      </c>
      <c r="AK577" s="38">
        <v>1.15E7</v>
      </c>
      <c r="AL577" s="37"/>
      <c r="AM577" s="38"/>
      <c r="AN577" s="37"/>
      <c r="AO577" s="38"/>
      <c r="AP577" s="37"/>
      <c r="AQ577" s="38"/>
      <c r="AR577" s="44"/>
      <c r="AS577" s="44"/>
      <c r="AT577" s="44"/>
      <c r="AU577" s="45"/>
      <c r="AV577" s="44"/>
      <c r="AW577" s="38"/>
      <c r="AX577" s="44"/>
      <c r="AY577" s="38"/>
      <c r="AZ577" s="44"/>
      <c r="BA577" s="45"/>
      <c r="BB577" s="44"/>
      <c r="BC577" s="45"/>
      <c r="BD577" s="44"/>
      <c r="BE577" s="38"/>
      <c r="BF577" s="36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</row>
    <row r="578" ht="15.75" customHeight="1">
      <c r="A578" s="400" t="s">
        <v>2923</v>
      </c>
      <c r="B578" s="115"/>
      <c r="C578" s="116" t="s">
        <v>84</v>
      </c>
      <c r="D578" s="401" t="s">
        <v>2924</v>
      </c>
      <c r="E578" s="401" t="s">
        <v>2925</v>
      </c>
      <c r="F578" s="402" t="s">
        <v>2926</v>
      </c>
      <c r="G578" s="286"/>
      <c r="H578" s="119" t="s">
        <v>2927</v>
      </c>
      <c r="I578" s="25" t="s">
        <v>257</v>
      </c>
      <c r="J578" s="287"/>
      <c r="K578" s="25">
        <v>1.0</v>
      </c>
      <c r="L578" s="25">
        <v>2020.0</v>
      </c>
      <c r="M578" s="123"/>
      <c r="N578" s="123"/>
      <c r="O578" s="27" t="str">
        <f t="shared" si="3"/>
        <v>#N/A</v>
      </c>
      <c r="P578" s="55"/>
      <c r="Q578" s="55"/>
      <c r="R578" s="55"/>
      <c r="S578" s="55"/>
      <c r="T578" s="55"/>
      <c r="U578" s="55"/>
      <c r="V578" s="30">
        <f t="shared" si="425"/>
        <v>14000000</v>
      </c>
      <c r="W578" s="30"/>
      <c r="X578" s="403"/>
      <c r="Y578" s="403"/>
      <c r="Z578" s="692"/>
      <c r="AA578" s="665"/>
      <c r="AB578" s="123"/>
      <c r="AC578" s="123"/>
      <c r="AD578" s="355"/>
      <c r="AE578" s="38"/>
      <c r="AF578" s="62">
        <v>44602.0</v>
      </c>
      <c r="AG578" s="38">
        <v>2000000.0</v>
      </c>
      <c r="AH578" s="123"/>
      <c r="AI578" s="1253"/>
      <c r="AJ578" s="404">
        <v>44896.0</v>
      </c>
      <c r="AK578" s="76">
        <v>1.2E7</v>
      </c>
      <c r="AL578" s="123"/>
      <c r="AM578" s="123"/>
      <c r="AN578" s="123"/>
      <c r="AO578" s="123"/>
      <c r="AP578" s="123"/>
      <c r="AQ578" s="799"/>
      <c r="AR578" s="123"/>
      <c r="AS578" s="123"/>
      <c r="AT578" s="123"/>
      <c r="AU578" s="137"/>
      <c r="AV578" s="123"/>
      <c r="AW578" s="38"/>
      <c r="AX578" s="123"/>
      <c r="AY578" s="38"/>
      <c r="AZ578" s="123"/>
      <c r="BA578" s="137"/>
      <c r="BB578" s="123"/>
      <c r="BC578" s="137"/>
      <c r="BD578" s="123"/>
      <c r="BE578" s="38"/>
      <c r="BF578" s="123"/>
      <c r="BG578" s="456"/>
      <c r="BH578" s="456"/>
      <c r="BI578" s="456"/>
      <c r="BJ578" s="456"/>
      <c r="BK578" s="456"/>
      <c r="BL578" s="456"/>
      <c r="BM578" s="456"/>
      <c r="BN578" s="456"/>
      <c r="BO578" s="456"/>
      <c r="BP578" s="456"/>
      <c r="BQ578" s="456"/>
      <c r="BR578" s="456"/>
      <c r="BS578" s="456"/>
      <c r="BT578" s="456"/>
      <c r="BU578" s="456"/>
      <c r="BV578" s="456"/>
      <c r="BW578" s="456"/>
      <c r="BX578" s="456"/>
      <c r="BY578" s="456"/>
      <c r="BZ578" s="456"/>
      <c r="CA578" s="456"/>
      <c r="CB578" s="456"/>
      <c r="CC578" s="456"/>
      <c r="CD578" s="456"/>
      <c r="CE578" s="456"/>
      <c r="CF578" s="456"/>
      <c r="CG578" s="456"/>
      <c r="CH578" s="456"/>
      <c r="CI578" s="456"/>
      <c r="CJ578" s="456"/>
      <c r="CK578" s="456"/>
      <c r="CL578" s="456"/>
      <c r="CM578" s="456"/>
      <c r="CN578" s="456"/>
      <c r="CO578" s="456"/>
      <c r="CP578" s="456"/>
    </row>
    <row r="579" ht="15.75" customHeight="1">
      <c r="A579" s="47" t="s">
        <v>2928</v>
      </c>
      <c r="C579" s="48" t="s">
        <v>84</v>
      </c>
      <c r="D579" s="351"/>
      <c r="E579" s="49" t="s">
        <v>2929</v>
      </c>
      <c r="F579" s="352" t="s">
        <v>2930</v>
      </c>
      <c r="G579" s="353"/>
      <c r="H579" s="53" t="s">
        <v>2931</v>
      </c>
      <c r="I579" s="54" t="s">
        <v>73</v>
      </c>
      <c r="J579" s="55"/>
      <c r="K579" s="54">
        <v>4.0</v>
      </c>
      <c r="L579" s="56">
        <v>2017.0</v>
      </c>
      <c r="M579" s="55"/>
      <c r="N579" s="55"/>
      <c r="O579" s="27" t="str">
        <f t="shared" si="3"/>
        <v>#N/A</v>
      </c>
      <c r="P579" s="55"/>
      <c r="Q579" s="55"/>
      <c r="R579" s="55"/>
      <c r="S579" s="55"/>
      <c r="T579" s="55"/>
      <c r="U579" s="55"/>
      <c r="V579" s="30">
        <f t="shared" si="425"/>
        <v>13808800</v>
      </c>
      <c r="W579" s="30"/>
      <c r="X579" s="58"/>
      <c r="Y579" s="58"/>
      <c r="Z579" s="692"/>
      <c r="AA579" s="665"/>
      <c r="AB579" s="55"/>
      <c r="AC579" s="55"/>
      <c r="AD579" s="453"/>
      <c r="AE579" s="38"/>
      <c r="AF579" s="62">
        <v>43201.0</v>
      </c>
      <c r="AG579" s="38">
        <v>600000.0</v>
      </c>
      <c r="AH579" s="62">
        <v>43432.0</v>
      </c>
      <c r="AI579" s="38">
        <v>1000000.0</v>
      </c>
      <c r="AJ579" s="62">
        <v>43621.0</v>
      </c>
      <c r="AK579" s="38">
        <v>3500000.0</v>
      </c>
      <c r="AL579" s="62">
        <v>44531.0</v>
      </c>
      <c r="AM579" s="38">
        <v>8000000.0</v>
      </c>
      <c r="AN579" s="55"/>
      <c r="AO579" s="38"/>
      <c r="AP579" s="356"/>
      <c r="AQ579" s="38"/>
      <c r="AR579" s="55"/>
      <c r="AS579" s="38"/>
      <c r="AT579" s="55"/>
      <c r="AU579" s="38"/>
      <c r="AV579" s="55"/>
      <c r="AW579" s="38"/>
      <c r="AX579" s="55"/>
      <c r="AY579" s="38"/>
      <c r="AZ579" s="62">
        <v>44963.0</v>
      </c>
      <c r="BA579" s="38">
        <v>658800.0</v>
      </c>
      <c r="BB579" s="62">
        <v>43420.0</v>
      </c>
      <c r="BC579" s="38">
        <v>50000.0</v>
      </c>
      <c r="BD579" s="55"/>
      <c r="BE579" s="38"/>
      <c r="BF579" s="55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</row>
    <row r="580" ht="15.75" customHeight="1">
      <c r="A580" s="21" t="s">
        <v>2932</v>
      </c>
      <c r="B580" s="68"/>
      <c r="C580" s="69" t="s">
        <v>2933</v>
      </c>
      <c r="D580" s="138" t="s">
        <v>2934</v>
      </c>
      <c r="E580" s="138" t="s">
        <v>2935</v>
      </c>
      <c r="F580" s="177" t="s">
        <v>2936</v>
      </c>
      <c r="G580" s="71" t="s">
        <v>2937</v>
      </c>
      <c r="H580" s="71" t="s">
        <v>187</v>
      </c>
      <c r="I580" s="26" t="s">
        <v>188</v>
      </c>
      <c r="J580" s="72" t="s">
        <v>2938</v>
      </c>
      <c r="K580" s="26">
        <v>2.0</v>
      </c>
      <c r="L580" s="26">
        <v>2017.0</v>
      </c>
      <c r="M580" s="25">
        <f>year(now()) -L580</f>
        <v>8</v>
      </c>
      <c r="N580" s="26">
        <f>counta(AE580,AG580,AI580,AK580,AM580,AO580,AQ580,AS580,AU580,AW580,AY580,BA580,BC580)</f>
        <v>3</v>
      </c>
      <c r="O580" s="27" t="str">
        <f t="shared" si="3"/>
        <v>#N/A</v>
      </c>
      <c r="P580" s="28" t="str">
        <f>RANK(T580,$T$8:$T$333)</f>
        <v>#N/A</v>
      </c>
      <c r="Q580" s="28" t="str">
        <f>rank(V580,$V$8:$V$344)</f>
        <v>#N/A</v>
      </c>
      <c r="R580" s="28"/>
      <c r="S580" s="28"/>
      <c r="T580" s="29">
        <f>V580/M580</f>
        <v>1712500</v>
      </c>
      <c r="U580" s="28"/>
      <c r="V580" s="30">
        <f t="shared" si="425"/>
        <v>13700000</v>
      </c>
      <c r="W580" s="30"/>
      <c r="X580" s="32">
        <f>(max(AE580,AG580,AI580,AK580,AM580,AO580,AQ580,AS580,AU580,AW580,AY580,BA580,BC580)/min(AE580,AG580,AI580,AK580,AM580,AO580,AQ580,AS580,AU580,AW580,AY580,BA580,BC580))^(1/N580)-1</f>
        <v>2.291704498</v>
      </c>
      <c r="Y580" s="33">
        <f>(max(AE580,AG580,AI580,AK580,AM580,AO580,AQ580,AS580,AU580,AW580,AY580,BA580,BC580)/min(AE580,AG580,AI580,AK580,AM580,AO580,AQ580,AS580,AU580,AW580,AY580,BA580,BC580))^(1/M580)-1</f>
        <v>0.5632657588</v>
      </c>
      <c r="Z580" s="692"/>
      <c r="AA580" s="665"/>
      <c r="AB580" s="74"/>
      <c r="AC580" s="74"/>
      <c r="AD580" s="181" t="str">
        <f>HYPERLINK("https://www.crunchbase.com/funding_round/obiesoft-pre-seed--53d10647","Aug 19, 2019")</f>
        <v>Aug 19, 2019</v>
      </c>
      <c r="AE580" s="76">
        <v>300000.0</v>
      </c>
      <c r="AF580" s="856" t="str">
        <f>HYPERLINK("https://www.crunchbase.com/funding_round/obiesoft-seed--6dbf4b7b","Sep 1, 2019")</f>
        <v>Sep 1, 2019</v>
      </c>
      <c r="AG580" s="76">
        <v>2700000.0</v>
      </c>
      <c r="AH580" s="74"/>
      <c r="AI580" s="78"/>
      <c r="AJ580" s="181" t="str">
        <f>HYPERLINK("https://www.crunchbase.com/funding_round/obiesoft-series-a--a62a92ac","May 26, 2021")</f>
        <v>May 26, 2021</v>
      </c>
      <c r="AK580" s="76">
        <v>1.07E7</v>
      </c>
      <c r="AL580" s="79"/>
      <c r="AM580" s="84"/>
      <c r="AN580" s="79"/>
      <c r="AO580" s="84"/>
      <c r="AP580" s="79"/>
      <c r="AQ580" s="84"/>
      <c r="AR580" s="79"/>
      <c r="AS580" s="79"/>
      <c r="AT580" s="79"/>
      <c r="AU580" s="80"/>
      <c r="AV580" s="79"/>
      <c r="AW580" s="38"/>
      <c r="AX580" s="79"/>
      <c r="AY580" s="38"/>
      <c r="AZ580" s="79"/>
      <c r="BA580" s="80"/>
      <c r="BB580" s="79"/>
      <c r="BC580" s="80"/>
      <c r="BD580" s="79"/>
      <c r="BE580" s="38"/>
      <c r="BF580" s="74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</row>
    <row r="581" ht="15.75" customHeight="1">
      <c r="A581" s="21" t="s">
        <v>2939</v>
      </c>
      <c r="B581" s="68"/>
      <c r="C581" s="69" t="s">
        <v>84</v>
      </c>
      <c r="D581" s="270" t="s">
        <v>2940</v>
      </c>
      <c r="E581" s="270" t="s">
        <v>2941</v>
      </c>
      <c r="F581" s="841" t="s">
        <v>2942</v>
      </c>
      <c r="G581" s="71"/>
      <c r="H581" s="71" t="s">
        <v>2943</v>
      </c>
      <c r="I581" s="26" t="s">
        <v>2944</v>
      </c>
      <c r="J581" s="155"/>
      <c r="K581" s="26">
        <v>2.0</v>
      </c>
      <c r="L581" s="142">
        <v>2014.0</v>
      </c>
      <c r="M581" s="25"/>
      <c r="N581" s="26"/>
      <c r="O581" s="27" t="str">
        <f t="shared" si="3"/>
        <v>#N/A</v>
      </c>
      <c r="P581" s="273"/>
      <c r="Q581" s="273"/>
      <c r="R581" s="273"/>
      <c r="S581" s="273"/>
      <c r="T581" s="273"/>
      <c r="U581" s="273"/>
      <c r="V581" s="30">
        <f t="shared" si="425"/>
        <v>13700000</v>
      </c>
      <c r="W581" s="30"/>
      <c r="X581" s="73"/>
      <c r="Y581" s="73"/>
      <c r="Z581" s="692"/>
      <c r="AA581" s="665"/>
      <c r="AB581" s="74"/>
      <c r="AC581" s="74"/>
      <c r="AD581" s="79"/>
      <c r="AE581" s="84"/>
      <c r="AF581" s="726">
        <v>42394.0</v>
      </c>
      <c r="AG581" s="76">
        <v>600000.0</v>
      </c>
      <c r="AH581" s="74"/>
      <c r="AI581" s="78"/>
      <c r="AJ581" s="75">
        <v>42856.0</v>
      </c>
      <c r="AK581" s="76"/>
      <c r="AL581" s="1254">
        <v>44830.0</v>
      </c>
      <c r="AM581" s="76">
        <v>1.31E7</v>
      </c>
      <c r="AN581" s="79"/>
      <c r="AO581" s="84"/>
      <c r="AP581" s="79"/>
      <c r="AQ581" s="84"/>
      <c r="AR581" s="79"/>
      <c r="AS581" s="79"/>
      <c r="AT581" s="79"/>
      <c r="AU581" s="80"/>
      <c r="AV581" s="79"/>
      <c r="AW581" s="38"/>
      <c r="AX581" s="79"/>
      <c r="AY581" s="38"/>
      <c r="AZ581" s="79"/>
      <c r="BA581" s="80"/>
      <c r="BB581" s="79"/>
      <c r="BC581" s="80"/>
      <c r="BD581" s="79"/>
      <c r="BE581" s="38"/>
      <c r="BF581" s="74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</row>
    <row r="582" ht="15.75" customHeight="1">
      <c r="A582" s="21" t="s">
        <v>2945</v>
      </c>
      <c r="B582" s="17"/>
      <c r="C582" s="17" t="s">
        <v>1156</v>
      </c>
      <c r="D582" s="200" t="s">
        <v>2946</v>
      </c>
      <c r="E582" s="492" t="s">
        <v>2947</v>
      </c>
      <c r="F582" s="173" t="s">
        <v>2948</v>
      </c>
      <c r="G582" s="810" t="s">
        <v>2949</v>
      </c>
      <c r="H582" s="22" t="s">
        <v>64</v>
      </c>
      <c r="I582" s="23" t="s">
        <v>65</v>
      </c>
      <c r="J582" s="494" t="s">
        <v>566</v>
      </c>
      <c r="K582" s="23">
        <v>2.0</v>
      </c>
      <c r="L582" s="23">
        <v>2014.0</v>
      </c>
      <c r="M582" s="25">
        <f>year(now()) -L582</f>
        <v>11</v>
      </c>
      <c r="N582" s="26">
        <f>counta(AE582,AG582,AI582,AK582,AM582,AO582,AQ582,AS582,AU582,AW582,AY582,BA582,BC582)</f>
        <v>3</v>
      </c>
      <c r="O582" s="27" t="str">
        <f t="shared" si="3"/>
        <v>#N/A</v>
      </c>
      <c r="P582" s="28" t="str">
        <f>RANK(T582,$T$8:$T$333)</f>
        <v>#N/A</v>
      </c>
      <c r="Q582" s="28" t="str">
        <f>rank(V582,$V$8:$V$344)</f>
        <v>#N/A</v>
      </c>
      <c r="R582" s="28"/>
      <c r="S582" s="28"/>
      <c r="T582" s="29">
        <f>V582/M582</f>
        <v>1231818.182</v>
      </c>
      <c r="U582" s="28"/>
      <c r="V582" s="30">
        <f t="shared" si="425"/>
        <v>13550000</v>
      </c>
      <c r="W582" s="30"/>
      <c r="X582" s="32">
        <f>(max(AE582,AG582,AI582,AK582,AM582,AO582,AQ582,AS582,AU582,AW582,AY582,BA582,BC582)/min(AE582,AG582,AI582,AK582,AM582,AO582,AQ582,AS582,AU582,AW582,AY582,BA582,BC582))^(1/N582)-1</f>
        <v>0.6913877794</v>
      </c>
      <c r="Y582" s="33">
        <f>(max(AE582,AG582,AI582,AK582,AM582,AO582,AQ582,AS582,AU582,AW582,AY582,BA582,BC582)/min(AE582,AG582,AI582,AK582,AM582,AO582,AQ582,AS582,AU582,AW582,AY582,BA582,BC582))^(1/M582)-1</f>
        <v>0.1541124933</v>
      </c>
      <c r="Z582" s="692"/>
      <c r="AA582" s="665"/>
      <c r="AB582" s="36"/>
      <c r="AC582" s="886"/>
      <c r="AD582" s="44"/>
      <c r="AE582" s="46"/>
      <c r="AF582" s="158" t="str">
        <f>HYPERLINK("https://angel.co/company/betterviewmarketplace/funding", "Feb 2016")</f>
        <v>Feb 2016</v>
      </c>
      <c r="AG582" s="38">
        <v>1550000.0</v>
      </c>
      <c r="AH582" s="959"/>
      <c r="AI582" s="41"/>
      <c r="AJ582" s="228" t="str">
        <f>HYPERLINK("https://www.crunchbase.com/funding_round/betterview-series-a--f3e60e35","May 29,2019")</f>
        <v>May 29,2019</v>
      </c>
      <c r="AK582" s="715">
        <v>4500000.0</v>
      </c>
      <c r="AL582" s="43" t="str">
        <f>HYPERLINK("https://www.crunchbase.com/funding_round/betterview-series-b--2ceb534b","Jun 3, 2020")</f>
        <v>Jun 3, 2020</v>
      </c>
      <c r="AM582" s="38">
        <v>7500000.0</v>
      </c>
      <c r="AN582" s="44"/>
      <c r="AO582" s="46"/>
      <c r="AP582" s="44"/>
      <c r="AQ582" s="46"/>
      <c r="AR582" s="44"/>
      <c r="AS582" s="44"/>
      <c r="AT582" s="44"/>
      <c r="AU582" s="45"/>
      <c r="AV582" s="44"/>
      <c r="AW582" s="38"/>
      <c r="AX582" s="44"/>
      <c r="AY582" s="38"/>
      <c r="AZ582" s="75">
        <v>44952.0</v>
      </c>
      <c r="BA582" s="45"/>
      <c r="BB582" s="44"/>
      <c r="BC582" s="45"/>
      <c r="BD582" s="44"/>
      <c r="BE582" s="38"/>
      <c r="BF582" s="36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</row>
    <row r="583" ht="15.75" customHeight="1">
      <c r="A583" s="400" t="s">
        <v>2950</v>
      </c>
      <c r="B583" s="115"/>
      <c r="C583" s="116" t="s">
        <v>68</v>
      </c>
      <c r="D583" s="161" t="s">
        <v>2951</v>
      </c>
      <c r="E583" s="401" t="s">
        <v>2952</v>
      </c>
      <c r="F583" s="402" t="s">
        <v>2953</v>
      </c>
      <c r="G583" s="286"/>
      <c r="H583" s="119" t="s">
        <v>592</v>
      </c>
      <c r="I583" s="25" t="s">
        <v>2954</v>
      </c>
      <c r="J583" s="287"/>
      <c r="K583" s="25">
        <v>2.0</v>
      </c>
      <c r="L583" s="25">
        <v>2013.0</v>
      </c>
      <c r="M583" s="123"/>
      <c r="N583" s="123"/>
      <c r="O583" s="27" t="str">
        <f t="shared" si="3"/>
        <v>#N/A</v>
      </c>
      <c r="P583" s="55"/>
      <c r="Q583" s="55"/>
      <c r="R583" s="55"/>
      <c r="S583" s="55"/>
      <c r="T583" s="55"/>
      <c r="U583" s="55"/>
      <c r="V583" s="30">
        <f t="shared" si="425"/>
        <v>13513100</v>
      </c>
      <c r="W583" s="30"/>
      <c r="X583" s="403"/>
      <c r="Y583" s="403"/>
      <c r="Z583" s="692"/>
      <c r="AA583" s="665"/>
      <c r="AB583" s="123"/>
      <c r="AC583" s="123"/>
      <c r="AD583" s="452"/>
      <c r="AE583" s="123"/>
      <c r="AF583" s="880">
        <v>44842.0</v>
      </c>
      <c r="AG583" s="170">
        <f>1400000+313100</f>
        <v>1713100</v>
      </c>
      <c r="AH583" s="123"/>
      <c r="AI583" s="123"/>
      <c r="AJ583" s="404">
        <v>44188.0</v>
      </c>
      <c r="AK583" s="170">
        <v>3000000.0</v>
      </c>
      <c r="AL583" s="115"/>
      <c r="AM583" s="123"/>
      <c r="AN583" s="123"/>
      <c r="AO583" s="123"/>
      <c r="AP583" s="123"/>
      <c r="AQ583" s="123"/>
      <c r="AR583" s="123"/>
      <c r="AS583" s="123"/>
      <c r="AT583" s="123"/>
      <c r="AU583" s="137"/>
      <c r="AV583" s="123"/>
      <c r="AW583" s="38"/>
      <c r="AX583" s="123"/>
      <c r="AY583" s="38"/>
      <c r="AZ583" s="404">
        <v>44857.0</v>
      </c>
      <c r="BA583" s="170">
        <v>8800000.0</v>
      </c>
      <c r="BB583" s="123"/>
      <c r="BC583" s="137"/>
      <c r="BD583" s="123"/>
      <c r="BE583" s="38"/>
      <c r="BF583" s="123"/>
      <c r="BG583" s="115"/>
      <c r="BH583" s="115"/>
      <c r="BI583" s="115"/>
      <c r="BJ583" s="115"/>
      <c r="BK583" s="115"/>
      <c r="BL583" s="115"/>
      <c r="BM583" s="115"/>
      <c r="BN583" s="115"/>
      <c r="BO583" s="115"/>
      <c r="BP583" s="115"/>
      <c r="BQ583" s="115"/>
      <c r="BR583" s="115"/>
      <c r="BS583" s="115"/>
      <c r="BT583" s="115"/>
      <c r="BU583" s="115"/>
      <c r="BV583" s="115"/>
      <c r="BW583" s="115"/>
      <c r="BX583" s="115"/>
      <c r="BY583" s="115"/>
      <c r="BZ583" s="115"/>
      <c r="CA583" s="115"/>
      <c r="CB583" s="115"/>
      <c r="CC583" s="115"/>
      <c r="CD583" s="115"/>
      <c r="CE583" s="115"/>
      <c r="CF583" s="115"/>
      <c r="CG583" s="115"/>
      <c r="CH583" s="115"/>
      <c r="CI583" s="115"/>
      <c r="CJ583" s="115"/>
      <c r="CK583" s="115"/>
      <c r="CL583" s="115"/>
      <c r="CM583" s="115"/>
      <c r="CN583" s="115"/>
      <c r="CO583" s="115"/>
      <c r="CP583" s="115"/>
    </row>
    <row r="584" ht="15.75" customHeight="1">
      <c r="A584" s="400" t="s">
        <v>2955</v>
      </c>
      <c r="B584" s="115"/>
      <c r="C584" s="116" t="s">
        <v>68</v>
      </c>
      <c r="D584" s="401" t="s">
        <v>2956</v>
      </c>
      <c r="E584" s="401" t="s">
        <v>2957</v>
      </c>
      <c r="F584" s="402" t="s">
        <v>2958</v>
      </c>
      <c r="G584" s="119" t="s">
        <v>2959</v>
      </c>
      <c r="H584" s="119" t="s">
        <v>601</v>
      </c>
      <c r="I584" s="25" t="s">
        <v>128</v>
      </c>
      <c r="J584" s="120" t="s">
        <v>2960</v>
      </c>
      <c r="K584" s="25">
        <v>5.0</v>
      </c>
      <c r="L584" s="25">
        <v>2009.0</v>
      </c>
      <c r="M584" s="123"/>
      <c r="N584" s="123"/>
      <c r="O584" s="27" t="str">
        <f t="shared" si="3"/>
        <v>#N/A</v>
      </c>
      <c r="P584" s="55"/>
      <c r="Q584" s="55"/>
      <c r="R584" s="55"/>
      <c r="S584" s="55"/>
      <c r="T584" s="55"/>
      <c r="U584" s="55"/>
      <c r="V584" s="30">
        <f t="shared" si="425"/>
        <v>13500000</v>
      </c>
      <c r="W584" s="31">
        <v>5000000.0</v>
      </c>
      <c r="X584" s="403"/>
      <c r="Y584" s="403"/>
      <c r="Z584" s="692"/>
      <c r="AA584" s="665"/>
      <c r="AB584" s="123"/>
      <c r="AC584" s="123"/>
      <c r="AD584" s="452"/>
      <c r="AE584" s="125"/>
      <c r="AF584" s="404">
        <v>41683.0</v>
      </c>
      <c r="AG584" s="127">
        <v>2000000.0</v>
      </c>
      <c r="AH584" s="123"/>
      <c r="AI584" s="128"/>
      <c r="AJ584" s="404">
        <v>42391.0</v>
      </c>
      <c r="AK584" s="127">
        <v>7000000.0</v>
      </c>
      <c r="AL584" s="123"/>
      <c r="AM584" s="125"/>
      <c r="AN584" s="123"/>
      <c r="AO584" s="123"/>
      <c r="AP584" s="881"/>
      <c r="AQ584" s="123"/>
      <c r="AR584" s="123"/>
      <c r="AS584" s="123"/>
      <c r="AT584" s="123"/>
      <c r="AU584" s="137"/>
      <c r="AV584" s="123"/>
      <c r="AW584" s="38"/>
      <c r="AX584" s="123"/>
      <c r="AY584" s="38"/>
      <c r="AZ584" s="404">
        <v>42891.0</v>
      </c>
      <c r="BA584" s="170">
        <v>4500000.0</v>
      </c>
      <c r="BB584" s="123"/>
      <c r="BC584" s="137"/>
      <c r="BD584" s="123"/>
      <c r="BE584" s="38"/>
      <c r="BF584" s="123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</row>
    <row r="585" ht="15.75" customHeight="1">
      <c r="A585" s="400" t="s">
        <v>2961</v>
      </c>
      <c r="B585" s="115"/>
      <c r="C585" s="116" t="s">
        <v>84</v>
      </c>
      <c r="D585" s="161" t="s">
        <v>2962</v>
      </c>
      <c r="E585" s="161" t="s">
        <v>2963</v>
      </c>
      <c r="F585" s="402" t="s">
        <v>2964</v>
      </c>
      <c r="G585" s="286"/>
      <c r="H585" s="119" t="s">
        <v>601</v>
      </c>
      <c r="I585" s="25" t="s">
        <v>129</v>
      </c>
      <c r="J585" s="287"/>
      <c r="K585" s="25">
        <v>3.0</v>
      </c>
      <c r="L585" s="25">
        <v>2020.0</v>
      </c>
      <c r="M585" s="123"/>
      <c r="N585" s="123"/>
      <c r="O585" s="27" t="str">
        <f t="shared" si="3"/>
        <v>#N/A</v>
      </c>
      <c r="P585" s="55"/>
      <c r="Q585" s="55"/>
      <c r="R585" s="55"/>
      <c r="S585" s="55"/>
      <c r="T585" s="55"/>
      <c r="U585" s="55"/>
      <c r="V585" s="30">
        <f t="shared" si="425"/>
        <v>13500000</v>
      </c>
      <c r="W585" s="30"/>
      <c r="X585" s="403"/>
      <c r="Y585" s="403"/>
      <c r="Z585" s="692"/>
      <c r="AA585" s="665"/>
      <c r="AB585" s="123"/>
      <c r="AC585" s="123"/>
      <c r="AD585" s="452"/>
      <c r="AE585" s="123"/>
      <c r="AF585" s="62">
        <v>44319.0</v>
      </c>
      <c r="AG585" s="335">
        <v>5500000.0</v>
      </c>
      <c r="AH585" s="123"/>
      <c r="AI585" s="123"/>
      <c r="AJ585" s="404">
        <v>44866.0</v>
      </c>
      <c r="AK585" s="335">
        <v>8000000.0</v>
      </c>
      <c r="AL585" s="123"/>
      <c r="AM585" s="123"/>
      <c r="AN585" s="123"/>
      <c r="AO585" s="123"/>
      <c r="AP585" s="123"/>
      <c r="AQ585" s="123"/>
      <c r="AR585" s="123"/>
      <c r="AS585" s="123"/>
      <c r="AT585" s="123"/>
      <c r="AU585" s="137"/>
      <c r="AV585" s="123"/>
      <c r="AW585" s="38"/>
      <c r="AX585" s="123"/>
      <c r="AY585" s="38"/>
      <c r="AZ585" s="123"/>
      <c r="BA585" s="137"/>
      <c r="BB585" s="123"/>
      <c r="BC585" s="137"/>
      <c r="BD585" s="123"/>
      <c r="BE585" s="38"/>
      <c r="BF585" s="123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</row>
    <row r="586" ht="15.75" customHeight="1">
      <c r="A586" s="47" t="s">
        <v>2965</v>
      </c>
      <c r="B586" s="115"/>
      <c r="C586" s="116" t="s">
        <v>84</v>
      </c>
      <c r="D586" s="1199"/>
      <c r="E586" s="50" t="s">
        <v>2966</v>
      </c>
      <c r="F586" s="70" t="s">
        <v>2967</v>
      </c>
      <c r="G586" s="119" t="s">
        <v>2968</v>
      </c>
      <c r="H586" s="119" t="s">
        <v>2169</v>
      </c>
      <c r="I586" s="25" t="s">
        <v>2171</v>
      </c>
      <c r="J586" s="120"/>
      <c r="K586" s="25">
        <v>2.0</v>
      </c>
      <c r="L586" s="25">
        <v>2019.0</v>
      </c>
      <c r="M586" s="25"/>
      <c r="N586" s="25"/>
      <c r="O586" s="27" t="str">
        <f t="shared" si="3"/>
        <v>#N/A</v>
      </c>
      <c r="P586" s="55"/>
      <c r="Q586" s="55"/>
      <c r="R586" s="55"/>
      <c r="S586" s="55"/>
      <c r="T586" s="55"/>
      <c r="U586" s="55"/>
      <c r="V586" s="30">
        <f t="shared" si="425"/>
        <v>13400000</v>
      </c>
      <c r="W586" s="30"/>
      <c r="X586" s="597"/>
      <c r="Y586" s="597"/>
      <c r="Z586" s="692"/>
      <c r="AA586" s="665"/>
      <c r="AB586" s="123"/>
      <c r="AC586" s="123"/>
      <c r="AD586" s="124"/>
      <c r="AE586" s="125"/>
      <c r="AF586" s="728">
        <v>44137.0</v>
      </c>
      <c r="AG586" s="127">
        <v>3400000.0</v>
      </c>
      <c r="AH586" s="123"/>
      <c r="AI586" s="128"/>
      <c r="AJ586" s="171">
        <v>44775.0</v>
      </c>
      <c r="AK586" s="127">
        <v>1.0E7</v>
      </c>
      <c r="AL586" s="124"/>
      <c r="AM586" s="125"/>
      <c r="AN586" s="124"/>
      <c r="AO586" s="125"/>
      <c r="AP586" s="124"/>
      <c r="AQ586" s="125"/>
      <c r="AR586" s="124"/>
      <c r="AS586" s="124"/>
      <c r="AT586" s="124"/>
      <c r="AU586" s="137"/>
      <c r="AV586" s="124"/>
      <c r="AW586" s="38"/>
      <c r="AX586" s="124"/>
      <c r="AY586" s="38"/>
      <c r="AZ586" s="124"/>
      <c r="BA586" s="137"/>
      <c r="BB586" s="124"/>
      <c r="BC586" s="137"/>
      <c r="BD586" s="124"/>
      <c r="BE586" s="38"/>
      <c r="BF586" s="123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</row>
    <row r="587" ht="15.75" customHeight="1">
      <c r="A587" s="21" t="s">
        <v>2969</v>
      </c>
      <c r="B587" s="69"/>
      <c r="C587" s="69" t="s">
        <v>2970</v>
      </c>
      <c r="D587" s="192" t="s">
        <v>2971</v>
      </c>
      <c r="E587" s="192" t="s">
        <v>2972</v>
      </c>
      <c r="F587" s="173" t="s">
        <v>2973</v>
      </c>
      <c r="G587" s="493"/>
      <c r="H587" s="71" t="s">
        <v>365</v>
      </c>
      <c r="I587" s="26" t="s">
        <v>65</v>
      </c>
      <c r="J587" s="494"/>
      <c r="K587" s="26"/>
      <c r="L587" s="26">
        <v>2017.0</v>
      </c>
      <c r="M587" s="25">
        <f t="shared" ref="M587:M593" si="491">year(now()) -L587</f>
        <v>8</v>
      </c>
      <c r="N587" s="26">
        <f t="shared" ref="N587:N593" si="492">counta(AE587,AG587,AI587,AK587,AM587,AO587,AQ587,AS587,AU587,AW587,AY587,BA587,BC587)</f>
        <v>2</v>
      </c>
      <c r="O587" s="27" t="str">
        <f t="shared" si="3"/>
        <v>#N/A</v>
      </c>
      <c r="P587" s="28" t="str">
        <f t="shared" ref="P587:P593" si="493">RANK(T587,$T$8:$T$333)</f>
        <v>#N/A</v>
      </c>
      <c r="Q587" s="28" t="str">
        <f t="shared" ref="Q587:Q592" si="494">rank(V587,$V$8:$V$344)</f>
        <v>#N/A</v>
      </c>
      <c r="R587" s="28"/>
      <c r="S587" s="28"/>
      <c r="T587" s="29">
        <f t="shared" ref="T587:T593" si="495">V587/M587</f>
        <v>1650000</v>
      </c>
      <c r="U587" s="28"/>
      <c r="V587" s="30">
        <f t="shared" si="425"/>
        <v>13200000</v>
      </c>
      <c r="W587" s="30"/>
      <c r="X587" s="32">
        <f t="shared" ref="X587:X593" si="496">(max(AE587,AG587,AI587,AK587,AM587,AO587,AQ587,AS587,AU587,AW587,AY587,BA587,BC587)/min(AE587,AG587,AI587,AK587,AM587,AO587,AQ587,AS587,AU587,AW587,AY587,BA587,BC587))^(1/N587)-1</f>
        <v>2.16227766</v>
      </c>
      <c r="Y587" s="33">
        <f t="shared" ref="Y587:Y592" si="497">(max(AE587,AG587,AI587,AK587,AM587,AO587,AQ587,AS587,AU587,AW587,AY587,BA587,BC587)/min(AE587,AG587,AI587,AK587,AM587,AO587,AQ587,AS587,AU587,AW587,AY587,BA587,BC587))^(1/M587)-1</f>
        <v>0.3335214322</v>
      </c>
      <c r="Z587" s="692"/>
      <c r="AA587" s="665"/>
      <c r="AB587" s="74"/>
      <c r="AC587" s="74"/>
      <c r="AD587" s="44"/>
      <c r="AE587" s="46"/>
      <c r="AF587" s="869">
        <v>43040.0</v>
      </c>
      <c r="AG587" s="38">
        <v>1200000.0</v>
      </c>
      <c r="AH587" s="36"/>
      <c r="AI587" s="159"/>
      <c r="AJ587" s="804">
        <v>43571.0</v>
      </c>
      <c r="AK587" s="38">
        <v>1.2E7</v>
      </c>
      <c r="AL587" s="44"/>
      <c r="AM587" s="46"/>
      <c r="AN587" s="44"/>
      <c r="AO587" s="46"/>
      <c r="AP587" s="44"/>
      <c r="AQ587" s="46"/>
      <c r="AR587" s="44"/>
      <c r="AS587" s="44"/>
      <c r="AT587" s="44"/>
      <c r="AU587" s="45"/>
      <c r="AV587" s="44"/>
      <c r="AW587" s="38"/>
      <c r="AX587" s="44"/>
      <c r="AY587" s="38"/>
      <c r="AZ587" s="44"/>
      <c r="BA587" s="45"/>
      <c r="BB587" s="44"/>
      <c r="BC587" s="45"/>
      <c r="BD587" s="44"/>
      <c r="BE587" s="38"/>
      <c r="BF587" s="36"/>
      <c r="BG587" s="115"/>
      <c r="BH587" s="115"/>
      <c r="BI587" s="115"/>
      <c r="BJ587" s="115"/>
      <c r="BK587" s="115"/>
      <c r="BL587" s="115"/>
      <c r="BM587" s="115"/>
      <c r="BN587" s="115"/>
      <c r="BO587" s="115"/>
      <c r="BP587" s="115"/>
      <c r="BQ587" s="115"/>
      <c r="BR587" s="115"/>
      <c r="BS587" s="115"/>
      <c r="BT587" s="115"/>
      <c r="BU587" s="115"/>
      <c r="BV587" s="115"/>
      <c r="BW587" s="115"/>
      <c r="BX587" s="115"/>
      <c r="BY587" s="115"/>
      <c r="BZ587" s="115"/>
      <c r="CA587" s="115"/>
      <c r="CB587" s="115"/>
      <c r="CC587" s="115"/>
      <c r="CD587" s="115"/>
      <c r="CE587" s="115"/>
      <c r="CF587" s="115"/>
      <c r="CG587" s="115"/>
      <c r="CH587" s="115"/>
      <c r="CI587" s="115"/>
      <c r="CJ587" s="115"/>
      <c r="CK587" s="115"/>
      <c r="CL587" s="115"/>
      <c r="CM587" s="115"/>
      <c r="CN587" s="115"/>
      <c r="CO587" s="115"/>
      <c r="CP587" s="115"/>
    </row>
    <row r="588" ht="15.75" customHeight="1">
      <c r="A588" s="21" t="s">
        <v>2974</v>
      </c>
      <c r="B588" s="858" t="s">
        <v>2975</v>
      </c>
      <c r="C588" s="245" t="s">
        <v>207</v>
      </c>
      <c r="D588" s="1255" t="s">
        <v>2976</v>
      </c>
      <c r="E588" s="200" t="s">
        <v>2977</v>
      </c>
      <c r="F588" s="173" t="s">
        <v>2978</v>
      </c>
      <c r="G588" s="71" t="s">
        <v>2979</v>
      </c>
      <c r="H588" s="71" t="s">
        <v>328</v>
      </c>
      <c r="I588" s="26" t="s">
        <v>2742</v>
      </c>
      <c r="J588" s="72" t="s">
        <v>2980</v>
      </c>
      <c r="K588" s="26">
        <v>3.0</v>
      </c>
      <c r="L588" s="26">
        <v>2015.0</v>
      </c>
      <c r="M588" s="25">
        <f t="shared" si="491"/>
        <v>10</v>
      </c>
      <c r="N588" s="26">
        <f t="shared" si="492"/>
        <v>3</v>
      </c>
      <c r="O588" s="27" t="str">
        <f t="shared" si="3"/>
        <v>#N/A</v>
      </c>
      <c r="P588" s="28" t="str">
        <f t="shared" si="493"/>
        <v>#N/A</v>
      </c>
      <c r="Q588" s="28" t="str">
        <f t="shared" si="494"/>
        <v>#N/A</v>
      </c>
      <c r="R588" s="28"/>
      <c r="S588" s="28"/>
      <c r="T588" s="29">
        <f t="shared" si="495"/>
        <v>1320000</v>
      </c>
      <c r="U588" s="28"/>
      <c r="V588" s="30">
        <f t="shared" si="425"/>
        <v>13200000</v>
      </c>
      <c r="W588" s="30"/>
      <c r="X588" s="32">
        <f t="shared" si="496"/>
        <v>2.684031499</v>
      </c>
      <c r="Y588" s="33">
        <f t="shared" si="497"/>
        <v>0.4787576366</v>
      </c>
      <c r="Z588" s="692"/>
      <c r="AA588" s="665"/>
      <c r="AB588" s="74"/>
      <c r="AC588" s="74"/>
      <c r="AD588" s="426" t="str">
        <f>HYPERLINK("https://www.crunchbase.com/funding_round/officernd-pre-seed--17cc2ded","Mar 23, 2016")</f>
        <v>Mar 23, 2016</v>
      </c>
      <c r="AE588" s="1256">
        <v>200000.0</v>
      </c>
      <c r="AF588" s="1257" t="str">
        <f>HYPERLINK("https://www.crunchbase.com/funding_round/officernd-seed--377db169","Nov 12, 2019")</f>
        <v>Nov 12, 2019</v>
      </c>
      <c r="AG588" s="76">
        <v>3000000.0</v>
      </c>
      <c r="AH588" s="1258"/>
      <c r="AI588" s="76"/>
      <c r="AJ588" s="1259" t="str">
        <f>HYPERLINK("https://www.crunchbase.com/funding_round/officernd-series-a--7d81fd8a","Oct 18, 2021")</f>
        <v>Oct 18, 2021</v>
      </c>
      <c r="AK588" s="971">
        <v>1.0E7</v>
      </c>
      <c r="AL588" s="79"/>
      <c r="AM588" s="84"/>
      <c r="AN588" s="79"/>
      <c r="AO588" s="84"/>
      <c r="AP588" s="79"/>
      <c r="AQ588" s="84"/>
      <c r="AR588" s="79"/>
      <c r="AS588" s="79"/>
      <c r="AT588" s="79"/>
      <c r="AU588" s="80"/>
      <c r="AV588" s="79"/>
      <c r="AW588" s="38"/>
      <c r="AX588" s="79"/>
      <c r="AY588" s="38"/>
      <c r="AZ588" s="79"/>
      <c r="BA588" s="80"/>
      <c r="BB588" s="79"/>
      <c r="BC588" s="80"/>
      <c r="BD588" s="79"/>
      <c r="BE588" s="38"/>
      <c r="BF588" s="74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</row>
    <row r="589" ht="15.75" customHeight="1">
      <c r="A589" s="400" t="s">
        <v>2981</v>
      </c>
      <c r="B589" s="115"/>
      <c r="C589" s="116" t="s">
        <v>1007</v>
      </c>
      <c r="D589" s="161" t="s">
        <v>2982</v>
      </c>
      <c r="E589" s="161" t="s">
        <v>2983</v>
      </c>
      <c r="F589" s="402" t="s">
        <v>2984</v>
      </c>
      <c r="G589" s="286"/>
      <c r="H589" s="119" t="s">
        <v>99</v>
      </c>
      <c r="I589" s="25" t="s">
        <v>100</v>
      </c>
      <c r="J589" s="287"/>
      <c r="K589" s="74" t="s">
        <v>723</v>
      </c>
      <c r="L589" s="25">
        <v>2019.0</v>
      </c>
      <c r="M589" s="25">
        <f t="shared" si="491"/>
        <v>6</v>
      </c>
      <c r="N589" s="26">
        <f t="shared" si="492"/>
        <v>2</v>
      </c>
      <c r="O589" s="27" t="str">
        <f t="shared" si="3"/>
        <v>#N/A</v>
      </c>
      <c r="P589" s="28" t="str">
        <f t="shared" si="493"/>
        <v>#N/A</v>
      </c>
      <c r="Q589" s="28" t="str">
        <f t="shared" si="494"/>
        <v>#N/A</v>
      </c>
      <c r="R589" s="28"/>
      <c r="S589" s="28"/>
      <c r="T589" s="29">
        <f t="shared" si="495"/>
        <v>2184458.333</v>
      </c>
      <c r="U589" s="28"/>
      <c r="V589" s="30">
        <f t="shared" si="425"/>
        <v>13106750</v>
      </c>
      <c r="W589" s="30"/>
      <c r="X589" s="32">
        <f t="shared" si="496"/>
        <v>0.1933757764</v>
      </c>
      <c r="Y589" s="33">
        <f t="shared" si="497"/>
        <v>0.06069960236</v>
      </c>
      <c r="Z589" s="692"/>
      <c r="AA589" s="665"/>
      <c r="AB589" s="123"/>
      <c r="AC589" s="123"/>
      <c r="AD589" s="322"/>
      <c r="AE589" s="323"/>
      <c r="AF589" s="324" t="str">
        <f>HYPERLINK("https://www.crunchbase.com/funding_round/ecoworks-seed--5aee4c0a"," Apr 9, 2020        
")</f>
        <v> Apr 9, 2020        
</v>
      </c>
      <c r="AG589" s="325">
        <v>5406750.0</v>
      </c>
      <c r="AH589" s="326"/>
      <c r="AI589" s="327"/>
      <c r="AJ589" s="328" t="str">
        <f>HYPERLINK("https://www.crunchbase.com/funding_round/ecoworks-series-a--fcdd8c05","Jun 2, 2022")</f>
        <v>Jun 2, 2022</v>
      </c>
      <c r="AK589" s="1260">
        <v>7700000.0</v>
      </c>
      <c r="AL589" s="322"/>
      <c r="AM589" s="323"/>
      <c r="AN589" s="322"/>
      <c r="AO589" s="323"/>
      <c r="AP589" s="322"/>
      <c r="AQ589" s="323"/>
      <c r="AR589" s="322"/>
      <c r="AS589" s="322"/>
      <c r="AT589" s="322"/>
      <c r="AU589" s="335"/>
      <c r="AV589" s="322"/>
      <c r="AW589" s="38"/>
      <c r="AX589" s="322"/>
      <c r="AY589" s="38"/>
      <c r="AZ589" s="322"/>
      <c r="BA589" s="335"/>
      <c r="BB589" s="322"/>
      <c r="BC589" s="335"/>
      <c r="BD589" s="322"/>
      <c r="BE589" s="38"/>
      <c r="BF589" s="32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</row>
    <row r="590" ht="15.75" customHeight="1">
      <c r="A590" s="21" t="s">
        <v>2985</v>
      </c>
      <c r="B590" s="17" t="s">
        <v>2986</v>
      </c>
      <c r="C590" s="17" t="s">
        <v>276</v>
      </c>
      <c r="D590" s="200" t="s">
        <v>2987</v>
      </c>
      <c r="E590" s="492" t="s">
        <v>2988</v>
      </c>
      <c r="F590" s="173" t="s">
        <v>2989</v>
      </c>
      <c r="G590" s="193" t="s">
        <v>2990</v>
      </c>
      <c r="H590" s="22" t="s">
        <v>601</v>
      </c>
      <c r="I590" s="23" t="s">
        <v>128</v>
      </c>
      <c r="J590" s="237"/>
      <c r="K590" s="23">
        <v>2.0</v>
      </c>
      <c r="L590" s="23">
        <v>2017.0</v>
      </c>
      <c r="M590" s="25">
        <f t="shared" si="491"/>
        <v>8</v>
      </c>
      <c r="N590" s="26">
        <f t="shared" si="492"/>
        <v>2</v>
      </c>
      <c r="O590" s="27" t="str">
        <f t="shared" si="3"/>
        <v>#N/A</v>
      </c>
      <c r="P590" s="28" t="str">
        <f t="shared" si="493"/>
        <v>#N/A</v>
      </c>
      <c r="Q590" s="28" t="str">
        <f t="shared" si="494"/>
        <v>#N/A</v>
      </c>
      <c r="R590" s="28"/>
      <c r="S590" s="28"/>
      <c r="T590" s="29">
        <f t="shared" si="495"/>
        <v>1631250</v>
      </c>
      <c r="U590" s="28"/>
      <c r="V590" s="30">
        <f t="shared" si="425"/>
        <v>13050000</v>
      </c>
      <c r="W590" s="30"/>
      <c r="X590" s="32">
        <f t="shared" si="496"/>
        <v>0</v>
      </c>
      <c r="Y590" s="33">
        <f t="shared" si="497"/>
        <v>0</v>
      </c>
      <c r="Z590" s="692"/>
      <c r="AA590" s="665"/>
      <c r="AB590" s="36"/>
      <c r="AC590" s="36"/>
      <c r="AD590" s="44"/>
      <c r="AE590" s="46"/>
      <c r="AF590" s="158" t="str">
        <f>HYPERLINK("https://www.crunchbase.com/organization/caper#section-funding-rounds","Jan 10, 2019")</f>
        <v>Jan 10, 2019</v>
      </c>
      <c r="AG590" s="38">
        <v>3050000.0</v>
      </c>
      <c r="AH590" s="36"/>
      <c r="AI590" s="159"/>
      <c r="AJ590" s="228" t="str">
        <f>HYPERLINK("https://www.crunchbase.com/funding_round/caper-series-a--9f4831bd"," Sep 10, 2019")</f>
        <v> Sep 10, 2019</v>
      </c>
      <c r="AK590" s="846" t="str">
        <f>HYPERLINK("https://www.finsmes.com/2019/09/caper-raises-10m-in-series-a-funding.html","$ 10,000,000")</f>
        <v>$ 10,000,000</v>
      </c>
      <c r="AL590" s="1261"/>
      <c r="AM590" s="46"/>
      <c r="AN590" s="1071"/>
      <c r="AO590" s="46"/>
      <c r="AP590" s="44"/>
      <c r="AQ590" s="46"/>
      <c r="AR590" s="44"/>
      <c r="AS590" s="44"/>
      <c r="AT590" s="44"/>
      <c r="AU590" s="45"/>
      <c r="AV590" s="44"/>
      <c r="AW590" s="38"/>
      <c r="AX590" s="44"/>
      <c r="AY590" s="38"/>
      <c r="AZ590" s="44"/>
      <c r="BA590" s="45"/>
      <c r="BB590" s="44"/>
      <c r="BC590" s="45"/>
      <c r="BD590" s="44"/>
      <c r="BE590" s="38"/>
      <c r="BF590" s="36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</row>
    <row r="591" ht="15.75" customHeight="1">
      <c r="A591" s="21" t="s">
        <v>2991</v>
      </c>
      <c r="B591" s="16"/>
      <c r="C591" s="17" t="s">
        <v>84</v>
      </c>
      <c r="D591" s="138" t="s">
        <v>2992</v>
      </c>
      <c r="E591" s="138" t="s">
        <v>2993</v>
      </c>
      <c r="F591" s="173" t="s">
        <v>2994</v>
      </c>
      <c r="G591" s="317"/>
      <c r="H591" s="22" t="s">
        <v>64</v>
      </c>
      <c r="I591" s="23" t="s">
        <v>65</v>
      </c>
      <c r="J591" s="24"/>
      <c r="K591" s="23">
        <v>1.0</v>
      </c>
      <c r="L591" s="23">
        <v>2018.0</v>
      </c>
      <c r="M591" s="25">
        <f t="shared" si="491"/>
        <v>7</v>
      </c>
      <c r="N591" s="26">
        <f t="shared" si="492"/>
        <v>1</v>
      </c>
      <c r="O591" s="27" t="str">
        <f t="shared" si="3"/>
        <v>#N/A</v>
      </c>
      <c r="P591" s="28" t="str">
        <f t="shared" si="493"/>
        <v>#N/A</v>
      </c>
      <c r="Q591" s="28" t="str">
        <f t="shared" si="494"/>
        <v>#N/A</v>
      </c>
      <c r="R591" s="28"/>
      <c r="S591" s="28"/>
      <c r="T591" s="29">
        <f t="shared" si="495"/>
        <v>1857142.857</v>
      </c>
      <c r="U591" s="28"/>
      <c r="V591" s="30">
        <f t="shared" si="425"/>
        <v>13000000</v>
      </c>
      <c r="W591" s="30"/>
      <c r="X591" s="32">
        <f t="shared" si="496"/>
        <v>0</v>
      </c>
      <c r="Y591" s="33">
        <f t="shared" si="497"/>
        <v>0</v>
      </c>
      <c r="Z591" s="692"/>
      <c r="AA591" s="665"/>
      <c r="AB591" s="36"/>
      <c r="AC591" s="36"/>
      <c r="AD591" s="44"/>
      <c r="AE591" s="46"/>
      <c r="AF591" s="39"/>
      <c r="AG591" s="38"/>
      <c r="AH591" s="36"/>
      <c r="AI591" s="46"/>
      <c r="AJ591" s="43" t="str">
        <f>HYPERLINK("https://www.crunchbase.com/funding_round/aalto-series-a--611f3a4a","Aug 12, 2021")</f>
        <v>Aug 12, 2021</v>
      </c>
      <c r="AK591" s="38">
        <v>1.3E7</v>
      </c>
      <c r="AL591" s="44"/>
      <c r="AM591" s="46"/>
      <c r="AN591" s="44"/>
      <c r="AO591" s="46"/>
      <c r="AP591" s="44"/>
      <c r="AQ591" s="46"/>
      <c r="AR591" s="44"/>
      <c r="AS591" s="44"/>
      <c r="AT591" s="44"/>
      <c r="AU591" s="45"/>
      <c r="AV591" s="44"/>
      <c r="AW591" s="38"/>
      <c r="AX591" s="44"/>
      <c r="AY591" s="38"/>
      <c r="AZ591" s="44"/>
      <c r="BA591" s="45"/>
      <c r="BB591" s="44"/>
      <c r="BC591" s="45"/>
      <c r="BD591" s="44"/>
      <c r="BE591" s="38"/>
      <c r="BF591" s="36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</row>
    <row r="592" ht="15.75" customHeight="1">
      <c r="A592" s="442" t="s">
        <v>2995</v>
      </c>
      <c r="B592" s="16" t="s">
        <v>2541</v>
      </c>
      <c r="C592" s="17" t="s">
        <v>123</v>
      </c>
      <c r="D592" s="192" t="s">
        <v>2996</v>
      </c>
      <c r="E592" s="184" t="s">
        <v>2997</v>
      </c>
      <c r="F592" s="185" t="s">
        <v>2998</v>
      </c>
      <c r="G592" s="317" t="s">
        <v>2999</v>
      </c>
      <c r="H592" s="317" t="s">
        <v>128</v>
      </c>
      <c r="I592" s="36" t="s">
        <v>129</v>
      </c>
      <c r="J592" s="237" t="s">
        <v>3000</v>
      </c>
      <c r="K592" s="36">
        <v>4.0</v>
      </c>
      <c r="L592" s="23">
        <v>2018.0</v>
      </c>
      <c r="M592" s="25">
        <f t="shared" si="491"/>
        <v>7</v>
      </c>
      <c r="N592" s="26">
        <f t="shared" si="492"/>
        <v>1</v>
      </c>
      <c r="O592" s="27" t="str">
        <f t="shared" si="3"/>
        <v>#N/A</v>
      </c>
      <c r="P592" s="28" t="str">
        <f t="shared" si="493"/>
        <v>#N/A</v>
      </c>
      <c r="Q592" s="28" t="str">
        <f t="shared" si="494"/>
        <v>#N/A</v>
      </c>
      <c r="R592" s="28"/>
      <c r="S592" s="28"/>
      <c r="T592" s="29">
        <f t="shared" si="495"/>
        <v>1857142.857</v>
      </c>
      <c r="U592" s="28"/>
      <c r="V592" s="30">
        <f t="shared" si="425"/>
        <v>13000000</v>
      </c>
      <c r="W592" s="30"/>
      <c r="X592" s="32">
        <f t="shared" si="496"/>
        <v>0</v>
      </c>
      <c r="Y592" s="33">
        <f t="shared" si="497"/>
        <v>0</v>
      </c>
      <c r="Z592" s="692"/>
      <c r="AA592" s="665"/>
      <c r="AB592" s="36"/>
      <c r="AC592" s="36"/>
      <c r="AD592" s="44"/>
      <c r="AE592" s="46"/>
      <c r="AF592" s="158" t="str">
        <f>HYPERLINK("https://www.crunchbase.com/organization/biproxi#section-investors"," Sep 17, 2019")</f>
        <v> Sep 17, 2019</v>
      </c>
      <c r="AG592" s="38">
        <v>1.3E7</v>
      </c>
      <c r="AH592" s="36"/>
      <c r="AI592" s="159"/>
      <c r="AJ592" s="44"/>
      <c r="AK592" s="46"/>
      <c r="AL592" s="44"/>
      <c r="AM592" s="46"/>
      <c r="AN592" s="44"/>
      <c r="AO592" s="46"/>
      <c r="AP592" s="44"/>
      <c r="AQ592" s="46"/>
      <c r="AR592" s="44"/>
      <c r="AS592" s="44"/>
      <c r="AT592" s="44"/>
      <c r="AU592" s="45"/>
      <c r="AV592" s="44"/>
      <c r="AW592" s="38"/>
      <c r="AX592" s="44"/>
      <c r="AY592" s="38"/>
      <c r="AZ592" s="44"/>
      <c r="BA592" s="45"/>
      <c r="BB592" s="44"/>
      <c r="BC592" s="45"/>
      <c r="BD592" s="44"/>
      <c r="BE592" s="38"/>
      <c r="BF592" s="3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</row>
    <row r="593" ht="15.75" customHeight="1">
      <c r="A593" s="442" t="s">
        <v>3001</v>
      </c>
      <c r="B593" s="68" t="s">
        <v>3002</v>
      </c>
      <c r="C593" s="858" t="s">
        <v>1007</v>
      </c>
      <c r="D593" s="184" t="s">
        <v>3003</v>
      </c>
      <c r="E593" s="184" t="s">
        <v>3004</v>
      </c>
      <c r="F593" s="185" t="s">
        <v>3005</v>
      </c>
      <c r="G593" s="186" t="s">
        <v>3006</v>
      </c>
      <c r="H593" s="186" t="s">
        <v>2860</v>
      </c>
      <c r="I593" s="26" t="s">
        <v>65</v>
      </c>
      <c r="J593" s="155">
        <v>95113.0</v>
      </c>
      <c r="K593" s="74">
        <v>2.0</v>
      </c>
      <c r="L593" s="26">
        <v>2010.0</v>
      </c>
      <c r="M593" s="25">
        <f t="shared" si="491"/>
        <v>15</v>
      </c>
      <c r="N593" s="26">
        <f t="shared" si="492"/>
        <v>1</v>
      </c>
      <c r="O593" s="27" t="str">
        <f t="shared" si="3"/>
        <v>#N/A</v>
      </c>
      <c r="P593" s="28" t="str">
        <f t="shared" si="493"/>
        <v>#N/A</v>
      </c>
      <c r="Q593" s="28"/>
      <c r="R593" s="28"/>
      <c r="S593" s="28"/>
      <c r="T593" s="29">
        <f t="shared" si="495"/>
        <v>866666.6667</v>
      </c>
      <c r="U593" s="28"/>
      <c r="V593" s="30">
        <f t="shared" si="425"/>
        <v>13000000</v>
      </c>
      <c r="W593" s="30"/>
      <c r="X593" s="32">
        <f t="shared" si="496"/>
        <v>0</v>
      </c>
      <c r="Y593" s="33"/>
      <c r="Z593" s="692"/>
      <c r="AA593" s="665"/>
      <c r="AB593" s="74"/>
      <c r="AC593" s="74"/>
      <c r="AD593" s="44"/>
      <c r="AE593" s="46"/>
      <c r="AF593" s="39"/>
      <c r="AG593" s="46"/>
      <c r="AH593" s="36"/>
      <c r="AI593" s="159"/>
      <c r="AJ593" s="44"/>
      <c r="AK593" s="46"/>
      <c r="AL593" s="228" t="str">
        <f>HYPERLINK("https://www.crunchbase.com/organization/rooomy#section-funding-rounds"," May 28, 2016")</f>
        <v> May 28, 2016</v>
      </c>
      <c r="AM593" s="76">
        <v>1.3E7</v>
      </c>
      <c r="AN593" s="79"/>
      <c r="AO593" s="84"/>
      <c r="AP593" s="79"/>
      <c r="AQ593" s="84"/>
      <c r="AR593" s="79"/>
      <c r="AS593" s="79"/>
      <c r="AT593" s="79"/>
      <c r="AU593" s="80"/>
      <c r="AV593" s="79"/>
      <c r="AW593" s="38"/>
      <c r="AX593" s="79"/>
      <c r="AY593" s="38"/>
      <c r="AZ593" s="79"/>
      <c r="BA593" s="80"/>
      <c r="BB593" s="79"/>
      <c r="BC593" s="80"/>
      <c r="BD593" s="79"/>
      <c r="BE593" s="38"/>
      <c r="BF593" s="74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</row>
    <row r="594" ht="15.75" customHeight="1">
      <c r="A594" s="21" t="s">
        <v>3007</v>
      </c>
      <c r="B594" s="16"/>
      <c r="C594" s="17" t="s">
        <v>76</v>
      </c>
      <c r="D594" s="385"/>
      <c r="E594" s="492" t="s">
        <v>3008</v>
      </c>
      <c r="F594" s="20" t="s">
        <v>3009</v>
      </c>
      <c r="G594" s="22" t="s">
        <v>3010</v>
      </c>
      <c r="H594" s="22" t="s">
        <v>3011</v>
      </c>
      <c r="I594" s="810" t="s">
        <v>329</v>
      </c>
      <c r="J594" s="237"/>
      <c r="K594" s="23">
        <v>1.0</v>
      </c>
      <c r="L594" s="23">
        <v>2016.0</v>
      </c>
      <c r="M594" s="222"/>
      <c r="N594" s="23"/>
      <c r="O594" s="27" t="str">
        <f t="shared" si="3"/>
        <v>#N/A</v>
      </c>
      <c r="P594" s="464"/>
      <c r="Q594" s="464"/>
      <c r="R594" s="464"/>
      <c r="S594" s="464"/>
      <c r="T594" s="464"/>
      <c r="U594" s="464"/>
      <c r="V594" s="30">
        <f t="shared" si="425"/>
        <v>13000000</v>
      </c>
      <c r="W594" s="30"/>
      <c r="X594" s="33"/>
      <c r="Y594" s="33"/>
      <c r="Z594" s="692"/>
      <c r="AA594" s="665"/>
      <c r="AB594" s="36"/>
      <c r="AC594" s="36"/>
      <c r="AD594" s="44"/>
      <c r="AE594" s="46"/>
      <c r="AF594" s="158" t="str">
        <f>HYPERLINK("https://www.crunchbase.com/funding_round/blend-network-seed--c8063e1a","Dec 17, 2018")</f>
        <v>Dec 17, 2018</v>
      </c>
      <c r="AG594" s="38">
        <v>1.3E7</v>
      </c>
      <c r="AH594" s="36"/>
      <c r="AI594" s="159"/>
      <c r="AJ594" s="44"/>
      <c r="AK594" s="46"/>
      <c r="AL594" s="44"/>
      <c r="AM594" s="46"/>
      <c r="AN594" s="44"/>
      <c r="AO594" s="46"/>
      <c r="AP594" s="44"/>
      <c r="AQ594" s="46"/>
      <c r="AR594" s="44"/>
      <c r="AS594" s="44"/>
      <c r="AT594" s="44"/>
      <c r="AU594" s="45"/>
      <c r="AV594" s="44"/>
      <c r="AW594" s="38"/>
      <c r="AX594" s="44"/>
      <c r="AY594" s="38"/>
      <c r="AZ594" s="44"/>
      <c r="BA594" s="45"/>
      <c r="BB594" s="44"/>
      <c r="BC594" s="45"/>
      <c r="BD594" s="44"/>
      <c r="BE594" s="38"/>
      <c r="BF594" s="36"/>
      <c r="BG594" s="115"/>
      <c r="BH594" s="115"/>
      <c r="BI594" s="115"/>
      <c r="BJ594" s="115"/>
      <c r="BK594" s="115"/>
      <c r="BL594" s="115"/>
      <c r="BM594" s="115"/>
      <c r="BN594" s="115"/>
      <c r="BO594" s="115"/>
      <c r="BP594" s="115"/>
      <c r="BQ594" s="115"/>
      <c r="BR594" s="115"/>
      <c r="BS594" s="115"/>
      <c r="BT594" s="115"/>
      <c r="BU594" s="115"/>
      <c r="BV594" s="115"/>
      <c r="BW594" s="115"/>
      <c r="BX594" s="115"/>
      <c r="BY594" s="115"/>
      <c r="BZ594" s="115"/>
      <c r="CA594" s="115"/>
      <c r="CB594" s="115"/>
      <c r="CC594" s="115"/>
      <c r="CD594" s="115"/>
      <c r="CE594" s="115"/>
      <c r="CF594" s="115"/>
      <c r="CG594" s="115"/>
      <c r="CH594" s="115"/>
      <c r="CI594" s="115"/>
      <c r="CJ594" s="115"/>
      <c r="CK594" s="115"/>
      <c r="CL594" s="115"/>
      <c r="CM594" s="115"/>
      <c r="CN594" s="115"/>
      <c r="CO594" s="115"/>
      <c r="CP594" s="115"/>
    </row>
    <row r="595" ht="15.75" customHeight="1">
      <c r="A595" s="47" t="s">
        <v>3012</v>
      </c>
      <c r="B595" s="68"/>
      <c r="C595" s="69" t="s">
        <v>132</v>
      </c>
      <c r="D595" s="47"/>
      <c r="E595" s="864" t="s">
        <v>3013</v>
      </c>
      <c r="F595" s="118" t="s">
        <v>3014</v>
      </c>
      <c r="G595" s="71"/>
      <c r="H595" s="71" t="s">
        <v>3015</v>
      </c>
      <c r="I595" s="26" t="s">
        <v>2016</v>
      </c>
      <c r="J595" s="155"/>
      <c r="K595" s="26">
        <v>2.0</v>
      </c>
      <c r="L595" s="26">
        <v>2019.0</v>
      </c>
      <c r="M595" s="25"/>
      <c r="N595" s="26"/>
      <c r="O595" s="27" t="str">
        <f t="shared" si="3"/>
        <v>#N/A</v>
      </c>
      <c r="P595" s="28"/>
      <c r="Q595" s="28"/>
      <c r="R595" s="28"/>
      <c r="S595" s="28"/>
      <c r="T595" s="28"/>
      <c r="U595" s="28"/>
      <c r="V595" s="30">
        <f t="shared" si="425"/>
        <v>13000000</v>
      </c>
      <c r="W595" s="30"/>
      <c r="X595" s="73"/>
      <c r="Y595" s="73"/>
      <c r="Z595" s="692"/>
      <c r="AA595" s="665"/>
      <c r="AB595" s="76"/>
      <c r="AC595" s="74"/>
      <c r="AD595" s="338"/>
      <c r="AE595" s="76"/>
      <c r="AF595" s="55"/>
      <c r="AG595" s="55"/>
      <c r="AH595" s="77"/>
      <c r="AI595" s="78"/>
      <c r="AJ595" s="426" t="str">
        <f>HYPERLINK("https://www.crunchbase.com/funding_round/pinata-2310-series-a--4069740e","Feb 24, 2022")</f>
        <v>Feb 24, 2022</v>
      </c>
      <c r="AK595" s="865">
        <v>1.3E7</v>
      </c>
      <c r="AL595" s="79"/>
      <c r="AM595" s="84"/>
      <c r="AN595" s="79"/>
      <c r="AO595" s="84"/>
      <c r="AP595" s="79"/>
      <c r="AQ595" s="84"/>
      <c r="AR595" s="79"/>
      <c r="AS595" s="79"/>
      <c r="AT595" s="79"/>
      <c r="AU595" s="80"/>
      <c r="AV595" s="79"/>
      <c r="AW595" s="38"/>
      <c r="AX595" s="79"/>
      <c r="AY595" s="38"/>
      <c r="AZ595" s="79"/>
      <c r="BA595" s="80"/>
      <c r="BB595" s="79"/>
      <c r="BC595" s="80"/>
      <c r="BD595" s="79"/>
      <c r="BE595" s="38"/>
      <c r="BF595" s="74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</row>
    <row r="596" ht="15.75" customHeight="1">
      <c r="A596" s="400" t="s">
        <v>3016</v>
      </c>
      <c r="B596" s="115"/>
      <c r="C596" s="116" t="s">
        <v>207</v>
      </c>
      <c r="D596" s="449"/>
      <c r="E596" s="161" t="s">
        <v>3017</v>
      </c>
      <c r="F596" s="389" t="s">
        <v>3018</v>
      </c>
      <c r="G596" s="286"/>
      <c r="H596" s="119" t="s">
        <v>3019</v>
      </c>
      <c r="I596" s="25" t="s">
        <v>1547</v>
      </c>
      <c r="J596" s="287"/>
      <c r="K596" s="25">
        <v>2.0</v>
      </c>
      <c r="L596" s="25">
        <v>2016.0</v>
      </c>
      <c r="M596" s="25"/>
      <c r="N596" s="25"/>
      <c r="O596" s="27" t="str">
        <f t="shared" si="3"/>
        <v>#N/A</v>
      </c>
      <c r="P596" s="55"/>
      <c r="Q596" s="55"/>
      <c r="R596" s="55"/>
      <c r="S596" s="55"/>
      <c r="T596" s="55"/>
      <c r="U596" s="55"/>
      <c r="V596" s="30">
        <f t="shared" si="425"/>
        <v>13000000</v>
      </c>
      <c r="W596" s="30"/>
      <c r="X596" s="597"/>
      <c r="Y596" s="597"/>
      <c r="Z596" s="692"/>
      <c r="AA596" s="665"/>
      <c r="AB596" s="123"/>
      <c r="AC596" s="123"/>
      <c r="AD596" s="55"/>
      <c r="AE596" s="125"/>
      <c r="AF596" s="854">
        <v>44767.0</v>
      </c>
      <c r="AG596" s="127">
        <v>1.3E7</v>
      </c>
      <c r="AH596" s="123"/>
      <c r="AI596" s="128"/>
      <c r="AJ596" s="124"/>
      <c r="AK596" s="125"/>
      <c r="AL596" s="124"/>
      <c r="AM596" s="125"/>
      <c r="AN596" s="124"/>
      <c r="AO596" s="125"/>
      <c r="AP596" s="124"/>
      <c r="AQ596" s="125"/>
      <c r="AR596" s="124"/>
      <c r="AS596" s="124"/>
      <c r="AT596" s="124"/>
      <c r="AU596" s="137"/>
      <c r="AV596" s="124"/>
      <c r="AW596" s="38"/>
      <c r="AX596" s="124"/>
      <c r="AY596" s="38"/>
      <c r="AZ596" s="124"/>
      <c r="BA596" s="137"/>
      <c r="BB596" s="124"/>
      <c r="BC596" s="137"/>
      <c r="BD596" s="124"/>
      <c r="BE596" s="38"/>
      <c r="BF596" s="123"/>
      <c r="BG596" s="723"/>
      <c r="BH596" s="723"/>
      <c r="BI596" s="723"/>
      <c r="BJ596" s="723"/>
      <c r="BK596" s="723"/>
      <c r="BL596" s="723"/>
      <c r="BM596" s="723"/>
      <c r="BN596" s="723"/>
      <c r="BO596" s="723"/>
      <c r="BP596" s="723"/>
      <c r="BQ596" s="723"/>
      <c r="BR596" s="723"/>
      <c r="BS596" s="723"/>
      <c r="BT596" s="723"/>
      <c r="BU596" s="723"/>
      <c r="BV596" s="723"/>
      <c r="BW596" s="723"/>
      <c r="BX596" s="723"/>
      <c r="BY596" s="723"/>
      <c r="BZ596" s="723"/>
      <c r="CA596" s="723"/>
      <c r="CB596" s="723"/>
      <c r="CC596" s="723"/>
      <c r="CD596" s="723"/>
      <c r="CE596" s="723"/>
      <c r="CF596" s="723"/>
      <c r="CG596" s="723"/>
      <c r="CH596" s="723"/>
      <c r="CI596" s="723"/>
      <c r="CJ596" s="723"/>
      <c r="CK596" s="723"/>
      <c r="CL596" s="723"/>
      <c r="CM596" s="723"/>
      <c r="CN596" s="723"/>
      <c r="CO596" s="723"/>
      <c r="CP596" s="723"/>
    </row>
    <row r="597" ht="15.75" customHeight="1">
      <c r="A597" s="400" t="s">
        <v>3020</v>
      </c>
      <c r="B597" s="115"/>
      <c r="C597" s="116" t="s">
        <v>84</v>
      </c>
      <c r="D597" s="401" t="s">
        <v>3021</v>
      </c>
      <c r="E597" s="161" t="s">
        <v>3022</v>
      </c>
      <c r="F597" s="402" t="s">
        <v>3023</v>
      </c>
      <c r="G597" s="119" t="s">
        <v>3024</v>
      </c>
      <c r="H597" s="119" t="s">
        <v>205</v>
      </c>
      <c r="I597" s="25" t="s">
        <v>149</v>
      </c>
      <c r="J597" s="120" t="s">
        <v>3025</v>
      </c>
      <c r="K597" s="25">
        <v>3.0</v>
      </c>
      <c r="L597" s="25">
        <v>2013.0</v>
      </c>
      <c r="M597" s="123"/>
      <c r="N597" s="123"/>
      <c r="O597" s="27" t="str">
        <f t="shared" si="3"/>
        <v>#N/A</v>
      </c>
      <c r="P597" s="55"/>
      <c r="Q597" s="55"/>
      <c r="R597" s="55"/>
      <c r="S597" s="55"/>
      <c r="T597" s="55"/>
      <c r="U597" s="55"/>
      <c r="V597" s="30">
        <f t="shared" si="425"/>
        <v>13000000</v>
      </c>
      <c r="W597" s="30"/>
      <c r="X597" s="403"/>
      <c r="Y597" s="403"/>
      <c r="Z597" s="692"/>
      <c r="AA597" s="665"/>
      <c r="AB597" s="123"/>
      <c r="AC597" s="123"/>
      <c r="AD597" s="404">
        <v>44118.0</v>
      </c>
      <c r="AE597" s="127">
        <v>2500000.0</v>
      </c>
      <c r="AF597" s="880">
        <v>44628.0</v>
      </c>
      <c r="AG597" s="127">
        <v>3500000.0</v>
      </c>
      <c r="AH597" s="123"/>
      <c r="AI597" s="123"/>
      <c r="AJ597" s="404">
        <v>44902.0</v>
      </c>
      <c r="AK597" s="127">
        <v>7000000.0</v>
      </c>
      <c r="AL597" s="123"/>
      <c r="AM597" s="123"/>
      <c r="AN597" s="123"/>
      <c r="AO597" s="123"/>
      <c r="AP597" s="123"/>
      <c r="AQ597" s="123"/>
      <c r="AR597" s="123"/>
      <c r="AS597" s="123"/>
      <c r="AT597" s="123"/>
      <c r="AU597" s="137"/>
      <c r="AV597" s="123"/>
      <c r="AW597" s="38"/>
      <c r="AX597" s="123"/>
      <c r="AY597" s="38"/>
      <c r="AZ597" s="123"/>
      <c r="BA597" s="137"/>
      <c r="BB597" s="123"/>
      <c r="BC597" s="137"/>
      <c r="BD597" s="123"/>
      <c r="BE597" s="38"/>
      <c r="BF597" s="123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</row>
    <row r="598" ht="15.75" customHeight="1">
      <c r="A598" s="47" t="s">
        <v>3026</v>
      </c>
      <c r="C598" s="48" t="s">
        <v>84</v>
      </c>
      <c r="D598" s="351"/>
      <c r="E598" s="617" t="s">
        <v>3027</v>
      </c>
      <c r="F598" s="352" t="s">
        <v>3028</v>
      </c>
      <c r="G598" s="353"/>
      <c r="H598" s="53" t="s">
        <v>3029</v>
      </c>
      <c r="I598" s="54" t="s">
        <v>639</v>
      </c>
      <c r="J598" s="55"/>
      <c r="K598" s="54">
        <v>3.0</v>
      </c>
      <c r="L598" s="56">
        <v>2012.0</v>
      </c>
      <c r="M598" s="55"/>
      <c r="N598" s="55"/>
      <c r="O598" s="27" t="str">
        <f t="shared" si="3"/>
        <v>#N/A</v>
      </c>
      <c r="P598" s="55"/>
      <c r="Q598" s="55"/>
      <c r="R598" s="55"/>
      <c r="S598" s="55"/>
      <c r="T598" s="55"/>
      <c r="U598" s="55"/>
      <c r="V598" s="30">
        <f t="shared" si="425"/>
        <v>13000000</v>
      </c>
      <c r="W598" s="30"/>
      <c r="X598" s="58"/>
      <c r="Y598" s="58"/>
      <c r="Z598" s="692"/>
      <c r="AA598" s="665"/>
      <c r="AB598" s="55"/>
      <c r="AC598" s="55"/>
      <c r="AD598" s="453"/>
      <c r="AE598" s="38"/>
      <c r="AF598" s="355"/>
      <c r="AG598" s="38"/>
      <c r="AH598" s="55"/>
      <c r="AI598" s="38"/>
      <c r="AJ598" s="62">
        <v>43903.0</v>
      </c>
      <c r="AK598" s="38">
        <v>3000000.0</v>
      </c>
      <c r="AL598" s="62">
        <v>44956.0</v>
      </c>
      <c r="AM598" s="38">
        <v>1.0E7</v>
      </c>
      <c r="AN598" s="55"/>
      <c r="AO598" s="38"/>
      <c r="AP598" s="356"/>
      <c r="AQ598" s="38"/>
      <c r="AR598" s="55"/>
      <c r="AS598" s="38"/>
      <c r="AT598" s="55"/>
      <c r="AU598" s="38"/>
      <c r="AV598" s="55"/>
      <c r="AW598" s="38"/>
      <c r="AX598" s="55"/>
      <c r="AY598" s="38"/>
      <c r="AZ598" s="55"/>
      <c r="BA598" s="38"/>
      <c r="BB598" s="55"/>
      <c r="BC598" s="38"/>
      <c r="BD598" s="55"/>
      <c r="BE598" s="38"/>
      <c r="BF598" s="55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</row>
    <row r="599" ht="15.75" customHeight="1">
      <c r="A599" s="47" t="s">
        <v>3030</v>
      </c>
      <c r="B599" s="68"/>
      <c r="C599" s="69" t="s">
        <v>68</v>
      </c>
      <c r="D599" s="192" t="s">
        <v>3031</v>
      </c>
      <c r="E599" s="192" t="s">
        <v>3032</v>
      </c>
      <c r="F599" s="118" t="s">
        <v>3033</v>
      </c>
      <c r="G599" s="71" t="s">
        <v>3034</v>
      </c>
      <c r="H599" s="26" t="s">
        <v>328</v>
      </c>
      <c r="I599" s="26" t="s">
        <v>329</v>
      </c>
      <c r="J599" s="72" t="s">
        <v>3035</v>
      </c>
      <c r="K599" s="26">
        <v>5.0</v>
      </c>
      <c r="L599" s="26">
        <v>2018.0</v>
      </c>
      <c r="M599" s="25"/>
      <c r="N599" s="26"/>
      <c r="O599" s="27" t="str">
        <f t="shared" si="3"/>
        <v>#N/A</v>
      </c>
      <c r="P599" s="273"/>
      <c r="Q599" s="273"/>
      <c r="R599" s="273"/>
      <c r="S599" s="273"/>
      <c r="T599" s="273"/>
      <c r="U599" s="273"/>
      <c r="V599" s="30">
        <f t="shared" si="425"/>
        <v>12809712</v>
      </c>
      <c r="W599" s="30"/>
      <c r="X599" s="73"/>
      <c r="Y599" s="73"/>
      <c r="Z599" s="692"/>
      <c r="AA599" s="665"/>
      <c r="AB599" s="74"/>
      <c r="AC599" s="74"/>
      <c r="AD599" s="79"/>
      <c r="AE599" s="84"/>
      <c r="AF599" s="1076">
        <v>43973.0</v>
      </c>
      <c r="AG599" s="76">
        <f>1.22*909600</f>
        <v>1109712</v>
      </c>
      <c r="AH599" s="960"/>
      <c r="AI599" s="78"/>
      <c r="AJ599" s="387">
        <v>44816.0</v>
      </c>
      <c r="AK599" s="76">
        <f>1.17*10000000</f>
        <v>11700000</v>
      </c>
      <c r="AL599" s="42"/>
      <c r="AM599" s="76"/>
      <c r="AN599" s="42"/>
      <c r="AO599" s="76"/>
      <c r="AP599" s="79"/>
      <c r="AQ599" s="84"/>
      <c r="AR599" s="79"/>
      <c r="AS599" s="79"/>
      <c r="AT599" s="79"/>
      <c r="AU599" s="80"/>
      <c r="AV599" s="79"/>
      <c r="AW599" s="38"/>
      <c r="AX599" s="79"/>
      <c r="AY599" s="38"/>
      <c r="AZ599" s="79"/>
      <c r="BA599" s="80"/>
      <c r="BB599" s="79"/>
      <c r="BC599" s="80"/>
      <c r="BD599" s="79"/>
      <c r="BE599" s="38"/>
      <c r="BF599" s="74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</row>
    <row r="600" ht="15.75" customHeight="1">
      <c r="A600" s="21" t="s">
        <v>3036</v>
      </c>
      <c r="B600" s="68"/>
      <c r="C600" s="69" t="s">
        <v>207</v>
      </c>
      <c r="D600" s="380"/>
      <c r="E600" s="200" t="s">
        <v>3037</v>
      </c>
      <c r="F600" s="118" t="s">
        <v>3038</v>
      </c>
      <c r="G600" s="54" t="s">
        <v>3039</v>
      </c>
      <c r="H600" s="71" t="s">
        <v>114</v>
      </c>
      <c r="I600" s="26" t="s">
        <v>115</v>
      </c>
      <c r="J600" s="72" t="s">
        <v>336</v>
      </c>
      <c r="K600" s="26">
        <v>2.0</v>
      </c>
      <c r="L600" s="26">
        <v>2016.0</v>
      </c>
      <c r="M600" s="25">
        <f t="shared" ref="M600:M601" si="498">year(now()) -L600</f>
        <v>9</v>
      </c>
      <c r="N600" s="26">
        <f t="shared" ref="N600:N601" si="499">counta(AE600,AG600,AI600,AK600,AM600,AO600,AQ600,AS600,AU600,AW600,AY600,BA600,BC600)</f>
        <v>2</v>
      </c>
      <c r="O600" s="27" t="str">
        <f t="shared" si="3"/>
        <v>#N/A</v>
      </c>
      <c r="P600" s="28"/>
      <c r="Q600" s="28"/>
      <c r="R600" s="28"/>
      <c r="S600" s="28"/>
      <c r="T600" s="29">
        <f t="shared" ref="T600:T601" si="500">V600/M600</f>
        <v>1422222.222</v>
      </c>
      <c r="U600" s="28"/>
      <c r="V600" s="30">
        <f t="shared" si="425"/>
        <v>12800000</v>
      </c>
      <c r="W600" s="30"/>
      <c r="X600" s="32">
        <f>(max(AE600,AG600,AI600,AK600,AM600,AO600,AQ600,AS600,AU600,AW600,AY600,BA600,BC600)/min(AE600,AG600,AI600,AK600,AM600,AO600,AQ600,AS600,AU600,AW600,AY600,BA600,BC600))^(1/N600)-1</f>
        <v>0.2909944487</v>
      </c>
      <c r="Y600" s="33">
        <f t="shared" ref="Y600:Y601" si="501">(max(AE600,AG600,AI600,AK600,AM600,AO600,AQ600,AS600,AU600,AW600,AY600,BA600,BC600)/min(AE600,AG600,AI600,AK600))^(1/M600)-1</f>
        <v>0.05840007284</v>
      </c>
      <c r="Z600" s="692"/>
      <c r="AA600" s="665"/>
      <c r="AB600" s="74"/>
      <c r="AC600" s="74"/>
      <c r="AD600" s="79"/>
      <c r="AE600" s="84"/>
      <c r="AF600" s="175" t="str">
        <f>HYPERLINK("https://www.crunchbase.com/funding_round/poquito-seed--19348140"," Jul 10, 2018")     </f>
        <v> Jul 10, 2018</v>
      </c>
      <c r="AG600" s="76">
        <v>4800000.0</v>
      </c>
      <c r="AH600" s="74"/>
      <c r="AI600" s="435"/>
      <c r="AJ600" s="181" t="str">
        <f>HYPERLINK("https://www.crunchbase.com/funding_round/poquito-series-a--8ca63efd","Feb 18, 2020")</f>
        <v>Feb 18, 2020</v>
      </c>
      <c r="AK600" s="76">
        <v>8000000.0</v>
      </c>
      <c r="AL600" s="79"/>
      <c r="AM600" s="84"/>
      <c r="AN600" s="79"/>
      <c r="AO600" s="84"/>
      <c r="AP600" s="79"/>
      <c r="AQ600" s="84"/>
      <c r="AR600" s="79"/>
      <c r="AS600" s="79"/>
      <c r="AT600" s="79"/>
      <c r="AU600" s="80"/>
      <c r="AV600" s="79"/>
      <c r="AW600" s="38"/>
      <c r="AX600" s="79"/>
      <c r="AY600" s="38"/>
      <c r="AZ600" s="79"/>
      <c r="BA600" s="80"/>
      <c r="BB600" s="79"/>
      <c r="BC600" s="80"/>
      <c r="BD600" s="79"/>
      <c r="BE600" s="38"/>
      <c r="BF600" s="74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</row>
    <row r="601" ht="15.75" customHeight="1">
      <c r="A601" s="47" t="s">
        <v>3040</v>
      </c>
      <c r="B601" s="68"/>
      <c r="C601" s="69" t="s">
        <v>132</v>
      </c>
      <c r="D601" s="48"/>
      <c r="E601" s="192" t="s">
        <v>3041</v>
      </c>
      <c r="F601" s="118" t="s">
        <v>3042</v>
      </c>
      <c r="G601" s="1262" t="s">
        <v>3043</v>
      </c>
      <c r="H601" s="71" t="s">
        <v>601</v>
      </c>
      <c r="I601" s="26" t="s">
        <v>129</v>
      </c>
      <c r="J601" s="155"/>
      <c r="K601" s="26">
        <v>4.0</v>
      </c>
      <c r="L601" s="142">
        <v>2020.0</v>
      </c>
      <c r="M601" s="25">
        <f t="shared" si="498"/>
        <v>5</v>
      </c>
      <c r="N601" s="26">
        <f t="shared" si="499"/>
        <v>2</v>
      </c>
      <c r="O601" s="27" t="str">
        <f t="shared" si="3"/>
        <v>#N/A</v>
      </c>
      <c r="P601" s="28"/>
      <c r="Q601" s="28"/>
      <c r="R601" s="28"/>
      <c r="S601" s="28"/>
      <c r="T601" s="29">
        <f t="shared" si="500"/>
        <v>2560000</v>
      </c>
      <c r="U601" s="28"/>
      <c r="V601" s="30">
        <f t="shared" si="425"/>
        <v>12800000</v>
      </c>
      <c r="W601" s="30"/>
      <c r="X601" s="73"/>
      <c r="Y601" s="33">
        <f t="shared" si="501"/>
        <v>0.4362301388</v>
      </c>
      <c r="Z601" s="692"/>
      <c r="AA601" s="665"/>
      <c r="AB601" s="74"/>
      <c r="AC601" s="74"/>
      <c r="AD601" s="79"/>
      <c r="AE601" s="84"/>
      <c r="AF601" s="856" t="str">
        <f>HYPERLINK("https://www.crunchbase.com/funding_round/stuf-seed--7ddb2222","Dec 9, 2020")</f>
        <v>Dec 9, 2020</v>
      </c>
      <c r="AG601" s="76">
        <v>1800000.0</v>
      </c>
      <c r="AH601" s="74"/>
      <c r="AI601" s="78"/>
      <c r="AJ601" s="75">
        <v>44973.0</v>
      </c>
      <c r="AK601" s="76">
        <v>1.1E7</v>
      </c>
      <c r="AL601" s="877"/>
      <c r="AM601" s="84"/>
      <c r="AN601" s="79"/>
      <c r="AO601" s="84"/>
      <c r="AP601" s="79"/>
      <c r="AQ601" s="84"/>
      <c r="AR601" s="79"/>
      <c r="AS601" s="79"/>
      <c r="AT601" s="79"/>
      <c r="AU601" s="80"/>
      <c r="AV601" s="79"/>
      <c r="AW601" s="38"/>
      <c r="AX601" s="79"/>
      <c r="AY601" s="38"/>
      <c r="AZ601" s="79"/>
      <c r="BA601" s="80"/>
      <c r="BB601" s="79"/>
      <c r="BC601" s="80"/>
      <c r="BD601" s="79"/>
      <c r="BE601" s="38"/>
      <c r="BF601" s="74"/>
      <c r="BG601" s="115"/>
      <c r="BH601" s="115"/>
      <c r="BI601" s="115"/>
      <c r="BJ601" s="115"/>
      <c r="BK601" s="115"/>
      <c r="BL601" s="115"/>
      <c r="BM601" s="115"/>
      <c r="BN601" s="115"/>
      <c r="BO601" s="115"/>
      <c r="BP601" s="115"/>
      <c r="BQ601" s="115"/>
      <c r="BR601" s="115"/>
      <c r="BS601" s="115"/>
      <c r="BT601" s="115"/>
      <c r="BU601" s="115"/>
      <c r="BV601" s="115"/>
      <c r="BW601" s="115"/>
      <c r="BX601" s="115"/>
      <c r="BY601" s="115"/>
      <c r="BZ601" s="115"/>
      <c r="CA601" s="115"/>
      <c r="CB601" s="115"/>
      <c r="CC601" s="115"/>
      <c r="CD601" s="115"/>
      <c r="CE601" s="115"/>
      <c r="CF601" s="115"/>
      <c r="CG601" s="115"/>
      <c r="CH601" s="115"/>
      <c r="CI601" s="115"/>
      <c r="CJ601" s="115"/>
      <c r="CK601" s="115"/>
      <c r="CL601" s="115"/>
      <c r="CM601" s="115"/>
      <c r="CN601" s="115"/>
      <c r="CO601" s="115"/>
      <c r="CP601" s="115"/>
    </row>
    <row r="602" ht="15.75" customHeight="1">
      <c r="A602" s="47" t="s">
        <v>3044</v>
      </c>
      <c r="C602" s="48" t="s">
        <v>76</v>
      </c>
      <c r="D602" s="351"/>
      <c r="E602" s="617" t="s">
        <v>3045</v>
      </c>
      <c r="F602" s="749" t="s">
        <v>3046</v>
      </c>
      <c r="G602" s="353"/>
      <c r="H602" s="53" t="s">
        <v>2545</v>
      </c>
      <c r="I602" s="54" t="s">
        <v>100</v>
      </c>
      <c r="J602" s="55"/>
      <c r="K602" s="54">
        <v>3.0</v>
      </c>
      <c r="L602" s="56">
        <v>2017.0</v>
      </c>
      <c r="M602" s="55"/>
      <c r="N602" s="55"/>
      <c r="O602" s="27" t="str">
        <f t="shared" si="3"/>
        <v>#N/A</v>
      </c>
      <c r="P602" s="55"/>
      <c r="Q602" s="55"/>
      <c r="R602" s="55"/>
      <c r="S602" s="55"/>
      <c r="T602" s="55"/>
      <c r="U602" s="55"/>
      <c r="V602" s="30">
        <f t="shared" si="425"/>
        <v>12800000</v>
      </c>
      <c r="W602" s="30"/>
      <c r="X602" s="58"/>
      <c r="Y602" s="58"/>
      <c r="Z602" s="692"/>
      <c r="AA602" s="665"/>
      <c r="AB602" s="55"/>
      <c r="AC602" s="55"/>
      <c r="AD602" s="453"/>
      <c r="AE602" s="55"/>
      <c r="AF602" s="62">
        <v>43868.0</v>
      </c>
      <c r="AG602" s="55"/>
      <c r="AH602" s="62">
        <v>44543.0</v>
      </c>
      <c r="AI602" s="55"/>
      <c r="AJ602" s="62">
        <v>44927.0</v>
      </c>
      <c r="AK602" s="38">
        <v>1.28E7</v>
      </c>
      <c r="AL602" s="55"/>
      <c r="AM602" s="55"/>
      <c r="AN602" s="55"/>
      <c r="AO602" s="55"/>
      <c r="AP602" s="356"/>
      <c r="AQ602" s="38"/>
      <c r="AR602" s="55"/>
      <c r="AS602" s="38"/>
      <c r="AT602" s="55"/>
      <c r="AU602" s="38"/>
      <c r="AV602" s="55"/>
      <c r="AW602" s="38"/>
      <c r="AX602" s="55"/>
      <c r="AY602" s="38"/>
      <c r="AZ602" s="55"/>
      <c r="BA602" s="722"/>
      <c r="BB602" s="55"/>
      <c r="BC602" s="38"/>
      <c r="BD602" s="55"/>
      <c r="BE602" s="38"/>
      <c r="BF602" s="55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</row>
    <row r="603" ht="15.75" customHeight="1">
      <c r="A603" s="21" t="s">
        <v>3047</v>
      </c>
      <c r="B603" s="68"/>
      <c r="C603" s="69" t="s">
        <v>123</v>
      </c>
      <c r="D603" s="200" t="s">
        <v>3048</v>
      </c>
      <c r="E603" s="138" t="s">
        <v>3049</v>
      </c>
      <c r="F603" s="173" t="s">
        <v>3050</v>
      </c>
      <c r="G603" s="71" t="s">
        <v>3051</v>
      </c>
      <c r="H603" s="71" t="s">
        <v>401</v>
      </c>
      <c r="I603" s="26" t="s">
        <v>65</v>
      </c>
      <c r="J603" s="155"/>
      <c r="K603" s="26">
        <v>1.0</v>
      </c>
      <c r="L603" s="26">
        <v>2016.0</v>
      </c>
      <c r="M603" s="25">
        <f>year(now()) -L603</f>
        <v>9</v>
      </c>
      <c r="N603" s="26">
        <f>counta(AE603,AG603,AI603,AK603,AM603,AO603,AQ603,AS603,AU603,AW603,AY603,BA603,BC603)</f>
        <v>2</v>
      </c>
      <c r="O603" s="27" t="str">
        <f t="shared" si="3"/>
        <v>#N/A</v>
      </c>
      <c r="P603" s="28"/>
      <c r="Q603" s="28"/>
      <c r="R603" s="28"/>
      <c r="S603" s="28"/>
      <c r="T603" s="28"/>
      <c r="U603" s="28"/>
      <c r="V603" s="30">
        <f t="shared" si="425"/>
        <v>12744306</v>
      </c>
      <c r="W603" s="30"/>
      <c r="X603" s="73"/>
      <c r="Y603" s="33">
        <f>(max(AE603,AG603,AI603,AK603,AM603,AO603,AQ603,AS603,AU603,AW603,AY603,BA603,BC603)/min(AE603,AG603,AI603,AK603))^(1/M603)-1</f>
        <v>0.8751581795</v>
      </c>
      <c r="Z603" s="692"/>
      <c r="AA603" s="665"/>
      <c r="AB603" s="74"/>
      <c r="AC603" s="74"/>
      <c r="AD603" s="79"/>
      <c r="AE603" s="84"/>
      <c r="AF603" s="338"/>
      <c r="AG603" s="1239">
        <v>44306.0</v>
      </c>
      <c r="AH603" s="77"/>
      <c r="AI603" s="78"/>
      <c r="AJ603" s="75">
        <v>44880.0</v>
      </c>
      <c r="AK603" s="76">
        <v>1.27E7</v>
      </c>
      <c r="AL603" s="79"/>
      <c r="AM603" s="84"/>
      <c r="AN603" s="79"/>
      <c r="AO603" s="84"/>
      <c r="AP603" s="79"/>
      <c r="AQ603" s="84"/>
      <c r="AR603" s="79"/>
      <c r="AS603" s="79"/>
      <c r="AT603" s="79"/>
      <c r="AU603" s="80"/>
      <c r="AV603" s="79"/>
      <c r="AW603" s="38"/>
      <c r="AX603" s="79"/>
      <c r="AY603" s="38"/>
      <c r="AZ603" s="79"/>
      <c r="BA603" s="80"/>
      <c r="BB603" s="79"/>
      <c r="BC603" s="80"/>
      <c r="BD603" s="79"/>
      <c r="BE603" s="38"/>
      <c r="BF603" s="74"/>
      <c r="BG603" s="456"/>
      <c r="BH603" s="456"/>
      <c r="BI603" s="456"/>
      <c r="BJ603" s="456"/>
      <c r="BK603" s="456"/>
      <c r="BL603" s="456"/>
      <c r="BM603" s="456"/>
      <c r="BN603" s="456"/>
      <c r="BO603" s="456"/>
      <c r="BP603" s="456"/>
      <c r="BQ603" s="456"/>
      <c r="BR603" s="456"/>
      <c r="BS603" s="456"/>
      <c r="BT603" s="456"/>
      <c r="BU603" s="456"/>
      <c r="BV603" s="456"/>
      <c r="BW603" s="456"/>
      <c r="BX603" s="456"/>
      <c r="BY603" s="456"/>
      <c r="BZ603" s="456"/>
      <c r="CA603" s="456"/>
      <c r="CB603" s="456"/>
      <c r="CC603" s="456"/>
      <c r="CD603" s="456"/>
      <c r="CE603" s="456"/>
      <c r="CF603" s="456"/>
      <c r="CG603" s="456"/>
      <c r="CH603" s="456"/>
      <c r="CI603" s="456"/>
      <c r="CJ603" s="456"/>
      <c r="CK603" s="456"/>
      <c r="CL603" s="456"/>
      <c r="CM603" s="456"/>
      <c r="CN603" s="456"/>
      <c r="CO603" s="456"/>
      <c r="CP603" s="456"/>
    </row>
    <row r="604" ht="15.75" customHeight="1">
      <c r="A604" s="400" t="s">
        <v>3052</v>
      </c>
      <c r="B604" s="115"/>
      <c r="C604" s="116" t="s">
        <v>84</v>
      </c>
      <c r="D604" s="401" t="s">
        <v>3053</v>
      </c>
      <c r="E604" s="161" t="s">
        <v>3054</v>
      </c>
      <c r="F604" s="708" t="s">
        <v>3055</v>
      </c>
      <c r="G604" s="286"/>
      <c r="H604" s="119" t="s">
        <v>3056</v>
      </c>
      <c r="I604" s="25" t="s">
        <v>1384</v>
      </c>
      <c r="J604" s="287"/>
      <c r="K604" s="25">
        <v>2.0</v>
      </c>
      <c r="L604" s="25">
        <v>2017.0</v>
      </c>
      <c r="M604" s="123"/>
      <c r="N604" s="123"/>
      <c r="O604" s="27" t="str">
        <f t="shared" si="3"/>
        <v>#N/A</v>
      </c>
      <c r="P604" s="55"/>
      <c r="Q604" s="55"/>
      <c r="R604" s="55"/>
      <c r="S604" s="55"/>
      <c r="T604" s="55"/>
      <c r="U604" s="55"/>
      <c r="V604" s="30">
        <f t="shared" si="425"/>
        <v>12700000</v>
      </c>
      <c r="W604" s="30"/>
      <c r="X604" s="403"/>
      <c r="Y604" s="403"/>
      <c r="Z604" s="692"/>
      <c r="AA604" s="665"/>
      <c r="AB604" s="123"/>
      <c r="AC604" s="123"/>
      <c r="AD604" s="452"/>
      <c r="AE604" s="55"/>
      <c r="AF604" s="62">
        <v>44866.0</v>
      </c>
      <c r="AG604" s="335">
        <v>6700000.0</v>
      </c>
      <c r="AH604" s="123"/>
      <c r="AI604" s="123"/>
      <c r="AJ604" s="123"/>
      <c r="AK604" s="123"/>
      <c r="AL604" s="123"/>
      <c r="AM604" s="123"/>
      <c r="AN604" s="123"/>
      <c r="AO604" s="123"/>
      <c r="AP604" s="123"/>
      <c r="AQ604" s="123"/>
      <c r="AR604" s="123"/>
      <c r="AS604" s="123"/>
      <c r="AT604" s="123"/>
      <c r="AU604" s="137"/>
      <c r="AV604" s="123"/>
      <c r="AW604" s="38"/>
      <c r="AX604" s="123"/>
      <c r="AY604" s="38"/>
      <c r="AZ604" s="123"/>
      <c r="BA604" s="137"/>
      <c r="BB604" s="724">
        <v>44684.0</v>
      </c>
      <c r="BC604" s="170">
        <v>6000000.0</v>
      </c>
      <c r="BD604" s="123"/>
      <c r="BE604" s="38"/>
      <c r="BF604" s="123"/>
      <c r="BG604" s="534"/>
      <c r="BH604" s="534"/>
      <c r="BI604" s="534"/>
      <c r="BJ604" s="534"/>
      <c r="BK604" s="534"/>
      <c r="BL604" s="534"/>
      <c r="BM604" s="534"/>
      <c r="BN604" s="534"/>
      <c r="BO604" s="534"/>
      <c r="BP604" s="534"/>
      <c r="BQ604" s="534"/>
      <c r="BR604" s="534"/>
      <c r="BS604" s="534"/>
      <c r="BT604" s="534"/>
      <c r="BU604" s="534"/>
      <c r="BV604" s="534"/>
      <c r="BW604" s="534"/>
      <c r="BX604" s="534"/>
      <c r="BY604" s="534"/>
      <c r="BZ604" s="534"/>
      <c r="CA604" s="534"/>
      <c r="CB604" s="534"/>
      <c r="CC604" s="534"/>
      <c r="CD604" s="534"/>
      <c r="CE604" s="534"/>
      <c r="CF604" s="534"/>
      <c r="CG604" s="534"/>
      <c r="CH604" s="534"/>
      <c r="CI604" s="534"/>
      <c r="CJ604" s="534"/>
      <c r="CK604" s="534"/>
      <c r="CL604" s="534"/>
      <c r="CM604" s="534"/>
      <c r="CN604" s="534"/>
      <c r="CO604" s="534"/>
      <c r="CP604" s="534"/>
    </row>
    <row r="605" ht="15.75" customHeight="1">
      <c r="A605" s="400" t="s">
        <v>3057</v>
      </c>
      <c r="B605" s="116" t="s">
        <v>3058</v>
      </c>
      <c r="C605" s="116" t="s">
        <v>132</v>
      </c>
      <c r="D605" s="540" t="s">
        <v>3059</v>
      </c>
      <c r="E605" s="540" t="s">
        <v>3060</v>
      </c>
      <c r="F605" s="744" t="s">
        <v>3061</v>
      </c>
      <c r="G605" s="286"/>
      <c r="H605" s="119" t="s">
        <v>328</v>
      </c>
      <c r="I605" s="25" t="s">
        <v>3062</v>
      </c>
      <c r="J605" s="287"/>
      <c r="K605" s="25">
        <v>2.0</v>
      </c>
      <c r="L605" s="25">
        <v>2014.0</v>
      </c>
      <c r="M605" s="25">
        <f t="shared" ref="M605:M609" si="502">year(now()) -L605</f>
        <v>11</v>
      </c>
      <c r="N605" s="26">
        <f t="shared" ref="N605:N609" si="503">counta(AE605,AG605,AI605,AK605,AM605,AO605,AQ605,AS605,AU605,AW605,AY605,BA605,BC605)</f>
        <v>3</v>
      </c>
      <c r="O605" s="27" t="str">
        <f t="shared" si="3"/>
        <v>#N/A</v>
      </c>
      <c r="P605" s="28"/>
      <c r="Q605" s="28"/>
      <c r="R605" s="28"/>
      <c r="S605" s="28"/>
      <c r="T605" s="29">
        <f t="shared" ref="T605:T609" si="504">V605/M605</f>
        <v>1137654.391</v>
      </c>
      <c r="U605" s="28"/>
      <c r="V605" s="30">
        <f t="shared" si="425"/>
        <v>12514198.3</v>
      </c>
      <c r="W605" s="30"/>
      <c r="X605" s="597"/>
      <c r="Y605" s="33"/>
      <c r="Z605" s="692"/>
      <c r="AA605" s="665"/>
      <c r="AB605" s="123"/>
      <c r="AC605" s="123"/>
      <c r="AD605" s="124"/>
      <c r="AE605" s="125"/>
      <c r="AF605" s="126" t="str">
        <f>HYPERLINK("https://www.crunchbase.com/organization/lavanda#section-funding-rounds"," 2/23/2015")</f>
        <v> 2/23/2015</v>
      </c>
      <c r="AG605" s="168">
        <v>214198.3</v>
      </c>
      <c r="AH605" s="123"/>
      <c r="AI605" s="128"/>
      <c r="AJ605" s="167" t="str">
        <f>HYPERLINK("https://www.crunchbase.com/funding_round/lavanda-series-a--fa5c50d3"," 9/18/2019")</f>
        <v> 9/18/2019</v>
      </c>
      <c r="AK605" s="165">
        <v>5000000.0</v>
      </c>
      <c r="AL605" s="455" t="str">
        <f>HYPERLINK("https://www.crunchbase.com/funding_round/lavanda-series-b--8c812cf4","Feb 17, 2022")</f>
        <v>Feb 17, 2022</v>
      </c>
      <c r="AM605" s="127">
        <v>7300000.0</v>
      </c>
      <c r="AN605" s="124"/>
      <c r="AO605" s="125"/>
      <c r="AP605" s="124"/>
      <c r="AQ605" s="125"/>
      <c r="AR605" s="124"/>
      <c r="AS605" s="124"/>
      <c r="AT605" s="124"/>
      <c r="AU605" s="137"/>
      <c r="AV605" s="124"/>
      <c r="AW605" s="38"/>
      <c r="AX605" s="124"/>
      <c r="AY605" s="38"/>
      <c r="AZ605" s="124"/>
      <c r="BA605" s="137"/>
      <c r="BB605" s="124"/>
      <c r="BC605" s="137"/>
      <c r="BD605" s="124"/>
      <c r="BE605" s="38"/>
      <c r="BF605" s="123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</row>
    <row r="606" ht="15.75" customHeight="1">
      <c r="A606" s="866" t="s">
        <v>3063</v>
      </c>
      <c r="B606" s="16"/>
      <c r="C606" s="17" t="s">
        <v>3064</v>
      </c>
      <c r="D606" s="236" t="s">
        <v>3065</v>
      </c>
      <c r="E606" s="18" t="s">
        <v>3066</v>
      </c>
      <c r="F606" s="20" t="s">
        <v>3067</v>
      </c>
      <c r="G606" s="22"/>
      <c r="H606" s="22" t="s">
        <v>64</v>
      </c>
      <c r="I606" s="23" t="s">
        <v>65</v>
      </c>
      <c r="J606" s="24"/>
      <c r="K606" s="23">
        <v>3.0</v>
      </c>
      <c r="L606" s="23">
        <v>2018.0</v>
      </c>
      <c r="M606" s="25">
        <f t="shared" si="502"/>
        <v>7</v>
      </c>
      <c r="N606" s="26">
        <f t="shared" si="503"/>
        <v>1</v>
      </c>
      <c r="O606" s="27" t="str">
        <f t="shared" si="3"/>
        <v>#N/A</v>
      </c>
      <c r="P606" s="28"/>
      <c r="Q606" s="28"/>
      <c r="R606" s="28"/>
      <c r="S606" s="28"/>
      <c r="T606" s="29">
        <f t="shared" si="504"/>
        <v>1785714.286</v>
      </c>
      <c r="U606" s="28"/>
      <c r="V606" s="30">
        <f t="shared" si="425"/>
        <v>12500000</v>
      </c>
      <c r="W606" s="30"/>
      <c r="X606" s="33"/>
      <c r="Y606" s="33">
        <f t="shared" ref="Y606:Y609" si="505">(max(AE606,AG606,AI606,AK606,AM606,AO606,AQ606,AS606,AU606,AW606,AY606,BA606,BC606)/min(AE606,AG606,AI606,AK606))^(1/M606)-1</f>
        <v>0</v>
      </c>
      <c r="Z606" s="692"/>
      <c r="AA606" s="665"/>
      <c r="AB606" s="36"/>
      <c r="AC606" s="36"/>
      <c r="AD606" s="44"/>
      <c r="AE606" s="46"/>
      <c r="AF606" s="39"/>
      <c r="AG606" s="38"/>
      <c r="AH606" s="36"/>
      <c r="AI606" s="46"/>
      <c r="AJ606" s="43" t="str">
        <f>HYPERLINK("https://www.crunchbase.com/funding_round/airgarage-series-a--62c8984c","Oct 21, 2021")</f>
        <v>Oct 21, 2021</v>
      </c>
      <c r="AK606" s="38">
        <v>1.25E7</v>
      </c>
      <c r="AL606" s="44"/>
      <c r="AM606" s="46"/>
      <c r="AN606" s="44"/>
      <c r="AO606" s="46"/>
      <c r="AP606" s="44"/>
      <c r="AQ606" s="46"/>
      <c r="AR606" s="44"/>
      <c r="AS606" s="44"/>
      <c r="AT606" s="44"/>
      <c r="AU606" s="45"/>
      <c r="AV606" s="44"/>
      <c r="AW606" s="38"/>
      <c r="AX606" s="44"/>
      <c r="AY606" s="38"/>
      <c r="AZ606" s="44"/>
      <c r="BA606" s="45"/>
      <c r="BB606" s="44"/>
      <c r="BC606" s="45"/>
      <c r="BD606" s="44"/>
      <c r="BE606" s="38"/>
      <c r="BF606" s="36"/>
      <c r="BG606" s="115"/>
      <c r="BH606" s="115"/>
      <c r="BI606" s="115"/>
      <c r="BJ606" s="115"/>
      <c r="BK606" s="115"/>
      <c r="BL606" s="115"/>
      <c r="BM606" s="115"/>
      <c r="BN606" s="115"/>
      <c r="BO606" s="115"/>
      <c r="BP606" s="115"/>
      <c r="BQ606" s="115"/>
      <c r="BR606" s="115"/>
      <c r="BS606" s="115"/>
      <c r="BT606" s="115"/>
      <c r="BU606" s="115"/>
      <c r="BV606" s="115"/>
      <c r="BW606" s="115"/>
      <c r="BX606" s="115"/>
      <c r="BY606" s="115"/>
      <c r="BZ606" s="115"/>
      <c r="CA606" s="115"/>
      <c r="CB606" s="115"/>
      <c r="CC606" s="115"/>
      <c r="CD606" s="115"/>
      <c r="CE606" s="115"/>
      <c r="CF606" s="115"/>
      <c r="CG606" s="115"/>
      <c r="CH606" s="115"/>
      <c r="CI606" s="115"/>
      <c r="CJ606" s="115"/>
      <c r="CK606" s="115"/>
      <c r="CL606" s="115"/>
      <c r="CM606" s="115"/>
      <c r="CN606" s="115"/>
      <c r="CO606" s="115"/>
      <c r="CP606" s="115"/>
    </row>
    <row r="607" ht="15.75" customHeight="1">
      <c r="A607" s="666" t="s">
        <v>3068</v>
      </c>
      <c r="B607" s="115" t="s">
        <v>3069</v>
      </c>
      <c r="C607" s="115" t="s">
        <v>207</v>
      </c>
      <c r="D607" s="449"/>
      <c r="E607" s="667" t="s">
        <v>3070</v>
      </c>
      <c r="F607" s="1172" t="s">
        <v>2724</v>
      </c>
      <c r="G607" s="286" t="s">
        <v>3071</v>
      </c>
      <c r="H607" s="286" t="s">
        <v>1065</v>
      </c>
      <c r="I607" s="123" t="s">
        <v>1935</v>
      </c>
      <c r="J607" s="287" t="s">
        <v>3072</v>
      </c>
      <c r="K607" s="123">
        <v>3.0</v>
      </c>
      <c r="L607" s="25">
        <v>2014.0</v>
      </c>
      <c r="M607" s="25">
        <f t="shared" si="502"/>
        <v>11</v>
      </c>
      <c r="N607" s="26">
        <f t="shared" si="503"/>
        <v>2</v>
      </c>
      <c r="O607" s="27" t="str">
        <f t="shared" si="3"/>
        <v>#N/A</v>
      </c>
      <c r="P607" s="28"/>
      <c r="Q607" s="28"/>
      <c r="R607" s="28"/>
      <c r="S607" s="28"/>
      <c r="T607" s="29">
        <f t="shared" si="504"/>
        <v>1136363.636</v>
      </c>
      <c r="U607" s="28"/>
      <c r="V607" s="30">
        <f t="shared" si="425"/>
        <v>12500000</v>
      </c>
      <c r="W607" s="30"/>
      <c r="X607" s="403"/>
      <c r="Y607" s="33">
        <f t="shared" si="505"/>
        <v>0.1343125222</v>
      </c>
      <c r="Z607" s="692"/>
      <c r="AA607" s="665"/>
      <c r="AB607" s="123" t="s">
        <v>3073</v>
      </c>
      <c r="AC607" s="123"/>
      <c r="AD607" s="124"/>
      <c r="AE607" s="125"/>
      <c r="AF607" s="126" t="str">
        <f>HYPERLINK("https://www.crunchbase.com/organization/lane"," 5/9/2019")</f>
        <v> 5/9/2019</v>
      </c>
      <c r="AG607" s="125">
        <v>2500000.0</v>
      </c>
      <c r="AH607" s="123"/>
      <c r="AI607" s="128"/>
      <c r="AJ607" s="455" t="str">
        <f>HYPERLINK("http://www.finsmes.com/2020/06/lane-raises-10m-in-series-a-funding.html","June 12, 2020")</f>
        <v>June 12, 2020</v>
      </c>
      <c r="AK607" s="127">
        <v>1.0E7</v>
      </c>
      <c r="AL607" s="124"/>
      <c r="AM607" s="125"/>
      <c r="AN607" s="124"/>
      <c r="AO607" s="125"/>
      <c r="AP607" s="124"/>
      <c r="AQ607" s="125"/>
      <c r="AR607" s="124"/>
      <c r="AS607" s="124"/>
      <c r="AT607" s="124"/>
      <c r="AU607" s="137"/>
      <c r="AV607" s="124"/>
      <c r="AW607" s="38"/>
      <c r="AX607" s="124"/>
      <c r="AY607" s="38"/>
      <c r="AZ607" s="124"/>
      <c r="BA607" s="137"/>
      <c r="BB607" s="124"/>
      <c r="BC607" s="137"/>
      <c r="BD607" s="124"/>
      <c r="BE607" s="38"/>
      <c r="BF607" s="123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</row>
    <row r="608" ht="15.75" customHeight="1">
      <c r="A608" s="666" t="s">
        <v>3074</v>
      </c>
      <c r="B608" s="115" t="s">
        <v>2512</v>
      </c>
      <c r="C608" s="116" t="s">
        <v>132</v>
      </c>
      <c r="D608" s="667" t="s">
        <v>3075</v>
      </c>
      <c r="E608" s="667" t="s">
        <v>3076</v>
      </c>
      <c r="F608" s="668" t="s">
        <v>3077</v>
      </c>
      <c r="G608" s="286" t="s">
        <v>3078</v>
      </c>
      <c r="H608" s="286" t="s">
        <v>128</v>
      </c>
      <c r="I608" s="123" t="s">
        <v>129</v>
      </c>
      <c r="J608" s="287" t="s">
        <v>466</v>
      </c>
      <c r="K608" s="123">
        <v>3.0</v>
      </c>
      <c r="L608" s="25">
        <v>2016.0</v>
      </c>
      <c r="M608" s="25">
        <f t="shared" si="502"/>
        <v>9</v>
      </c>
      <c r="N608" s="26">
        <f t="shared" si="503"/>
        <v>2</v>
      </c>
      <c r="O608" s="27" t="str">
        <f t="shared" si="3"/>
        <v>#N/A</v>
      </c>
      <c r="P608" s="28"/>
      <c r="Q608" s="28"/>
      <c r="R608" s="28"/>
      <c r="S608" s="28"/>
      <c r="T608" s="29">
        <f t="shared" si="504"/>
        <v>1388888.889</v>
      </c>
      <c r="U608" s="28"/>
      <c r="V608" s="30">
        <f t="shared" si="425"/>
        <v>12500000</v>
      </c>
      <c r="W608" s="30"/>
      <c r="X608" s="403"/>
      <c r="Y608" s="33">
        <f t="shared" si="505"/>
        <v>0.1366388169</v>
      </c>
      <c r="Z608" s="692"/>
      <c r="AA608" s="665"/>
      <c r="AB608" s="123"/>
      <c r="AC608" s="123"/>
      <c r="AD608" s="124"/>
      <c r="AE608" s="125"/>
      <c r="AF608" s="166"/>
      <c r="AG608" s="125"/>
      <c r="AH608" s="881"/>
      <c r="AI608" s="128"/>
      <c r="AJ608" s="167" t="str">
        <f>HYPERLINK("https://www.crunchbase.com/funding_round/workframe-series-a--59d0324f"," 7/6/2017")</f>
        <v> 7/6/2017</v>
      </c>
      <c r="AK608" s="127">
        <v>3000000.0</v>
      </c>
      <c r="AL608" s="455" t="str">
        <f>HYPERLINK("https://www.crunchbase.com/funding_round/workframe-series-b--3ed936ea"," May 16, 2018        
")</f>
        <v> May 16, 2018        
</v>
      </c>
      <c r="AM608" s="127">
        <v>9500000.0</v>
      </c>
      <c r="AN608" s="124"/>
      <c r="AO608" s="125"/>
      <c r="AP608" s="124"/>
      <c r="AQ608" s="125"/>
      <c r="AR608" s="124"/>
      <c r="AS608" s="124"/>
      <c r="AT608" s="124"/>
      <c r="AU608" s="137"/>
      <c r="AV608" s="124"/>
      <c r="AW608" s="38"/>
      <c r="AX608" s="124"/>
      <c r="AY608" s="38"/>
      <c r="AZ608" s="124"/>
      <c r="BA608" s="137"/>
      <c r="BB608" s="124"/>
      <c r="BC608" s="137"/>
      <c r="BD608" s="124"/>
      <c r="BE608" s="38"/>
      <c r="BF608" s="123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</row>
    <row r="609" ht="15.75" customHeight="1">
      <c r="A609" s="21" t="s">
        <v>3079</v>
      </c>
      <c r="B609" s="68"/>
      <c r="C609" s="69" t="s">
        <v>132</v>
      </c>
      <c r="D609" s="200" t="s">
        <v>3080</v>
      </c>
      <c r="E609" s="138" t="s">
        <v>3081</v>
      </c>
      <c r="F609" s="192" t="s">
        <v>3082</v>
      </c>
      <c r="G609" s="54" t="s">
        <v>3083</v>
      </c>
      <c r="H609" s="71" t="s">
        <v>1272</v>
      </c>
      <c r="I609" s="26" t="s">
        <v>65</v>
      </c>
      <c r="J609" s="178" t="s">
        <v>3084</v>
      </c>
      <c r="K609" s="26">
        <v>1.0</v>
      </c>
      <c r="L609" s="26">
        <v>2014.0</v>
      </c>
      <c r="M609" s="25">
        <f t="shared" si="502"/>
        <v>11</v>
      </c>
      <c r="N609" s="26">
        <f t="shared" si="503"/>
        <v>2</v>
      </c>
      <c r="O609" s="27" t="str">
        <f t="shared" si="3"/>
        <v>#N/A</v>
      </c>
      <c r="P609" s="28"/>
      <c r="Q609" s="28"/>
      <c r="R609" s="28"/>
      <c r="S609" s="28"/>
      <c r="T609" s="29">
        <f t="shared" si="504"/>
        <v>1136363.636</v>
      </c>
      <c r="U609" s="28"/>
      <c r="V609" s="30">
        <f t="shared" si="425"/>
        <v>12500000</v>
      </c>
      <c r="W609" s="30"/>
      <c r="X609" s="73"/>
      <c r="Y609" s="33">
        <f t="shared" si="505"/>
        <v>0.1343125222</v>
      </c>
      <c r="Z609" s="692"/>
      <c r="AA609" s="665"/>
      <c r="AB609" s="74"/>
      <c r="AC609" s="74"/>
      <c r="AD609" s="79"/>
      <c r="AE609" s="84"/>
      <c r="AF609" s="1263" t="str">
        <f>HYPERLINK("https://www.crunchbase.com/funding_round/wynd-technologies-seed--ab49dd98","Sep 28, 2016")</f>
        <v>Sep 28, 2016</v>
      </c>
      <c r="AG609" s="971">
        <v>2500000.0</v>
      </c>
      <c r="AH609" s="74"/>
      <c r="AI609" s="78"/>
      <c r="AJ609" s="181" t="str">
        <f>HYPERLINK("https://www.crunchbase.com/funding_round/wynd-technologies-series-a--de048675","Aug 17, 2021")</f>
        <v>Aug 17, 2021</v>
      </c>
      <c r="AK609" s="76">
        <v>1.0E7</v>
      </c>
      <c r="AL609" s="79"/>
      <c r="AM609" s="76"/>
      <c r="AN609" s="79"/>
      <c r="AO609" s="76"/>
      <c r="AP609" s="79"/>
      <c r="AQ609" s="76"/>
      <c r="AR609" s="79"/>
      <c r="AS609" s="26"/>
      <c r="AT609" s="79"/>
      <c r="AU609" s="80"/>
      <c r="AV609" s="79"/>
      <c r="AW609" s="38"/>
      <c r="AX609" s="79"/>
      <c r="AY609" s="38"/>
      <c r="AZ609" s="79"/>
      <c r="BA609" s="80"/>
      <c r="BB609" s="79"/>
      <c r="BC609" s="80"/>
      <c r="BD609" s="79"/>
      <c r="BE609" s="38"/>
      <c r="BF609" s="74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</row>
    <row r="610" ht="15.75" customHeight="1">
      <c r="A610" s="21" t="s">
        <v>3085</v>
      </c>
      <c r="B610" s="17"/>
      <c r="C610" s="17" t="s">
        <v>123</v>
      </c>
      <c r="D610" s="380"/>
      <c r="E610" s="1167" t="s">
        <v>3086</v>
      </c>
      <c r="F610" s="173" t="s">
        <v>3087</v>
      </c>
      <c r="G610" s="193"/>
      <c r="H610" s="22" t="s">
        <v>1546</v>
      </c>
      <c r="I610" s="23" t="s">
        <v>1547</v>
      </c>
      <c r="J610" s="237"/>
      <c r="K610" s="23">
        <v>4.0</v>
      </c>
      <c r="L610" s="23">
        <v>2014.0</v>
      </c>
      <c r="M610" s="222"/>
      <c r="N610" s="23"/>
      <c r="O610" s="27" t="str">
        <f t="shared" si="3"/>
        <v>#N/A</v>
      </c>
      <c r="P610" s="464"/>
      <c r="Q610" s="464"/>
      <c r="R610" s="464"/>
      <c r="S610" s="464"/>
      <c r="T610" s="464"/>
      <c r="U610" s="464"/>
      <c r="V610" s="30">
        <f t="shared" si="425"/>
        <v>12500000</v>
      </c>
      <c r="W610" s="30"/>
      <c r="X610" s="33"/>
      <c r="Y610" s="33"/>
      <c r="Z610" s="692"/>
      <c r="AA610" s="665"/>
      <c r="AB610" s="36"/>
      <c r="AC610" s="36"/>
      <c r="AD610" s="44"/>
      <c r="AE610" s="46"/>
      <c r="AF610" s="726">
        <v>42614.0</v>
      </c>
      <c r="AG610" s="38">
        <v>2200000.0</v>
      </c>
      <c r="AH610" s="55"/>
      <c r="AI610" s="55"/>
      <c r="AJ610" s="1239">
        <v>44805.0</v>
      </c>
      <c r="AK610" s="41">
        <v>1.03E7</v>
      </c>
      <c r="AL610" s="1261"/>
      <c r="AM610" s="38"/>
      <c r="AN610" s="1071"/>
      <c r="AO610" s="38"/>
      <c r="AP610" s="44"/>
      <c r="AQ610" s="46"/>
      <c r="AR610" s="44"/>
      <c r="AS610" s="44"/>
      <c r="AT610" s="44"/>
      <c r="AU610" s="45"/>
      <c r="AV610" s="44"/>
      <c r="AW610" s="38"/>
      <c r="AX610" s="44"/>
      <c r="AY610" s="38"/>
      <c r="AZ610" s="44"/>
      <c r="BA610" s="45"/>
      <c r="BB610" s="44"/>
      <c r="BC610" s="45"/>
      <c r="BD610" s="44"/>
      <c r="BE610" s="38"/>
      <c r="BF610" s="3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</row>
    <row r="611" ht="15.75" customHeight="1">
      <c r="A611" s="21" t="s">
        <v>3088</v>
      </c>
      <c r="B611" s="68"/>
      <c r="C611" s="69" t="s">
        <v>1972</v>
      </c>
      <c r="D611" s="48"/>
      <c r="E611" s="138" t="s">
        <v>3089</v>
      </c>
      <c r="F611" s="173" t="s">
        <v>3090</v>
      </c>
      <c r="G611" s="71"/>
      <c r="H611" s="71" t="s">
        <v>163</v>
      </c>
      <c r="I611" s="26" t="s">
        <v>164</v>
      </c>
      <c r="J611" s="72"/>
      <c r="K611" s="26">
        <v>5.0</v>
      </c>
      <c r="L611" s="26">
        <v>2015.0</v>
      </c>
      <c r="M611" s="25"/>
      <c r="N611" s="26"/>
      <c r="O611" s="27" t="str">
        <f t="shared" si="3"/>
        <v>#N/A</v>
      </c>
      <c r="P611" s="28"/>
      <c r="Q611" s="28"/>
      <c r="R611" s="28"/>
      <c r="S611" s="28"/>
      <c r="T611" s="28"/>
      <c r="U611" s="28"/>
      <c r="V611" s="30">
        <f t="shared" si="425"/>
        <v>12500000</v>
      </c>
      <c r="W611" s="30"/>
      <c r="X611" s="73"/>
      <c r="Y611" s="73"/>
      <c r="Z611" s="692"/>
      <c r="AA611" s="665"/>
      <c r="AB611" s="74"/>
      <c r="AC611" s="74"/>
      <c r="AD611" s="44"/>
      <c r="AE611" s="46"/>
      <c r="AF611" s="158" t="str">
        <f>HYPERLINK("https://www.crunchbase.com/funding_round/eyrus-inc-seed--befe7eca","Feb 12, 2019")</f>
        <v>Feb 12, 2019</v>
      </c>
      <c r="AG611" s="38">
        <v>500000.0</v>
      </c>
      <c r="AH611" s="36"/>
      <c r="AI611" s="159"/>
      <c r="AJ611" s="43" t="str">
        <f>HYPERLINK("https://www.crunchbase.com/funding_round/eyrus-inc-series-a--da0ffab2","Feb 16, 2022")</f>
        <v>Feb 16, 2022</v>
      </c>
      <c r="AK611" s="38">
        <v>1.2E7</v>
      </c>
      <c r="AL611" s="44"/>
      <c r="AM611" s="46"/>
      <c r="AN611" s="44"/>
      <c r="AO611" s="46"/>
      <c r="AP611" s="44"/>
      <c r="AQ611" s="46"/>
      <c r="AR611" s="44"/>
      <c r="AS611" s="44"/>
      <c r="AT611" s="44"/>
      <c r="AU611" s="45"/>
      <c r="AV611" s="44"/>
      <c r="AW611" s="38"/>
      <c r="AX611" s="44"/>
      <c r="AY611" s="38"/>
      <c r="AZ611" s="44"/>
      <c r="BA611" s="45"/>
      <c r="BB611" s="44"/>
      <c r="BC611" s="45"/>
      <c r="BD611" s="44"/>
      <c r="BE611" s="38"/>
      <c r="BF611" s="36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</row>
    <row r="612" ht="15.75" customHeight="1">
      <c r="A612" s="400" t="s">
        <v>3091</v>
      </c>
      <c r="B612" s="115"/>
      <c r="C612" s="116" t="s">
        <v>513</v>
      </c>
      <c r="D612" s="401" t="s">
        <v>3092</v>
      </c>
      <c r="E612" s="401" t="s">
        <v>3093</v>
      </c>
      <c r="F612" s="402" t="s">
        <v>3094</v>
      </c>
      <c r="G612" s="119" t="s">
        <v>3095</v>
      </c>
      <c r="H612" s="119" t="s">
        <v>3096</v>
      </c>
      <c r="I612" s="25" t="s">
        <v>2431</v>
      </c>
      <c r="J612" s="120" t="s">
        <v>3097</v>
      </c>
      <c r="K612" s="25">
        <v>3.0</v>
      </c>
      <c r="L612" s="25">
        <v>2015.0</v>
      </c>
      <c r="M612" s="123"/>
      <c r="N612" s="123"/>
      <c r="O612" s="27" t="str">
        <f t="shared" si="3"/>
        <v>#N/A</v>
      </c>
      <c r="P612" s="55"/>
      <c r="Q612" s="55"/>
      <c r="R612" s="55"/>
      <c r="S612" s="55"/>
      <c r="T612" s="55"/>
      <c r="U612" s="55"/>
      <c r="V612" s="30">
        <f t="shared" si="425"/>
        <v>12500000</v>
      </c>
      <c r="W612" s="30"/>
      <c r="X612" s="403"/>
      <c r="Y612" s="403"/>
      <c r="Z612" s="692"/>
      <c r="AA612" s="665"/>
      <c r="AB612" s="123"/>
      <c r="AC612" s="123"/>
      <c r="AD612" s="452"/>
      <c r="AE612" s="125"/>
      <c r="AF612" s="452"/>
      <c r="AG612" s="125"/>
      <c r="AH612" s="123"/>
      <c r="AI612" s="128"/>
      <c r="AJ612" s="123"/>
      <c r="AK612" s="123"/>
      <c r="AL612" s="123"/>
      <c r="AM612" s="125"/>
      <c r="AN612" s="123"/>
      <c r="AO612" s="123"/>
      <c r="AP612" s="881"/>
      <c r="AQ612" s="123"/>
      <c r="AR612" s="123"/>
      <c r="AS612" s="123"/>
      <c r="AT612" s="123"/>
      <c r="AU612" s="137"/>
      <c r="AV612" s="123"/>
      <c r="AW612" s="38"/>
      <c r="AX612" s="123"/>
      <c r="AY612" s="38"/>
      <c r="AZ612" s="404">
        <v>43667.0</v>
      </c>
      <c r="BA612" s="170">
        <v>1.08E7</v>
      </c>
      <c r="BB612" s="404">
        <v>44763.0</v>
      </c>
      <c r="BC612" s="170">
        <v>1700000.0</v>
      </c>
      <c r="BD612" s="123"/>
      <c r="BE612" s="38"/>
      <c r="BF612" s="123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</row>
    <row r="613" ht="15.75" customHeight="1">
      <c r="A613" s="21" t="s">
        <v>3098</v>
      </c>
      <c r="B613" s="68"/>
      <c r="C613" s="69" t="s">
        <v>59</v>
      </c>
      <c r="D613" s="192" t="s">
        <v>3099</v>
      </c>
      <c r="E613" s="492" t="s">
        <v>3100</v>
      </c>
      <c r="F613" s="173" t="s">
        <v>3101</v>
      </c>
      <c r="G613" s="71" t="s">
        <v>3102</v>
      </c>
      <c r="H613" s="71" t="s">
        <v>3103</v>
      </c>
      <c r="I613" s="26" t="s">
        <v>65</v>
      </c>
      <c r="J613" s="72" t="s">
        <v>3104</v>
      </c>
      <c r="K613" s="26">
        <v>2.0</v>
      </c>
      <c r="L613" s="26">
        <v>2018.0</v>
      </c>
      <c r="M613" s="25">
        <f>year(now()) -L613</f>
        <v>7</v>
      </c>
      <c r="N613" s="26">
        <f>counta(AE613,AG613,AI613,AK613,AM613,AO613,AQ613,AS613,AU613,AW613,AY613,BA613,BC613)</f>
        <v>2</v>
      </c>
      <c r="O613" s="27" t="str">
        <f t="shared" si="3"/>
        <v>#N/A</v>
      </c>
      <c r="P613" s="28"/>
      <c r="Q613" s="28"/>
      <c r="R613" s="28"/>
      <c r="S613" s="28"/>
      <c r="T613" s="29">
        <f>V613/M613</f>
        <v>1757142.857</v>
      </c>
      <c r="U613" s="28"/>
      <c r="V613" s="30">
        <f t="shared" si="425"/>
        <v>12300000</v>
      </c>
      <c r="W613" s="30"/>
      <c r="X613" s="73"/>
      <c r="Y613" s="73"/>
      <c r="Z613" s="692"/>
      <c r="AA613" s="665"/>
      <c r="AB613" s="74"/>
      <c r="AC613" s="74"/>
      <c r="AD613" s="44"/>
      <c r="AE613" s="46"/>
      <c r="AF613" s="43" t="str">
        <f>HYPERLINK("https://www.crunchbase.com/funding_round/extracker-series-a--0b16ae5b","Jun 8, 2021")</f>
        <v>Jun 8, 2021</v>
      </c>
      <c r="AG613" s="38">
        <v>5300000.0</v>
      </c>
      <c r="AH613" s="36"/>
      <c r="AI613" s="159"/>
      <c r="AJ613" s="1241" t="str">
        <f>HYPERLINK("https://www.crunchbase.com/funding_round/extracker-series-a--c2e38aac","Jun 8, 2022")</f>
        <v>Jun 8, 2022</v>
      </c>
      <c r="AK613" s="743">
        <v>7000000.0</v>
      </c>
      <c r="AL613" s="44"/>
      <c r="AM613" s="46"/>
      <c r="AN613" s="44"/>
      <c r="AO613" s="46"/>
      <c r="AP613" s="44"/>
      <c r="AQ613" s="46"/>
      <c r="AR613" s="44"/>
      <c r="AS613" s="44"/>
      <c r="AT613" s="44"/>
      <c r="AU613" s="45"/>
      <c r="AV613" s="44"/>
      <c r="AW613" s="38"/>
      <c r="AX613" s="44"/>
      <c r="AY613" s="38"/>
      <c r="AZ613" s="44"/>
      <c r="BA613" s="45"/>
      <c r="BB613" s="44"/>
      <c r="BC613" s="45"/>
      <c r="BD613" s="44"/>
      <c r="BE613" s="38"/>
      <c r="BF613" s="36"/>
      <c r="BG613" s="582"/>
      <c r="BH613" s="582"/>
      <c r="BI613" s="582"/>
      <c r="BJ613" s="582"/>
      <c r="BK613" s="582"/>
      <c r="BL613" s="582"/>
      <c r="BM613" s="582"/>
      <c r="BN613" s="582"/>
      <c r="BO613" s="582"/>
      <c r="BP613" s="582"/>
      <c r="BQ613" s="582"/>
      <c r="BR613" s="582"/>
      <c r="BS613" s="582"/>
      <c r="BT613" s="582"/>
      <c r="BU613" s="582"/>
      <c r="BV613" s="582"/>
      <c r="BW613" s="582"/>
      <c r="BX613" s="582"/>
      <c r="BY613" s="582"/>
      <c r="BZ613" s="582"/>
      <c r="CA613" s="582"/>
      <c r="CB613" s="582"/>
      <c r="CC613" s="582"/>
      <c r="CD613" s="582"/>
      <c r="CE613" s="582"/>
      <c r="CF613" s="582"/>
      <c r="CG613" s="582"/>
      <c r="CH613" s="582"/>
      <c r="CI613" s="582"/>
      <c r="CJ613" s="582"/>
      <c r="CK613" s="582"/>
      <c r="CL613" s="582"/>
      <c r="CM613" s="582"/>
      <c r="CN613" s="582"/>
      <c r="CO613" s="582"/>
      <c r="CP613" s="582"/>
    </row>
    <row r="614" ht="15.75" customHeight="1">
      <c r="A614" s="47" t="s">
        <v>3105</v>
      </c>
      <c r="B614" s="68"/>
      <c r="C614" s="69" t="s">
        <v>190</v>
      </c>
      <c r="D614" s="231" t="s">
        <v>3106</v>
      </c>
      <c r="E614" s="388" t="s">
        <v>3107</v>
      </c>
      <c r="F614" s="118" t="s">
        <v>3108</v>
      </c>
      <c r="G614" s="186"/>
      <c r="H614" s="71" t="s">
        <v>328</v>
      </c>
      <c r="I614" s="26" t="s">
        <v>329</v>
      </c>
      <c r="J614" s="155"/>
      <c r="K614" s="68"/>
      <c r="L614" s="26">
        <v>2017.0</v>
      </c>
      <c r="M614" s="123"/>
      <c r="N614" s="74"/>
      <c r="O614" s="27" t="str">
        <f t="shared" si="3"/>
        <v>#N/A</v>
      </c>
      <c r="P614" s="273"/>
      <c r="Q614" s="273"/>
      <c r="R614" s="273"/>
      <c r="S614" s="273"/>
      <c r="T614" s="273"/>
      <c r="U614" s="273"/>
      <c r="V614" s="30">
        <f t="shared" si="425"/>
        <v>12230000</v>
      </c>
      <c r="W614" s="1264"/>
      <c r="X614" s="1265"/>
      <c r="Y614" s="32"/>
      <c r="Z614" s="1266"/>
      <c r="AA614" s="665"/>
      <c r="AB614" s="74"/>
      <c r="AC614" s="74"/>
      <c r="AD614" s="391">
        <v>43435.0</v>
      </c>
      <c r="AE614" s="76">
        <f>2500000*1.28</f>
        <v>3200000</v>
      </c>
      <c r="AF614" s="1267">
        <v>43706.0</v>
      </c>
      <c r="AG614" s="894">
        <f>7000000*1.29</f>
        <v>9030000</v>
      </c>
      <c r="AH614" s="74"/>
      <c r="AI614" s="78"/>
      <c r="AJ614" s="79"/>
      <c r="AK614" s="84"/>
      <c r="AL614" s="79"/>
      <c r="AM614" s="84"/>
      <c r="AN614" s="79"/>
      <c r="AO614" s="84"/>
      <c r="AP614" s="79"/>
      <c r="AQ614" s="84"/>
      <c r="AR614" s="79"/>
      <c r="AS614" s="79"/>
      <c r="AT614" s="79"/>
      <c r="AU614" s="80"/>
      <c r="AV614" s="79"/>
      <c r="AW614" s="38"/>
      <c r="AX614" s="79"/>
      <c r="AY614" s="38"/>
      <c r="AZ614" s="79"/>
      <c r="BA614" s="80"/>
      <c r="BB614" s="79"/>
      <c r="BC614" s="80"/>
      <c r="BD614" s="79"/>
      <c r="BE614" s="38"/>
      <c r="BF614" s="74"/>
      <c r="BG614" s="115"/>
      <c r="BH614" s="115"/>
      <c r="BI614" s="115"/>
      <c r="BJ614" s="115"/>
      <c r="BK614" s="115"/>
      <c r="BL614" s="115"/>
      <c r="BM614" s="115"/>
      <c r="BN614" s="115"/>
      <c r="BO614" s="115"/>
      <c r="BP614" s="115"/>
      <c r="BQ614" s="115"/>
      <c r="BR614" s="115"/>
      <c r="BS614" s="115"/>
      <c r="BT614" s="115"/>
      <c r="BU614" s="115"/>
      <c r="BV614" s="115"/>
      <c r="BW614" s="115"/>
      <c r="BX614" s="115"/>
      <c r="BY614" s="115"/>
      <c r="BZ614" s="115"/>
      <c r="CA614" s="115"/>
      <c r="CB614" s="115"/>
      <c r="CC614" s="115"/>
      <c r="CD614" s="115"/>
      <c r="CE614" s="115"/>
      <c r="CF614" s="115"/>
      <c r="CG614" s="115"/>
      <c r="CH614" s="115"/>
      <c r="CI614" s="115"/>
      <c r="CJ614" s="115"/>
      <c r="CK614" s="115"/>
      <c r="CL614" s="115"/>
      <c r="CM614" s="115"/>
      <c r="CN614" s="115"/>
      <c r="CO614" s="115"/>
      <c r="CP614" s="115"/>
    </row>
    <row r="615" ht="15.75" customHeight="1">
      <c r="A615" s="21" t="s">
        <v>3109</v>
      </c>
      <c r="B615" s="68"/>
      <c r="C615" s="69" t="s">
        <v>84</v>
      </c>
      <c r="D615" s="337"/>
      <c r="E615" s="200" t="s">
        <v>3110</v>
      </c>
      <c r="F615" s="118" t="s">
        <v>3111</v>
      </c>
      <c r="G615" s="54" t="s">
        <v>3112</v>
      </c>
      <c r="H615" s="71" t="s">
        <v>1165</v>
      </c>
      <c r="I615" s="26" t="s">
        <v>65</v>
      </c>
      <c r="J615" s="72" t="s">
        <v>3113</v>
      </c>
      <c r="K615" s="26">
        <v>1.0</v>
      </c>
      <c r="L615" s="26">
        <v>2018.0</v>
      </c>
      <c r="M615" s="25">
        <f>year(now()) -L615</f>
        <v>7</v>
      </c>
      <c r="N615" s="26">
        <f>counta(AE615,AG615,AI615,AK615,AM615,AO615,AQ615,AS615,AU615,AW615,AY615,BA615,BC615)</f>
        <v>2</v>
      </c>
      <c r="O615" s="27" t="str">
        <f t="shared" si="3"/>
        <v>#N/A</v>
      </c>
      <c r="P615" s="28"/>
      <c r="Q615" s="28"/>
      <c r="R615" s="28"/>
      <c r="S615" s="28"/>
      <c r="T615" s="29">
        <f>V615/M615</f>
        <v>1742857.143</v>
      </c>
      <c r="U615" s="28"/>
      <c r="V615" s="30">
        <f t="shared" si="425"/>
        <v>12200000</v>
      </c>
      <c r="W615" s="30"/>
      <c r="X615" s="73"/>
      <c r="Y615" s="33">
        <f>(max(AE615,AG615,AI615,AK615,AM615,AO615,AQ615,AS615,AU615,AW615,AY615,BA615,BC615)/min(AE615,AG615,AI615,AK615))^(1/M615)-1</f>
        <v>0.2414796841</v>
      </c>
      <c r="Z615" s="692"/>
      <c r="AA615" s="665"/>
      <c r="AB615" s="74"/>
      <c r="AC615" s="74"/>
      <c r="AD615" s="79"/>
      <c r="AE615" s="84"/>
      <c r="AF615" s="273"/>
      <c r="AG615" s="84"/>
      <c r="AH615" s="77"/>
      <c r="AI615" s="78"/>
      <c r="AJ615" s="181" t="str">
        <f>HYPERLINK("https://www.crunchbase.com/funding_round/united-dwelling-series-a--5704ce38", "Mar 5, 2019")</f>
        <v>Mar 5, 2019</v>
      </c>
      <c r="AK615" s="76">
        <v>2200000.0</v>
      </c>
      <c r="AL615" s="181" t="str">
        <f>HYPERLINK("https://www.crunchbase.com/funding_round/united-dwelling-series-b--153bff04", "May 19, 2020")</f>
        <v>May 19, 2020</v>
      </c>
      <c r="AM615" s="76">
        <v>1.0E7</v>
      </c>
      <c r="AN615" s="79"/>
      <c r="AO615" s="84"/>
      <c r="AP615" s="79"/>
      <c r="AQ615" s="84"/>
      <c r="AR615" s="79"/>
      <c r="AS615" s="79"/>
      <c r="AT615" s="79"/>
      <c r="AU615" s="80"/>
      <c r="AV615" s="79"/>
      <c r="AW615" s="38"/>
      <c r="AX615" s="79"/>
      <c r="AY615" s="38"/>
      <c r="AZ615" s="79"/>
      <c r="BA615" s="80"/>
      <c r="BB615" s="79"/>
      <c r="BC615" s="80"/>
      <c r="BD615" s="79"/>
      <c r="BE615" s="38"/>
      <c r="BF615" s="74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</row>
    <row r="616" ht="15.75" customHeight="1">
      <c r="A616" s="47" t="s">
        <v>3114</v>
      </c>
      <c r="C616" s="48" t="s">
        <v>207</v>
      </c>
      <c r="D616" s="617" t="s">
        <v>3115</v>
      </c>
      <c r="E616" s="49" t="s">
        <v>3116</v>
      </c>
      <c r="F616" s="352" t="s">
        <v>3117</v>
      </c>
      <c r="G616" s="353"/>
      <c r="H616" s="53" t="s">
        <v>3118</v>
      </c>
      <c r="I616" s="54" t="s">
        <v>329</v>
      </c>
      <c r="J616" s="55"/>
      <c r="K616" s="54">
        <v>3.0</v>
      </c>
      <c r="L616" s="56">
        <v>2016.0</v>
      </c>
      <c r="M616" s="55"/>
      <c r="N616" s="55"/>
      <c r="O616" s="27" t="str">
        <f t="shared" si="3"/>
        <v>#N/A</v>
      </c>
      <c r="P616" s="55"/>
      <c r="Q616" s="55"/>
      <c r="R616" s="55"/>
      <c r="S616" s="55"/>
      <c r="T616" s="55"/>
      <c r="U616" s="55"/>
      <c r="V616" s="30">
        <f t="shared" si="425"/>
        <v>12073500</v>
      </c>
      <c r="W616" s="30"/>
      <c r="X616" s="58"/>
      <c r="Y616" s="58"/>
      <c r="Z616" s="692"/>
      <c r="AA616" s="665"/>
      <c r="AB616" s="55"/>
      <c r="AC616" s="55"/>
      <c r="AD616" s="62">
        <v>43712.0</v>
      </c>
      <c r="AE616" s="38">
        <v>673500.0</v>
      </c>
      <c r="AF616" s="62">
        <v>44986.0</v>
      </c>
      <c r="AG616" s="38">
        <v>1.14E7</v>
      </c>
      <c r="AH616" s="55"/>
      <c r="AI616" s="38"/>
      <c r="AJ616" s="55"/>
      <c r="AK616" s="38"/>
      <c r="AL616" s="55"/>
      <c r="AM616" s="38"/>
      <c r="AN616" s="55"/>
      <c r="AO616" s="38"/>
      <c r="AP616" s="356"/>
      <c r="AQ616" s="38"/>
      <c r="AR616" s="55"/>
      <c r="AS616" s="38"/>
      <c r="AT616" s="55"/>
      <c r="AU616" s="38"/>
      <c r="AV616" s="55"/>
      <c r="AW616" s="38"/>
      <c r="AX616" s="55"/>
      <c r="AY616" s="38"/>
      <c r="AZ616" s="55"/>
      <c r="BA616" s="38"/>
      <c r="BB616" s="55"/>
      <c r="BC616" s="38"/>
      <c r="BD616" s="55"/>
      <c r="BE616" s="38"/>
      <c r="BF616" s="55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</row>
    <row r="617" ht="15.75" customHeight="1">
      <c r="A617" s="21" t="s">
        <v>3119</v>
      </c>
      <c r="B617" s="68"/>
      <c r="C617" s="858" t="s">
        <v>1186</v>
      </c>
      <c r="D617" s="337"/>
      <c r="E617" s="138" t="s">
        <v>3120</v>
      </c>
      <c r="F617" s="154" t="s">
        <v>3121</v>
      </c>
      <c r="G617" s="140" t="s">
        <v>3122</v>
      </c>
      <c r="H617" s="140" t="s">
        <v>3123</v>
      </c>
      <c r="I617" s="26" t="s">
        <v>1384</v>
      </c>
      <c r="J617" s="141" t="s">
        <v>3124</v>
      </c>
      <c r="K617" s="26">
        <v>2.0</v>
      </c>
      <c r="L617" s="142">
        <v>2011.0</v>
      </c>
      <c r="M617" s="25">
        <f t="shared" ref="M617:M619" si="506">year(now()) -L617</f>
        <v>14</v>
      </c>
      <c r="N617" s="26">
        <f t="shared" ref="N617:N619" si="507">counta(AE617,AG617,AI617,AK617,AM617,AO617,AQ617,AS617,AU617,AW617,AY617,BA617,BC617)</f>
        <v>2</v>
      </c>
      <c r="O617" s="27" t="str">
        <f t="shared" si="3"/>
        <v>#N/A</v>
      </c>
      <c r="P617" s="28"/>
      <c r="Q617" s="28"/>
      <c r="R617" s="28"/>
      <c r="S617" s="28"/>
      <c r="T617" s="29">
        <f t="shared" ref="T617:T619" si="508">V617/M617</f>
        <v>857142.8571</v>
      </c>
      <c r="U617" s="28"/>
      <c r="V617" s="30">
        <f t="shared" si="425"/>
        <v>12000000</v>
      </c>
      <c r="W617" s="30"/>
      <c r="X617" s="73"/>
      <c r="Y617" s="33">
        <f t="shared" ref="Y617:Y619" si="509">(max(AE617,AG617,AI617,AK617,AM617,AO617,AQ617,AS617,AU617,AW617,AY617,BA617,BC617)/min(AE617,AG617,AI617,AK617))^(1/M617)-1</f>
        <v>0.024324869</v>
      </c>
      <c r="Z617" s="692"/>
      <c r="AA617" s="665"/>
      <c r="AB617" s="74"/>
      <c r="AC617" s="74"/>
      <c r="AD617" s="44"/>
      <c r="AE617" s="46"/>
      <c r="AF617" s="158" t="str">
        <f>HYPERLINK("https://www.crunchbase.com/organization/entic#section-funding-rounds"," 1/1/2012")</f>
        <v> 1/1/2012</v>
      </c>
      <c r="AG617" s="38">
        <v>5000000.0</v>
      </c>
      <c r="AH617" s="36"/>
      <c r="AI617" s="159"/>
      <c r="AJ617" s="228" t="str">
        <f>HYPERLINK("https://www.crunchbase.com/funding_round/entic-series-a--a03c0607"," 12/1/2015")</f>
        <v> 12/1/2015</v>
      </c>
      <c r="AK617" s="38">
        <v>7000000.0</v>
      </c>
      <c r="AL617" s="44"/>
      <c r="AM617" s="46"/>
      <c r="AN617" s="44"/>
      <c r="AO617" s="46"/>
      <c r="AP617" s="44"/>
      <c r="AQ617" s="46"/>
      <c r="AR617" s="44"/>
      <c r="AS617" s="44"/>
      <c r="AT617" s="44"/>
      <c r="AU617" s="45"/>
      <c r="AV617" s="44"/>
      <c r="AW617" s="38"/>
      <c r="AX617" s="44"/>
      <c r="AY617" s="38"/>
      <c r="AZ617" s="44"/>
      <c r="BA617" s="45"/>
      <c r="BB617" s="44"/>
      <c r="BC617" s="45"/>
      <c r="BD617" s="44"/>
      <c r="BE617" s="38"/>
      <c r="BF617" s="36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</row>
    <row r="618" ht="15.75" customHeight="1">
      <c r="A618" s="1268" t="s">
        <v>3125</v>
      </c>
      <c r="B618" s="1269"/>
      <c r="C618" s="1270" t="s">
        <v>513</v>
      </c>
      <c r="D618" s="1271"/>
      <c r="E618" s="1272" t="s">
        <v>3126</v>
      </c>
      <c r="F618" s="1273" t="s">
        <v>3127</v>
      </c>
      <c r="G618" s="1274" t="s">
        <v>3128</v>
      </c>
      <c r="H618" s="1274" t="s">
        <v>1125</v>
      </c>
      <c r="I618" s="830" t="s">
        <v>666</v>
      </c>
      <c r="J618" s="1275" t="s">
        <v>1126</v>
      </c>
      <c r="K618" s="830">
        <v>2.0</v>
      </c>
      <c r="L618" s="830">
        <v>2018.0</v>
      </c>
      <c r="M618" s="25">
        <f t="shared" si="506"/>
        <v>7</v>
      </c>
      <c r="N618" s="26">
        <f t="shared" si="507"/>
        <v>1</v>
      </c>
      <c r="O618" s="27" t="str">
        <f t="shared" si="3"/>
        <v>#N/A</v>
      </c>
      <c r="P618" s="28"/>
      <c r="Q618" s="28"/>
      <c r="R618" s="28"/>
      <c r="S618" s="28"/>
      <c r="T618" s="29">
        <f t="shared" si="508"/>
        <v>1714285.714</v>
      </c>
      <c r="U618" s="28"/>
      <c r="V618" s="30">
        <f t="shared" si="425"/>
        <v>12000000</v>
      </c>
      <c r="W618" s="30"/>
      <c r="X618" s="1276"/>
      <c r="Y618" s="33">
        <f t="shared" si="509"/>
        <v>0</v>
      </c>
      <c r="Z618" s="692"/>
      <c r="AA618" s="665"/>
      <c r="AB618" s="831"/>
      <c r="AC618" s="831"/>
      <c r="AD618" s="1246"/>
      <c r="AE618" s="1247"/>
      <c r="AF618" s="1248" t="str">
        <f>HYPERLINK("https://www.crunchbase.com/funding_round/route-b905-seed--1f564fde","Nov 21, 2019")</f>
        <v>Nov 21, 2019</v>
      </c>
      <c r="AG618" s="1249">
        <v>1.2E7</v>
      </c>
      <c r="AH618" s="1250"/>
      <c r="AI618" s="1251"/>
      <c r="AJ618" s="1246"/>
      <c r="AK618" s="1247"/>
      <c r="AL618" s="1246"/>
      <c r="AM618" s="833"/>
      <c r="AN618" s="832"/>
      <c r="AO618" s="833"/>
      <c r="AP618" s="832"/>
      <c r="AQ618" s="833"/>
      <c r="AR618" s="832"/>
      <c r="AS618" s="832"/>
      <c r="AT618" s="832"/>
      <c r="AU618" s="838"/>
      <c r="AV618" s="832"/>
      <c r="AW618" s="38"/>
      <c r="AX618" s="832"/>
      <c r="AY618" s="38"/>
      <c r="AZ618" s="832"/>
      <c r="BA618" s="838"/>
      <c r="BB618" s="832"/>
      <c r="BC618" s="838"/>
      <c r="BD618" s="832"/>
      <c r="BE618" s="38"/>
      <c r="BF618" s="831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</row>
    <row r="619" ht="15.75" customHeight="1">
      <c r="A619" s="1050" t="s">
        <v>3129</v>
      </c>
      <c r="B619" s="984"/>
      <c r="C619" s="985" t="s">
        <v>207</v>
      </c>
      <c r="D619" s="986"/>
      <c r="E619" s="192" t="s">
        <v>3130</v>
      </c>
      <c r="F619" s="756" t="s">
        <v>3131</v>
      </c>
      <c r="G619" s="286"/>
      <c r="H619" s="119" t="s">
        <v>450</v>
      </c>
      <c r="I619" s="119" t="s">
        <v>450</v>
      </c>
      <c r="J619" s="287"/>
      <c r="K619" s="123"/>
      <c r="L619" s="25">
        <v>2017.0</v>
      </c>
      <c r="M619" s="25">
        <f t="shared" si="506"/>
        <v>8</v>
      </c>
      <c r="N619" s="26">
        <f t="shared" si="507"/>
        <v>1</v>
      </c>
      <c r="O619" s="27" t="str">
        <f t="shared" si="3"/>
        <v>#N/A</v>
      </c>
      <c r="P619" s="28"/>
      <c r="Q619" s="28"/>
      <c r="R619" s="28"/>
      <c r="S619" s="28"/>
      <c r="T619" s="29">
        <f t="shared" si="508"/>
        <v>1500000</v>
      </c>
      <c r="U619" s="28"/>
      <c r="V619" s="30">
        <f t="shared" si="425"/>
        <v>12000000</v>
      </c>
      <c r="W619" s="30"/>
      <c r="X619" s="403"/>
      <c r="Y619" s="33">
        <f t="shared" si="509"/>
        <v>0</v>
      </c>
      <c r="Z619" s="692"/>
      <c r="AA619" s="665"/>
      <c r="AB619" s="123"/>
      <c r="AC619" s="123"/>
      <c r="AD619" s="124"/>
      <c r="AE619" s="125"/>
      <c r="AF619" s="166"/>
      <c r="AG619" s="125"/>
      <c r="AH619" s="123"/>
      <c r="AI619" s="128"/>
      <c r="AJ619" s="227">
        <v>43781.0</v>
      </c>
      <c r="AK619" s="127">
        <v>1.2E7</v>
      </c>
      <c r="AL619" s="124"/>
      <c r="AM619" s="125"/>
      <c r="AN619" s="124"/>
      <c r="AO619" s="125"/>
      <c r="AP619" s="124"/>
      <c r="AQ619" s="125"/>
      <c r="AR619" s="124"/>
      <c r="AS619" s="124"/>
      <c r="AT619" s="124"/>
      <c r="AU619" s="137"/>
      <c r="AV619" s="124"/>
      <c r="AW619" s="38"/>
      <c r="AX619" s="124"/>
      <c r="AY619" s="38"/>
      <c r="AZ619" s="124"/>
      <c r="BA619" s="137"/>
      <c r="BB619" s="124"/>
      <c r="BC619" s="137"/>
      <c r="BD619" s="124"/>
      <c r="BE619" s="38"/>
      <c r="BF619" s="123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</row>
    <row r="620" ht="15.75" customHeight="1">
      <c r="A620" s="1277" t="s">
        <v>3132</v>
      </c>
      <c r="B620" s="1278"/>
      <c r="C620" s="1279" t="s">
        <v>267</v>
      </c>
      <c r="D620" s="1280"/>
      <c r="E620" s="1281" t="s">
        <v>3133</v>
      </c>
      <c r="F620" s="1282" t="s">
        <v>3134</v>
      </c>
      <c r="G620" s="1283" t="s">
        <v>3135</v>
      </c>
      <c r="H620" s="1283" t="s">
        <v>3136</v>
      </c>
      <c r="I620" s="1284" t="s">
        <v>1642</v>
      </c>
      <c r="J620" s="178"/>
      <c r="K620" s="1284">
        <v>2.0</v>
      </c>
      <c r="L620" s="1284">
        <v>2018.0</v>
      </c>
      <c r="M620" s="222"/>
      <c r="N620" s="1284"/>
      <c r="O620" s="27" t="str">
        <f t="shared" si="3"/>
        <v>#N/A</v>
      </c>
      <c r="P620" s="1285"/>
      <c r="Q620" s="1285"/>
      <c r="R620" s="1285"/>
      <c r="S620" s="1285"/>
      <c r="T620" s="1285"/>
      <c r="U620" s="1285"/>
      <c r="V620" s="30">
        <f t="shared" si="425"/>
        <v>12000000</v>
      </c>
      <c r="W620" s="30"/>
      <c r="X620" s="1286"/>
      <c r="Y620" s="1286"/>
      <c r="Z620" s="692"/>
      <c r="AA620" s="665"/>
      <c r="AB620" s="1161"/>
      <c r="AC620" s="1161"/>
      <c r="AD620" s="1158"/>
      <c r="AE620" s="1159"/>
      <c r="AF620" s="1287">
        <v>44836.0</v>
      </c>
      <c r="AG620" s="1288">
        <v>1.2E7</v>
      </c>
      <c r="AH620" s="55"/>
      <c r="AI620" s="55"/>
      <c r="AJ620" s="1289"/>
      <c r="AK620" s="1288"/>
      <c r="AL620" s="1158"/>
      <c r="AM620" s="1159"/>
      <c r="AN620" s="1158"/>
      <c r="AO620" s="1159"/>
      <c r="AP620" s="1158"/>
      <c r="AQ620" s="1159"/>
      <c r="AR620" s="1158"/>
      <c r="AS620" s="1158"/>
      <c r="AT620" s="1158"/>
      <c r="AU620" s="1160"/>
      <c r="AV620" s="1158"/>
      <c r="AW620" s="38"/>
      <c r="AX620" s="1158"/>
      <c r="AY620" s="38"/>
      <c r="AZ620" s="1158"/>
      <c r="BA620" s="1160"/>
      <c r="BB620" s="1158"/>
      <c r="BC620" s="1160"/>
      <c r="BD620" s="1158"/>
      <c r="BE620" s="38"/>
      <c r="BF620" s="1161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</row>
    <row r="621" ht="15.75" customHeight="1">
      <c r="A621" s="47" t="s">
        <v>3137</v>
      </c>
      <c r="B621" s="979"/>
      <c r="C621" s="980" t="s">
        <v>513</v>
      </c>
      <c r="D621" s="1290" t="s">
        <v>3138</v>
      </c>
      <c r="E621" s="50" t="s">
        <v>3139</v>
      </c>
      <c r="F621" s="70" t="s">
        <v>3140</v>
      </c>
      <c r="G621" s="48" t="s">
        <v>3141</v>
      </c>
      <c r="H621" s="407" t="s">
        <v>1446</v>
      </c>
      <c r="I621" s="26" t="s">
        <v>1447</v>
      </c>
      <c r="J621" s="72"/>
      <c r="K621" s="26">
        <v>3.0</v>
      </c>
      <c r="L621" s="26">
        <v>2020.0</v>
      </c>
      <c r="M621" s="25"/>
      <c r="N621" s="26"/>
      <c r="O621" s="27" t="str">
        <f t="shared" si="3"/>
        <v>#N/A</v>
      </c>
      <c r="P621" s="28"/>
      <c r="Q621" s="28"/>
      <c r="R621" s="28"/>
      <c r="S621" s="28"/>
      <c r="T621" s="28"/>
      <c r="U621" s="28"/>
      <c r="V621" s="30">
        <f t="shared" si="425"/>
        <v>12000000</v>
      </c>
      <c r="W621" s="30"/>
      <c r="X621" s="73"/>
      <c r="Y621" s="73"/>
      <c r="Z621" s="692"/>
      <c r="AA621" s="665"/>
      <c r="AB621" s="74"/>
      <c r="AC621" s="74"/>
      <c r="AD621" s="79"/>
      <c r="AE621" s="84"/>
      <c r="AF621" s="1291">
        <v>44803.0</v>
      </c>
      <c r="AG621" s="76">
        <v>1.2E7</v>
      </c>
      <c r="AH621" s="77"/>
      <c r="AI621" s="78"/>
      <c r="AJ621" s="391"/>
      <c r="AK621" s="84"/>
      <c r="AL621" s="279"/>
      <c r="AM621" s="76"/>
      <c r="AN621" s="79"/>
      <c r="AO621" s="84"/>
      <c r="AP621" s="79"/>
      <c r="AQ621" s="84"/>
      <c r="AR621" s="79"/>
      <c r="AS621" s="79"/>
      <c r="AT621" s="79"/>
      <c r="AU621" s="80"/>
      <c r="AV621" s="79"/>
      <c r="AW621" s="38"/>
      <c r="AX621" s="79"/>
      <c r="AY621" s="38"/>
      <c r="AZ621" s="79"/>
      <c r="BA621" s="80"/>
      <c r="BB621" s="79"/>
      <c r="BC621" s="80"/>
      <c r="BD621" s="79"/>
      <c r="BE621" s="38"/>
      <c r="BF621" s="74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</row>
    <row r="622" ht="15.75" customHeight="1">
      <c r="A622" s="1292" t="s">
        <v>3142</v>
      </c>
      <c r="B622" s="979"/>
      <c r="C622" s="980" t="s">
        <v>68</v>
      </c>
      <c r="D622" s="998"/>
      <c r="E622" s="192" t="s">
        <v>3143</v>
      </c>
      <c r="F622" s="118" t="s">
        <v>3144</v>
      </c>
      <c r="G622" s="71"/>
      <c r="H622" s="71" t="s">
        <v>526</v>
      </c>
      <c r="I622" s="26" t="s">
        <v>65</v>
      </c>
      <c r="J622" s="72"/>
      <c r="K622" s="26">
        <v>2.0</v>
      </c>
      <c r="L622" s="26">
        <v>2019.0</v>
      </c>
      <c r="M622" s="25"/>
      <c r="N622" s="26"/>
      <c r="O622" s="27" t="str">
        <f t="shared" si="3"/>
        <v>#N/A</v>
      </c>
      <c r="P622" s="273"/>
      <c r="Q622" s="273"/>
      <c r="R622" s="273"/>
      <c r="S622" s="273"/>
      <c r="T622" s="273"/>
      <c r="U622" s="273"/>
      <c r="V622" s="30">
        <f t="shared" si="425"/>
        <v>12000000</v>
      </c>
      <c r="W622" s="30"/>
      <c r="X622" s="73"/>
      <c r="Y622" s="73"/>
      <c r="Z622" s="692"/>
      <c r="AA622" s="665"/>
      <c r="AB622" s="74"/>
      <c r="AC622" s="74"/>
      <c r="AD622" s="79"/>
      <c r="AE622" s="84"/>
      <c r="AF622" s="338"/>
      <c r="AG622" s="76"/>
      <c r="AH622" s="74"/>
      <c r="AI622" s="435"/>
      <c r="AJ622" s="426" t="str">
        <f>HYPERLINK("https://www.crunchbase.com/funding_round/teleo-series-a--6565ae37","Jun 8, 2022")</f>
        <v>Jun 8, 2022</v>
      </c>
      <c r="AK622" s="76">
        <v>1.2E7</v>
      </c>
      <c r="AL622" s="279"/>
      <c r="AM622" s="76"/>
      <c r="AN622" s="79"/>
      <c r="AO622" s="84"/>
      <c r="AP622" s="79"/>
      <c r="AQ622" s="84"/>
      <c r="AR622" s="79"/>
      <c r="AS622" s="79"/>
      <c r="AT622" s="79"/>
      <c r="AU622" s="80"/>
      <c r="AV622" s="79"/>
      <c r="AW622" s="38"/>
      <c r="AX622" s="79"/>
      <c r="AY622" s="38"/>
      <c r="AZ622" s="79"/>
      <c r="BA622" s="80"/>
      <c r="BB622" s="79"/>
      <c r="BC622" s="80"/>
      <c r="BD622" s="79"/>
      <c r="BE622" s="38"/>
      <c r="BF622" s="74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</row>
    <row r="623" ht="15.75" customHeight="1">
      <c r="A623" s="1024" t="s">
        <v>3145</v>
      </c>
      <c r="B623" s="988" t="s">
        <v>528</v>
      </c>
      <c r="C623" s="988" t="s">
        <v>59</v>
      </c>
      <c r="D623" s="1025" t="s">
        <v>3146</v>
      </c>
      <c r="E623" s="184" t="s">
        <v>3147</v>
      </c>
      <c r="F623" s="185" t="s">
        <v>3148</v>
      </c>
      <c r="G623" s="317"/>
      <c r="H623" s="317" t="s">
        <v>328</v>
      </c>
      <c r="I623" s="36"/>
      <c r="J623" s="237"/>
      <c r="K623" s="36">
        <v>3.0</v>
      </c>
      <c r="L623" s="23">
        <v>2010.0</v>
      </c>
      <c r="M623" s="25">
        <f t="shared" ref="M623:M624" si="510">year(now()) -L623</f>
        <v>15</v>
      </c>
      <c r="N623" s="26">
        <f t="shared" ref="N623:N624" si="511">counta(AE623,AG623,AI623,AK623,AM623,AO623,AQ623,AS623,AU623,AW623,AY623,BA623,BC623)</f>
        <v>2</v>
      </c>
      <c r="O623" s="27" t="str">
        <f t="shared" si="3"/>
        <v>#N/A</v>
      </c>
      <c r="P623" s="28"/>
      <c r="Q623" s="28"/>
      <c r="R623" s="28"/>
      <c r="S623" s="28"/>
      <c r="T623" s="29">
        <f t="shared" ref="T623:T624" si="512">V623/M623</f>
        <v>794976</v>
      </c>
      <c r="U623" s="28"/>
      <c r="V623" s="30">
        <f t="shared" si="425"/>
        <v>11924640</v>
      </c>
      <c r="W623" s="30"/>
      <c r="X623" s="847"/>
      <c r="Y623" s="33">
        <f t="shared" ref="Y623:Y624" si="513">(max(AE623,AG623,AI623,AK623,AM623,AO623,AQ623,AS623,AU623,AW623,AY623,BA623,BC623)/min(AE623,AG623,AI623,AK623))^(1/M623)-1</f>
        <v>0.08357401818</v>
      </c>
      <c r="Z623" s="692"/>
      <c r="AA623" s="665"/>
      <c r="AB623" s="36"/>
      <c r="AC623" s="36"/>
      <c r="AD623" s="44"/>
      <c r="AE623" s="46"/>
      <c r="AF623" s="158" t="str">
        <f>HYPERLINK("https://www.crunchbase.com/funding_round/british-pearl-seed--3693937e"," Jul 30, 2016        
")</f>
        <v> Jul 30, 2016        
</v>
      </c>
      <c r="AG623" s="38">
        <v>2751840.0</v>
      </c>
      <c r="AH623" s="36"/>
      <c r="AI623" s="159"/>
      <c r="AJ623" s="228" t="str">
        <f>HYPERLINK("https://www.crunchbase.com/funding_round/british-pearl-series-a--61d5e8d7"," Feb 9, 2018")</f>
        <v> Feb 9, 2018</v>
      </c>
      <c r="AK623" s="38">
        <v>9172800.0</v>
      </c>
      <c r="AL623" s="44"/>
      <c r="AM623" s="46"/>
      <c r="AN623" s="44"/>
      <c r="AO623" s="46"/>
      <c r="AP623" s="44"/>
      <c r="AQ623" s="46"/>
      <c r="AR623" s="44"/>
      <c r="AS623" s="44"/>
      <c r="AT623" s="44"/>
      <c r="AU623" s="45"/>
      <c r="AV623" s="44"/>
      <c r="AW623" s="38"/>
      <c r="AX623" s="44"/>
      <c r="AY623" s="38"/>
      <c r="AZ623" s="44"/>
      <c r="BA623" s="45"/>
      <c r="BB623" s="44"/>
      <c r="BC623" s="45"/>
      <c r="BD623" s="44"/>
      <c r="BE623" s="38"/>
      <c r="BF623" s="36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</row>
    <row r="624" ht="15.75" customHeight="1">
      <c r="A624" s="1024" t="s">
        <v>3149</v>
      </c>
      <c r="B624" s="979" t="s">
        <v>2206</v>
      </c>
      <c r="C624" s="980" t="s">
        <v>123</v>
      </c>
      <c r="D624" s="1011" t="s">
        <v>3150</v>
      </c>
      <c r="E624" s="200" t="s">
        <v>3151</v>
      </c>
      <c r="F624" s="417" t="s">
        <v>3152</v>
      </c>
      <c r="G624" s="140" t="s">
        <v>3153</v>
      </c>
      <c r="H624" s="186" t="s">
        <v>128</v>
      </c>
      <c r="I624" s="74" t="s">
        <v>128</v>
      </c>
      <c r="J624" s="72" t="s">
        <v>3154</v>
      </c>
      <c r="K624" s="26">
        <v>3.0</v>
      </c>
      <c r="L624" s="142">
        <v>2018.0</v>
      </c>
      <c r="M624" s="25">
        <f t="shared" si="510"/>
        <v>7</v>
      </c>
      <c r="N624" s="26">
        <f t="shared" si="511"/>
        <v>2</v>
      </c>
      <c r="O624" s="27" t="str">
        <f t="shared" si="3"/>
        <v>#N/A</v>
      </c>
      <c r="P624" s="28"/>
      <c r="Q624" s="28"/>
      <c r="R624" s="28"/>
      <c r="S624" s="28"/>
      <c r="T624" s="29">
        <f t="shared" si="512"/>
        <v>1700000</v>
      </c>
      <c r="U624" s="28"/>
      <c r="V624" s="30">
        <f t="shared" si="425"/>
        <v>11900000</v>
      </c>
      <c r="W624" s="30"/>
      <c r="X624" s="73"/>
      <c r="Y624" s="33">
        <f t="shared" si="513"/>
        <v>0.3335483056</v>
      </c>
      <c r="Z624" s="692"/>
      <c r="AA624" s="665"/>
      <c r="AB624" s="74"/>
      <c r="AC624" s="74"/>
      <c r="AD624" s="79"/>
      <c r="AE624" s="84"/>
      <c r="AF624" s="175" t="str">
        <f>HYPERLINK("https://www.crunchbase.com/organization/occupier"," 5/9/2019")</f>
        <v> 5/9/2019</v>
      </c>
      <c r="AG624" s="84">
        <v>1400000.0</v>
      </c>
      <c r="AH624" s="74"/>
      <c r="AI624" s="78"/>
      <c r="AJ624" s="181" t="str">
        <f>HYPERLINK("https://techcrunch.com/2022/02/09/after-seeing-200-arr-growth-occupier-raises-10-5m/","Feb 10, 2022")</f>
        <v>Feb 10, 2022</v>
      </c>
      <c r="AK624" s="76">
        <v>1.05E7</v>
      </c>
      <c r="AL624" s="79"/>
      <c r="AM624" s="84"/>
      <c r="AN624" s="79"/>
      <c r="AO624" s="84"/>
      <c r="AP624" s="79"/>
      <c r="AQ624" s="84"/>
      <c r="AR624" s="79"/>
      <c r="AS624" s="79"/>
      <c r="AT624" s="79"/>
      <c r="AU624" s="80"/>
      <c r="AV624" s="79"/>
      <c r="AW624" s="38"/>
      <c r="AX624" s="79"/>
      <c r="AY624" s="38"/>
      <c r="AZ624" s="79"/>
      <c r="BA624" s="80"/>
      <c r="BB624" s="79"/>
      <c r="BC624" s="80"/>
      <c r="BD624" s="79"/>
      <c r="BE624" s="38"/>
      <c r="BF624" s="74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</row>
    <row r="625" ht="15.75" customHeight="1">
      <c r="A625" s="1293" t="s">
        <v>3155</v>
      </c>
      <c r="B625" s="1294"/>
      <c r="C625" s="1295" t="s">
        <v>267</v>
      </c>
      <c r="D625" s="1296"/>
      <c r="E625" s="1297" t="s">
        <v>3156</v>
      </c>
      <c r="F625" s="1298" t="s">
        <v>3157</v>
      </c>
      <c r="G625" s="1149"/>
      <c r="H625" s="1210" t="s">
        <v>839</v>
      </c>
      <c r="I625" s="1211" t="s">
        <v>115</v>
      </c>
      <c r="J625" s="1151"/>
      <c r="K625" s="1211">
        <v>2.0</v>
      </c>
      <c r="L625" s="1211">
        <v>2018.0</v>
      </c>
      <c r="M625" s="25"/>
      <c r="N625" s="1211"/>
      <c r="O625" s="27" t="str">
        <f t="shared" si="3"/>
        <v>#N/A</v>
      </c>
      <c r="P625" s="1212"/>
      <c r="Q625" s="1212"/>
      <c r="R625" s="1212"/>
      <c r="S625" s="1212"/>
      <c r="T625" s="1212"/>
      <c r="U625" s="1212"/>
      <c r="V625" s="30">
        <f t="shared" si="425"/>
        <v>11900000</v>
      </c>
      <c r="W625" s="30"/>
      <c r="X625" s="1213"/>
      <c r="Y625" s="1213"/>
      <c r="Z625" s="692"/>
      <c r="AA625" s="665"/>
      <c r="AB625" s="1214"/>
      <c r="AC625" s="1214"/>
      <c r="AD625" s="1153"/>
      <c r="AE625" s="1154"/>
      <c r="AF625" s="1299" t="str">
        <f>HYPERLINK("https://www.crunchbase.com/funding_round/rugged-robotics-seed--4dee6095","Sep 10, 2019")</f>
        <v>Sep 10, 2019</v>
      </c>
      <c r="AG625" s="1157">
        <v>2500000.0</v>
      </c>
      <c r="AH625" s="1152"/>
      <c r="AI625" s="1300"/>
      <c r="AJ625" s="1156" t="str">
        <f>HYPERLINK("https://www.crunchbase.com/funding_round/rugged-robotics-series-a--42340140","Mar 23, 2022")</f>
        <v>Mar 23, 2022</v>
      </c>
      <c r="AK625" s="1157">
        <v>9400000.0</v>
      </c>
      <c r="AL625" s="1153"/>
      <c r="AM625" s="1216"/>
      <c r="AN625" s="1215"/>
      <c r="AO625" s="1216"/>
      <c r="AP625" s="1215"/>
      <c r="AQ625" s="1216"/>
      <c r="AR625" s="1215"/>
      <c r="AS625" s="1215"/>
      <c r="AT625" s="1215"/>
      <c r="AU625" s="1221"/>
      <c r="AV625" s="1215"/>
      <c r="AW625" s="38"/>
      <c r="AX625" s="1215"/>
      <c r="AY625" s="38"/>
      <c r="AZ625" s="1215"/>
      <c r="BA625" s="1221"/>
      <c r="BB625" s="1215"/>
      <c r="BC625" s="1221"/>
      <c r="BD625" s="1215"/>
      <c r="BE625" s="38"/>
      <c r="BF625" s="1214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</row>
    <row r="626" ht="15.75" customHeight="1">
      <c r="A626" s="1008" t="s">
        <v>3158</v>
      </c>
      <c r="B626" s="988"/>
      <c r="C626" s="989" t="s">
        <v>123</v>
      </c>
      <c r="D626" s="981" t="s">
        <v>3159</v>
      </c>
      <c r="E626" s="192" t="s">
        <v>3160</v>
      </c>
      <c r="F626" s="118" t="s">
        <v>3161</v>
      </c>
      <c r="G626" s="22" t="s">
        <v>3162</v>
      </c>
      <c r="H626" s="22" t="s">
        <v>526</v>
      </c>
      <c r="I626" s="23" t="s">
        <v>65</v>
      </c>
      <c r="J626" s="24"/>
      <c r="K626" s="23"/>
      <c r="L626" s="23">
        <v>2016.0</v>
      </c>
      <c r="M626" s="25">
        <f t="shared" ref="M626:M627" si="514">year(now()) -L626</f>
        <v>9</v>
      </c>
      <c r="N626" s="26">
        <f>counta(#REF!,AE626,AI626,AK626,AM626,AO626,AQ626,AS626,AU626,AW626,AY626,BA626,BC626)</f>
        <v>4</v>
      </c>
      <c r="O626" s="27" t="str">
        <f t="shared" si="3"/>
        <v>#N/A</v>
      </c>
      <c r="P626" s="28"/>
      <c r="Q626" s="28"/>
      <c r="R626" s="28"/>
      <c r="S626" s="28"/>
      <c r="T626" s="29">
        <f t="shared" ref="T626:T627" si="515">V626/M626</f>
        <v>1321666.667</v>
      </c>
      <c r="U626" s="28"/>
      <c r="V626" s="30">
        <f t="shared" si="425"/>
        <v>11895000</v>
      </c>
      <c r="W626" s="30"/>
      <c r="X626" s="33"/>
      <c r="Y626" s="33" t="str">
        <f>(max(#REF!,AE626,AI626,AK626,AM626,AO626,AQ626,AS626,AU626,AW626,AY626,BA626,BC626)/min(#REF!,AE626,AI626,AK626))^(1/M626)-1</f>
        <v>#REF!</v>
      </c>
      <c r="Z626" s="692"/>
      <c r="AA626" s="665"/>
      <c r="AB626" s="36"/>
      <c r="AC626" s="36"/>
      <c r="AD626" s="225">
        <v>44106.0</v>
      </c>
      <c r="AE626" s="1301">
        <f>2000000+220000</f>
        <v>2220000</v>
      </c>
      <c r="AF626" s="62">
        <v>44277.0</v>
      </c>
      <c r="AG626" s="38">
        <v>3300000.0</v>
      </c>
      <c r="AH626" s="36"/>
      <c r="AI626" s="46"/>
      <c r="AJ626" s="75">
        <v>44875.0</v>
      </c>
      <c r="AK626" s="38">
        <v>5500000.0</v>
      </c>
      <c r="AL626" s="44"/>
      <c r="AM626" s="46"/>
      <c r="AN626" s="44"/>
      <c r="AO626" s="46"/>
      <c r="AP626" s="44"/>
      <c r="AQ626" s="46"/>
      <c r="AR626" s="44"/>
      <c r="AS626" s="44"/>
      <c r="AT626" s="44"/>
      <c r="AU626" s="45"/>
      <c r="AV626" s="44"/>
      <c r="AW626" s="38"/>
      <c r="AX626" s="44"/>
      <c r="AY626" s="38"/>
      <c r="AZ626" s="44"/>
      <c r="BA626" s="45"/>
      <c r="BB626" s="1239">
        <v>42979.0</v>
      </c>
      <c r="BC626" s="229">
        <v>875000.0</v>
      </c>
      <c r="BD626" s="44"/>
      <c r="BE626" s="38"/>
      <c r="BF626" s="36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</row>
    <row r="627" ht="15.75" customHeight="1">
      <c r="A627" s="978" t="s">
        <v>3163</v>
      </c>
      <c r="B627" s="979"/>
      <c r="C627" s="980" t="s">
        <v>427</v>
      </c>
      <c r="D627" s="1302"/>
      <c r="E627" s="192" t="s">
        <v>3164</v>
      </c>
      <c r="F627" s="118" t="s">
        <v>3165</v>
      </c>
      <c r="G627" s="71"/>
      <c r="H627" s="71" t="s">
        <v>114</v>
      </c>
      <c r="I627" s="26" t="s">
        <v>115</v>
      </c>
      <c r="J627" s="155"/>
      <c r="K627" s="26"/>
      <c r="L627" s="142">
        <v>2017.0</v>
      </c>
      <c r="M627" s="25">
        <f t="shared" si="514"/>
        <v>8</v>
      </c>
      <c r="N627" s="26">
        <f>counta(AE627,AG627,AI627,AK627,AM627,AO627,AQ627,AS627,AU627,AW627,AY627,BA627,BC627)</f>
        <v>2</v>
      </c>
      <c r="O627" s="27" t="str">
        <f t="shared" si="3"/>
        <v>#N/A</v>
      </c>
      <c r="P627" s="28"/>
      <c r="Q627" s="28"/>
      <c r="R627" s="28"/>
      <c r="S627" s="28"/>
      <c r="T627" s="29">
        <f t="shared" si="515"/>
        <v>1475000</v>
      </c>
      <c r="U627" s="28"/>
      <c r="V627" s="30">
        <f t="shared" si="425"/>
        <v>11800000</v>
      </c>
      <c r="W627" s="30"/>
      <c r="X627" s="73"/>
      <c r="Y627" s="33">
        <f>(max(AE627,AG627,AI627,AK627,AM627,AO627,AQ627,AS627,AU627,AW627,AY627,BA627,BC627)/min(AE627,AG627,AI627,AK627))^(1/M627)-1</f>
        <v>0.3876752334</v>
      </c>
      <c r="Z627" s="692"/>
      <c r="AA627" s="665"/>
      <c r="AB627" s="74"/>
      <c r="AC627" s="74"/>
      <c r="AD627" s="79"/>
      <c r="AE627" s="84"/>
      <c r="AF627" s="225">
        <v>43313.0</v>
      </c>
      <c r="AG627" s="76">
        <v>800000.0</v>
      </c>
      <c r="AH627" s="74"/>
      <c r="AI627" s="78"/>
      <c r="AJ627" s="42">
        <v>44250.0</v>
      </c>
      <c r="AK627" s="76">
        <v>1.1E7</v>
      </c>
      <c r="AL627" s="877"/>
      <c r="AM627" s="84"/>
      <c r="AN627" s="79"/>
      <c r="AO627" s="84"/>
      <c r="AP627" s="79"/>
      <c r="AQ627" s="84"/>
      <c r="AR627" s="79"/>
      <c r="AS627" s="79"/>
      <c r="AT627" s="79"/>
      <c r="AU627" s="80"/>
      <c r="AV627" s="79"/>
      <c r="AW627" s="38"/>
      <c r="AX627" s="79"/>
      <c r="AY627" s="38"/>
      <c r="AZ627" s="79"/>
      <c r="BA627" s="80"/>
      <c r="BB627" s="79"/>
      <c r="BC627" s="80"/>
      <c r="BD627" s="79"/>
      <c r="BE627" s="38"/>
      <c r="BF627" s="74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</row>
    <row r="628" ht="15.75" customHeight="1">
      <c r="A628" s="996" t="s">
        <v>3166</v>
      </c>
      <c r="B628" s="997"/>
      <c r="C628" s="998" t="s">
        <v>267</v>
      </c>
      <c r="D628" s="1074"/>
      <c r="E628" s="617" t="s">
        <v>3167</v>
      </c>
      <c r="F628" s="749" t="s">
        <v>3168</v>
      </c>
      <c r="G628" s="353"/>
      <c r="H628" s="53" t="s">
        <v>695</v>
      </c>
      <c r="I628" s="54" t="s">
        <v>639</v>
      </c>
      <c r="J628" s="55"/>
      <c r="K628" s="54">
        <v>1.0</v>
      </c>
      <c r="L628" s="56">
        <v>2017.0</v>
      </c>
      <c r="M628" s="55"/>
      <c r="N628" s="55"/>
      <c r="O628" s="27" t="str">
        <f t="shared" si="3"/>
        <v>#N/A</v>
      </c>
      <c r="P628" s="55"/>
      <c r="Q628" s="55"/>
      <c r="R628" s="55"/>
      <c r="S628" s="55"/>
      <c r="T628" s="55"/>
      <c r="U628" s="55"/>
      <c r="V628" s="30">
        <f t="shared" si="425"/>
        <v>11800000</v>
      </c>
      <c r="W628" s="30"/>
      <c r="X628" s="58"/>
      <c r="Y628" s="58"/>
      <c r="Z628" s="692"/>
      <c r="AA628" s="665"/>
      <c r="AB628" s="55"/>
      <c r="AC628" s="55"/>
      <c r="AD628" s="453"/>
      <c r="AE628" s="38"/>
      <c r="AF628" s="62">
        <v>44000.0</v>
      </c>
      <c r="AG628" s="38">
        <v>1800000.0</v>
      </c>
      <c r="AH628" s="55"/>
      <c r="AI628" s="38"/>
      <c r="AJ628" s="62">
        <v>44971.0</v>
      </c>
      <c r="AK628" s="38">
        <v>1.0E7</v>
      </c>
      <c r="AL628" s="55"/>
      <c r="AM628" s="38"/>
      <c r="AN628" s="55"/>
      <c r="AO628" s="38"/>
      <c r="AP628" s="356"/>
      <c r="AQ628" s="38"/>
      <c r="AR628" s="55"/>
      <c r="AS628" s="38"/>
      <c r="AT628" s="55"/>
      <c r="AU628" s="38"/>
      <c r="AV628" s="55"/>
      <c r="AW628" s="38"/>
      <c r="AX628" s="55"/>
      <c r="AY628" s="38"/>
      <c r="AZ628" s="55"/>
      <c r="BA628" s="38"/>
      <c r="BB628" s="55"/>
      <c r="BC628" s="38"/>
      <c r="BD628" s="55"/>
      <c r="BE628" s="38"/>
      <c r="BF628" s="55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</row>
    <row r="629" ht="15.75" customHeight="1">
      <c r="A629" s="162" t="s">
        <v>3169</v>
      </c>
      <c r="B629" s="985"/>
      <c r="C629" s="985" t="s">
        <v>123</v>
      </c>
      <c r="D629" s="1199"/>
      <c r="E629" s="192" t="s">
        <v>3170</v>
      </c>
      <c r="F629" s="118" t="s">
        <v>3171</v>
      </c>
      <c r="G629" s="1233"/>
      <c r="H629" s="119"/>
      <c r="I629" s="25" t="s">
        <v>64</v>
      </c>
      <c r="J629" s="120" t="s">
        <v>65</v>
      </c>
      <c r="K629" s="25"/>
      <c r="L629" s="25">
        <v>2017.0</v>
      </c>
      <c r="M629" s="25">
        <f>year(now()) -L629</f>
        <v>8</v>
      </c>
      <c r="N629" s="26">
        <f>counta(AE629,AG629,AI629,AK629,AM629,AO629,AQ629,AS629,AU629,AW629,AY629,BA629,BC629)</f>
        <v>2</v>
      </c>
      <c r="O629" s="27" t="str">
        <f t="shared" si="3"/>
        <v>#N/A</v>
      </c>
      <c r="P629" s="28"/>
      <c r="Q629" s="28"/>
      <c r="R629" s="28"/>
      <c r="S629" s="28"/>
      <c r="T629" s="29">
        <f>V629/M629</f>
        <v>1462500</v>
      </c>
      <c r="U629" s="28"/>
      <c r="V629" s="30">
        <f t="shared" si="425"/>
        <v>11700000</v>
      </c>
      <c r="W629" s="30"/>
      <c r="X629" s="597"/>
      <c r="Y629" s="33">
        <f>(max(AE629,AG629,AI629,AK629,AM629,AO629,AQ629,AS629,AU629,AW629,AY629,BA629,BC629)/min(AE629,AG629,AI629,AK629))^(1/M629)-1</f>
        <v>0.1011868914</v>
      </c>
      <c r="Z629" s="692"/>
      <c r="AA629" s="665"/>
      <c r="AB629" s="123"/>
      <c r="AC629" s="123"/>
      <c r="AD629" s="124"/>
      <c r="AE629" s="125"/>
      <c r="AF629" s="225">
        <v>43305.0</v>
      </c>
      <c r="AG629" s="127">
        <v>3700000.0</v>
      </c>
      <c r="AH629" s="123"/>
      <c r="AI629" s="128"/>
      <c r="AJ629" s="42">
        <v>43726.0</v>
      </c>
      <c r="AK629" s="127">
        <v>8000000.0</v>
      </c>
      <c r="AL629" s="169"/>
      <c r="AM629" s="127"/>
      <c r="AN629" s="169"/>
      <c r="AO629" s="127"/>
      <c r="AP629" s="169"/>
      <c r="AQ629" s="165"/>
      <c r="AR629" s="124"/>
      <c r="AS629" s="124"/>
      <c r="AT629" s="124"/>
      <c r="AU629" s="137"/>
      <c r="AV629" s="124"/>
      <c r="AW629" s="38"/>
      <c r="AX629" s="124"/>
      <c r="AY629" s="38"/>
      <c r="AZ629" s="124"/>
      <c r="BA629" s="137"/>
      <c r="BB629" s="124"/>
      <c r="BC629" s="137"/>
      <c r="BD629" s="124"/>
      <c r="BE629" s="38"/>
      <c r="BF629" s="123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</row>
    <row r="630" ht="15.75" customHeight="1">
      <c r="A630" s="47" t="s">
        <v>3172</v>
      </c>
      <c r="B630" s="997"/>
      <c r="C630" s="998" t="s">
        <v>76</v>
      </c>
      <c r="D630" s="351"/>
      <c r="E630" s="617" t="s">
        <v>3173</v>
      </c>
      <c r="F630" s="352" t="s">
        <v>3174</v>
      </c>
      <c r="G630" s="353"/>
      <c r="H630" s="53" t="s">
        <v>3175</v>
      </c>
      <c r="I630" s="54" t="s">
        <v>2016</v>
      </c>
      <c r="J630" s="55"/>
      <c r="K630" s="54">
        <v>1.0</v>
      </c>
      <c r="L630" s="56">
        <v>2021.0</v>
      </c>
      <c r="M630" s="55"/>
      <c r="N630" s="55"/>
      <c r="O630" s="27" t="str">
        <f t="shared" si="3"/>
        <v>#N/A</v>
      </c>
      <c r="P630" s="55"/>
      <c r="Q630" s="55"/>
      <c r="R630" s="55"/>
      <c r="S630" s="55"/>
      <c r="T630" s="55"/>
      <c r="U630" s="55"/>
      <c r="V630" s="30">
        <f t="shared" si="425"/>
        <v>11600000</v>
      </c>
      <c r="W630" s="30"/>
      <c r="X630" s="58"/>
      <c r="Y630" s="58"/>
      <c r="Z630" s="692"/>
      <c r="AA630" s="665"/>
      <c r="AB630" s="55"/>
      <c r="AC630" s="55"/>
      <c r="AD630" s="355"/>
      <c r="AE630" s="38"/>
      <c r="AF630" s="355"/>
      <c r="AG630" s="38"/>
      <c r="AH630" s="55"/>
      <c r="AI630" s="38"/>
      <c r="AJ630" s="62">
        <v>44363.0</v>
      </c>
      <c r="AK630" s="38">
        <v>5000000.0</v>
      </c>
      <c r="AL630" s="62">
        <v>45013.0</v>
      </c>
      <c r="AM630" s="38">
        <v>6600000.0</v>
      </c>
      <c r="AN630" s="55"/>
      <c r="AO630" s="38"/>
      <c r="AP630" s="356"/>
      <c r="AQ630" s="38"/>
      <c r="AR630" s="55"/>
      <c r="AS630" s="38"/>
      <c r="AT630" s="55"/>
      <c r="AU630" s="38"/>
      <c r="AV630" s="55"/>
      <c r="AW630" s="38"/>
      <c r="AX630" s="55"/>
      <c r="AY630" s="38"/>
      <c r="AZ630" s="55"/>
      <c r="BA630" s="38"/>
      <c r="BB630" s="55"/>
      <c r="BC630" s="38"/>
      <c r="BD630" s="55"/>
      <c r="BE630" s="38"/>
      <c r="BF630" s="55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</row>
    <row r="631" ht="15.75" customHeight="1">
      <c r="A631" s="978" t="s">
        <v>3176</v>
      </c>
      <c r="B631" s="979"/>
      <c r="C631" s="985" t="s">
        <v>207</v>
      </c>
      <c r="D631" s="1011" t="s">
        <v>3177</v>
      </c>
      <c r="E631" s="492" t="s">
        <v>3178</v>
      </c>
      <c r="F631" s="173" t="s">
        <v>3179</v>
      </c>
      <c r="G631" s="71" t="s">
        <v>3180</v>
      </c>
      <c r="H631" s="71" t="s">
        <v>1098</v>
      </c>
      <c r="I631" s="26" t="s">
        <v>65</v>
      </c>
      <c r="J631" s="72" t="s">
        <v>1099</v>
      </c>
      <c r="K631" s="26">
        <v>4.0</v>
      </c>
      <c r="L631" s="26">
        <v>2016.0</v>
      </c>
      <c r="M631" s="25">
        <f t="shared" ref="M631:M633" si="516">year(now()) -L631</f>
        <v>9</v>
      </c>
      <c r="N631" s="26">
        <f t="shared" ref="N631:N633" si="517">counta(AE631,AG631,AI631,AK631,AM631,AO631,AQ631,AS631,AU631,AW631,AY631,BA631,BC631)</f>
        <v>2</v>
      </c>
      <c r="O631" s="27" t="str">
        <f t="shared" si="3"/>
        <v>#N/A</v>
      </c>
      <c r="P631" s="28"/>
      <c r="Q631" s="28"/>
      <c r="R631" s="28"/>
      <c r="S631" s="28"/>
      <c r="T631" s="29">
        <f t="shared" ref="T631:T633" si="518">V631/M631</f>
        <v>1277777.778</v>
      </c>
      <c r="U631" s="28"/>
      <c r="V631" s="30">
        <f t="shared" si="425"/>
        <v>11500000</v>
      </c>
      <c r="W631" s="30"/>
      <c r="X631" s="73"/>
      <c r="Y631" s="33">
        <f t="shared" ref="Y631:Y633" si="519">(max(AE631,AG631,AI631,AK631,AM631,AO631,AQ631,AS631,AU631,AW631,AY631,BA631,BC631)/min(AE631,AG631,AI631,AK631))^(1/M631)-1</f>
        <v>0.1890173144</v>
      </c>
      <c r="Z631" s="692"/>
      <c r="AA631" s="665"/>
      <c r="AB631" s="74"/>
      <c r="AC631" s="74"/>
      <c r="AD631" s="79"/>
      <c r="AE631" s="84"/>
      <c r="AF631" s="175" t="str">
        <f>HYPERLINK("https://www.crunchbase.com/organization/spaceiq","Mar 21, 2016")</f>
        <v>Mar 21, 2016</v>
      </c>
      <c r="AG631" s="76">
        <v>2000000.0</v>
      </c>
      <c r="AH631" s="74"/>
      <c r="AI631" s="78"/>
      <c r="AJ631" s="426" t="str">
        <f>HYPERLINK("https://www.crunchbase.com/funding_round/spaceiq-series-a--3dc10c63","Jul 17, 2018")</f>
        <v>Jul 17, 2018</v>
      </c>
      <c r="AK631" s="76">
        <v>9500000.0</v>
      </c>
      <c r="AL631" s="79"/>
      <c r="AM631" s="84"/>
      <c r="AN631" s="79"/>
      <c r="AO631" s="84"/>
      <c r="AP631" s="79"/>
      <c r="AQ631" s="84"/>
      <c r="AR631" s="79"/>
      <c r="AS631" s="79"/>
      <c r="AT631" s="79"/>
      <c r="AU631" s="80"/>
      <c r="AV631" s="79"/>
      <c r="AW631" s="38"/>
      <c r="AX631" s="79"/>
      <c r="AY631" s="38"/>
      <c r="AZ631" s="79"/>
      <c r="BA631" s="80"/>
      <c r="BB631" s="79"/>
      <c r="BC631" s="80"/>
      <c r="BD631" s="79"/>
      <c r="BE631" s="38"/>
      <c r="BF631" s="1303" t="s">
        <v>780</v>
      </c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</row>
    <row r="632" ht="15.75" customHeight="1">
      <c r="A632" s="47" t="s">
        <v>3181</v>
      </c>
      <c r="B632" s="849"/>
      <c r="C632" s="849" t="s">
        <v>132</v>
      </c>
      <c r="D632" s="192" t="s">
        <v>3182</v>
      </c>
      <c r="E632" s="957" t="s">
        <v>3183</v>
      </c>
      <c r="F632" s="386" t="s">
        <v>3184</v>
      </c>
      <c r="G632" s="690"/>
      <c r="H632" s="54" t="s">
        <v>2192</v>
      </c>
      <c r="I632" s="222" t="s">
        <v>65</v>
      </c>
      <c r="J632" s="691"/>
      <c r="K632" s="222">
        <v>1.0</v>
      </c>
      <c r="L632" s="222">
        <v>2017.0</v>
      </c>
      <c r="M632" s="25">
        <f t="shared" si="516"/>
        <v>8</v>
      </c>
      <c r="N632" s="26">
        <f t="shared" si="517"/>
        <v>2</v>
      </c>
      <c r="O632" s="27" t="str">
        <f t="shared" si="3"/>
        <v>#N/A</v>
      </c>
      <c r="P632" s="28"/>
      <c r="Q632" s="28"/>
      <c r="R632" s="28"/>
      <c r="S632" s="28"/>
      <c r="T632" s="29">
        <f t="shared" si="518"/>
        <v>1425000</v>
      </c>
      <c r="U632" s="28"/>
      <c r="V632" s="30">
        <f t="shared" si="425"/>
        <v>11400000</v>
      </c>
      <c r="W632" s="30"/>
      <c r="X632" s="852"/>
      <c r="Y632" s="33">
        <f t="shared" si="519"/>
        <v>0.1373516288</v>
      </c>
      <c r="Z632" s="692"/>
      <c r="AA632" s="665"/>
      <c r="AB632" s="326"/>
      <c r="AC632" s="326"/>
      <c r="AD632" s="322"/>
      <c r="AE632" s="323"/>
      <c r="AF632" s="320" t="str">
        <f>HYPERLINK("https://www.crunchbase.com/funding_round/acorn-finance-seed--9aa624d9","Dec 13, 2019")</f>
        <v>Dec 13, 2019</v>
      </c>
      <c r="AG632" s="325">
        <v>3000000.0</v>
      </c>
      <c r="AH632" s="326"/>
      <c r="AI632" s="323"/>
      <c r="AJ632" s="328" t="str">
        <f>HYPERLINK("https://www.crunchbase.com/funding_round/acorn-finance-series-a--73912a94","Jan 11, 2022")</f>
        <v>Jan 11, 2022</v>
      </c>
      <c r="AK632" s="325">
        <v>8400000.0</v>
      </c>
      <c r="AL632" s="322"/>
      <c r="AM632" s="325"/>
      <c r="AN632" s="322"/>
      <c r="AO632" s="323"/>
      <c r="AP632" s="322"/>
      <c r="AQ632" s="323"/>
      <c r="AR632" s="322"/>
      <c r="AS632" s="322"/>
      <c r="AT632" s="322"/>
      <c r="AU632" s="335"/>
      <c r="AV632" s="322"/>
      <c r="AW632" s="38"/>
      <c r="AX632" s="322"/>
      <c r="AY632" s="38"/>
      <c r="AZ632" s="322"/>
      <c r="BA632" s="335"/>
      <c r="BB632" s="322"/>
      <c r="BC632" s="335"/>
      <c r="BD632" s="322"/>
      <c r="BE632" s="38"/>
      <c r="BF632" s="326"/>
      <c r="BG632" s="115"/>
      <c r="BH632" s="115"/>
      <c r="BI632" s="115"/>
      <c r="BJ632" s="115"/>
      <c r="BK632" s="115"/>
      <c r="BL632" s="115"/>
      <c r="BM632" s="115"/>
      <c r="BN632" s="115"/>
      <c r="BO632" s="115"/>
      <c r="BP632" s="115"/>
      <c r="BQ632" s="115"/>
      <c r="BR632" s="115"/>
      <c r="BS632" s="115"/>
      <c r="BT632" s="115"/>
      <c r="BU632" s="115"/>
      <c r="BV632" s="115"/>
      <c r="BW632" s="115"/>
      <c r="BX632" s="115"/>
      <c r="BY632" s="115"/>
      <c r="BZ632" s="115"/>
      <c r="CA632" s="115"/>
      <c r="CB632" s="115"/>
      <c r="CC632" s="115"/>
      <c r="CD632" s="115"/>
      <c r="CE632" s="115"/>
      <c r="CF632" s="115"/>
      <c r="CG632" s="115"/>
      <c r="CH632" s="115"/>
      <c r="CI632" s="115"/>
      <c r="CJ632" s="115"/>
      <c r="CK632" s="115"/>
      <c r="CL632" s="115"/>
      <c r="CM632" s="115"/>
      <c r="CN632" s="115"/>
      <c r="CO632" s="115"/>
      <c r="CP632" s="115"/>
    </row>
    <row r="633" ht="15.75" customHeight="1">
      <c r="A633" s="21" t="s">
        <v>3185</v>
      </c>
      <c r="B633" s="858"/>
      <c r="C633" s="69" t="s">
        <v>84</v>
      </c>
      <c r="D633" s="192" t="s">
        <v>3186</v>
      </c>
      <c r="E633" s="192" t="s">
        <v>3187</v>
      </c>
      <c r="F633" s="154" t="s">
        <v>3188</v>
      </c>
      <c r="G633" s="140"/>
      <c r="H633" s="186" t="s">
        <v>128</v>
      </c>
      <c r="I633" s="74" t="s">
        <v>3189</v>
      </c>
      <c r="J633" s="72"/>
      <c r="K633" s="74"/>
      <c r="L633" s="26">
        <v>2017.0</v>
      </c>
      <c r="M633" s="25">
        <f t="shared" si="516"/>
        <v>8</v>
      </c>
      <c r="N633" s="26">
        <f t="shared" si="517"/>
        <v>1</v>
      </c>
      <c r="O633" s="27" t="str">
        <f t="shared" si="3"/>
        <v>#N/A</v>
      </c>
      <c r="P633" s="28"/>
      <c r="Q633" s="28"/>
      <c r="R633" s="28"/>
      <c r="S633" s="28"/>
      <c r="T633" s="29">
        <f t="shared" si="518"/>
        <v>1412500</v>
      </c>
      <c r="U633" s="28"/>
      <c r="V633" s="30">
        <f t="shared" si="425"/>
        <v>11300000</v>
      </c>
      <c r="W633" s="30"/>
      <c r="X633" s="32"/>
      <c r="Y633" s="33">
        <f t="shared" si="519"/>
        <v>0</v>
      </c>
      <c r="Z633" s="692"/>
      <c r="AA633" s="665"/>
      <c r="AB633" s="74"/>
      <c r="AC633" s="74"/>
      <c r="AD633" s="44"/>
      <c r="AE633" s="46"/>
      <c r="AF633" s="39"/>
      <c r="AG633" s="46"/>
      <c r="AH633" s="36"/>
      <c r="AI633" s="159"/>
      <c r="AJ633" s="227">
        <v>43490.0</v>
      </c>
      <c r="AK633" s="38">
        <v>1.13E7</v>
      </c>
      <c r="AL633" s="44"/>
      <c r="AM633" s="46"/>
      <c r="AN633" s="44"/>
      <c r="AO633" s="46"/>
      <c r="AP633" s="44"/>
      <c r="AQ633" s="46"/>
      <c r="AR633" s="44"/>
      <c r="AS633" s="44"/>
      <c r="AT633" s="44"/>
      <c r="AU633" s="45"/>
      <c r="AV633" s="44"/>
      <c r="AW633" s="38"/>
      <c r="AX633" s="44"/>
      <c r="AY633" s="38"/>
      <c r="AZ633" s="44"/>
      <c r="BA633" s="45"/>
      <c r="BB633" s="44"/>
      <c r="BC633" s="45"/>
      <c r="BD633" s="44"/>
      <c r="BE633" s="38"/>
      <c r="BF633" s="36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</row>
    <row r="634" ht="15.75" customHeight="1">
      <c r="A634" s="47" t="s">
        <v>3190</v>
      </c>
      <c r="C634" s="48" t="s">
        <v>513</v>
      </c>
      <c r="D634" s="617" t="s">
        <v>3191</v>
      </c>
      <c r="E634" s="617" t="s">
        <v>3192</v>
      </c>
      <c r="F634" s="749" t="s">
        <v>3193</v>
      </c>
      <c r="G634" s="353"/>
      <c r="H634" s="53" t="s">
        <v>2505</v>
      </c>
      <c r="I634" s="54" t="s">
        <v>2506</v>
      </c>
      <c r="J634" s="55"/>
      <c r="K634" s="54">
        <v>3.0</v>
      </c>
      <c r="L634" s="56">
        <v>2013.0</v>
      </c>
      <c r="M634" s="55"/>
      <c r="N634" s="55"/>
      <c r="O634" s="27" t="str">
        <f t="shared" si="3"/>
        <v>#N/A</v>
      </c>
      <c r="P634" s="55"/>
      <c r="Q634" s="55"/>
      <c r="R634" s="55"/>
      <c r="S634" s="55"/>
      <c r="T634" s="55"/>
      <c r="U634" s="55"/>
      <c r="V634" s="30">
        <f t="shared" si="425"/>
        <v>11286600</v>
      </c>
      <c r="W634" s="30"/>
      <c r="X634" s="58"/>
      <c r="Y634" s="58"/>
      <c r="Z634" s="692"/>
      <c r="AA634" s="665"/>
      <c r="AB634" s="55"/>
      <c r="AC634" s="55"/>
      <c r="AD634" s="62">
        <v>42136.0</v>
      </c>
      <c r="AE634" s="38">
        <v>33600.0</v>
      </c>
      <c r="AF634" s="62">
        <v>43435.0</v>
      </c>
      <c r="AG634" s="38">
        <v>1353000.0</v>
      </c>
      <c r="AH634" s="55"/>
      <c r="AI634" s="38"/>
      <c r="AJ634" s="62">
        <v>44446.0</v>
      </c>
      <c r="AK634" s="38">
        <v>6900000.0</v>
      </c>
      <c r="AL634" s="55"/>
      <c r="AM634" s="38"/>
      <c r="AN634" s="55"/>
      <c r="AO634" s="38"/>
      <c r="AP634" s="356"/>
      <c r="AQ634" s="38"/>
      <c r="AR634" s="55"/>
      <c r="AS634" s="38"/>
      <c r="AT634" s="55"/>
      <c r="AU634" s="38"/>
      <c r="AV634" s="55"/>
      <c r="AW634" s="38"/>
      <c r="AX634" s="55"/>
      <c r="AY634" s="38"/>
      <c r="AZ634" s="62">
        <v>45007.0</v>
      </c>
      <c r="BA634" s="38">
        <v>3000000.0</v>
      </c>
      <c r="BB634" s="55"/>
      <c r="BC634" s="38"/>
      <c r="BD634" s="55"/>
      <c r="BE634" s="38"/>
      <c r="BF634" s="55"/>
      <c r="BG634" s="115"/>
      <c r="BH634" s="115"/>
      <c r="BI634" s="115"/>
      <c r="BJ634" s="115"/>
      <c r="BK634" s="115"/>
      <c r="BL634" s="115"/>
      <c r="BM634" s="115"/>
      <c r="BN634" s="115"/>
      <c r="BO634" s="115"/>
      <c r="BP634" s="115"/>
      <c r="BQ634" s="115"/>
      <c r="BR634" s="115"/>
      <c r="BS634" s="115"/>
      <c r="BT634" s="115"/>
      <c r="BU634" s="115"/>
      <c r="BV634" s="115"/>
      <c r="BW634" s="115"/>
      <c r="BX634" s="115"/>
      <c r="BY634" s="115"/>
      <c r="BZ634" s="115"/>
      <c r="CA634" s="115"/>
      <c r="CB634" s="115"/>
      <c r="CC634" s="115"/>
      <c r="CD634" s="115"/>
      <c r="CE634" s="115"/>
      <c r="CF634" s="115"/>
      <c r="CG634" s="115"/>
      <c r="CH634" s="115"/>
      <c r="CI634" s="115"/>
      <c r="CJ634" s="115"/>
      <c r="CK634" s="115"/>
      <c r="CL634" s="115"/>
      <c r="CM634" s="115"/>
      <c r="CN634" s="115"/>
      <c r="CO634" s="115"/>
      <c r="CP634" s="115"/>
    </row>
    <row r="635" ht="15.75" customHeight="1">
      <c r="A635" s="462" t="s">
        <v>3194</v>
      </c>
      <c r="B635" s="16"/>
      <c r="C635" s="17" t="s">
        <v>123</v>
      </c>
      <c r="D635" s="192" t="s">
        <v>3195</v>
      </c>
      <c r="E635" s="192" t="s">
        <v>3196</v>
      </c>
      <c r="F635" s="118" t="s">
        <v>3197</v>
      </c>
      <c r="G635" s="317"/>
      <c r="H635" s="22" t="s">
        <v>592</v>
      </c>
      <c r="I635" s="23" t="s">
        <v>65</v>
      </c>
      <c r="J635" s="237"/>
      <c r="K635" s="36"/>
      <c r="L635" s="23">
        <v>2017.0</v>
      </c>
      <c r="M635" s="25">
        <f t="shared" ref="M635:M636" si="520">year(now()) -L635</f>
        <v>8</v>
      </c>
      <c r="N635" s="26">
        <f t="shared" ref="N635:N636" si="521">counta(AE635,AG635,AI635,AK635,AM635,AO635,AQ635,AS635,AU635,AW635,AY635,BA635,BC635)</f>
        <v>2</v>
      </c>
      <c r="O635" s="27" t="str">
        <f t="shared" si="3"/>
        <v>#N/A</v>
      </c>
      <c r="P635" s="28"/>
      <c r="Q635" s="28"/>
      <c r="R635" s="28"/>
      <c r="S635" s="28"/>
      <c r="T635" s="29">
        <f t="shared" ref="T635:T636" si="522">V635/M635</f>
        <v>1400000</v>
      </c>
      <c r="U635" s="28"/>
      <c r="V635" s="30">
        <f t="shared" si="425"/>
        <v>11200000</v>
      </c>
      <c r="W635" s="30"/>
      <c r="X635" s="847"/>
      <c r="Y635" s="33">
        <f t="shared" ref="Y635:Y636" si="523">(max(AE635,AG635,AI635,AK635,AM635,AO635,AQ635,AS635,AU635,AW635,AY635,BA635,BC635)/min(AE635,AG635,AI635,AK635))^(1/M635)-1</f>
        <v>0</v>
      </c>
      <c r="Z635" s="692"/>
      <c r="AA635" s="665"/>
      <c r="AB635" s="36"/>
      <c r="AC635" s="36"/>
      <c r="AD635" s="44"/>
      <c r="AE635" s="46"/>
      <c r="AF635" s="39"/>
      <c r="AG635" s="38"/>
      <c r="AH635" s="36"/>
      <c r="AI635" s="46"/>
      <c r="AJ635" s="227">
        <v>43237.0</v>
      </c>
      <c r="AK635" s="38">
        <v>5700000.0</v>
      </c>
      <c r="AL635" s="227">
        <v>44076.0</v>
      </c>
      <c r="AM635" s="38">
        <v>5500000.0</v>
      </c>
      <c r="AN635" s="44"/>
      <c r="AO635" s="46"/>
      <c r="AP635" s="44"/>
      <c r="AQ635" s="46"/>
      <c r="AR635" s="44"/>
      <c r="AS635" s="44"/>
      <c r="AT635" s="44"/>
      <c r="AU635" s="45"/>
      <c r="AV635" s="44"/>
      <c r="AW635" s="38"/>
      <c r="AX635" s="44"/>
      <c r="AY635" s="38"/>
      <c r="AZ635" s="44"/>
      <c r="BA635" s="45"/>
      <c r="BB635" s="473"/>
      <c r="BC635" s="45"/>
      <c r="BD635" s="44"/>
      <c r="BE635" s="38"/>
      <c r="BF635" s="36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</row>
    <row r="636" ht="15.75" customHeight="1">
      <c r="A636" s="866" t="s">
        <v>3198</v>
      </c>
      <c r="B636" s="16"/>
      <c r="C636" s="17" t="s">
        <v>123</v>
      </c>
      <c r="D636" s="192" t="s">
        <v>3199</v>
      </c>
      <c r="E636" s="192" t="s">
        <v>3200</v>
      </c>
      <c r="F636" s="118" t="s">
        <v>3201</v>
      </c>
      <c r="G636" s="22" t="s">
        <v>3202</v>
      </c>
      <c r="H636" s="22" t="s">
        <v>163</v>
      </c>
      <c r="I636" s="23" t="s">
        <v>164</v>
      </c>
      <c r="J636" s="24" t="s">
        <v>1812</v>
      </c>
      <c r="K636" s="23">
        <v>1.0</v>
      </c>
      <c r="L636" s="23">
        <v>2014.0</v>
      </c>
      <c r="M636" s="25">
        <f t="shared" si="520"/>
        <v>11</v>
      </c>
      <c r="N636" s="26">
        <f t="shared" si="521"/>
        <v>2</v>
      </c>
      <c r="O636" s="27" t="str">
        <f t="shared" si="3"/>
        <v>#N/A</v>
      </c>
      <c r="P636" s="28"/>
      <c r="Q636" s="28"/>
      <c r="R636" s="28"/>
      <c r="S636" s="28"/>
      <c r="T636" s="29">
        <f t="shared" si="522"/>
        <v>1018181.818</v>
      </c>
      <c r="U636" s="28"/>
      <c r="V636" s="30">
        <f t="shared" si="425"/>
        <v>11200000</v>
      </c>
      <c r="W636" s="30"/>
      <c r="X636" s="33"/>
      <c r="Y636" s="33">
        <f t="shared" si="523"/>
        <v>0.01309415496</v>
      </c>
      <c r="Z636" s="692"/>
      <c r="AA636" s="665"/>
      <c r="AB636" s="36"/>
      <c r="AC636" s="36"/>
      <c r="AD636" s="44"/>
      <c r="AE636" s="46"/>
      <c r="AF636" s="1204">
        <v>43199.0</v>
      </c>
      <c r="AG636" s="971">
        <v>5200000.0</v>
      </c>
      <c r="AH636" s="36"/>
      <c r="AI636" s="159"/>
      <c r="AJ636" s="43" t="str">
        <f>HYPERLINK("https://www.crunchbase.com/funding_round/cortex-building-intelligence-series-a--c96f504e","May 12, 2021")</f>
        <v>May 12, 2021</v>
      </c>
      <c r="AK636" s="38">
        <v>6000000.0</v>
      </c>
      <c r="AL636" s="44"/>
      <c r="AM636" s="46"/>
      <c r="AN636" s="44"/>
      <c r="AO636" s="46"/>
      <c r="AP636" s="37"/>
      <c r="AQ636" s="38"/>
      <c r="AR636" s="44"/>
      <c r="AS636" s="44"/>
      <c r="AT636" s="44"/>
      <c r="AU636" s="45"/>
      <c r="AV636" s="44"/>
      <c r="AW636" s="38"/>
      <c r="AX636" s="44"/>
      <c r="AY636" s="38"/>
      <c r="AZ636" s="44"/>
      <c r="BA636" s="45"/>
      <c r="BB636" s="44"/>
      <c r="BC636" s="45"/>
      <c r="BD636" s="44"/>
      <c r="BE636" s="38"/>
      <c r="BF636" s="36"/>
      <c r="BG636" s="115"/>
      <c r="BH636" s="115"/>
      <c r="BI636" s="115"/>
      <c r="BJ636" s="115"/>
      <c r="BK636" s="115"/>
      <c r="BL636" s="115"/>
      <c r="BM636" s="115"/>
      <c r="BN636" s="115"/>
      <c r="BO636" s="115"/>
      <c r="BP636" s="115"/>
      <c r="BQ636" s="115"/>
      <c r="BR636" s="115"/>
      <c r="BS636" s="115"/>
      <c r="BT636" s="115"/>
      <c r="BU636" s="115"/>
      <c r="BV636" s="115"/>
      <c r="BW636" s="115"/>
      <c r="BX636" s="115"/>
      <c r="BY636" s="115"/>
      <c r="BZ636" s="115"/>
      <c r="CA636" s="115"/>
      <c r="CB636" s="115"/>
      <c r="CC636" s="115"/>
      <c r="CD636" s="115"/>
      <c r="CE636" s="115"/>
      <c r="CF636" s="115"/>
      <c r="CG636" s="115"/>
      <c r="CH636" s="115"/>
      <c r="CI636" s="115"/>
      <c r="CJ636" s="115"/>
      <c r="CK636" s="115"/>
      <c r="CL636" s="115"/>
      <c r="CM636" s="115"/>
      <c r="CN636" s="115"/>
      <c r="CO636" s="115"/>
      <c r="CP636" s="115"/>
    </row>
    <row r="637" ht="15.75" customHeight="1">
      <c r="A637" s="47" t="s">
        <v>3203</v>
      </c>
      <c r="C637" s="48" t="s">
        <v>190</v>
      </c>
      <c r="D637" s="351"/>
      <c r="E637" s="617" t="s">
        <v>3204</v>
      </c>
      <c r="F637" s="352" t="s">
        <v>3205</v>
      </c>
      <c r="G637" s="353"/>
      <c r="H637" s="53" t="s">
        <v>309</v>
      </c>
      <c r="I637" s="54" t="s">
        <v>115</v>
      </c>
      <c r="J637" s="55"/>
      <c r="K637" s="54">
        <v>1.0</v>
      </c>
      <c r="L637" s="56">
        <v>2020.0</v>
      </c>
      <c r="M637" s="55"/>
      <c r="N637" s="55"/>
      <c r="O637" s="27" t="str">
        <f t="shared" si="3"/>
        <v>#N/A</v>
      </c>
      <c r="P637" s="55"/>
      <c r="Q637" s="55"/>
      <c r="R637" s="55"/>
      <c r="S637" s="55"/>
      <c r="T637" s="55"/>
      <c r="U637" s="55"/>
      <c r="V637" s="30">
        <f t="shared" si="425"/>
        <v>11200000</v>
      </c>
      <c r="W637" s="30"/>
      <c r="X637" s="58"/>
      <c r="Y637" s="58"/>
      <c r="Z637" s="692"/>
      <c r="AA637" s="665"/>
      <c r="AB637" s="55"/>
      <c r="AC637" s="55"/>
      <c r="AD637" s="453"/>
      <c r="AE637" s="38"/>
      <c r="AF637" s="62">
        <v>44256.0</v>
      </c>
      <c r="AG637" s="38">
        <v>5000000.0</v>
      </c>
      <c r="AH637" s="55"/>
      <c r="AI637" s="38"/>
      <c r="AJ637" s="1304">
        <v>44966.0</v>
      </c>
      <c r="AK637" s="38">
        <v>6200000.0</v>
      </c>
      <c r="AL637" s="55"/>
      <c r="AM637" s="38"/>
      <c r="AN637" s="55"/>
      <c r="AO637" s="38"/>
      <c r="AP637" s="356"/>
      <c r="AQ637" s="38"/>
      <c r="AR637" s="55"/>
      <c r="AS637" s="38"/>
      <c r="AT637" s="55"/>
      <c r="AU637" s="38"/>
      <c r="AV637" s="55"/>
      <c r="AW637" s="38"/>
      <c r="AX637" s="55"/>
      <c r="AY637" s="38"/>
      <c r="AZ637" s="55"/>
      <c r="BA637" s="38"/>
      <c r="BB637" s="55"/>
      <c r="BC637" s="38"/>
      <c r="BD637" s="55"/>
      <c r="BE637" s="38"/>
      <c r="BF637" s="55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</row>
    <row r="638" ht="15.75" customHeight="1">
      <c r="A638" s="47" t="s">
        <v>3206</v>
      </c>
      <c r="C638" s="48" t="s">
        <v>84</v>
      </c>
      <c r="D638" s="49" t="s">
        <v>3207</v>
      </c>
      <c r="E638" s="49" t="s">
        <v>3208</v>
      </c>
      <c r="F638" s="352" t="s">
        <v>3209</v>
      </c>
      <c r="G638" s="353"/>
      <c r="H638" s="53" t="s">
        <v>3210</v>
      </c>
      <c r="I638" s="54" t="s">
        <v>3211</v>
      </c>
      <c r="J638" s="55"/>
      <c r="K638" s="55"/>
      <c r="L638" s="56">
        <v>2021.0</v>
      </c>
      <c r="M638" s="55"/>
      <c r="N638" s="55"/>
      <c r="O638" s="27" t="str">
        <f t="shared" si="3"/>
        <v>#N/A</v>
      </c>
      <c r="P638" s="55"/>
      <c r="Q638" s="55"/>
      <c r="R638" s="55"/>
      <c r="S638" s="55"/>
      <c r="T638" s="55"/>
      <c r="U638" s="55"/>
      <c r="V638" s="30">
        <f t="shared" si="425"/>
        <v>11200000</v>
      </c>
      <c r="W638" s="30"/>
      <c r="X638" s="58"/>
      <c r="Y638" s="58"/>
      <c r="Z638" s="692"/>
      <c r="AA638" s="665"/>
      <c r="AB638" s="55"/>
      <c r="AC638" s="55"/>
      <c r="AD638" s="62">
        <v>44682.0</v>
      </c>
      <c r="AE638" s="38"/>
      <c r="AF638" s="62">
        <v>45008.0</v>
      </c>
      <c r="AG638" s="38">
        <v>1.12E7</v>
      </c>
      <c r="AH638" s="55"/>
      <c r="AI638" s="38"/>
      <c r="AJ638" s="55"/>
      <c r="AK638" s="38"/>
      <c r="AL638" s="55"/>
      <c r="AM638" s="38"/>
      <c r="AN638" s="55"/>
      <c r="AO638" s="38"/>
      <c r="AP638" s="356"/>
      <c r="AQ638" s="38"/>
      <c r="AR638" s="55"/>
      <c r="AS638" s="38"/>
      <c r="AT638" s="55"/>
      <c r="AU638" s="38"/>
      <c r="AV638" s="55"/>
      <c r="AW638" s="38"/>
      <c r="AX638" s="55"/>
      <c r="AY638" s="38"/>
      <c r="AZ638" s="55"/>
      <c r="BA638" s="38"/>
      <c r="BB638" s="55"/>
      <c r="BC638" s="38"/>
      <c r="BD638" s="55"/>
      <c r="BE638" s="38"/>
      <c r="BF638" s="55"/>
      <c r="BG638" s="115"/>
      <c r="BH638" s="115"/>
      <c r="BI638" s="115"/>
      <c r="BJ638" s="115"/>
      <c r="BK638" s="115"/>
      <c r="BL638" s="115"/>
      <c r="BM638" s="115"/>
      <c r="BN638" s="115"/>
      <c r="BO638" s="115"/>
      <c r="BP638" s="115"/>
      <c r="BQ638" s="115"/>
      <c r="BR638" s="115"/>
      <c r="BS638" s="115"/>
      <c r="BT638" s="115"/>
      <c r="BU638" s="115"/>
      <c r="BV638" s="115"/>
      <c r="BW638" s="115"/>
      <c r="BX638" s="115"/>
      <c r="BY638" s="115"/>
      <c r="BZ638" s="115"/>
      <c r="CA638" s="115"/>
      <c r="CB638" s="115"/>
      <c r="CC638" s="115"/>
      <c r="CD638" s="115"/>
      <c r="CE638" s="115"/>
      <c r="CF638" s="115"/>
      <c r="CG638" s="115"/>
      <c r="CH638" s="115"/>
      <c r="CI638" s="115"/>
      <c r="CJ638" s="115"/>
      <c r="CK638" s="115"/>
      <c r="CL638" s="115"/>
      <c r="CM638" s="115"/>
      <c r="CN638" s="115"/>
      <c r="CO638" s="115"/>
      <c r="CP638" s="115"/>
    </row>
    <row r="639" ht="15.75" customHeight="1">
      <c r="A639" s="47" t="s">
        <v>3212</v>
      </c>
      <c r="C639" s="48" t="s">
        <v>123</v>
      </c>
      <c r="D639" s="351"/>
      <c r="E639" s="49" t="s">
        <v>3213</v>
      </c>
      <c r="F639" s="352" t="s">
        <v>3214</v>
      </c>
      <c r="G639" s="353"/>
      <c r="H639" s="53" t="s">
        <v>2071</v>
      </c>
      <c r="I639" s="54" t="s">
        <v>639</v>
      </c>
      <c r="J639" s="55"/>
      <c r="K639" s="54">
        <v>1.0</v>
      </c>
      <c r="L639" s="56">
        <v>2015.0</v>
      </c>
      <c r="M639" s="55"/>
      <c r="N639" s="55"/>
      <c r="O639" s="27" t="str">
        <f t="shared" si="3"/>
        <v>#N/A</v>
      </c>
      <c r="P639" s="55"/>
      <c r="Q639" s="55"/>
      <c r="R639" s="55"/>
      <c r="S639" s="55"/>
      <c r="T639" s="55"/>
      <c r="U639" s="55"/>
      <c r="V639" s="30">
        <f t="shared" si="425"/>
        <v>11100000</v>
      </c>
      <c r="W639" s="30"/>
      <c r="X639" s="58"/>
      <c r="Y639" s="58"/>
      <c r="Z639" s="692"/>
      <c r="AA639" s="665"/>
      <c r="AB639" s="55"/>
      <c r="AC639" s="55"/>
      <c r="AD639" s="355"/>
      <c r="AE639" s="38"/>
      <c r="AF639" s="62">
        <v>45013.0</v>
      </c>
      <c r="AG639" s="38">
        <v>4000000.0</v>
      </c>
      <c r="AH639" s="55"/>
      <c r="AI639" s="38"/>
      <c r="AJ639" s="55"/>
      <c r="AK639" s="38"/>
      <c r="AL639" s="55"/>
      <c r="AM639" s="38"/>
      <c r="AN639" s="55"/>
      <c r="AO639" s="38"/>
      <c r="AP639" s="356"/>
      <c r="AQ639" s="38"/>
      <c r="AR639" s="55"/>
      <c r="AS639" s="38"/>
      <c r="AT639" s="55"/>
      <c r="AU639" s="38"/>
      <c r="AV639" s="55"/>
      <c r="AW639" s="38"/>
      <c r="AX639" s="55"/>
      <c r="AY639" s="38"/>
      <c r="AZ639" s="55"/>
      <c r="BA639" s="38"/>
      <c r="BB639" s="62">
        <v>44974.0</v>
      </c>
      <c r="BC639" s="38">
        <v>7100000.0</v>
      </c>
      <c r="BD639" s="55"/>
      <c r="BE639" s="38"/>
      <c r="BF639" s="55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</row>
    <row r="640" ht="15.75" customHeight="1">
      <c r="A640" s="442" t="s">
        <v>3215</v>
      </c>
      <c r="B640" s="16"/>
      <c r="C640" s="17" t="s">
        <v>84</v>
      </c>
      <c r="D640" s="184" t="s">
        <v>3216</v>
      </c>
      <c r="E640" s="184" t="s">
        <v>3217</v>
      </c>
      <c r="F640" s="185" t="s">
        <v>3218</v>
      </c>
      <c r="G640" s="317" t="s">
        <v>3219</v>
      </c>
      <c r="H640" s="317" t="s">
        <v>187</v>
      </c>
      <c r="I640" s="36" t="s">
        <v>188</v>
      </c>
      <c r="J640" s="237" t="s">
        <v>3220</v>
      </c>
      <c r="K640" s="36">
        <v>2.0</v>
      </c>
      <c r="L640" s="23">
        <v>2012.0</v>
      </c>
      <c r="M640" s="25">
        <f t="shared" ref="M640:M643" si="524">year(now()) -L640</f>
        <v>13</v>
      </c>
      <c r="N640" s="26">
        <f t="shared" ref="N640:N643" si="525">counta(AE640,AG640,AI640,AK640,AM640,AO640,AQ640,AS640,AU640,AW640,AY640,BA640,BC640)</f>
        <v>4</v>
      </c>
      <c r="O640" s="27" t="str">
        <f t="shared" si="3"/>
        <v>#N/A</v>
      </c>
      <c r="P640" s="28"/>
      <c r="Q640" s="28"/>
      <c r="R640" s="28"/>
      <c r="S640" s="28"/>
      <c r="T640" s="29">
        <f t="shared" ref="T640:T643" si="526">V640/M640</f>
        <v>849038.4615</v>
      </c>
      <c r="U640" s="28"/>
      <c r="V640" s="30">
        <f t="shared" si="425"/>
        <v>11037500</v>
      </c>
      <c r="W640" s="30"/>
      <c r="X640" s="847"/>
      <c r="Y640" s="33">
        <f t="shared" ref="Y640:Y643" si="527">(max(AE640,AG640,AI640,AK640,AM640,AO640,AQ640,AS640,AU640,AW640,AY640,BA640,BC640)/min(AE640,AG640,AI640,AK640))^(1/M640)-1</f>
        <v>0.2548569447</v>
      </c>
      <c r="Z640" s="692"/>
      <c r="AA640" s="665"/>
      <c r="AB640" s="36"/>
      <c r="AC640" s="36"/>
      <c r="AD640" s="228" t="str">
        <f>HYPERLINK("https://www.crunchbase.com/funding_round/helloavail-debt-financing--4b46945b"," Feb 22, 2013")</f>
        <v> Feb 22, 2013</v>
      </c>
      <c r="AE640" s="38">
        <v>287500.0</v>
      </c>
      <c r="AF640" s="158" t="str">
        <f>HYPERLINK("https://www.crunchbase.com/funding_round/helloavail-seed--d7096106"," Sep 22, 2015")</f>
        <v> Sep 22, 2015</v>
      </c>
      <c r="AG640" s="38">
        <v>2750000.0</v>
      </c>
      <c r="AH640" s="40"/>
      <c r="AI640" s="41"/>
      <c r="AJ640" s="228" t="str">
        <f>HYPERLINK("https://www.crunchbase.com/funding_round/helloavail-series-unknown--ce067665"," Apr 9, 2019")</f>
        <v> Apr 9, 2019</v>
      </c>
      <c r="AK640" s="38">
        <v>2500000.0</v>
      </c>
      <c r="AL640" s="42">
        <v>41820.0</v>
      </c>
      <c r="AM640" s="38">
        <v>5500000.0</v>
      </c>
      <c r="AN640" s="44"/>
      <c r="AO640" s="46"/>
      <c r="AP640" s="44"/>
      <c r="AQ640" s="46"/>
      <c r="AR640" s="44"/>
      <c r="AS640" s="44"/>
      <c r="AT640" s="44"/>
      <c r="AU640" s="45"/>
      <c r="AV640" s="44"/>
      <c r="AW640" s="38"/>
      <c r="AX640" s="44"/>
      <c r="AY640" s="38"/>
      <c r="AZ640" s="44"/>
      <c r="BA640" s="45"/>
      <c r="BB640" s="44"/>
      <c r="BC640" s="45"/>
      <c r="BD640" s="44"/>
      <c r="BE640" s="38"/>
      <c r="BF640" s="3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</row>
    <row r="641" ht="15.75" customHeight="1">
      <c r="A641" s="866" t="s">
        <v>3221</v>
      </c>
      <c r="B641" s="16"/>
      <c r="C641" s="17" t="s">
        <v>123</v>
      </c>
      <c r="D641" s="236" t="s">
        <v>3222</v>
      </c>
      <c r="E641" s="236" t="s">
        <v>3223</v>
      </c>
      <c r="F641" s="316" t="s">
        <v>3224</v>
      </c>
      <c r="G641" s="317"/>
      <c r="H641" s="317"/>
      <c r="I641" s="23"/>
      <c r="J641" s="237"/>
      <c r="K641" s="36"/>
      <c r="L641" s="23"/>
      <c r="M641" s="25">
        <f t="shared" si="524"/>
        <v>2025</v>
      </c>
      <c r="N641" s="26">
        <f t="shared" si="525"/>
        <v>1</v>
      </c>
      <c r="O641" s="27" t="str">
        <f t="shared" si="3"/>
        <v>#N/A</v>
      </c>
      <c r="P641" s="28"/>
      <c r="Q641" s="28"/>
      <c r="R641" s="28"/>
      <c r="S641" s="28"/>
      <c r="T641" s="29">
        <f t="shared" si="526"/>
        <v>5432.098765</v>
      </c>
      <c r="U641" s="28"/>
      <c r="V641" s="30">
        <f t="shared" si="425"/>
        <v>11000000</v>
      </c>
      <c r="W641" s="30"/>
      <c r="X641" s="847"/>
      <c r="Y641" s="33" t="str">
        <f t="shared" si="527"/>
        <v>#DIV/0!</v>
      </c>
      <c r="Z641" s="692"/>
      <c r="AA641" s="665"/>
      <c r="AB641" s="36"/>
      <c r="AC641" s="36"/>
      <c r="AD641" s="44"/>
      <c r="AE641" s="46"/>
      <c r="AF641" s="39"/>
      <c r="AG641" s="46"/>
      <c r="AH641" s="36"/>
      <c r="AI641" s="159"/>
      <c r="AJ641" s="1305">
        <v>43264.0</v>
      </c>
      <c r="AK641" s="46"/>
      <c r="AL641" s="391">
        <v>44173.0</v>
      </c>
      <c r="AM641" s="38">
        <v>1.1E7</v>
      </c>
      <c r="AN641" s="37"/>
      <c r="AO641" s="46"/>
      <c r="AP641" s="44"/>
      <c r="AQ641" s="46"/>
      <c r="AR641" s="44"/>
      <c r="AS641" s="44"/>
      <c r="AT641" s="44"/>
      <c r="AU641" s="45"/>
      <c r="AV641" s="44"/>
      <c r="AW641" s="38"/>
      <c r="AX641" s="44"/>
      <c r="AY641" s="38"/>
      <c r="AZ641" s="44"/>
      <c r="BA641" s="45"/>
      <c r="BB641" s="44"/>
      <c r="BC641" s="45"/>
      <c r="BD641" s="44"/>
      <c r="BE641" s="38"/>
      <c r="BF641" s="36"/>
      <c r="BG641" s="115"/>
      <c r="BH641" s="115"/>
      <c r="BI641" s="115"/>
      <c r="BJ641" s="115"/>
      <c r="BK641" s="115"/>
      <c r="BL641" s="115"/>
      <c r="BM641" s="115"/>
      <c r="BN641" s="115"/>
      <c r="BO641" s="115"/>
      <c r="BP641" s="115"/>
      <c r="BQ641" s="115"/>
      <c r="BR641" s="115"/>
      <c r="BS641" s="115"/>
      <c r="BT641" s="115"/>
      <c r="BU641" s="115"/>
      <c r="BV641" s="115"/>
      <c r="BW641" s="115"/>
      <c r="BX641" s="115"/>
      <c r="BY641" s="115"/>
      <c r="BZ641" s="115"/>
      <c r="CA641" s="115"/>
      <c r="CB641" s="115"/>
      <c r="CC641" s="115"/>
      <c r="CD641" s="115"/>
      <c r="CE641" s="115"/>
      <c r="CF641" s="115"/>
      <c r="CG641" s="115"/>
      <c r="CH641" s="115"/>
      <c r="CI641" s="115"/>
      <c r="CJ641" s="115"/>
      <c r="CK641" s="115"/>
      <c r="CL641" s="115"/>
      <c r="CM641" s="115"/>
      <c r="CN641" s="115"/>
      <c r="CO641" s="115"/>
      <c r="CP641" s="115"/>
    </row>
    <row r="642" ht="15.75" customHeight="1">
      <c r="A642" s="21" t="s">
        <v>3225</v>
      </c>
      <c r="B642" s="979"/>
      <c r="C642" s="985" t="s">
        <v>84</v>
      </c>
      <c r="D642" s="200" t="s">
        <v>3226</v>
      </c>
      <c r="E642" s="1012" t="s">
        <v>3227</v>
      </c>
      <c r="F642" s="154" t="s">
        <v>3228</v>
      </c>
      <c r="G642" s="71" t="s">
        <v>3229</v>
      </c>
      <c r="H642" s="186"/>
      <c r="I642" s="74"/>
      <c r="J642" s="155"/>
      <c r="K642" s="26">
        <v>2.0</v>
      </c>
      <c r="L642" s="142">
        <v>2016.0</v>
      </c>
      <c r="M642" s="25">
        <f t="shared" si="524"/>
        <v>9</v>
      </c>
      <c r="N642" s="26">
        <f t="shared" si="525"/>
        <v>2</v>
      </c>
      <c r="O642" s="27" t="str">
        <f t="shared" si="3"/>
        <v>#N/A</v>
      </c>
      <c r="P642" s="28"/>
      <c r="Q642" s="28"/>
      <c r="R642" s="28"/>
      <c r="S642" s="28"/>
      <c r="T642" s="29">
        <f t="shared" si="526"/>
        <v>1222222.222</v>
      </c>
      <c r="U642" s="28"/>
      <c r="V642" s="30">
        <f t="shared" si="425"/>
        <v>11000000</v>
      </c>
      <c r="W642" s="30"/>
      <c r="X642" s="73"/>
      <c r="Y642" s="33">
        <f t="shared" si="527"/>
        <v>0.1151411938</v>
      </c>
      <c r="Z642" s="692"/>
      <c r="AA642" s="665"/>
      <c r="AB642" s="74"/>
      <c r="AC642" s="74"/>
      <c r="AD642" s="79"/>
      <c r="AE642" s="84"/>
      <c r="AF642" s="175" t="str">
        <f>HYPERLINK("https://www.crunchbase.com/organization/localize-city#section-funding-rounds"," Jan 15, 2016")</f>
        <v> Jan 15, 2016</v>
      </c>
      <c r="AG642" s="76">
        <v>3000000.0</v>
      </c>
      <c r="AH642" s="74"/>
      <c r="AI642" s="78"/>
      <c r="AJ642" s="426" t="str">
        <f>HYPERLINK("https://www.crunchbase.com/funding_round/localize-city-series-a--d650920d"," 8/9/2017")</f>
        <v> 8/9/2017</v>
      </c>
      <c r="AK642" s="76">
        <v>8000000.0</v>
      </c>
      <c r="AL642" s="79"/>
      <c r="AM642" s="84"/>
      <c r="AN642" s="79"/>
      <c r="AO642" s="84"/>
      <c r="AP642" s="79"/>
      <c r="AQ642" s="84"/>
      <c r="AR642" s="79"/>
      <c r="AS642" s="79"/>
      <c r="AT642" s="79"/>
      <c r="AU642" s="80"/>
      <c r="AV642" s="79"/>
      <c r="AW642" s="38"/>
      <c r="AX642" s="79"/>
      <c r="AY642" s="38"/>
      <c r="AZ642" s="79"/>
      <c r="BA642" s="80"/>
      <c r="BB642" s="79"/>
      <c r="BC642" s="80"/>
      <c r="BD642" s="79"/>
      <c r="BE642" s="38"/>
      <c r="BF642" s="74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</row>
    <row r="643" ht="15.75" customHeight="1">
      <c r="A643" s="978" t="s">
        <v>3230</v>
      </c>
      <c r="B643" s="980" t="s">
        <v>275</v>
      </c>
      <c r="C643" s="980" t="s">
        <v>123</v>
      </c>
      <c r="D643" s="1001" t="s">
        <v>3231</v>
      </c>
      <c r="E643" s="1012" t="s">
        <v>3232</v>
      </c>
      <c r="F643" s="841" t="s">
        <v>3233</v>
      </c>
      <c r="G643" s="140" t="s">
        <v>3234</v>
      </c>
      <c r="H643" s="71" t="s">
        <v>64</v>
      </c>
      <c r="I643" s="26" t="s">
        <v>65</v>
      </c>
      <c r="J643" s="72" t="s">
        <v>862</v>
      </c>
      <c r="K643" s="26">
        <v>1.0</v>
      </c>
      <c r="L643" s="26">
        <v>2019.0</v>
      </c>
      <c r="M643" s="25">
        <f t="shared" si="524"/>
        <v>6</v>
      </c>
      <c r="N643" s="26">
        <f t="shared" si="525"/>
        <v>2</v>
      </c>
      <c r="O643" s="27" t="str">
        <f t="shared" si="3"/>
        <v>#N/A</v>
      </c>
      <c r="P643" s="28"/>
      <c r="Q643" s="28"/>
      <c r="R643" s="28"/>
      <c r="S643" s="28"/>
      <c r="T643" s="29">
        <f t="shared" si="526"/>
        <v>1833333.333</v>
      </c>
      <c r="U643" s="28"/>
      <c r="V643" s="30">
        <f t="shared" si="425"/>
        <v>11000000</v>
      </c>
      <c r="W643" s="30"/>
      <c r="X643" s="73"/>
      <c r="Y643" s="33" t="str">
        <f t="shared" si="527"/>
        <v>#DIV/0!</v>
      </c>
      <c r="Z643" s="692"/>
      <c r="AA643" s="665"/>
      <c r="AB643" s="74"/>
      <c r="AC643" s="74"/>
      <c r="AD643" s="181" t="str">
        <f>HYPERLINK("https://www.crunchbase.com/funding_round/replica-pre-seed--bc5b2bac","Feb 4, 2019")</f>
        <v>Feb 4, 2019</v>
      </c>
      <c r="AE643" s="76">
        <v>0.0</v>
      </c>
      <c r="AF643" s="338"/>
      <c r="AG643" s="84"/>
      <c r="AH643" s="74"/>
      <c r="AI643" s="78"/>
      <c r="AJ643" s="426" t="str">
        <f>HYPERLINK("https://www.crunchbase.com/funding_round/replica-series-a--8fa7f2ce","Sep 12, 2019")</f>
        <v>Sep 12, 2019</v>
      </c>
      <c r="AK643" s="1306">
        <v>1.1E7</v>
      </c>
      <c r="AL643" s="79"/>
      <c r="AM643" s="84"/>
      <c r="AN643" s="79"/>
      <c r="AO643" s="84"/>
      <c r="AP643" s="79"/>
      <c r="AQ643" s="84"/>
      <c r="AR643" s="79"/>
      <c r="AS643" s="79"/>
      <c r="AT643" s="79"/>
      <c r="AU643" s="80"/>
      <c r="AV643" s="79"/>
      <c r="AW643" s="38"/>
      <c r="AX643" s="79"/>
      <c r="AY643" s="38"/>
      <c r="AZ643" s="79"/>
      <c r="BA643" s="80"/>
      <c r="BB643" s="79"/>
      <c r="BC643" s="80"/>
      <c r="BD643" s="79"/>
      <c r="BE643" s="38"/>
      <c r="BF643" s="74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</row>
    <row r="644" ht="15.75" customHeight="1">
      <c r="A644" s="993" t="s">
        <v>3235</v>
      </c>
      <c r="B644" s="984"/>
      <c r="C644" s="985" t="s">
        <v>68</v>
      </c>
      <c r="D644" s="1087"/>
      <c r="E644" s="995" t="s">
        <v>3236</v>
      </c>
      <c r="F644" s="708" t="s">
        <v>3237</v>
      </c>
      <c r="G644" s="119" t="s">
        <v>3238</v>
      </c>
      <c r="H644" s="119" t="s">
        <v>371</v>
      </c>
      <c r="I644" s="25" t="s">
        <v>372</v>
      </c>
      <c r="J644" s="287"/>
      <c r="K644" s="25">
        <v>1.0</v>
      </c>
      <c r="L644" s="25">
        <v>2018.0</v>
      </c>
      <c r="M644" s="123"/>
      <c r="N644" s="123"/>
      <c r="O644" s="27" t="str">
        <f t="shared" si="3"/>
        <v>#N/A</v>
      </c>
      <c r="P644" s="55"/>
      <c r="Q644" s="55"/>
      <c r="R644" s="55"/>
      <c r="S644" s="55"/>
      <c r="T644" s="55"/>
      <c r="U644" s="55"/>
      <c r="V644" s="30">
        <f t="shared" si="425"/>
        <v>11000000</v>
      </c>
      <c r="W644" s="30"/>
      <c r="X644" s="403"/>
      <c r="Y644" s="403"/>
      <c r="Z644" s="692"/>
      <c r="AA644" s="665"/>
      <c r="AB644" s="123"/>
      <c r="AC644" s="123"/>
      <c r="AD644" s="717"/>
      <c r="AE644" s="123"/>
      <c r="AF644" s="355"/>
      <c r="AG644" s="38"/>
      <c r="AH644" s="123"/>
      <c r="AI644" s="123"/>
      <c r="AJ644" s="404">
        <v>44881.0</v>
      </c>
      <c r="AK644" s="38">
        <v>1.1E7</v>
      </c>
      <c r="AL644" s="123"/>
      <c r="AM644" s="123"/>
      <c r="AN644" s="123"/>
      <c r="AO644" s="123"/>
      <c r="AP644" s="123"/>
      <c r="AQ644" s="123"/>
      <c r="AR644" s="123"/>
      <c r="AS644" s="123"/>
      <c r="AT644" s="123"/>
      <c r="AU644" s="137"/>
      <c r="AV644" s="123"/>
      <c r="AW644" s="38"/>
      <c r="AX644" s="123"/>
      <c r="AY644" s="38"/>
      <c r="AZ644" s="123"/>
      <c r="BA644" s="137"/>
      <c r="BB644" s="123"/>
      <c r="BC644" s="137"/>
      <c r="BD644" s="123"/>
      <c r="BE644" s="38"/>
      <c r="BF644" s="123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</row>
    <row r="645" ht="15.75" customHeight="1">
      <c r="A645" s="1020" t="s">
        <v>3239</v>
      </c>
      <c r="B645" s="16"/>
      <c r="C645" s="17" t="s">
        <v>59</v>
      </c>
      <c r="D645" s="138" t="s">
        <v>3240</v>
      </c>
      <c r="E645" s="18" t="s">
        <v>3241</v>
      </c>
      <c r="F645" s="20" t="s">
        <v>3242</v>
      </c>
      <c r="G645" s="317"/>
      <c r="H645" s="22" t="s">
        <v>128</v>
      </c>
      <c r="I645" s="23" t="s">
        <v>129</v>
      </c>
      <c r="J645" s="237"/>
      <c r="K645" s="23">
        <v>1.0</v>
      </c>
      <c r="L645" s="23">
        <v>2017.0</v>
      </c>
      <c r="M645" s="25">
        <f>year(now()) -L645</f>
        <v>8</v>
      </c>
      <c r="N645" s="26">
        <f>counta(AE645,AG645,AI645,AK645,AM645,AO645,AQ645,AS645,AU645,AW645,AY645,BA645,BC645)</f>
        <v>2</v>
      </c>
      <c r="O645" s="27" t="str">
        <f t="shared" si="3"/>
        <v>#N/A</v>
      </c>
      <c r="P645" s="28"/>
      <c r="Q645" s="28"/>
      <c r="R645" s="28"/>
      <c r="S645" s="28"/>
      <c r="T645" s="29">
        <f>V645/M645</f>
        <v>1362500</v>
      </c>
      <c r="U645" s="28"/>
      <c r="V645" s="30">
        <f t="shared" si="425"/>
        <v>10900000</v>
      </c>
      <c r="W645" s="30"/>
      <c r="X645" s="33"/>
      <c r="Y645" s="33">
        <f>(max(AE645,AG645,AI645,AK645,AM645,AO645,AQ645,AS645,AU645,AW645,AY645,BA645,BC645)/min(AE645,AG645,AI645,AK645))^(1/M645)-1</f>
        <v>0.3512001548</v>
      </c>
      <c r="Z645" s="692"/>
      <c r="AA645" s="665"/>
      <c r="AB645" s="23"/>
      <c r="AC645" s="36"/>
      <c r="AD645" s="43" t="str">
        <f>HYPERLINK("https://www.crunchbase.com/funding_round/clarity-ai-pre-seed--c778197b","Jan 31, 2017")</f>
        <v>Jan 31, 2017</v>
      </c>
      <c r="AE645" s="38">
        <v>900000.0</v>
      </c>
      <c r="AF645" s="158" t="str">
        <f>HYPERLINK("https://www.crunchbase.com/funding_round/clarity-ai-seed--b87cc0c7","Jan 31, 2019")</f>
        <v>Jan 31, 2019</v>
      </c>
      <c r="AG645" s="38">
        <v>1.0E7</v>
      </c>
      <c r="AH645" s="36"/>
      <c r="AI645" s="159"/>
      <c r="AJ645" s="44"/>
      <c r="AK645" s="46"/>
      <c r="AL645" s="44"/>
      <c r="AM645" s="46"/>
      <c r="AN645" s="44"/>
      <c r="AO645" s="46"/>
      <c r="AP645" s="44"/>
      <c r="AQ645" s="46"/>
      <c r="AR645" s="44"/>
      <c r="AS645" s="44"/>
      <c r="AT645" s="44"/>
      <c r="AU645" s="45"/>
      <c r="AV645" s="44"/>
      <c r="AW645" s="38"/>
      <c r="AX645" s="44"/>
      <c r="AY645" s="38"/>
      <c r="AZ645" s="44"/>
      <c r="BA645" s="45"/>
      <c r="BB645" s="44"/>
      <c r="BC645" s="45"/>
      <c r="BD645" s="44"/>
      <c r="BE645" s="38"/>
      <c r="BF645" s="36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</row>
    <row r="646" ht="15.75" customHeight="1">
      <c r="A646" s="978" t="s">
        <v>3243</v>
      </c>
      <c r="B646" s="68"/>
      <c r="C646" s="69" t="s">
        <v>76</v>
      </c>
      <c r="D646" s="867" t="s">
        <v>3244</v>
      </c>
      <c r="E646" s="231" t="s">
        <v>3245</v>
      </c>
      <c r="F646" s="177" t="s">
        <v>3246</v>
      </c>
      <c r="G646" s="186"/>
      <c r="H646" s="71" t="s">
        <v>3247</v>
      </c>
      <c r="I646" s="26" t="s">
        <v>792</v>
      </c>
      <c r="J646" s="155"/>
      <c r="K646" s="26">
        <v>2.0</v>
      </c>
      <c r="L646" s="26"/>
      <c r="M646" s="25"/>
      <c r="N646" s="26"/>
      <c r="O646" s="27" t="str">
        <f t="shared" si="3"/>
        <v>#N/A</v>
      </c>
      <c r="P646" s="273"/>
      <c r="Q646" s="273"/>
      <c r="R646" s="273"/>
      <c r="S646" s="273"/>
      <c r="T646" s="273"/>
      <c r="U646" s="273"/>
      <c r="V646" s="30">
        <f t="shared" si="425"/>
        <v>10900000</v>
      </c>
      <c r="W646" s="30"/>
      <c r="X646" s="73"/>
      <c r="Y646" s="73"/>
      <c r="Z646" s="692"/>
      <c r="AA646" s="665"/>
      <c r="AB646" s="74"/>
      <c r="AC646" s="74"/>
      <c r="AD646" s="79"/>
      <c r="AE646" s="84"/>
      <c r="AF646" s="726">
        <v>44930.0</v>
      </c>
      <c r="AG646" s="76">
        <v>1.09E7</v>
      </c>
      <c r="AH646" s="74"/>
      <c r="AI646" s="78"/>
      <c r="AJ646" s="79"/>
      <c r="AK646" s="84"/>
      <c r="AL646" s="79"/>
      <c r="AM646" s="84"/>
      <c r="AN646" s="79"/>
      <c r="AO646" s="84"/>
      <c r="AP646" s="79"/>
      <c r="AQ646" s="84"/>
      <c r="AR646" s="79"/>
      <c r="AS646" s="79"/>
      <c r="AT646" s="79"/>
      <c r="AU646" s="80"/>
      <c r="AV646" s="79"/>
      <c r="AW646" s="38"/>
      <c r="AX646" s="79"/>
      <c r="AY646" s="38"/>
      <c r="AZ646" s="79"/>
      <c r="BA646" s="80"/>
      <c r="BB646" s="79"/>
      <c r="BC646" s="80"/>
      <c r="BD646" s="79"/>
      <c r="BE646" s="38"/>
      <c r="BF646" s="74"/>
      <c r="BG646" s="115"/>
      <c r="BH646" s="115"/>
      <c r="BI646" s="115"/>
      <c r="BJ646" s="115"/>
      <c r="BK646" s="115"/>
      <c r="BL646" s="115"/>
      <c r="BM646" s="115"/>
      <c r="BN646" s="115"/>
      <c r="BO646" s="115"/>
      <c r="BP646" s="115"/>
      <c r="BQ646" s="115"/>
      <c r="BR646" s="115"/>
      <c r="BS646" s="115"/>
      <c r="BT646" s="115"/>
      <c r="BU646" s="115"/>
      <c r="BV646" s="115"/>
      <c r="BW646" s="115"/>
      <c r="BX646" s="115"/>
      <c r="BY646" s="115"/>
      <c r="BZ646" s="115"/>
      <c r="CA646" s="115"/>
      <c r="CB646" s="115"/>
      <c r="CC646" s="115"/>
      <c r="CD646" s="115"/>
      <c r="CE646" s="115"/>
      <c r="CF646" s="115"/>
      <c r="CG646" s="115"/>
      <c r="CH646" s="115"/>
      <c r="CI646" s="115"/>
      <c r="CJ646" s="115"/>
      <c r="CK646" s="115"/>
      <c r="CL646" s="115"/>
      <c r="CM646" s="115"/>
      <c r="CN646" s="115"/>
      <c r="CO646" s="115"/>
      <c r="CP646" s="115"/>
    </row>
    <row r="647" ht="15.75" customHeight="1">
      <c r="A647" s="47" t="s">
        <v>3248</v>
      </c>
      <c r="C647" s="48" t="s">
        <v>84</v>
      </c>
      <c r="D647" s="617" t="s">
        <v>3249</v>
      </c>
      <c r="E647" s="49" t="s">
        <v>3250</v>
      </c>
      <c r="F647" s="749" t="s">
        <v>3251</v>
      </c>
      <c r="G647" s="353"/>
      <c r="H647" s="53" t="s">
        <v>633</v>
      </c>
      <c r="I647" s="54" t="s">
        <v>634</v>
      </c>
      <c r="J647" s="55"/>
      <c r="K647" s="54">
        <v>1.0</v>
      </c>
      <c r="L647" s="56">
        <v>2016.0</v>
      </c>
      <c r="M647" s="55"/>
      <c r="N647" s="55"/>
      <c r="O647" s="27" t="str">
        <f t="shared" si="3"/>
        <v>#N/A</v>
      </c>
      <c r="P647" s="55"/>
      <c r="Q647" s="55"/>
      <c r="R647" s="55"/>
      <c r="S647" s="55"/>
      <c r="T647" s="55"/>
      <c r="U647" s="55"/>
      <c r="V647" s="30">
        <f t="shared" si="425"/>
        <v>10900000</v>
      </c>
      <c r="W647" s="30"/>
      <c r="X647" s="58"/>
      <c r="Y647" s="58"/>
      <c r="Z647" s="692"/>
      <c r="AA647" s="665"/>
      <c r="AB647" s="55"/>
      <c r="AC647" s="55"/>
      <c r="AD647" s="355"/>
      <c r="AE647" s="55"/>
      <c r="AF647" s="62">
        <v>43713.0</v>
      </c>
      <c r="AG647" s="38">
        <v>1900000.0</v>
      </c>
      <c r="AH647" s="55"/>
      <c r="AI647" s="55"/>
      <c r="AJ647" s="62">
        <v>44161.0</v>
      </c>
      <c r="AK647" s="38">
        <v>4800000.0</v>
      </c>
      <c r="AL647" s="55"/>
      <c r="AM647" s="55"/>
      <c r="AN647" s="55"/>
      <c r="AO647" s="55"/>
      <c r="AP647" s="356"/>
      <c r="AQ647" s="356"/>
      <c r="AR647" s="55"/>
      <c r="AS647" s="55"/>
      <c r="AT647" s="55"/>
      <c r="AU647" s="722"/>
      <c r="AV647" s="55"/>
      <c r="AW647" s="38"/>
      <c r="AX647" s="55"/>
      <c r="AY647" s="38"/>
      <c r="AZ647" s="62">
        <v>44903.0</v>
      </c>
      <c r="BA647" s="743">
        <v>4200000.0</v>
      </c>
      <c r="BB647" s="55"/>
      <c r="BC647" s="722"/>
      <c r="BD647" s="55"/>
      <c r="BE647" s="38"/>
      <c r="BF647" s="55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</row>
    <row r="648" ht="15.75" customHeight="1">
      <c r="A648" s="21" t="s">
        <v>3252</v>
      </c>
      <c r="B648" s="69" t="s">
        <v>3253</v>
      </c>
      <c r="C648" s="69" t="s">
        <v>207</v>
      </c>
      <c r="D648" s="200" t="s">
        <v>3254</v>
      </c>
      <c r="E648" s="200" t="s">
        <v>3255</v>
      </c>
      <c r="F648" s="154" t="s">
        <v>3256</v>
      </c>
      <c r="G648" s="71" t="s">
        <v>3257</v>
      </c>
      <c r="H648" s="71" t="s">
        <v>3258</v>
      </c>
      <c r="I648" s="26" t="s">
        <v>65</v>
      </c>
      <c r="J648" s="1307" t="s">
        <v>3259</v>
      </c>
      <c r="K648" s="26">
        <v>1.0</v>
      </c>
      <c r="L648" s="26">
        <v>2013.0</v>
      </c>
      <c r="M648" s="25">
        <f>year(now()) -L648</f>
        <v>12</v>
      </c>
      <c r="N648" s="26">
        <f>counta(AE648,AG648,AI648,AK648,AM648,AO648,AQ648,AS648,AU648,AW648,AY648,BA648,BC648)</f>
        <v>2</v>
      </c>
      <c r="O648" s="27" t="str">
        <f t="shared" si="3"/>
        <v>#N/A</v>
      </c>
      <c r="P648" s="28"/>
      <c r="Q648" s="28"/>
      <c r="R648" s="28"/>
      <c r="S648" s="28"/>
      <c r="T648" s="29">
        <f>V648/M648</f>
        <v>900000</v>
      </c>
      <c r="U648" s="28"/>
      <c r="V648" s="30">
        <f t="shared" si="425"/>
        <v>10800000</v>
      </c>
      <c r="W648" s="30"/>
      <c r="X648" s="73"/>
      <c r="Y648" s="33">
        <f>(max(AE648,AG648,AI648,AK648,AM648,AO648,AQ648,AS648,AU648,AW648,AY648,BA648,BC648)/min(AE648,AG648,AI648,AK648))^(1/M648)-1</f>
        <v>0</v>
      </c>
      <c r="Z648" s="692"/>
      <c r="AA648" s="665"/>
      <c r="AB648" s="74"/>
      <c r="AC648" s="74"/>
      <c r="AD648" s="79"/>
      <c r="AE648" s="84"/>
      <c r="AF648" s="175" t="str">
        <f>HYPERLINK("https://www.crunchbase.com/organization/nexkey-inc#section-overview"," Apr 30, 2018")</f>
        <v> Apr 30, 2018</v>
      </c>
      <c r="AG648" s="76">
        <v>4800000.0</v>
      </c>
      <c r="AH648" s="74"/>
      <c r="AI648" s="78"/>
      <c r="AJ648" s="164">
        <v>43748.0</v>
      </c>
      <c r="AK648" s="1308" t="str">
        <f>HYPERLINK("https://www.nexkey.com/blog/nexkey-raises-6m-series-a","$ 6,000,000")</f>
        <v>$ 6,000,000</v>
      </c>
      <c r="AL648" s="79"/>
      <c r="AM648" s="84"/>
      <c r="AN648" s="79"/>
      <c r="AO648" s="84"/>
      <c r="AP648" s="79"/>
      <c r="AQ648" s="84"/>
      <c r="AR648" s="79"/>
      <c r="AS648" s="79"/>
      <c r="AT648" s="79"/>
      <c r="AU648" s="80"/>
      <c r="AV648" s="79"/>
      <c r="AW648" s="38"/>
      <c r="AX648" s="79"/>
      <c r="AY648" s="38"/>
      <c r="AZ648" s="79"/>
      <c r="BA648" s="80"/>
      <c r="BB648" s="79"/>
      <c r="BC648" s="80"/>
      <c r="BD648" s="79"/>
      <c r="BE648" s="38"/>
      <c r="BF648" s="74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</row>
    <row r="649" ht="15.75" customHeight="1">
      <c r="A649" s="47" t="s">
        <v>3260</v>
      </c>
      <c r="C649" s="48" t="s">
        <v>84</v>
      </c>
      <c r="D649" s="617" t="s">
        <v>3261</v>
      </c>
      <c r="E649" s="49" t="s">
        <v>3262</v>
      </c>
      <c r="F649" s="352" t="s">
        <v>3263</v>
      </c>
      <c r="G649" s="353"/>
      <c r="H649" s="53" t="s">
        <v>256</v>
      </c>
      <c r="I649" s="54" t="s">
        <v>257</v>
      </c>
      <c r="J649" s="55"/>
      <c r="K649" s="54">
        <v>3.0</v>
      </c>
      <c r="L649" s="56">
        <v>2022.0</v>
      </c>
      <c r="M649" s="55"/>
      <c r="N649" s="55"/>
      <c r="O649" s="27" t="str">
        <f t="shared" si="3"/>
        <v>#N/A</v>
      </c>
      <c r="P649" s="55"/>
      <c r="Q649" s="55"/>
      <c r="R649" s="55"/>
      <c r="S649" s="55"/>
      <c r="T649" s="55"/>
      <c r="U649" s="55"/>
      <c r="V649" s="30">
        <f t="shared" si="425"/>
        <v>10800000</v>
      </c>
      <c r="W649" s="30"/>
      <c r="X649" s="58"/>
      <c r="Y649" s="58"/>
      <c r="Z649" s="692"/>
      <c r="AA649" s="665"/>
      <c r="AB649" s="55"/>
      <c r="AC649" s="55"/>
      <c r="AD649" s="880">
        <v>44783.0</v>
      </c>
      <c r="AE649" s="38">
        <v>2500000.0</v>
      </c>
      <c r="AF649" s="62">
        <v>44950.0</v>
      </c>
      <c r="AG649" s="38">
        <v>8300000.0</v>
      </c>
      <c r="AH649" s="55"/>
      <c r="AI649" s="55"/>
      <c r="AJ649" s="55"/>
      <c r="AK649" s="55"/>
      <c r="AL649" s="55"/>
      <c r="AM649" s="55"/>
      <c r="AN649" s="55"/>
      <c r="AO649" s="55"/>
      <c r="AP649" s="356"/>
      <c r="AQ649" s="38"/>
      <c r="AR649" s="55"/>
      <c r="AS649" s="38"/>
      <c r="AT649" s="55"/>
      <c r="AU649" s="38"/>
      <c r="AV649" s="55"/>
      <c r="AW649" s="38"/>
      <c r="AX649" s="55"/>
      <c r="AY649" s="38"/>
      <c r="AZ649" s="55"/>
      <c r="BA649" s="722"/>
      <c r="BB649" s="55"/>
      <c r="BC649" s="38"/>
      <c r="BD649" s="55"/>
      <c r="BE649" s="38"/>
      <c r="BF649" s="55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</row>
    <row r="650" ht="15.75" customHeight="1">
      <c r="A650" s="462" t="s">
        <v>3264</v>
      </c>
      <c r="B650" s="68"/>
      <c r="C650" s="69" t="s">
        <v>513</v>
      </c>
      <c r="D650" s="236" t="s">
        <v>3265</v>
      </c>
      <c r="E650" s="18" t="s">
        <v>3266</v>
      </c>
      <c r="F650" s="20" t="s">
        <v>3267</v>
      </c>
      <c r="G650" s="71" t="s">
        <v>3268</v>
      </c>
      <c r="H650" s="71" t="s">
        <v>1065</v>
      </c>
      <c r="I650" s="26" t="s">
        <v>639</v>
      </c>
      <c r="J650" s="72" t="s">
        <v>219</v>
      </c>
      <c r="K650" s="26">
        <v>3.0</v>
      </c>
      <c r="L650" s="26">
        <v>2016.0</v>
      </c>
      <c r="M650" s="25">
        <f t="shared" ref="M650:M652" si="528">year(now()) -L650</f>
        <v>9</v>
      </c>
      <c r="N650" s="26">
        <f t="shared" ref="N650:N652" si="529">counta(AE650,AG650,AI650,AK650,AM650,AO650,AQ650,AS650,AU650,AW650,AY650,BA650,BC650)</f>
        <v>2</v>
      </c>
      <c r="O650" s="27" t="str">
        <f t="shared" si="3"/>
        <v>#N/A</v>
      </c>
      <c r="P650" s="28"/>
      <c r="Q650" s="28"/>
      <c r="R650" s="28"/>
      <c r="S650" s="28"/>
      <c r="T650" s="29">
        <f t="shared" ref="T650:T652" si="530">V650/M650</f>
        <v>1188888.889</v>
      </c>
      <c r="U650" s="28"/>
      <c r="V650" s="30">
        <f t="shared" si="425"/>
        <v>10700000</v>
      </c>
      <c r="W650" s="30"/>
      <c r="X650" s="73"/>
      <c r="Y650" s="33">
        <f t="shared" ref="Y650:Y652" si="531">(max(AE650,AG650,AI650,AK650,AM650,AO650,AQ650,AS650,AU650,AW650,AY650,BA650,BC650)/min(AE650,AG650,AI650,AK650))^(1/M650)-1</f>
        <v>0.03624954498</v>
      </c>
      <c r="Z650" s="692"/>
      <c r="AA650" s="665"/>
      <c r="AB650" s="74"/>
      <c r="AC650" s="74"/>
      <c r="AD650" s="79"/>
      <c r="AE650" s="84"/>
      <c r="AF650" s="175" t="str">
        <f>HYPERLINK("https://www.crunchbase.com/funding_round/adeptmind-seed--3724fe3a","Nov 16, 2017")</f>
        <v>Nov 16, 2017</v>
      </c>
      <c r="AG650" s="76">
        <v>4500000.0</v>
      </c>
      <c r="AH650" s="74"/>
      <c r="AI650" s="78"/>
      <c r="AJ650" s="181" t="str">
        <f>HYPERLINK("https://www.crunchbase.com/funding_round/adeptmind-series-a--cea46ae4","Jun 3, 2021")</f>
        <v>Jun 3, 2021</v>
      </c>
      <c r="AK650" s="76">
        <v>6200000.0</v>
      </c>
      <c r="AL650" s="79"/>
      <c r="AM650" s="84"/>
      <c r="AN650" s="79"/>
      <c r="AO650" s="84"/>
      <c r="AP650" s="79"/>
      <c r="AQ650" s="84"/>
      <c r="AR650" s="79"/>
      <c r="AS650" s="79"/>
      <c r="AT650" s="79"/>
      <c r="AU650" s="80"/>
      <c r="AV650" s="79"/>
      <c r="AW650" s="38"/>
      <c r="AX650" s="79"/>
      <c r="AY650" s="38"/>
      <c r="AZ650" s="79"/>
      <c r="BA650" s="80"/>
      <c r="BB650" s="79"/>
      <c r="BC650" s="80"/>
      <c r="BD650" s="79"/>
      <c r="BE650" s="38"/>
      <c r="BF650" s="74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</row>
    <row r="651" ht="15.75" customHeight="1">
      <c r="A651" s="442" t="s">
        <v>3269</v>
      </c>
      <c r="B651" s="68" t="s">
        <v>2563</v>
      </c>
      <c r="C651" s="69" t="s">
        <v>123</v>
      </c>
      <c r="D651" s="200" t="s">
        <v>3270</v>
      </c>
      <c r="E651" s="138" t="s">
        <v>3271</v>
      </c>
      <c r="F651" s="417" t="s">
        <v>3272</v>
      </c>
      <c r="G651" s="140" t="s">
        <v>3273</v>
      </c>
      <c r="H651" s="186" t="s">
        <v>128</v>
      </c>
      <c r="I651" s="74" t="s">
        <v>156</v>
      </c>
      <c r="J651" s="155"/>
      <c r="K651" s="26">
        <v>1.0</v>
      </c>
      <c r="L651" s="26">
        <v>2017.0</v>
      </c>
      <c r="M651" s="25">
        <f t="shared" si="528"/>
        <v>8</v>
      </c>
      <c r="N651" s="26">
        <f t="shared" si="529"/>
        <v>2</v>
      </c>
      <c r="O651" s="27" t="str">
        <f t="shared" si="3"/>
        <v>#N/A</v>
      </c>
      <c r="P651" s="28"/>
      <c r="Q651" s="28"/>
      <c r="R651" s="28"/>
      <c r="S651" s="28"/>
      <c r="T651" s="29">
        <f t="shared" si="530"/>
        <v>1337500</v>
      </c>
      <c r="U651" s="28"/>
      <c r="V651" s="30">
        <f t="shared" si="425"/>
        <v>10700000</v>
      </c>
      <c r="W651" s="30"/>
      <c r="X651" s="73"/>
      <c r="Y651" s="33">
        <f t="shared" si="531"/>
        <v>0.08295906138</v>
      </c>
      <c r="Z651" s="692"/>
      <c r="AA651" s="665"/>
      <c r="AB651" s="74"/>
      <c r="AC651" s="74"/>
      <c r="AD651" s="79"/>
      <c r="AE651" s="84"/>
      <c r="AF651" s="175" t="str">
        <f>HYPERLINK("https://www.crunchbase.com/organization/realblocks#section-funding-rounds"," Jan 25, 2019")</f>
        <v> Jan 25, 2019</v>
      </c>
      <c r="AG651" s="84">
        <v>3700000.0</v>
      </c>
      <c r="AH651" s="74"/>
      <c r="AI651" s="78"/>
      <c r="AJ651" s="42">
        <v>44134.0</v>
      </c>
      <c r="AK651" s="76">
        <v>7000000.0</v>
      </c>
      <c r="AL651" s="79"/>
      <c r="AM651" s="84"/>
      <c r="AN651" s="79"/>
      <c r="AO651" s="84"/>
      <c r="AP651" s="79"/>
      <c r="AQ651" s="84"/>
      <c r="AR651" s="79"/>
      <c r="AS651" s="79"/>
      <c r="AT651" s="79"/>
      <c r="AU651" s="80"/>
      <c r="AV651" s="79"/>
      <c r="AW651" s="38"/>
      <c r="AX651" s="79"/>
      <c r="AY651" s="38"/>
      <c r="AZ651" s="79"/>
      <c r="BA651" s="80"/>
      <c r="BB651" s="79"/>
      <c r="BC651" s="80"/>
      <c r="BD651" s="79"/>
      <c r="BE651" s="38"/>
      <c r="BF651" s="74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</row>
    <row r="652" ht="15.75" customHeight="1">
      <c r="A652" s="442" t="s">
        <v>3274</v>
      </c>
      <c r="B652" s="68" t="s">
        <v>2206</v>
      </c>
      <c r="C652" s="68" t="s">
        <v>207</v>
      </c>
      <c r="D652" s="184" t="s">
        <v>3275</v>
      </c>
      <c r="E652" s="184" t="s">
        <v>3276</v>
      </c>
      <c r="F652" s="185" t="s">
        <v>3277</v>
      </c>
      <c r="G652" s="186" t="s">
        <v>3278</v>
      </c>
      <c r="H652" s="186" t="s">
        <v>587</v>
      </c>
      <c r="I652" s="74" t="s">
        <v>2240</v>
      </c>
      <c r="J652" s="155" t="s">
        <v>3279</v>
      </c>
      <c r="K652" s="74">
        <v>3.0</v>
      </c>
      <c r="L652" s="26">
        <v>2013.0</v>
      </c>
      <c r="M652" s="25">
        <f t="shared" si="528"/>
        <v>12</v>
      </c>
      <c r="N652" s="26">
        <f t="shared" si="529"/>
        <v>1</v>
      </c>
      <c r="O652" s="27" t="str">
        <f t="shared" si="3"/>
        <v>#N/A</v>
      </c>
      <c r="P652" s="28"/>
      <c r="Q652" s="28"/>
      <c r="R652" s="28"/>
      <c r="S652" s="28"/>
      <c r="T652" s="29">
        <f t="shared" si="530"/>
        <v>891666.6667</v>
      </c>
      <c r="U652" s="28"/>
      <c r="V652" s="30">
        <f t="shared" si="425"/>
        <v>10700000</v>
      </c>
      <c r="W652" s="30"/>
      <c r="X652" s="32"/>
      <c r="Y652" s="33">
        <f t="shared" si="531"/>
        <v>0</v>
      </c>
      <c r="Z652" s="692"/>
      <c r="AA652" s="665"/>
      <c r="AB652" s="74"/>
      <c r="AC652" s="74"/>
      <c r="AD652" s="79"/>
      <c r="AE652" s="84"/>
      <c r="AF652" s="338"/>
      <c r="AG652" s="84"/>
      <c r="AH652" s="842" t="str">
        <f>HYPERLINK("https://www.crunchbase.com/funding_round/tenantbase-series-unknown--4e1715af","Jun 13, 2018")</f>
        <v>Jun 13, 2018</v>
      </c>
      <c r="AI652" s="435">
        <v>1.07E7</v>
      </c>
      <c r="AJ652" s="79"/>
      <c r="AK652" s="84"/>
      <c r="AL652" s="79"/>
      <c r="AM652" s="84"/>
      <c r="AN652" s="79"/>
      <c r="AO652" s="84"/>
      <c r="AP652" s="79"/>
      <c r="AQ652" s="84"/>
      <c r="AR652" s="79"/>
      <c r="AS652" s="79"/>
      <c r="AT652" s="79"/>
      <c r="AU652" s="80"/>
      <c r="AV652" s="79"/>
      <c r="AW652" s="38"/>
      <c r="AX652" s="79"/>
      <c r="AY652" s="38"/>
      <c r="AZ652" s="79"/>
      <c r="BA652" s="80"/>
      <c r="BB652" s="79"/>
      <c r="BC652" s="80"/>
      <c r="BD652" s="79"/>
      <c r="BE652" s="38"/>
      <c r="BF652" s="74"/>
      <c r="BG652" s="115"/>
      <c r="BH652" s="115"/>
      <c r="BI652" s="115"/>
      <c r="BJ652" s="115"/>
      <c r="BK652" s="115"/>
      <c r="BL652" s="115"/>
      <c r="BM652" s="115"/>
      <c r="BN652" s="115"/>
      <c r="BO652" s="115"/>
      <c r="BP652" s="115"/>
      <c r="BQ652" s="115"/>
      <c r="BR652" s="115"/>
      <c r="BS652" s="115"/>
      <c r="BT652" s="115"/>
      <c r="BU652" s="115"/>
      <c r="BV652" s="115"/>
      <c r="BW652" s="115"/>
      <c r="BX652" s="115"/>
      <c r="BY652" s="115"/>
      <c r="BZ652" s="115"/>
      <c r="CA652" s="115"/>
      <c r="CB652" s="115"/>
      <c r="CC652" s="115"/>
      <c r="CD652" s="115"/>
      <c r="CE652" s="115"/>
      <c r="CF652" s="115"/>
      <c r="CG652" s="115"/>
      <c r="CH652" s="115"/>
      <c r="CI652" s="115"/>
      <c r="CJ652" s="115"/>
      <c r="CK652" s="115"/>
      <c r="CL652" s="115"/>
      <c r="CM652" s="115"/>
      <c r="CN652" s="115"/>
      <c r="CO652" s="115"/>
      <c r="CP652" s="115"/>
    </row>
    <row r="653" ht="15.75" customHeight="1">
      <c r="A653" s="400" t="s">
        <v>3280</v>
      </c>
      <c r="B653" s="115"/>
      <c r="C653" s="116" t="s">
        <v>68</v>
      </c>
      <c r="D653" s="449"/>
      <c r="E653" s="401" t="s">
        <v>3281</v>
      </c>
      <c r="F653" s="402" t="s">
        <v>3282</v>
      </c>
      <c r="G653" s="119" t="s">
        <v>3283</v>
      </c>
      <c r="H653" s="119" t="s">
        <v>328</v>
      </c>
      <c r="I653" s="25" t="s">
        <v>328</v>
      </c>
      <c r="J653" s="120" t="s">
        <v>3284</v>
      </c>
      <c r="K653" s="25">
        <v>2.0</v>
      </c>
      <c r="L653" s="25">
        <v>2017.0</v>
      </c>
      <c r="M653" s="123"/>
      <c r="N653" s="123"/>
      <c r="O653" s="27" t="str">
        <f t="shared" si="3"/>
        <v>#N/A</v>
      </c>
      <c r="P653" s="55"/>
      <c r="Q653" s="55"/>
      <c r="R653" s="55"/>
      <c r="S653" s="55"/>
      <c r="T653" s="55"/>
      <c r="U653" s="55"/>
      <c r="V653" s="30">
        <f t="shared" si="425"/>
        <v>10600000</v>
      </c>
      <c r="W653" s="30"/>
      <c r="X653" s="403"/>
      <c r="Y653" s="403"/>
      <c r="Z653" s="692"/>
      <c r="AA653" s="665"/>
      <c r="AB653" s="123"/>
      <c r="AC653" s="123"/>
      <c r="AD653" s="717"/>
      <c r="AE653" s="125"/>
      <c r="AF653" s="453"/>
      <c r="AG653" s="125"/>
      <c r="AH653" s="123"/>
      <c r="AI653" s="128"/>
      <c r="AJ653" s="404">
        <v>44459.0</v>
      </c>
      <c r="AK653" s="127">
        <v>1.06E7</v>
      </c>
      <c r="AL653" s="123"/>
      <c r="AM653" s="125"/>
      <c r="AN653" s="123"/>
      <c r="AO653" s="123"/>
      <c r="AP653" s="881"/>
      <c r="AQ653" s="123"/>
      <c r="AR653" s="123"/>
      <c r="AS653" s="123"/>
      <c r="AT653" s="123"/>
      <c r="AU653" s="137"/>
      <c r="AV653" s="123"/>
      <c r="AW653" s="38"/>
      <c r="AX653" s="123"/>
      <c r="AY653" s="38"/>
      <c r="AZ653" s="123"/>
      <c r="BA653" s="137"/>
      <c r="BB653" s="123"/>
      <c r="BC653" s="137"/>
      <c r="BD653" s="123"/>
      <c r="BE653" s="38"/>
      <c r="BF653" s="123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</row>
    <row r="654" ht="15.75" customHeight="1">
      <c r="A654" s="400" t="s">
        <v>3285</v>
      </c>
      <c r="B654" s="115"/>
      <c r="C654" s="116" t="s">
        <v>513</v>
      </c>
      <c r="D654" s="161" t="s">
        <v>3286</v>
      </c>
      <c r="E654" s="401" t="s">
        <v>3287</v>
      </c>
      <c r="F654" s="402" t="s">
        <v>3288</v>
      </c>
      <c r="G654" s="119" t="s">
        <v>3289</v>
      </c>
      <c r="H654" s="119" t="s">
        <v>205</v>
      </c>
      <c r="I654" s="25" t="s">
        <v>1338</v>
      </c>
      <c r="J654" s="120" t="s">
        <v>3290</v>
      </c>
      <c r="K654" s="25">
        <v>1.0</v>
      </c>
      <c r="L654" s="25">
        <v>2016.0</v>
      </c>
      <c r="M654" s="123"/>
      <c r="N654" s="123"/>
      <c r="O654" s="27" t="str">
        <f t="shared" si="3"/>
        <v>#N/A</v>
      </c>
      <c r="P654" s="55"/>
      <c r="Q654" s="55"/>
      <c r="R654" s="55"/>
      <c r="S654" s="55"/>
      <c r="T654" s="55"/>
      <c r="U654" s="55"/>
      <c r="V654" s="30">
        <f t="shared" si="425"/>
        <v>10600000</v>
      </c>
      <c r="W654" s="31">
        <v>750000.0</v>
      </c>
      <c r="X654" s="403"/>
      <c r="Y654" s="403"/>
      <c r="Z654" s="692"/>
      <c r="AA654" s="665"/>
      <c r="AB654" s="123"/>
      <c r="AC654" s="123"/>
      <c r="AD654" s="404">
        <v>43297.0</v>
      </c>
      <c r="AE654" s="125"/>
      <c r="AF654" s="404">
        <v>43467.0</v>
      </c>
      <c r="AG654" s="127">
        <v>2100000.0</v>
      </c>
      <c r="AH654" s="123"/>
      <c r="AI654" s="128"/>
      <c r="AJ654" s="404">
        <v>44672.0</v>
      </c>
      <c r="AK654" s="127">
        <v>8500000.0</v>
      </c>
      <c r="AL654" s="123"/>
      <c r="AM654" s="125"/>
      <c r="AN654" s="123"/>
      <c r="AO654" s="123"/>
      <c r="AP654" s="881"/>
      <c r="AQ654" s="123"/>
      <c r="AR654" s="123"/>
      <c r="AS654" s="123"/>
      <c r="AT654" s="123"/>
      <c r="AU654" s="137"/>
      <c r="AV654" s="123"/>
      <c r="AW654" s="38"/>
      <c r="AX654" s="123"/>
      <c r="AY654" s="38"/>
      <c r="AZ654" s="123"/>
      <c r="BA654" s="137"/>
      <c r="BB654" s="123"/>
      <c r="BC654" s="137"/>
      <c r="BD654" s="123"/>
      <c r="BE654" s="38"/>
      <c r="BF654" s="123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</row>
    <row r="655" ht="15.75" customHeight="1">
      <c r="A655" s="47" t="s">
        <v>3291</v>
      </c>
      <c r="C655" s="48" t="s">
        <v>68</v>
      </c>
      <c r="D655" s="49" t="s">
        <v>3292</v>
      </c>
      <c r="E655" s="617" t="s">
        <v>3293</v>
      </c>
      <c r="F655" s="749" t="s">
        <v>3294</v>
      </c>
      <c r="G655" s="353"/>
      <c r="H655" s="53" t="s">
        <v>256</v>
      </c>
      <c r="I655" s="54" t="s">
        <v>257</v>
      </c>
      <c r="J655" s="55"/>
      <c r="K655" s="54">
        <v>2.0</v>
      </c>
      <c r="L655" s="56">
        <v>2017.0</v>
      </c>
      <c r="M655" s="55"/>
      <c r="N655" s="55"/>
      <c r="O655" s="27" t="str">
        <f t="shared" si="3"/>
        <v>#N/A</v>
      </c>
      <c r="P655" s="55"/>
      <c r="Q655" s="55"/>
      <c r="R655" s="55"/>
      <c r="S655" s="55"/>
      <c r="T655" s="55"/>
      <c r="U655" s="55"/>
      <c r="V655" s="30">
        <f t="shared" si="425"/>
        <v>10600000</v>
      </c>
      <c r="W655" s="30"/>
      <c r="X655" s="58"/>
      <c r="Y655" s="58"/>
      <c r="Z655" s="692"/>
      <c r="AA655" s="665"/>
      <c r="AB655" s="55"/>
      <c r="AC655" s="55"/>
      <c r="AD655" s="62">
        <v>43344.0</v>
      </c>
      <c r="AE655" s="38">
        <v>500000.0</v>
      </c>
      <c r="AF655" s="62">
        <v>43872.0</v>
      </c>
      <c r="AG655" s="38">
        <v>3000000.0</v>
      </c>
      <c r="AH655" s="55"/>
      <c r="AI655" s="55"/>
      <c r="AJ655" s="62">
        <v>44935.0</v>
      </c>
      <c r="AK655" s="38">
        <v>7100000.0</v>
      </c>
      <c r="AL655" s="55"/>
      <c r="AM655" s="55"/>
      <c r="AN655" s="55"/>
      <c r="AO655" s="55"/>
      <c r="AP655" s="356"/>
      <c r="AQ655" s="356"/>
      <c r="AR655" s="55"/>
      <c r="AS655" s="55"/>
      <c r="AT655" s="55"/>
      <c r="AU655" s="722"/>
      <c r="AV655" s="55"/>
      <c r="AW655" s="38"/>
      <c r="AX655" s="55"/>
      <c r="AY655" s="38"/>
      <c r="AZ655" s="55"/>
      <c r="BA655" s="722"/>
      <c r="BB655" s="55"/>
      <c r="BC655" s="722"/>
      <c r="BD655" s="55"/>
      <c r="BE655" s="38"/>
      <c r="BF655" s="55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</row>
    <row r="656" ht="15.75" customHeight="1">
      <c r="A656" s="21" t="s">
        <v>3295</v>
      </c>
      <c r="B656" s="69"/>
      <c r="C656" s="69" t="s">
        <v>3296</v>
      </c>
      <c r="D656" s="192" t="s">
        <v>3297</v>
      </c>
      <c r="E656" s="192" t="s">
        <v>3298</v>
      </c>
      <c r="F656" s="659" t="s">
        <v>3299</v>
      </c>
      <c r="G656" s="71"/>
      <c r="H656" s="71"/>
      <c r="I656" s="26" t="s">
        <v>1272</v>
      </c>
      <c r="J656" s="72" t="s">
        <v>65</v>
      </c>
      <c r="K656" s="26"/>
      <c r="L656" s="26">
        <v>2019.0</v>
      </c>
      <c r="M656" s="25">
        <f>year(now()) -L656</f>
        <v>6</v>
      </c>
      <c r="N656" s="26">
        <f>counta(AE656,AG656,AI656,AK656,AM656,AO656,AQ656,AS656,AU656,AW656,AY656,BA656,BC656)</f>
        <v>1</v>
      </c>
      <c r="O656" s="27" t="str">
        <f t="shared" si="3"/>
        <v>#N/A</v>
      </c>
      <c r="P656" s="28"/>
      <c r="Q656" s="28"/>
      <c r="R656" s="28"/>
      <c r="S656" s="28"/>
      <c r="T656" s="29">
        <f>V656/M656</f>
        <v>1750000</v>
      </c>
      <c r="U656" s="28"/>
      <c r="V656" s="30">
        <f t="shared" si="425"/>
        <v>10500000</v>
      </c>
      <c r="W656" s="30"/>
      <c r="X656" s="73"/>
      <c r="Y656" s="33">
        <f>(max(AE656,AG656,AI656,AK656,AM656,AO656,AQ656,AS656,AU656,AW656,AY656,BA656,BC656)/min(AE656,AG656,AI656,AK656))^(1/M656)-1</f>
        <v>0</v>
      </c>
      <c r="Z656" s="692"/>
      <c r="AA656" s="665"/>
      <c r="AB656" s="74"/>
      <c r="AC656" s="74"/>
      <c r="AD656" s="79"/>
      <c r="AE656" s="84"/>
      <c r="AF656" s="320">
        <v>44048.0</v>
      </c>
      <c r="AG656" s="76">
        <v>1.05E7</v>
      </c>
      <c r="AH656" s="74"/>
      <c r="AI656" s="78"/>
      <c r="AJ656" s="79"/>
      <c r="AK656" s="76"/>
      <c r="AL656" s="279"/>
      <c r="AM656" s="846"/>
      <c r="AN656" s="79"/>
      <c r="AO656" s="76"/>
      <c r="AP656" s="79"/>
      <c r="AQ656" s="84"/>
      <c r="AR656" s="79"/>
      <c r="AS656" s="79"/>
      <c r="AT656" s="79"/>
      <c r="AU656" s="80"/>
      <c r="AV656" s="79"/>
      <c r="AW656" s="38"/>
      <c r="AX656" s="79"/>
      <c r="AY656" s="38"/>
      <c r="AZ656" s="79"/>
      <c r="BA656" s="80"/>
      <c r="BB656" s="79"/>
      <c r="BC656" s="80"/>
      <c r="BD656" s="79"/>
      <c r="BE656" s="38"/>
      <c r="BF656" s="74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</row>
    <row r="657" ht="15.75" customHeight="1">
      <c r="A657" s="47" t="s">
        <v>3300</v>
      </c>
      <c r="B657" s="68"/>
      <c r="C657" s="69" t="s">
        <v>123</v>
      </c>
      <c r="D657" s="48"/>
      <c r="E657" s="192" t="s">
        <v>3301</v>
      </c>
      <c r="F657" s="118" t="s">
        <v>3302</v>
      </c>
      <c r="G657" s="186"/>
      <c r="H657" s="71" t="s">
        <v>187</v>
      </c>
      <c r="I657" s="26" t="s">
        <v>188</v>
      </c>
      <c r="J657" s="155"/>
      <c r="K657" s="26">
        <v>2.0</v>
      </c>
      <c r="L657" s="26">
        <v>2015.0</v>
      </c>
      <c r="M657" s="25"/>
      <c r="N657" s="26"/>
      <c r="O657" s="27" t="str">
        <f t="shared" si="3"/>
        <v>#N/A</v>
      </c>
      <c r="P657" s="273"/>
      <c r="Q657" s="273"/>
      <c r="R657" s="273"/>
      <c r="S657" s="273"/>
      <c r="T657" s="273"/>
      <c r="U657" s="273"/>
      <c r="V657" s="30">
        <f t="shared" si="425"/>
        <v>10500000</v>
      </c>
      <c r="W657" s="30"/>
      <c r="X657" s="73"/>
      <c r="Y657" s="73"/>
      <c r="Z657" s="692"/>
      <c r="AA657" s="665"/>
      <c r="AB657" s="74"/>
      <c r="AC657" s="74"/>
      <c r="AD657" s="44"/>
      <c r="AE657" s="46"/>
      <c r="AF657" s="921" t="str">
        <f>HYPERLINK("https://www.crunchbase.com/funding_round/rheaply-seed--112431d3","Mar 17, 2020")</f>
        <v>Mar 17, 2020</v>
      </c>
      <c r="AG657" s="1309">
        <v>2500000.0</v>
      </c>
      <c r="AH657" s="36"/>
      <c r="AI657" s="41"/>
      <c r="AJ657" s="917" t="str">
        <f>HYPERLINK("https://www.crunchbase.com/funding_round/rheaply-series-a--773c7d3b","Feb 16, 2021")</f>
        <v>Feb 16, 2021</v>
      </c>
      <c r="AK657" s="38">
        <v>8000000.0</v>
      </c>
      <c r="AL657" s="44"/>
      <c r="AM657" s="84"/>
      <c r="AN657" s="79"/>
      <c r="AO657" s="84"/>
      <c r="AP657" s="79"/>
      <c r="AQ657" s="84"/>
      <c r="AR657" s="79"/>
      <c r="AS657" s="79"/>
      <c r="AT657" s="79"/>
      <c r="AU657" s="80"/>
      <c r="AV657" s="79"/>
      <c r="AW657" s="38"/>
      <c r="AX657" s="79"/>
      <c r="AY657" s="38"/>
      <c r="AZ657" s="79"/>
      <c r="BA657" s="80"/>
      <c r="BB657" s="79"/>
      <c r="BC657" s="80"/>
      <c r="BD657" s="79"/>
      <c r="BE657" s="38"/>
      <c r="BF657" s="74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68"/>
      <c r="CA657" s="68"/>
      <c r="CB657" s="68"/>
      <c r="CC657" s="68"/>
      <c r="CD657" s="68"/>
      <c r="CE657" s="68"/>
      <c r="CF657" s="68"/>
      <c r="CG657" s="68"/>
      <c r="CH657" s="68"/>
      <c r="CI657" s="68"/>
      <c r="CJ657" s="68"/>
      <c r="CK657" s="68"/>
      <c r="CL657" s="68"/>
      <c r="CM657" s="68"/>
      <c r="CN657" s="68"/>
      <c r="CO657" s="68"/>
      <c r="CP657" s="68"/>
    </row>
    <row r="658" ht="15.75" customHeight="1">
      <c r="A658" s="400" t="s">
        <v>3303</v>
      </c>
      <c r="B658" s="115"/>
      <c r="C658" s="116" t="s">
        <v>76</v>
      </c>
      <c r="D658" s="401" t="s">
        <v>3304</v>
      </c>
      <c r="E658" s="161" t="s">
        <v>3305</v>
      </c>
      <c r="F658" s="401" t="s">
        <v>3306</v>
      </c>
      <c r="G658" s="286"/>
      <c r="H658" s="119" t="s">
        <v>3307</v>
      </c>
      <c r="I658" s="25" t="s">
        <v>639</v>
      </c>
      <c r="J658" s="287"/>
      <c r="K658" s="25">
        <v>1.0</v>
      </c>
      <c r="L658" s="25">
        <v>2019.0</v>
      </c>
      <c r="M658" s="123"/>
      <c r="N658" s="123"/>
      <c r="O658" s="27" t="str">
        <f t="shared" si="3"/>
        <v>#N/A</v>
      </c>
      <c r="P658" s="55"/>
      <c r="Q658" s="55"/>
      <c r="R658" s="55"/>
      <c r="S658" s="55"/>
      <c r="T658" s="55"/>
      <c r="U658" s="55"/>
      <c r="V658" s="30">
        <f t="shared" si="425"/>
        <v>10462100</v>
      </c>
      <c r="W658" s="30"/>
      <c r="X658" s="403"/>
      <c r="Y658" s="403"/>
      <c r="Z658" s="692"/>
      <c r="AA658" s="665"/>
      <c r="AB658" s="123"/>
      <c r="AC658" s="123"/>
      <c r="AD658" s="589">
        <v>44136.0</v>
      </c>
      <c r="AE658" s="335">
        <v>184900.0</v>
      </c>
      <c r="AF658" s="623">
        <v>44868.0</v>
      </c>
      <c r="AG658" s="335">
        <v>1.01E7</v>
      </c>
      <c r="AH658" s="123"/>
      <c r="AI658" s="123"/>
      <c r="AJ658" s="123"/>
      <c r="AK658" s="123"/>
      <c r="AL658" s="123"/>
      <c r="AM658" s="123"/>
      <c r="AN658" s="123"/>
      <c r="AO658" s="123"/>
      <c r="AP658" s="123"/>
      <c r="AQ658" s="123"/>
      <c r="AR658" s="123"/>
      <c r="AS658" s="123"/>
      <c r="AT658" s="123"/>
      <c r="AU658" s="137"/>
      <c r="AV658" s="123"/>
      <c r="AW658" s="38"/>
      <c r="AX658" s="123"/>
      <c r="AY658" s="38"/>
      <c r="AZ658" s="123"/>
      <c r="BA658" s="137"/>
      <c r="BB658" s="404">
        <v>43831.0</v>
      </c>
      <c r="BC658" s="170">
        <v>177200.0</v>
      </c>
      <c r="BD658" s="123"/>
      <c r="BE658" s="38"/>
      <c r="BF658" s="123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68"/>
      <c r="CA658" s="68"/>
      <c r="CB658" s="68"/>
      <c r="CC658" s="68"/>
      <c r="CD658" s="68"/>
      <c r="CE658" s="68"/>
      <c r="CF658" s="68"/>
      <c r="CG658" s="68"/>
      <c r="CH658" s="68"/>
      <c r="CI658" s="68"/>
      <c r="CJ658" s="68"/>
      <c r="CK658" s="68"/>
      <c r="CL658" s="68"/>
      <c r="CM658" s="68"/>
      <c r="CN658" s="68"/>
      <c r="CO658" s="68"/>
      <c r="CP658" s="68"/>
    </row>
    <row r="659" ht="15.75" customHeight="1">
      <c r="A659" s="462" t="s">
        <v>3308</v>
      </c>
      <c r="B659" s="16"/>
      <c r="C659" s="17" t="s">
        <v>267</v>
      </c>
      <c r="D659" s="138" t="s">
        <v>3309</v>
      </c>
      <c r="E659" s="236" t="s">
        <v>3310</v>
      </c>
      <c r="F659" s="803" t="s">
        <v>3311</v>
      </c>
      <c r="G659" s="54" t="s">
        <v>3312</v>
      </c>
      <c r="H659" s="22" t="s">
        <v>839</v>
      </c>
      <c r="I659" s="23" t="s">
        <v>115</v>
      </c>
      <c r="J659" s="24" t="s">
        <v>3313</v>
      </c>
      <c r="K659" s="23">
        <v>2.0</v>
      </c>
      <c r="L659" s="23">
        <v>2019.0</v>
      </c>
      <c r="M659" s="25">
        <f>year(now()) -L659</f>
        <v>6</v>
      </c>
      <c r="N659" s="26">
        <f>counta(AE659,AG659,AI659,AK659,AM659,AO659,AQ659,AS659,AU659,AW659,AY659,BA659,BC659)</f>
        <v>3</v>
      </c>
      <c r="O659" s="27" t="str">
        <f t="shared" si="3"/>
        <v>#N/A</v>
      </c>
      <c r="P659" s="28"/>
      <c r="Q659" s="28"/>
      <c r="R659" s="28"/>
      <c r="S659" s="28"/>
      <c r="T659" s="29">
        <f>V659/M659</f>
        <v>1733333.333</v>
      </c>
      <c r="U659" s="28"/>
      <c r="V659" s="30">
        <f t="shared" si="425"/>
        <v>10400000</v>
      </c>
      <c r="W659" s="30"/>
      <c r="X659" s="33"/>
      <c r="Y659" s="33">
        <f>(max(AE659,AG659,AI659,AK659,AM659,AO659,AQ659,AS659,AU659,AW659,AY659,BA659,BC659)/min(AE659,AG659,AI659,AK659))^(1/M659)-1</f>
        <v>0.2363468541</v>
      </c>
      <c r="Z659" s="692"/>
      <c r="AA659" s="665"/>
      <c r="AB659" s="36"/>
      <c r="AC659" s="36"/>
      <c r="AD659" s="43" t="str">
        <f>HYPERLINK("https://www.crunchbase.com/funding_round/buildforce-pre-seed--76c4b809","Feb 11, 2021")</f>
        <v>Feb 11, 2021</v>
      </c>
      <c r="AE659" s="38">
        <v>1400000.0</v>
      </c>
      <c r="AF659" s="726">
        <v>44419.0</v>
      </c>
      <c r="AG659" s="38">
        <v>4000000.0</v>
      </c>
      <c r="AH659" s="46"/>
      <c r="AI659" s="159"/>
      <c r="AJ659" s="44"/>
      <c r="AK659" s="46"/>
      <c r="AL659" s="44"/>
      <c r="AM659" s="46"/>
      <c r="AN659" s="44"/>
      <c r="AO659" s="46"/>
      <c r="AP659" s="44"/>
      <c r="AQ659" s="46"/>
      <c r="AR659" s="44"/>
      <c r="AS659" s="44"/>
      <c r="AT659" s="44"/>
      <c r="AU659" s="45"/>
      <c r="AV659" s="44"/>
      <c r="AW659" s="38"/>
      <c r="AX659" s="44"/>
      <c r="AY659" s="38"/>
      <c r="AZ659" s="75">
        <v>44879.0</v>
      </c>
      <c r="BA659" s="229">
        <v>5000000.0</v>
      </c>
      <c r="BB659" s="44"/>
      <c r="BC659" s="45"/>
      <c r="BD659" s="44"/>
      <c r="BE659" s="38"/>
      <c r="BF659" s="4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</row>
    <row r="660" ht="15.75" customHeight="1">
      <c r="A660" s="21" t="s">
        <v>3314</v>
      </c>
      <c r="B660" s="68"/>
      <c r="C660" s="69" t="s">
        <v>132</v>
      </c>
      <c r="D660" s="269"/>
      <c r="E660" s="192" t="s">
        <v>3315</v>
      </c>
      <c r="F660" s="118" t="s">
        <v>3316</v>
      </c>
      <c r="G660" s="71"/>
      <c r="H660" s="71" t="s">
        <v>3317</v>
      </c>
      <c r="I660" s="26" t="s">
        <v>3318</v>
      </c>
      <c r="J660" s="155"/>
      <c r="K660" s="26">
        <v>2.0</v>
      </c>
      <c r="L660" s="142">
        <v>2018.0</v>
      </c>
      <c r="M660" s="25"/>
      <c r="N660" s="26"/>
      <c r="O660" s="27" t="str">
        <f t="shared" si="3"/>
        <v>#N/A</v>
      </c>
      <c r="P660" s="273"/>
      <c r="Q660" s="273"/>
      <c r="R660" s="273"/>
      <c r="S660" s="273"/>
      <c r="T660" s="273"/>
      <c r="U660" s="273"/>
      <c r="V660" s="30">
        <f t="shared" si="425"/>
        <v>10380000</v>
      </c>
      <c r="W660" s="30"/>
      <c r="X660" s="73"/>
      <c r="Y660" s="73"/>
      <c r="Z660" s="692"/>
      <c r="AA660" s="665"/>
      <c r="AB660" s="74"/>
      <c r="AC660" s="74"/>
      <c r="AD660" s="79"/>
      <c r="AE660" s="84"/>
      <c r="AF660" s="225" t="str">
        <f>HYPERLINK("https://www.crunchbase.com/funding_round/sumutasu-seed--68dbe2da","Oct 9, 2018")</f>
        <v>Oct 9, 2018</v>
      </c>
      <c r="AG660" s="76">
        <v>380000.0</v>
      </c>
      <c r="AH660" s="74"/>
      <c r="AI660" s="78"/>
      <c r="AJ660" s="42"/>
      <c r="AK660" s="76"/>
      <c r="AL660" s="857" t="str">
        <f>HYPERLINK("https://www.crunchbase.com/funding_round/sumutasu-series-b--9d76fc67","Apr 27, 2022")</f>
        <v>Apr 27, 2022</v>
      </c>
      <c r="AM660" s="76">
        <v>1.0E7</v>
      </c>
      <c r="AN660" s="79"/>
      <c r="AO660" s="84"/>
      <c r="AP660" s="79"/>
      <c r="AQ660" s="84"/>
      <c r="AR660" s="79"/>
      <c r="AS660" s="79"/>
      <c r="AT660" s="79"/>
      <c r="AU660" s="80"/>
      <c r="AV660" s="79"/>
      <c r="AW660" s="38"/>
      <c r="AX660" s="79"/>
      <c r="AY660" s="38"/>
      <c r="AZ660" s="79"/>
      <c r="BA660" s="80"/>
      <c r="BB660" s="79"/>
      <c r="BC660" s="80"/>
      <c r="BD660" s="79"/>
      <c r="BE660" s="38"/>
      <c r="BF660" s="74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</row>
    <row r="661" ht="15.75" customHeight="1">
      <c r="A661" s="400" t="s">
        <v>3319</v>
      </c>
      <c r="B661" s="115"/>
      <c r="C661" s="116" t="s">
        <v>68</v>
      </c>
      <c r="D661" s="161" t="s">
        <v>3320</v>
      </c>
      <c r="E661" s="161" t="s">
        <v>3321</v>
      </c>
      <c r="F661" s="402" t="s">
        <v>3322</v>
      </c>
      <c r="G661" s="286"/>
      <c r="H661" s="119" t="s">
        <v>187</v>
      </c>
      <c r="I661" s="25" t="s">
        <v>188</v>
      </c>
      <c r="J661" s="287"/>
      <c r="K661" s="25">
        <v>2.0</v>
      </c>
      <c r="L661" s="25">
        <v>2018.0</v>
      </c>
      <c r="M661" s="123"/>
      <c r="N661" s="123"/>
      <c r="O661" s="27" t="str">
        <f t="shared" si="3"/>
        <v>#N/A</v>
      </c>
      <c r="P661" s="55"/>
      <c r="Q661" s="55"/>
      <c r="R661" s="55"/>
      <c r="S661" s="55"/>
      <c r="T661" s="55"/>
      <c r="U661" s="55"/>
      <c r="V661" s="30">
        <f t="shared" si="425"/>
        <v>10300000</v>
      </c>
      <c r="W661" s="31">
        <v>1000000.0</v>
      </c>
      <c r="X661" s="403"/>
      <c r="Y661" s="403"/>
      <c r="Z661" s="692"/>
      <c r="AA661" s="665"/>
      <c r="AB661" s="123"/>
      <c r="AC661" s="123"/>
      <c r="AD661" s="404">
        <v>43971.0</v>
      </c>
      <c r="AE661" s="170">
        <v>1800000.0</v>
      </c>
      <c r="AF661" s="880">
        <v>44371.0</v>
      </c>
      <c r="AG661" s="170">
        <v>3000000.0</v>
      </c>
      <c r="AH661" s="123"/>
      <c r="AI661" s="123"/>
      <c r="AJ661" s="404">
        <v>44805.0</v>
      </c>
      <c r="AK661" s="170">
        <v>5500000.0</v>
      </c>
      <c r="AL661" s="123"/>
      <c r="AM661" s="123"/>
      <c r="AN661" s="123"/>
      <c r="AO661" s="123"/>
      <c r="AP661" s="123"/>
      <c r="AQ661" s="123"/>
      <c r="AR661" s="123"/>
      <c r="AS661" s="123"/>
      <c r="AT661" s="123"/>
      <c r="AU661" s="137"/>
      <c r="AV661" s="123"/>
      <c r="AW661" s="38"/>
      <c r="AX661" s="123"/>
      <c r="AY661" s="38"/>
      <c r="AZ661" s="123"/>
      <c r="BA661" s="137"/>
      <c r="BB661" s="123"/>
      <c r="BC661" s="137"/>
      <c r="BD661" s="123"/>
      <c r="BE661" s="38"/>
      <c r="BF661" s="123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</row>
    <row r="662" ht="15.75" customHeight="1">
      <c r="A662" s="400" t="s">
        <v>3323</v>
      </c>
      <c r="B662" s="115"/>
      <c r="C662" s="116" t="s">
        <v>132</v>
      </c>
      <c r="D662" s="161" t="s">
        <v>3324</v>
      </c>
      <c r="E662" s="161" t="s">
        <v>3325</v>
      </c>
      <c r="F662" s="402" t="s">
        <v>3326</v>
      </c>
      <c r="G662" s="286"/>
      <c r="H662" s="119" t="s">
        <v>328</v>
      </c>
      <c r="I662" s="25" t="s">
        <v>329</v>
      </c>
      <c r="J662" s="287"/>
      <c r="K662" s="25">
        <v>2.0</v>
      </c>
      <c r="L662" s="25">
        <v>2016.0</v>
      </c>
      <c r="M662" s="25">
        <f t="shared" ref="M662:M663" si="532">year(now()) -L662</f>
        <v>9</v>
      </c>
      <c r="N662" s="26">
        <f t="shared" ref="N662:N663" si="533">counta(AE662,AG662,AI662,AK662,AM662,AO662,AQ662,AS662,AU662,AW662,AY662,BA662,BC662)</f>
        <v>2</v>
      </c>
      <c r="O662" s="27" t="str">
        <f t="shared" si="3"/>
        <v>#N/A</v>
      </c>
      <c r="P662" s="28"/>
      <c r="Q662" s="28"/>
      <c r="R662" s="28"/>
      <c r="S662" s="28"/>
      <c r="T662" s="29">
        <f t="shared" ref="T662:T663" si="534">V662/M662</f>
        <v>1133333.333</v>
      </c>
      <c r="U662" s="28"/>
      <c r="V662" s="30">
        <f t="shared" si="425"/>
        <v>10200000</v>
      </c>
      <c r="W662" s="30"/>
      <c r="X662" s="597"/>
      <c r="Y662" s="33">
        <f t="shared" ref="Y662:Y663" si="535">(max(AE662,AG662,AI662,AK662,AM662,AO662,AQ662,AS662,AU662,AW662,AY662,BA662,BC662)/min(AE662,AG662,AI662,AK662))^(1/M662)-1</f>
        <v>0.09086750944</v>
      </c>
      <c r="Z662" s="692"/>
      <c r="AA662" s="665"/>
      <c r="AB662" s="123"/>
      <c r="AC662" s="123"/>
      <c r="AD662" s="124"/>
      <c r="AE662" s="125"/>
      <c r="AF662" s="126" t="str">
        <f>HYPERLINK("https://www.crunchbase.com/funding_round/proportunity-seed--62b17b1d","Oct 17, 2019")</f>
        <v>Oct 17, 2019</v>
      </c>
      <c r="AG662" s="1310">
        <v>3200000.0</v>
      </c>
      <c r="AH662" s="123"/>
      <c r="AI662" s="128"/>
      <c r="AJ662" s="167" t="str">
        <f>HYPERLINK("https://www.crunchbase.com/funding_round/proportunity-series-a--0798bd73","Sep 29, 2021")</f>
        <v>Sep 29, 2021</v>
      </c>
      <c r="AK662" s="127">
        <v>7000000.0</v>
      </c>
      <c r="AL662" s="124"/>
      <c r="AM662" s="125"/>
      <c r="AN662" s="124"/>
      <c r="AO662" s="125"/>
      <c r="AP662" s="124"/>
      <c r="AQ662" s="125"/>
      <c r="AR662" s="124"/>
      <c r="AS662" s="124"/>
      <c r="AT662" s="124"/>
      <c r="AU662" s="137"/>
      <c r="AV662" s="124"/>
      <c r="AW662" s="38"/>
      <c r="AX662" s="124"/>
      <c r="AY662" s="38"/>
      <c r="AZ662" s="124"/>
      <c r="BA662" s="137"/>
      <c r="BB662" s="124"/>
      <c r="BC662" s="137"/>
      <c r="BD662" s="124"/>
      <c r="BE662" s="38"/>
      <c r="BF662" s="123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  <c r="CO662" s="68"/>
      <c r="CP662" s="68"/>
    </row>
    <row r="663" ht="15.75" customHeight="1">
      <c r="A663" s="21" t="s">
        <v>3327</v>
      </c>
      <c r="B663" s="68"/>
      <c r="C663" s="69" t="s">
        <v>84</v>
      </c>
      <c r="D663" s="200" t="s">
        <v>3328</v>
      </c>
      <c r="E663" s="200" t="s">
        <v>3329</v>
      </c>
      <c r="F663" s="173" t="s">
        <v>3330</v>
      </c>
      <c r="G663" s="54" t="s">
        <v>3331</v>
      </c>
      <c r="H663" s="1311" t="s">
        <v>3332</v>
      </c>
      <c r="I663" s="1311" t="s">
        <v>772</v>
      </c>
      <c r="J663" s="72" t="s">
        <v>3333</v>
      </c>
      <c r="K663" s="26">
        <v>1.0</v>
      </c>
      <c r="L663" s="26">
        <v>2015.0</v>
      </c>
      <c r="M663" s="25">
        <f t="shared" si="532"/>
        <v>10</v>
      </c>
      <c r="N663" s="26">
        <f t="shared" si="533"/>
        <v>3</v>
      </c>
      <c r="O663" s="27" t="str">
        <f t="shared" si="3"/>
        <v>#N/A</v>
      </c>
      <c r="P663" s="28"/>
      <c r="Q663" s="28"/>
      <c r="R663" s="28"/>
      <c r="S663" s="28"/>
      <c r="T663" s="29">
        <f t="shared" si="534"/>
        <v>1020000</v>
      </c>
      <c r="U663" s="28"/>
      <c r="V663" s="30">
        <f t="shared" si="425"/>
        <v>10200000</v>
      </c>
      <c r="W663" s="30"/>
      <c r="X663" s="73"/>
      <c r="Y663" s="33">
        <f t="shared" si="535"/>
        <v>0.1579297436</v>
      </c>
      <c r="Z663" s="692"/>
      <c r="AA663" s="665"/>
      <c r="AB663" s="74"/>
      <c r="AC663" s="74"/>
      <c r="AD663" s="426" t="str">
        <f>HYPERLINK("https://www.crunchbase.com/organization/turbo-tenant-llc#section-funding-rounds"," Apr 18, 2017")</f>
        <v> Apr 18, 2017</v>
      </c>
      <c r="AE663" s="76">
        <v>1500000.0</v>
      </c>
      <c r="AF663" s="338"/>
      <c r="AG663" s="76"/>
      <c r="AH663" s="859" t="str">
        <f>HYPERLINK("https://www.crunchbase.com/funding_round/turbo-tenant-llc-series-unknown--87af2c96","Sep 4, 2018")</f>
        <v>Sep 4, 2018</v>
      </c>
      <c r="AI663" s="435">
        <v>2200000.0</v>
      </c>
      <c r="AJ663" s="426" t="str">
        <f>HYPERLINK("https://www.crunchbase.com/funding_round/turbo-tenant-llc-series-a--43fc5589","Jul 18, 2019")</f>
        <v>Jul 18, 2019</v>
      </c>
      <c r="AK663" s="76">
        <v>6500000.0</v>
      </c>
      <c r="AL663" s="79"/>
      <c r="AM663" s="84"/>
      <c r="AN663" s="79"/>
      <c r="AO663" s="84"/>
      <c r="AP663" s="79"/>
      <c r="AQ663" s="84"/>
      <c r="AR663" s="79"/>
      <c r="AS663" s="79"/>
      <c r="AT663" s="79"/>
      <c r="AU663" s="80"/>
      <c r="AV663" s="79"/>
      <c r="AW663" s="38"/>
      <c r="AX663" s="79"/>
      <c r="AY663" s="38"/>
      <c r="AZ663" s="79"/>
      <c r="BA663" s="80"/>
      <c r="BB663" s="79"/>
      <c r="BC663" s="80"/>
      <c r="BD663" s="79"/>
      <c r="BE663" s="38"/>
      <c r="BF663" s="74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</row>
    <row r="664" ht="15.75" customHeight="1">
      <c r="A664" s="400" t="s">
        <v>3334</v>
      </c>
      <c r="B664" s="115"/>
      <c r="C664" s="116" t="s">
        <v>76</v>
      </c>
      <c r="D664" s="401" t="s">
        <v>3335</v>
      </c>
      <c r="E664" s="401" t="s">
        <v>3336</v>
      </c>
      <c r="F664" s="402" t="s">
        <v>3337</v>
      </c>
      <c r="G664" s="119" t="s">
        <v>3338</v>
      </c>
      <c r="H664" s="119" t="s">
        <v>601</v>
      </c>
      <c r="I664" s="25" t="s">
        <v>128</v>
      </c>
      <c r="J664" s="120" t="s">
        <v>3339</v>
      </c>
      <c r="K664" s="25">
        <v>1.0</v>
      </c>
      <c r="L664" s="25">
        <v>2019.0</v>
      </c>
      <c r="M664" s="123"/>
      <c r="N664" s="123"/>
      <c r="O664" s="27" t="str">
        <f t="shared" si="3"/>
        <v>#N/A</v>
      </c>
      <c r="P664" s="55"/>
      <c r="Q664" s="55"/>
      <c r="R664" s="55"/>
      <c r="S664" s="55"/>
      <c r="T664" s="55"/>
      <c r="U664" s="55"/>
      <c r="V664" s="30">
        <f t="shared" si="425"/>
        <v>10200000</v>
      </c>
      <c r="W664" s="30"/>
      <c r="X664" s="403"/>
      <c r="Y664" s="403"/>
      <c r="Z664" s="692"/>
      <c r="AA664" s="665"/>
      <c r="AB664" s="123"/>
      <c r="AC664" s="123"/>
      <c r="AD664" s="404">
        <v>44218.0</v>
      </c>
      <c r="AE664" s="127">
        <v>1500000.0</v>
      </c>
      <c r="AF664" s="404">
        <v>44683.0</v>
      </c>
      <c r="AG664" s="127">
        <v>8700000.0</v>
      </c>
      <c r="AH664" s="123"/>
      <c r="AI664" s="128"/>
      <c r="AJ664" s="123"/>
      <c r="AK664" s="123"/>
      <c r="AL664" s="123"/>
      <c r="AM664" s="123"/>
      <c r="AN664" s="123"/>
      <c r="AO664" s="123"/>
      <c r="AP664" s="881"/>
      <c r="AQ664" s="123"/>
      <c r="AR664" s="123"/>
      <c r="AS664" s="123"/>
      <c r="AT664" s="123"/>
      <c r="AU664" s="137"/>
      <c r="AV664" s="123"/>
      <c r="AW664" s="38"/>
      <c r="AX664" s="123"/>
      <c r="AY664" s="38"/>
      <c r="AZ664" s="123"/>
      <c r="BA664" s="137"/>
      <c r="BB664" s="123"/>
      <c r="BC664" s="137"/>
      <c r="BD664" s="123"/>
      <c r="BE664" s="38"/>
      <c r="BF664" s="123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</row>
    <row r="665" ht="15.75" customHeight="1">
      <c r="A665" s="47" t="s">
        <v>3340</v>
      </c>
      <c r="C665" s="48" t="s">
        <v>76</v>
      </c>
      <c r="D665" s="351"/>
      <c r="E665" s="49" t="s">
        <v>3341</v>
      </c>
      <c r="F665" s="352" t="s">
        <v>3342</v>
      </c>
      <c r="G665" s="353"/>
      <c r="H665" s="53" t="s">
        <v>3343</v>
      </c>
      <c r="I665" s="54" t="s">
        <v>2501</v>
      </c>
      <c r="J665" s="55"/>
      <c r="K665" s="55"/>
      <c r="L665" s="56">
        <v>2015.0</v>
      </c>
      <c r="M665" s="55"/>
      <c r="N665" s="55"/>
      <c r="O665" s="27" t="str">
        <f t="shared" si="3"/>
        <v>#N/A</v>
      </c>
      <c r="P665" s="55"/>
      <c r="Q665" s="55"/>
      <c r="R665" s="55"/>
      <c r="S665" s="55"/>
      <c r="T665" s="55"/>
      <c r="U665" s="55"/>
      <c r="V665" s="30">
        <f t="shared" si="425"/>
        <v>10200000</v>
      </c>
      <c r="W665" s="30"/>
      <c r="X665" s="58"/>
      <c r="Y665" s="58"/>
      <c r="Z665" s="692"/>
      <c r="AA665" s="665"/>
      <c r="AB665" s="55"/>
      <c r="AC665" s="55"/>
      <c r="AD665" s="355"/>
      <c r="AE665" s="55"/>
      <c r="AF665" s="355"/>
      <c r="AG665" s="55"/>
      <c r="AH665" s="55"/>
      <c r="AI665" s="55"/>
      <c r="AJ665" s="62">
        <v>43161.0</v>
      </c>
      <c r="AK665" s="55"/>
      <c r="AL665" s="62">
        <v>43732.0</v>
      </c>
      <c r="AM665" s="55"/>
      <c r="AN665" s="62">
        <v>44931.0</v>
      </c>
      <c r="AO665" s="76">
        <v>1.02E7</v>
      </c>
      <c r="AP665" s="356"/>
      <c r="AQ665" s="356"/>
      <c r="AR665" s="55"/>
      <c r="AS665" s="55"/>
      <c r="AT665" s="55"/>
      <c r="AU665" s="722"/>
      <c r="AV665" s="55"/>
      <c r="AW665" s="38"/>
      <c r="AX665" s="55"/>
      <c r="AY665" s="38"/>
      <c r="AZ665" s="55"/>
      <c r="BA665" s="722"/>
      <c r="BB665" s="55"/>
      <c r="BC665" s="722"/>
      <c r="BD665" s="55"/>
      <c r="BE665" s="38"/>
      <c r="BF665" s="55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</row>
    <row r="666" ht="15.75" customHeight="1">
      <c r="A666" s="48" t="s">
        <v>3344</v>
      </c>
      <c r="B666" s="1312"/>
      <c r="C666" s="1313" t="s">
        <v>59</v>
      </c>
      <c r="D666" s="1314" t="s">
        <v>3345</v>
      </c>
      <c r="E666" s="270" t="s">
        <v>3346</v>
      </c>
      <c r="F666" s="1047" t="s">
        <v>3347</v>
      </c>
      <c r="G666" s="1315" t="s">
        <v>3348</v>
      </c>
      <c r="H666" s="1315" t="s">
        <v>1065</v>
      </c>
      <c r="I666" s="1316" t="s">
        <v>1935</v>
      </c>
      <c r="J666" s="1317" t="s">
        <v>3349</v>
      </c>
      <c r="K666" s="1315">
        <v>2.0</v>
      </c>
      <c r="L666" s="1316">
        <v>2020.0</v>
      </c>
      <c r="M666" s="939"/>
      <c r="N666" s="1315"/>
      <c r="O666" s="27" t="str">
        <f t="shared" si="3"/>
        <v>#N/A</v>
      </c>
      <c r="P666" s="1099"/>
      <c r="Q666" s="1099"/>
      <c r="R666" s="1099"/>
      <c r="S666" s="1099"/>
      <c r="T666" s="1099"/>
      <c r="U666" s="1099"/>
      <c r="V666" s="30">
        <f t="shared" si="425"/>
        <v>10000000</v>
      </c>
      <c r="W666" s="30"/>
      <c r="X666" s="1318"/>
      <c r="Y666" s="1318"/>
      <c r="Z666" s="692"/>
      <c r="AA666" s="665"/>
      <c r="AB666" s="1099"/>
      <c r="AC666" s="1099"/>
      <c r="AD666" s="1191"/>
      <c r="AE666" s="1319"/>
      <c r="AF666" s="1320">
        <v>44287.0</v>
      </c>
      <c r="AG666" s="1319">
        <f>2000000</f>
        <v>2000000</v>
      </c>
      <c r="AH666" s="1185"/>
      <c r="AI666" s="1319"/>
      <c r="AJ666" s="1321">
        <v>44727.0</v>
      </c>
      <c r="AK666" s="1322">
        <v>8000000.0</v>
      </c>
      <c r="AL666" s="1191"/>
      <c r="AM666" s="1319"/>
      <c r="AN666" s="1191"/>
      <c r="AO666" s="1319"/>
      <c r="AP666" s="1191"/>
      <c r="AQ666" s="1319"/>
      <c r="AR666" s="1191"/>
      <c r="AS666" s="1191"/>
      <c r="AT666" s="1191"/>
      <c r="AU666" s="1192"/>
      <c r="AV666" s="1191"/>
      <c r="AW666" s="38"/>
      <c r="AX666" s="1191"/>
      <c r="AY666" s="38"/>
      <c r="AZ666" s="1191"/>
      <c r="BA666" s="1192"/>
      <c r="BB666" s="1191"/>
      <c r="BC666" s="1192"/>
      <c r="BD666" s="1191"/>
      <c r="BE666" s="38"/>
      <c r="BF666" s="1099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</row>
    <row r="667" ht="15.75" customHeight="1">
      <c r="A667" s="245" t="s">
        <v>3350</v>
      </c>
      <c r="B667" s="16"/>
      <c r="C667" s="17" t="s">
        <v>132</v>
      </c>
      <c r="D667" s="18" t="s">
        <v>3351</v>
      </c>
      <c r="E667" s="138" t="s">
        <v>3352</v>
      </c>
      <c r="F667" s="18" t="s">
        <v>3353</v>
      </c>
      <c r="G667" s="22" t="s">
        <v>3354</v>
      </c>
      <c r="H667" s="22" t="s">
        <v>114</v>
      </c>
      <c r="I667" s="23" t="s">
        <v>115</v>
      </c>
      <c r="J667" s="24" t="s">
        <v>3355</v>
      </c>
      <c r="K667" s="23">
        <v>2.0</v>
      </c>
      <c r="L667" s="17">
        <v>2020.0</v>
      </c>
      <c r="M667" s="25">
        <f t="shared" ref="M667:M675" si="536">year(now()) -L667</f>
        <v>5</v>
      </c>
      <c r="N667" s="26">
        <f t="shared" ref="N667:N675" si="537">counta(AE667,AG667,AI667,AK667,AM667,AO667,AQ667,AS667,AU667,AW667,AY667,BA667,BC667)</f>
        <v>1</v>
      </c>
      <c r="O667" s="27" t="str">
        <f t="shared" si="3"/>
        <v>#N/A</v>
      </c>
      <c r="P667" s="28"/>
      <c r="Q667" s="28"/>
      <c r="R667" s="28"/>
      <c r="S667" s="28"/>
      <c r="T667" s="29">
        <f t="shared" ref="T667:T675" si="538">V667/M667</f>
        <v>2000000</v>
      </c>
      <c r="U667" s="28"/>
      <c r="V667" s="30">
        <f t="shared" si="425"/>
        <v>10000000</v>
      </c>
      <c r="W667" s="30"/>
      <c r="X667" s="33"/>
      <c r="Y667" s="33">
        <f t="shared" ref="Y667:Y675" si="539">(max(AE667,AG667,AI667,AK667,AM667,AO667,AQ667,AS667,AU667,AW667,AY667,BA667,BC667)/min(AE667,AG667,AI667,AK667))^(1/M667)-1</f>
        <v>0</v>
      </c>
      <c r="Z667" s="692"/>
      <c r="AA667" s="665"/>
      <c r="AB667" s="36"/>
      <c r="AC667" s="36"/>
      <c r="AD667" s="44"/>
      <c r="AE667" s="46"/>
      <c r="AF667" s="872"/>
      <c r="AG667" s="46"/>
      <c r="AH667" s="36"/>
      <c r="AI667" s="46"/>
      <c r="AJ667" s="755" t="str">
        <f>HYPERLINK("https://www.crunchbase.com/funding_round/anthemiq-series-a--0fffae31","May 10, 2021")</f>
        <v>May 10, 2021</v>
      </c>
      <c r="AK667" s="38">
        <v>1.0E7</v>
      </c>
      <c r="AL667" s="44"/>
      <c r="AM667" s="46"/>
      <c r="AN667" s="37"/>
      <c r="AO667" s="38"/>
      <c r="AP667" s="44"/>
      <c r="AQ667" s="46"/>
      <c r="AR667" s="44"/>
      <c r="AS667" s="44"/>
      <c r="AT667" s="44"/>
      <c r="AU667" s="45"/>
      <c r="AV667" s="44"/>
      <c r="AW667" s="38"/>
      <c r="AX667" s="44"/>
      <c r="AY667" s="38"/>
      <c r="AZ667" s="44"/>
      <c r="BA667" s="45"/>
      <c r="BB667" s="44"/>
      <c r="BC667" s="45"/>
      <c r="BD667" s="44"/>
      <c r="BE667" s="38"/>
      <c r="BF667" s="36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</row>
    <row r="668" ht="15.75" customHeight="1">
      <c r="A668" s="866" t="s">
        <v>3356</v>
      </c>
      <c r="B668" s="16"/>
      <c r="C668" s="17" t="s">
        <v>3357</v>
      </c>
      <c r="D668" s="184"/>
      <c r="E668" s="236" t="s">
        <v>3358</v>
      </c>
      <c r="F668" s="803" t="s">
        <v>3359</v>
      </c>
      <c r="G668" s="317"/>
      <c r="H668" s="22" t="s">
        <v>129</v>
      </c>
      <c r="I668" s="23" t="s">
        <v>129</v>
      </c>
      <c r="J668" s="237"/>
      <c r="K668" s="36"/>
      <c r="L668" s="23">
        <v>2017.0</v>
      </c>
      <c r="M668" s="25">
        <f t="shared" si="536"/>
        <v>8</v>
      </c>
      <c r="N668" s="26">
        <f t="shared" si="537"/>
        <v>1</v>
      </c>
      <c r="O668" s="27" t="str">
        <f t="shared" si="3"/>
        <v>#N/A</v>
      </c>
      <c r="P668" s="28"/>
      <c r="Q668" s="28"/>
      <c r="R668" s="28"/>
      <c r="S668" s="28"/>
      <c r="T668" s="29">
        <f t="shared" si="538"/>
        <v>1250000</v>
      </c>
      <c r="U668" s="28"/>
      <c r="V668" s="30">
        <f t="shared" si="425"/>
        <v>10000000</v>
      </c>
      <c r="W668" s="30"/>
      <c r="X668" s="847"/>
      <c r="Y668" s="33">
        <f t="shared" si="539"/>
        <v>0</v>
      </c>
      <c r="Z668" s="692"/>
      <c r="AA668" s="665"/>
      <c r="AB668" s="36"/>
      <c r="AC668" s="36"/>
      <c r="AD668" s="44"/>
      <c r="AE668" s="46"/>
      <c r="AF668" s="320">
        <v>43102.0</v>
      </c>
      <c r="AG668" s="38">
        <v>1.0E7</v>
      </c>
      <c r="AH668" s="36"/>
      <c r="AI668" s="159"/>
      <c r="AJ668" s="44"/>
      <c r="AK668" s="46"/>
      <c r="AL668" s="44"/>
      <c r="AM668" s="46"/>
      <c r="AN668" s="37"/>
      <c r="AO668" s="38"/>
      <c r="AP668" s="44"/>
      <c r="AQ668" s="46"/>
      <c r="AR668" s="44"/>
      <c r="AS668" s="44"/>
      <c r="AT668" s="44"/>
      <c r="AU668" s="45"/>
      <c r="AV668" s="44"/>
      <c r="AW668" s="38"/>
      <c r="AX668" s="44"/>
      <c r="AY668" s="38"/>
      <c r="AZ668" s="44"/>
      <c r="BA668" s="45"/>
      <c r="BB668" s="44"/>
      <c r="BC668" s="45"/>
      <c r="BD668" s="44"/>
      <c r="BE668" s="38"/>
      <c r="BF668" s="3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</row>
    <row r="669" ht="15.75" customHeight="1">
      <c r="A669" s="21" t="s">
        <v>3360</v>
      </c>
      <c r="B669" s="69" t="s">
        <v>3361</v>
      </c>
      <c r="C669" s="69" t="s">
        <v>123</v>
      </c>
      <c r="D669" s="200" t="s">
        <v>3362</v>
      </c>
      <c r="E669" s="200" t="s">
        <v>3363</v>
      </c>
      <c r="F669" s="154" t="s">
        <v>3364</v>
      </c>
      <c r="G669" s="23" t="s">
        <v>3365</v>
      </c>
      <c r="H669" s="71" t="s">
        <v>128</v>
      </c>
      <c r="I669" s="26" t="s">
        <v>129</v>
      </c>
      <c r="J669" s="72" t="s">
        <v>798</v>
      </c>
      <c r="K669" s="26">
        <v>3.0</v>
      </c>
      <c r="L669" s="142">
        <v>2018.0</v>
      </c>
      <c r="M669" s="25">
        <f t="shared" si="536"/>
        <v>7</v>
      </c>
      <c r="N669" s="26">
        <f t="shared" si="537"/>
        <v>1</v>
      </c>
      <c r="O669" s="27" t="str">
        <f t="shared" si="3"/>
        <v>#N/A</v>
      </c>
      <c r="P669" s="28"/>
      <c r="Q669" s="28"/>
      <c r="R669" s="28"/>
      <c r="S669" s="28"/>
      <c r="T669" s="29">
        <f t="shared" si="538"/>
        <v>1428571.429</v>
      </c>
      <c r="U669" s="28"/>
      <c r="V669" s="30">
        <f t="shared" si="425"/>
        <v>10000000</v>
      </c>
      <c r="W669" s="30"/>
      <c r="X669" s="73"/>
      <c r="Y669" s="33" t="str">
        <f t="shared" si="539"/>
        <v>#DIV/0!</v>
      </c>
      <c r="Z669" s="692"/>
      <c r="AA669" s="665"/>
      <c r="AB669" s="74"/>
      <c r="AC669" s="74"/>
      <c r="AD669" s="44"/>
      <c r="AE669" s="46"/>
      <c r="AF669" s="39"/>
      <c r="AG669" s="46"/>
      <c r="AH669" s="36"/>
      <c r="AI669" s="159"/>
      <c r="AJ669" s="898">
        <v>43761.0</v>
      </c>
      <c r="AK669" s="846" t="str">
        <f>HYPERLINK("https://www.cretech.com/news/firedome-raises-10-million-to-secure-iot-devices-against-hacking/","$  10,000,000")</f>
        <v>$  10,000,000</v>
      </c>
      <c r="AL669" s="44"/>
      <c r="AM669" s="46"/>
      <c r="AN669" s="44"/>
      <c r="AO669" s="46"/>
      <c r="AP669" s="44"/>
      <c r="AQ669" s="46"/>
      <c r="AR669" s="44"/>
      <c r="AS669" s="44"/>
      <c r="AT669" s="44"/>
      <c r="AU669" s="45"/>
      <c r="AV669" s="44"/>
      <c r="AW669" s="38"/>
      <c r="AX669" s="44"/>
      <c r="AY669" s="38"/>
      <c r="AZ669" s="44"/>
      <c r="BA669" s="45"/>
      <c r="BB669" s="44"/>
      <c r="BC669" s="45"/>
      <c r="BD669" s="44"/>
      <c r="BE669" s="38"/>
      <c r="BF669" s="36"/>
      <c r="BG669" s="115"/>
      <c r="BH669" s="115"/>
      <c r="BI669" s="115"/>
      <c r="BJ669" s="115"/>
      <c r="BK669" s="115"/>
      <c r="BL669" s="115"/>
      <c r="BM669" s="115"/>
      <c r="BN669" s="115"/>
      <c r="BO669" s="115"/>
      <c r="BP669" s="115"/>
      <c r="BQ669" s="115"/>
      <c r="BR669" s="115"/>
      <c r="BS669" s="115"/>
      <c r="BT669" s="115"/>
      <c r="BU669" s="115"/>
      <c r="BV669" s="115"/>
      <c r="BW669" s="115"/>
      <c r="BX669" s="115"/>
      <c r="BY669" s="115"/>
      <c r="BZ669" s="115"/>
      <c r="CA669" s="115"/>
      <c r="CB669" s="115"/>
      <c r="CC669" s="115"/>
      <c r="CD669" s="115"/>
      <c r="CE669" s="115"/>
      <c r="CF669" s="115"/>
      <c r="CG669" s="115"/>
      <c r="CH669" s="115"/>
      <c r="CI669" s="115"/>
      <c r="CJ669" s="115"/>
      <c r="CK669" s="115"/>
      <c r="CL669" s="115"/>
      <c r="CM669" s="115"/>
      <c r="CN669" s="115"/>
      <c r="CO669" s="115"/>
      <c r="CP669" s="115"/>
    </row>
    <row r="670" ht="15.75" customHeight="1">
      <c r="A670" s="21" t="s">
        <v>3366</v>
      </c>
      <c r="B670" s="69" t="s">
        <v>3367</v>
      </c>
      <c r="C670" s="69" t="s">
        <v>132</v>
      </c>
      <c r="D670" s="1323"/>
      <c r="E670" s="796" t="s">
        <v>3368</v>
      </c>
      <c r="F670" s="864" t="s">
        <v>3369</v>
      </c>
      <c r="G670" s="71" t="s">
        <v>3370</v>
      </c>
      <c r="H670" s="71" t="s">
        <v>3371</v>
      </c>
      <c r="I670" s="26" t="s">
        <v>1088</v>
      </c>
      <c r="J670" s="72" t="s">
        <v>3372</v>
      </c>
      <c r="K670" s="26">
        <v>1.0</v>
      </c>
      <c r="L670" s="26">
        <v>2016.0</v>
      </c>
      <c r="M670" s="25">
        <f t="shared" si="536"/>
        <v>9</v>
      </c>
      <c r="N670" s="26">
        <f t="shared" si="537"/>
        <v>2</v>
      </c>
      <c r="O670" s="27" t="str">
        <f t="shared" si="3"/>
        <v>#N/A</v>
      </c>
      <c r="P670" s="28"/>
      <c r="Q670" s="28"/>
      <c r="R670" s="28"/>
      <c r="S670" s="28"/>
      <c r="T670" s="29">
        <f t="shared" si="538"/>
        <v>13222222.22</v>
      </c>
      <c r="U670" s="28"/>
      <c r="V670" s="30">
        <f t="shared" si="425"/>
        <v>119000000</v>
      </c>
      <c r="W670" s="30"/>
      <c r="X670" s="73"/>
      <c r="Y670" s="33" t="str">
        <f t="shared" si="539"/>
        <v>#DIV/0!</v>
      </c>
      <c r="Z670" s="692"/>
      <c r="AA670" s="665"/>
      <c r="AB670" s="74"/>
      <c r="AC670" s="74"/>
      <c r="AD670" s="44"/>
      <c r="AE670" s="46"/>
      <c r="AF670" s="872"/>
      <c r="AG670" s="46"/>
      <c r="AH670" s="36"/>
      <c r="AI670" s="159"/>
      <c r="AJ670" s="473"/>
      <c r="AK670" s="46"/>
      <c r="AL670" s="228" t="str">
        <f>HYPERLINK("https://www.axios.com/newsletters/axios-pro-rata-0f6197a1-afc0-4254-a08c-d284b9a8d605.htm","9/12/2019")</f>
        <v>9/12/2019</v>
      </c>
      <c r="AM670" s="715">
        <v>1.0E7</v>
      </c>
      <c r="AN670" s="44"/>
      <c r="AO670" s="46"/>
      <c r="AP670" s="44"/>
      <c r="AQ670" s="46"/>
      <c r="AR670" s="44"/>
      <c r="AS670" s="44"/>
      <c r="AT670" s="44"/>
      <c r="AU670" s="45"/>
      <c r="AV670" s="44"/>
      <c r="AW670" s="38"/>
      <c r="AX670" s="44"/>
      <c r="AY670" s="38"/>
      <c r="AZ670" s="75">
        <v>44292.0</v>
      </c>
      <c r="BA670" s="229">
        <v>1.09E8</v>
      </c>
      <c r="BB670" s="44"/>
      <c r="BC670" s="45"/>
      <c r="BD670" s="44"/>
      <c r="BE670" s="38"/>
      <c r="BF670" s="36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</row>
    <row r="671" ht="15.75" customHeight="1">
      <c r="A671" s="442" t="s">
        <v>3373</v>
      </c>
      <c r="B671" s="68" t="s">
        <v>3374</v>
      </c>
      <c r="C671" s="69" t="s">
        <v>132</v>
      </c>
      <c r="D671" s="184" t="s">
        <v>3375</v>
      </c>
      <c r="E671" s="184" t="s">
        <v>3376</v>
      </c>
      <c r="F671" s="185" t="s">
        <v>3377</v>
      </c>
      <c r="G671" s="186"/>
      <c r="H671" s="186" t="s">
        <v>64</v>
      </c>
      <c r="I671" s="74" t="s">
        <v>65</v>
      </c>
      <c r="J671" s="155"/>
      <c r="K671" s="26">
        <v>4.0</v>
      </c>
      <c r="L671" s="26">
        <v>2017.0</v>
      </c>
      <c r="M671" s="25">
        <f t="shared" si="536"/>
        <v>8</v>
      </c>
      <c r="N671" s="26">
        <f t="shared" si="537"/>
        <v>1</v>
      </c>
      <c r="O671" s="27" t="str">
        <f t="shared" si="3"/>
        <v>#N/A</v>
      </c>
      <c r="P671" s="28"/>
      <c r="Q671" s="28"/>
      <c r="R671" s="28"/>
      <c r="S671" s="28"/>
      <c r="T671" s="29">
        <f t="shared" si="538"/>
        <v>1250000</v>
      </c>
      <c r="U671" s="28"/>
      <c r="V671" s="30">
        <f t="shared" si="425"/>
        <v>10000000</v>
      </c>
      <c r="W671" s="30"/>
      <c r="X671" s="73"/>
      <c r="Y671" s="33">
        <f t="shared" si="539"/>
        <v>0</v>
      </c>
      <c r="Z671" s="692"/>
      <c r="AA671" s="665"/>
      <c r="AB671" s="74"/>
      <c r="AC671" s="74"/>
      <c r="AD671" s="79"/>
      <c r="AE671" s="84"/>
      <c r="AF671" s="175" t="str">
        <f>HYPERLINK("https://www.crunchbase.com/organization/harbor-platform#section-funding-rounds"," 11/1/2017")</f>
        <v> 11/1/2017</v>
      </c>
      <c r="AG671" s="84"/>
      <c r="AH671" s="74"/>
      <c r="AI671" s="78"/>
      <c r="AJ671" s="181" t="str">
        <f>HYPERLINK("https://www.crunchbase.com/funding_round/harbor-platform-series-a--34913623"," 2/6/2018")</f>
        <v> 2/6/2018</v>
      </c>
      <c r="AK671" s="84">
        <v>1.0E7</v>
      </c>
      <c r="AL671" s="79"/>
      <c r="AM671" s="84"/>
      <c r="AN671" s="79"/>
      <c r="AO671" s="84"/>
      <c r="AP671" s="79"/>
      <c r="AQ671" s="84"/>
      <c r="AR671" s="79"/>
      <c r="AS671" s="79"/>
      <c r="AT671" s="79"/>
      <c r="AU671" s="80"/>
      <c r="AV671" s="79"/>
      <c r="AW671" s="38"/>
      <c r="AX671" s="79"/>
      <c r="AY671" s="38"/>
      <c r="AZ671" s="79"/>
      <c r="BA671" s="80"/>
      <c r="BB671" s="79"/>
      <c r="BC671" s="80"/>
      <c r="BD671" s="79"/>
      <c r="BE671" s="38"/>
      <c r="BF671" s="74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</row>
    <row r="672" ht="15.75" customHeight="1">
      <c r="A672" s="400" t="s">
        <v>3378</v>
      </c>
      <c r="B672" s="115"/>
      <c r="C672" s="116" t="s">
        <v>132</v>
      </c>
      <c r="D672" s="667"/>
      <c r="E672" s="161" t="s">
        <v>3379</v>
      </c>
      <c r="F672" s="402" t="s">
        <v>3380</v>
      </c>
      <c r="G672" s="119" t="s">
        <v>3381</v>
      </c>
      <c r="H672" s="119" t="s">
        <v>187</v>
      </c>
      <c r="I672" s="25" t="s">
        <v>188</v>
      </c>
      <c r="J672" s="120" t="s">
        <v>3382</v>
      </c>
      <c r="K672" s="25">
        <v>2.0</v>
      </c>
      <c r="L672" s="25">
        <v>2017.0</v>
      </c>
      <c r="M672" s="25">
        <f t="shared" si="536"/>
        <v>8</v>
      </c>
      <c r="N672" s="26">
        <f t="shared" si="537"/>
        <v>1</v>
      </c>
      <c r="O672" s="27" t="str">
        <f t="shared" si="3"/>
        <v>#N/A</v>
      </c>
      <c r="P672" s="28"/>
      <c r="Q672" s="28"/>
      <c r="R672" s="28"/>
      <c r="S672" s="28"/>
      <c r="T672" s="29">
        <f t="shared" si="538"/>
        <v>1250000</v>
      </c>
      <c r="U672" s="28"/>
      <c r="V672" s="30">
        <f t="shared" si="425"/>
        <v>10000000</v>
      </c>
      <c r="W672" s="30"/>
      <c r="X672" s="597"/>
      <c r="Y672" s="33">
        <f t="shared" si="539"/>
        <v>0</v>
      </c>
      <c r="Z672" s="692"/>
      <c r="AA672" s="665"/>
      <c r="AB672" s="123"/>
      <c r="AC672" s="123"/>
      <c r="AD672" s="124"/>
      <c r="AE672" s="125"/>
      <c r="AF672" s="194" t="str">
        <f>HYPERLINK("crunchbase.com/funding_round/livly-seed--9e63f6df"," 3/12/2019")</f>
        <v> 3/12/2019</v>
      </c>
      <c r="AG672" s="127">
        <v>1.0E7</v>
      </c>
      <c r="AH672" s="123"/>
      <c r="AI672" s="128"/>
      <c r="AJ672" s="1324"/>
      <c r="AK672" s="127"/>
      <c r="AL672" s="169"/>
      <c r="AM672" s="127"/>
      <c r="AN672" s="124"/>
      <c r="AO672" s="125"/>
      <c r="AP672" s="124"/>
      <c r="AQ672" s="125"/>
      <c r="AR672" s="124"/>
      <c r="AS672" s="124"/>
      <c r="AT672" s="124"/>
      <c r="AU672" s="137"/>
      <c r="AV672" s="124"/>
      <c r="AW672" s="38"/>
      <c r="AX672" s="124"/>
      <c r="AY672" s="38"/>
      <c r="AZ672" s="124"/>
      <c r="BA672" s="137"/>
      <c r="BB672" s="124"/>
      <c r="BC672" s="137"/>
      <c r="BD672" s="124"/>
      <c r="BE672" s="38"/>
      <c r="BF672" s="123"/>
      <c r="BG672" s="115"/>
      <c r="BH672" s="115"/>
      <c r="BI672" s="115"/>
      <c r="BJ672" s="115"/>
      <c r="BK672" s="115"/>
      <c r="BL672" s="115"/>
      <c r="BM672" s="115"/>
      <c r="BN672" s="115"/>
      <c r="BO672" s="115"/>
      <c r="BP672" s="115"/>
      <c r="BQ672" s="115"/>
      <c r="BR672" s="115"/>
      <c r="BS672" s="115"/>
      <c r="BT672" s="115"/>
      <c r="BU672" s="115"/>
      <c r="BV672" s="115"/>
      <c r="BW672" s="115"/>
      <c r="BX672" s="115"/>
      <c r="BY672" s="115"/>
      <c r="BZ672" s="115"/>
      <c r="CA672" s="115"/>
      <c r="CB672" s="115"/>
      <c r="CC672" s="115"/>
      <c r="CD672" s="115"/>
      <c r="CE672" s="115"/>
      <c r="CF672" s="115"/>
      <c r="CG672" s="115"/>
      <c r="CH672" s="115"/>
      <c r="CI672" s="115"/>
      <c r="CJ672" s="115"/>
      <c r="CK672" s="115"/>
      <c r="CL672" s="115"/>
      <c r="CM672" s="115"/>
      <c r="CN672" s="115"/>
      <c r="CO672" s="115"/>
      <c r="CP672" s="115"/>
    </row>
    <row r="673" ht="15.75" customHeight="1">
      <c r="A673" s="442" t="s">
        <v>3383</v>
      </c>
      <c r="B673" s="68"/>
      <c r="C673" s="69" t="s">
        <v>3384</v>
      </c>
      <c r="D673" s="138" t="s">
        <v>3385</v>
      </c>
      <c r="E673" s="138" t="s">
        <v>3386</v>
      </c>
      <c r="F673" s="957" t="s">
        <v>3387</v>
      </c>
      <c r="G673" s="54" t="s">
        <v>3388</v>
      </c>
      <c r="H673" s="71" t="s">
        <v>114</v>
      </c>
      <c r="I673" s="26" t="s">
        <v>115</v>
      </c>
      <c r="J673" s="72" t="s">
        <v>3389</v>
      </c>
      <c r="K673" s="26">
        <v>2.0</v>
      </c>
      <c r="L673" s="26">
        <v>2005.0</v>
      </c>
      <c r="M673" s="25">
        <f t="shared" si="536"/>
        <v>20</v>
      </c>
      <c r="N673" s="26">
        <f t="shared" si="537"/>
        <v>3</v>
      </c>
      <c r="O673" s="27" t="str">
        <f t="shared" si="3"/>
        <v>#N/A</v>
      </c>
      <c r="P673" s="28"/>
      <c r="Q673" s="28"/>
      <c r="R673" s="28"/>
      <c r="S673" s="28"/>
      <c r="T673" s="29">
        <f t="shared" si="538"/>
        <v>500000</v>
      </c>
      <c r="U673" s="28"/>
      <c r="V673" s="30">
        <f t="shared" si="425"/>
        <v>10000000</v>
      </c>
      <c r="W673" s="30"/>
      <c r="X673" s="73"/>
      <c r="Y673" s="33">
        <f t="shared" si="539"/>
        <v>0.06514622012</v>
      </c>
      <c r="Z673" s="692"/>
      <c r="AA673" s="665"/>
      <c r="AB673" s="74"/>
      <c r="AC673" s="74"/>
      <c r="AD673" s="79"/>
      <c r="AE673" s="84"/>
      <c r="AF673" s="875" t="str">
        <f>HYPERLINK("https://techcrunch.com/2012/12/03/onespot-content-marketing-relaunch/","Dec 4, 2012")</f>
        <v>Dec 4, 2012</v>
      </c>
      <c r="AG673" s="76">
        <v>1500000.0</v>
      </c>
      <c r="AH673" s="74"/>
      <c r="AI673" s="78"/>
      <c r="AJ673" s="874" t="str">
        <f>HYPERLINK("https://www.crunchbase.com/funding_round/onespot-series-a--249a8398", "Nov 14, 2013")</f>
        <v>Nov 14, 2013</v>
      </c>
      <c r="AK673" s="76">
        <v>5300000.0</v>
      </c>
      <c r="AL673" s="181" t="str">
        <f>HYPERLINK("https://www.crunchbase.com/funding_round/onespot-series-b--2b33e594", "Apr 14, 2016")</f>
        <v>Apr 14, 2016</v>
      </c>
      <c r="AM673" s="76">
        <v>3200000.0</v>
      </c>
      <c r="AN673" s="79"/>
      <c r="AO673" s="84"/>
      <c r="AP673" s="79"/>
      <c r="AQ673" s="84"/>
      <c r="AR673" s="79"/>
      <c r="AS673" s="79"/>
      <c r="AT673" s="79"/>
      <c r="AU673" s="80"/>
      <c r="AV673" s="79"/>
      <c r="AW673" s="38"/>
      <c r="AX673" s="79"/>
      <c r="AY673" s="38"/>
      <c r="AZ673" s="79"/>
      <c r="BA673" s="80"/>
      <c r="BB673" s="79"/>
      <c r="BC673" s="80"/>
      <c r="BD673" s="79"/>
      <c r="BE673" s="38"/>
      <c r="BF673" s="74"/>
      <c r="BG673" s="115"/>
      <c r="BH673" s="115"/>
      <c r="BI673" s="115"/>
      <c r="BJ673" s="115"/>
      <c r="BK673" s="115"/>
      <c r="BL673" s="115"/>
      <c r="BM673" s="115"/>
      <c r="BN673" s="115"/>
      <c r="BO673" s="115"/>
      <c r="BP673" s="115"/>
      <c r="BQ673" s="115"/>
      <c r="BR673" s="115"/>
      <c r="BS673" s="115"/>
      <c r="BT673" s="115"/>
      <c r="BU673" s="115"/>
      <c r="BV673" s="115"/>
      <c r="BW673" s="115"/>
      <c r="BX673" s="115"/>
      <c r="BY673" s="115"/>
      <c r="BZ673" s="115"/>
      <c r="CA673" s="115"/>
      <c r="CB673" s="115"/>
      <c r="CC673" s="115"/>
      <c r="CD673" s="115"/>
      <c r="CE673" s="115"/>
      <c r="CF673" s="115"/>
      <c r="CG673" s="115"/>
      <c r="CH673" s="115"/>
      <c r="CI673" s="115"/>
      <c r="CJ673" s="115"/>
      <c r="CK673" s="115"/>
      <c r="CL673" s="115"/>
      <c r="CM673" s="115"/>
      <c r="CN673" s="115"/>
      <c r="CO673" s="115"/>
      <c r="CP673" s="115"/>
    </row>
    <row r="674" ht="15.75" customHeight="1">
      <c r="A674" s="21" t="s">
        <v>3390</v>
      </c>
      <c r="B674" s="68"/>
      <c r="C674" s="69" t="s">
        <v>267</v>
      </c>
      <c r="D674" s="192" t="s">
        <v>3391</v>
      </c>
      <c r="E674" s="192" t="s">
        <v>3392</v>
      </c>
      <c r="F674" s="236" t="s">
        <v>3393</v>
      </c>
      <c r="G674" s="71"/>
      <c r="H674" s="71" t="s">
        <v>2282</v>
      </c>
      <c r="I674" s="26" t="s">
        <v>1384</v>
      </c>
      <c r="J674" s="72"/>
      <c r="K674" s="26"/>
      <c r="L674" s="26">
        <v>2015.0</v>
      </c>
      <c r="M674" s="25">
        <f t="shared" si="536"/>
        <v>10</v>
      </c>
      <c r="N674" s="26">
        <f t="shared" si="537"/>
        <v>1</v>
      </c>
      <c r="O674" s="27" t="str">
        <f t="shared" si="3"/>
        <v>#N/A</v>
      </c>
      <c r="P674" s="28"/>
      <c r="Q674" s="28"/>
      <c r="R674" s="28"/>
      <c r="S674" s="28"/>
      <c r="T674" s="29">
        <f t="shared" si="538"/>
        <v>1000000</v>
      </c>
      <c r="U674" s="28"/>
      <c r="V674" s="30">
        <f t="shared" si="425"/>
        <v>10000000</v>
      </c>
      <c r="W674" s="30"/>
      <c r="X674" s="73"/>
      <c r="Y674" s="33">
        <f t="shared" si="539"/>
        <v>0</v>
      </c>
      <c r="Z674" s="692"/>
      <c r="AA674" s="665"/>
      <c r="AB674" s="74"/>
      <c r="AC674" s="74"/>
      <c r="AD674" s="79"/>
      <c r="AE674" s="84"/>
      <c r="AF674" s="792"/>
      <c r="AG674" s="76"/>
      <c r="AH674" s="74"/>
      <c r="AI674" s="78"/>
      <c r="AJ674" s="1325">
        <v>43402.0</v>
      </c>
      <c r="AK674" s="76">
        <v>1.0E7</v>
      </c>
      <c r="AL674" s="279"/>
      <c r="AM674" s="76"/>
      <c r="AN674" s="79"/>
      <c r="AO674" s="84"/>
      <c r="AP674" s="79"/>
      <c r="AQ674" s="84"/>
      <c r="AR674" s="79"/>
      <c r="AS674" s="79"/>
      <c r="AT674" s="79"/>
      <c r="AU674" s="80"/>
      <c r="AV674" s="79"/>
      <c r="AW674" s="38"/>
      <c r="AX674" s="79"/>
      <c r="AY674" s="38"/>
      <c r="AZ674" s="79"/>
      <c r="BA674" s="80"/>
      <c r="BB674" s="79"/>
      <c r="BC674" s="80"/>
      <c r="BD674" s="79"/>
      <c r="BE674" s="38"/>
      <c r="BF674" s="74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</row>
    <row r="675" ht="15.75" customHeight="1">
      <c r="A675" s="21" t="s">
        <v>3394</v>
      </c>
      <c r="B675" s="68"/>
      <c r="C675" s="69" t="s">
        <v>59</v>
      </c>
      <c r="D675" s="337"/>
      <c r="E675" s="192" t="s">
        <v>3395</v>
      </c>
      <c r="F675" s="118" t="s">
        <v>3396</v>
      </c>
      <c r="G675" s="71"/>
      <c r="H675" s="71" t="s">
        <v>309</v>
      </c>
      <c r="I675" s="26" t="s">
        <v>115</v>
      </c>
      <c r="J675" s="155"/>
      <c r="K675" s="74"/>
      <c r="L675" s="26">
        <v>2018.0</v>
      </c>
      <c r="M675" s="25">
        <f t="shared" si="536"/>
        <v>7</v>
      </c>
      <c r="N675" s="26">
        <f t="shared" si="537"/>
        <v>1</v>
      </c>
      <c r="O675" s="27" t="str">
        <f t="shared" si="3"/>
        <v>#N/A</v>
      </c>
      <c r="P675" s="28"/>
      <c r="Q675" s="28"/>
      <c r="R675" s="28"/>
      <c r="S675" s="28"/>
      <c r="T675" s="29">
        <f t="shared" si="538"/>
        <v>1428571.429</v>
      </c>
      <c r="U675" s="28"/>
      <c r="V675" s="30">
        <f t="shared" si="425"/>
        <v>10000000</v>
      </c>
      <c r="W675" s="30"/>
      <c r="X675" s="32"/>
      <c r="Y675" s="33">
        <f t="shared" si="539"/>
        <v>0</v>
      </c>
      <c r="Z675" s="692"/>
      <c r="AA675" s="665"/>
      <c r="AB675" s="74"/>
      <c r="AC675" s="74"/>
      <c r="AD675" s="79"/>
      <c r="AE675" s="84"/>
      <c r="AF675" s="338"/>
      <c r="AG675" s="84"/>
      <c r="AH675" s="74"/>
      <c r="AI675" s="78"/>
      <c r="AJ675" s="227">
        <v>43867.0</v>
      </c>
      <c r="AK675" s="76">
        <v>1.0E7</v>
      </c>
      <c r="AL675" s="79"/>
      <c r="AM675" s="84"/>
      <c r="AN675" s="79"/>
      <c r="AO675" s="84"/>
      <c r="AP675" s="79"/>
      <c r="AQ675" s="84"/>
      <c r="AR675" s="79"/>
      <c r="AS675" s="79"/>
      <c r="AT675" s="79"/>
      <c r="AU675" s="80"/>
      <c r="AV675" s="79"/>
      <c r="AW675" s="38"/>
      <c r="AX675" s="79"/>
      <c r="AY675" s="38"/>
      <c r="AZ675" s="79"/>
      <c r="BA675" s="80"/>
      <c r="BB675" s="79"/>
      <c r="BC675" s="80"/>
      <c r="BD675" s="79"/>
      <c r="BE675" s="38"/>
      <c r="BF675" s="74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</row>
    <row r="676" ht="15.75" customHeight="1">
      <c r="A676" s="245" t="s">
        <v>3397</v>
      </c>
      <c r="B676" s="17"/>
      <c r="C676" s="17" t="s">
        <v>84</v>
      </c>
      <c r="D676" s="245"/>
      <c r="E676" s="192" t="s">
        <v>3398</v>
      </c>
      <c r="F676" s="118" t="s">
        <v>3399</v>
      </c>
      <c r="G676" s="22"/>
      <c r="H676" s="22" t="s">
        <v>3400</v>
      </c>
      <c r="I676" s="23" t="s">
        <v>1642</v>
      </c>
      <c r="J676" s="24"/>
      <c r="K676" s="23"/>
      <c r="L676" s="23">
        <v>2020.0</v>
      </c>
      <c r="M676" s="222"/>
      <c r="N676" s="23"/>
      <c r="O676" s="27" t="str">
        <f t="shared" si="3"/>
        <v>#N/A</v>
      </c>
      <c r="P676" s="28"/>
      <c r="Q676" s="28"/>
      <c r="R676" s="28"/>
      <c r="S676" s="28"/>
      <c r="T676" s="28"/>
      <c r="U676" s="28"/>
      <c r="V676" s="30">
        <f t="shared" si="425"/>
        <v>10000000</v>
      </c>
      <c r="W676" s="30"/>
      <c r="X676" s="33"/>
      <c r="Y676" s="33"/>
      <c r="Z676" s="692"/>
      <c r="AA676" s="665"/>
      <c r="AB676" s="36"/>
      <c r="AC676" s="36"/>
      <c r="AD676" s="227"/>
      <c r="AE676" s="38"/>
      <c r="AF676" s="1076">
        <v>44817.0</v>
      </c>
      <c r="AG676" s="38">
        <v>1.0E7</v>
      </c>
      <c r="AH676" s="36"/>
      <c r="AI676" s="159"/>
      <c r="AJ676" s="42"/>
      <c r="AK676" s="38"/>
      <c r="AL676" s="44"/>
      <c r="AM676" s="38"/>
      <c r="AN676" s="23"/>
      <c r="AO676" s="46"/>
      <c r="AP676" s="44"/>
      <c r="AQ676" s="46"/>
      <c r="AR676" s="44"/>
      <c r="AS676" s="44"/>
      <c r="AT676" s="44"/>
      <c r="AU676" s="45"/>
      <c r="AV676" s="44"/>
      <c r="AW676" s="38"/>
      <c r="AX676" s="44"/>
      <c r="AY676" s="38"/>
      <c r="AZ676" s="44"/>
      <c r="BA676" s="45"/>
      <c r="BB676" s="44"/>
      <c r="BC676" s="45"/>
      <c r="BD676" s="44"/>
      <c r="BE676" s="38"/>
      <c r="BF676" s="36"/>
      <c r="BG676" s="115"/>
      <c r="BH676" s="115"/>
      <c r="BI676" s="115"/>
      <c r="BJ676" s="115"/>
      <c r="BK676" s="115"/>
      <c r="BL676" s="115"/>
      <c r="BM676" s="115"/>
      <c r="BN676" s="115"/>
      <c r="BO676" s="115"/>
      <c r="BP676" s="115"/>
      <c r="BQ676" s="115"/>
      <c r="BR676" s="115"/>
      <c r="BS676" s="115"/>
      <c r="BT676" s="115"/>
      <c r="BU676" s="115"/>
      <c r="BV676" s="115"/>
      <c r="BW676" s="115"/>
      <c r="BX676" s="115"/>
      <c r="BY676" s="115"/>
      <c r="BZ676" s="115"/>
      <c r="CA676" s="115"/>
      <c r="CB676" s="115"/>
      <c r="CC676" s="115"/>
      <c r="CD676" s="115"/>
      <c r="CE676" s="115"/>
      <c r="CF676" s="115"/>
      <c r="CG676" s="115"/>
      <c r="CH676" s="115"/>
      <c r="CI676" s="115"/>
      <c r="CJ676" s="115"/>
      <c r="CK676" s="115"/>
      <c r="CL676" s="115"/>
      <c r="CM676" s="115"/>
      <c r="CN676" s="115"/>
      <c r="CO676" s="115"/>
      <c r="CP676" s="115"/>
    </row>
    <row r="677" ht="15.0" customHeight="1">
      <c r="A677" s="47" t="s">
        <v>3401</v>
      </c>
      <c r="B677" s="115"/>
      <c r="C677" s="116" t="s">
        <v>123</v>
      </c>
      <c r="D677" s="48"/>
      <c r="E677" s="192" t="s">
        <v>3402</v>
      </c>
      <c r="F677" s="118" t="s">
        <v>3403</v>
      </c>
      <c r="G677" s="720"/>
      <c r="H677" s="119" t="s">
        <v>771</v>
      </c>
      <c r="I677" s="25" t="s">
        <v>772</v>
      </c>
      <c r="J677" s="1326"/>
      <c r="K677" s="25">
        <v>2.0</v>
      </c>
      <c r="L677" s="25">
        <v>2016.0</v>
      </c>
      <c r="M677" s="25"/>
      <c r="N677" s="25"/>
      <c r="O677" s="27" t="str">
        <f t="shared" si="3"/>
        <v>#N/A</v>
      </c>
      <c r="P677" s="55"/>
      <c r="Q677" s="55"/>
      <c r="R677" s="55"/>
      <c r="S677" s="55"/>
      <c r="T677" s="55"/>
      <c r="U677" s="55"/>
      <c r="V677" s="30">
        <f t="shared" si="425"/>
        <v>18000000</v>
      </c>
      <c r="W677" s="30"/>
      <c r="X677" s="597"/>
      <c r="Y677" s="597"/>
      <c r="Z677" s="692"/>
      <c r="AA677" s="665"/>
      <c r="AB677" s="123"/>
      <c r="AC677" s="123"/>
      <c r="AD677" s="124"/>
      <c r="AE677" s="125"/>
      <c r="AF677" s="1327"/>
      <c r="AG677" s="127"/>
      <c r="AH677" s="123"/>
      <c r="AI677" s="128"/>
      <c r="AJ677" s="171">
        <v>43781.0</v>
      </c>
      <c r="AK677" s="127">
        <v>2500000.0</v>
      </c>
      <c r="AL677" s="855" t="str">
        <f>HYPERLINK("https://www.axios.com/pro/climate-deals/2022/05/12/landgate-zillow-land-resources-10m-series-b","May 12, 2022")</f>
        <v>May 12, 2022</v>
      </c>
      <c r="AM677" s="127">
        <v>1.0E7</v>
      </c>
      <c r="AN677" s="124"/>
      <c r="AO677" s="125"/>
      <c r="AP677" s="124"/>
      <c r="AQ677" s="125"/>
      <c r="AR677" s="124"/>
      <c r="AS677" s="124"/>
      <c r="AT677" s="124"/>
      <c r="AU677" s="137"/>
      <c r="AV677" s="124"/>
      <c r="AW677" s="38"/>
      <c r="AX677" s="124"/>
      <c r="AY677" s="38"/>
      <c r="AZ677" s="171">
        <v>45042.0</v>
      </c>
      <c r="BA677" s="170">
        <v>5500000.0</v>
      </c>
      <c r="BB677" s="124"/>
      <c r="BC677" s="137"/>
      <c r="BD677" s="124"/>
      <c r="BE677" s="38"/>
      <c r="BF677" s="123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</row>
    <row r="678" ht="15.75" customHeight="1">
      <c r="A678" s="21" t="s">
        <v>3404</v>
      </c>
      <c r="B678" s="68"/>
      <c r="C678" s="69" t="s">
        <v>513</v>
      </c>
      <c r="D678" s="337"/>
      <c r="E678" s="796" t="s">
        <v>3405</v>
      </c>
      <c r="F678" s="70" t="s">
        <v>3406</v>
      </c>
      <c r="G678" s="186"/>
      <c r="H678" s="71" t="s">
        <v>601</v>
      </c>
      <c r="I678" s="26" t="s">
        <v>129</v>
      </c>
      <c r="J678" s="72"/>
      <c r="K678" s="74"/>
      <c r="L678" s="26">
        <v>2021.0</v>
      </c>
      <c r="M678" s="123"/>
      <c r="N678" s="74"/>
      <c r="O678" s="27" t="str">
        <f t="shared" si="3"/>
        <v>#N/A</v>
      </c>
      <c r="P678" s="28"/>
      <c r="Q678" s="28"/>
      <c r="R678" s="28"/>
      <c r="S678" s="28"/>
      <c r="T678" s="28"/>
      <c r="U678" s="28"/>
      <c r="V678" s="30">
        <f t="shared" si="425"/>
        <v>10000000</v>
      </c>
      <c r="W678" s="30"/>
      <c r="X678" s="32"/>
      <c r="Y678" s="32"/>
      <c r="Z678" s="692"/>
      <c r="AA678" s="665"/>
      <c r="AB678" s="74"/>
      <c r="AC678" s="74"/>
      <c r="AD678" s="79"/>
      <c r="AE678" s="84"/>
      <c r="AF678" s="726">
        <v>44734.0</v>
      </c>
      <c r="AG678" s="76">
        <v>1.0E7</v>
      </c>
      <c r="AH678" s="74"/>
      <c r="AI678" s="78"/>
      <c r="AJ678" s="79"/>
      <c r="AK678" s="84"/>
      <c r="AL678" s="79"/>
      <c r="AM678" s="84"/>
      <c r="AN678" s="79"/>
      <c r="AO678" s="84"/>
      <c r="AP678" s="79"/>
      <c r="AQ678" s="84"/>
      <c r="AR678" s="79"/>
      <c r="AS678" s="79"/>
      <c r="AT678" s="79"/>
      <c r="AU678" s="80"/>
      <c r="AV678" s="79"/>
      <c r="AW678" s="38"/>
      <c r="AX678" s="79"/>
      <c r="AY678" s="38"/>
      <c r="AZ678" s="79"/>
      <c r="BA678" s="80"/>
      <c r="BB678" s="79"/>
      <c r="BC678" s="80"/>
      <c r="BD678" s="79"/>
      <c r="BE678" s="38"/>
      <c r="BF678" s="74"/>
      <c r="BG678" s="113"/>
      <c r="BH678" s="113"/>
      <c r="BI678" s="113"/>
      <c r="BJ678" s="113"/>
      <c r="BK678" s="113"/>
      <c r="BL678" s="113"/>
      <c r="BM678" s="113"/>
      <c r="BN678" s="113"/>
      <c r="BO678" s="113"/>
      <c r="BP678" s="113"/>
      <c r="BQ678" s="113"/>
      <c r="BR678" s="113"/>
      <c r="BS678" s="113"/>
      <c r="BT678" s="113"/>
      <c r="BU678" s="113"/>
      <c r="BV678" s="113"/>
      <c r="BW678" s="113"/>
      <c r="BX678" s="113"/>
      <c r="BY678" s="113"/>
      <c r="BZ678" s="113"/>
      <c r="CA678" s="113"/>
      <c r="CB678" s="113"/>
      <c r="CC678" s="113"/>
      <c r="CD678" s="113"/>
      <c r="CE678" s="113"/>
      <c r="CF678" s="113"/>
      <c r="CG678" s="113"/>
      <c r="CH678" s="113"/>
      <c r="CI678" s="113"/>
      <c r="CJ678" s="113"/>
      <c r="CK678" s="113"/>
      <c r="CL678" s="113"/>
      <c r="CM678" s="113"/>
      <c r="CN678" s="113"/>
      <c r="CO678" s="113"/>
      <c r="CP678" s="113"/>
    </row>
    <row r="679" ht="15.75" customHeight="1">
      <c r="A679" s="747" t="s">
        <v>3407</v>
      </c>
      <c r="B679" s="68"/>
      <c r="C679" s="69" t="s">
        <v>68</v>
      </c>
      <c r="D679" s="48"/>
      <c r="E679" s="50" t="s">
        <v>3408</v>
      </c>
      <c r="F679" s="70" t="s">
        <v>3409</v>
      </c>
      <c r="G679" s="71" t="s">
        <v>3410</v>
      </c>
      <c r="H679" s="71" t="s">
        <v>271</v>
      </c>
      <c r="I679" s="69" t="s">
        <v>272</v>
      </c>
      <c r="J679" s="527" t="s">
        <v>3411</v>
      </c>
      <c r="K679" s="26">
        <v>1.0</v>
      </c>
      <c r="L679" s="26">
        <v>2019.0</v>
      </c>
      <c r="M679" s="25"/>
      <c r="N679" s="26"/>
      <c r="O679" s="27" t="str">
        <f t="shared" si="3"/>
        <v>#N/A</v>
      </c>
      <c r="P679" s="273"/>
      <c r="Q679" s="273"/>
      <c r="R679" s="273"/>
      <c r="S679" s="273"/>
      <c r="T679" s="273"/>
      <c r="U679" s="273"/>
      <c r="V679" s="30">
        <f t="shared" si="425"/>
        <v>10000000</v>
      </c>
      <c r="W679" s="30"/>
      <c r="X679" s="73"/>
      <c r="Y679" s="73"/>
      <c r="Z679" s="692"/>
      <c r="AA679" s="665"/>
      <c r="AB679" s="74"/>
      <c r="AC679" s="74"/>
      <c r="AD679" s="279"/>
      <c r="AE679" s="76"/>
      <c r="AF679" s="726">
        <v>44796.0</v>
      </c>
      <c r="AG679" s="76">
        <v>1.0E7</v>
      </c>
      <c r="AH679" s="74"/>
      <c r="AI679" s="78"/>
      <c r="AJ679" s="79"/>
      <c r="AK679" s="76"/>
      <c r="AL679" s="79"/>
      <c r="AM679" s="76"/>
      <c r="AN679" s="79"/>
      <c r="AO679" s="76"/>
      <c r="AP679" s="79"/>
      <c r="AQ679" s="84"/>
      <c r="AR679" s="79"/>
      <c r="AS679" s="79"/>
      <c r="AT679" s="79"/>
      <c r="AU679" s="80"/>
      <c r="AV679" s="79"/>
      <c r="AW679" s="38"/>
      <c r="AX679" s="79"/>
      <c r="AY679" s="38"/>
      <c r="AZ679" s="79"/>
      <c r="BA679" s="80"/>
      <c r="BB679" s="79"/>
      <c r="BC679" s="80"/>
      <c r="BD679" s="79"/>
      <c r="BE679" s="38"/>
      <c r="BF679" s="74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</row>
    <row r="680" ht="15.75" customHeight="1">
      <c r="A680" s="21" t="s">
        <v>3412</v>
      </c>
      <c r="B680" s="16"/>
      <c r="C680" s="17" t="s">
        <v>190</v>
      </c>
      <c r="D680" s="138" t="s">
        <v>3413</v>
      </c>
      <c r="E680" s="138" t="s">
        <v>3414</v>
      </c>
      <c r="F680" s="173" t="s">
        <v>3415</v>
      </c>
      <c r="G680" s="442"/>
      <c r="H680" s="22" t="s">
        <v>2465</v>
      </c>
      <c r="I680" s="17" t="s">
        <v>100</v>
      </c>
      <c r="J680" s="509"/>
      <c r="K680" s="23">
        <v>5.0</v>
      </c>
      <c r="L680" s="23">
        <v>2017.0</v>
      </c>
      <c r="M680" s="25">
        <f>year(now()) -L680</f>
        <v>8</v>
      </c>
      <c r="N680" s="26">
        <f>counta(AE680,AG680,AI680,AK680,AM680,AO680,AQ680,AS680,AU680,AW680,AY680,BA680,BC680)</f>
        <v>1</v>
      </c>
      <c r="O680" s="27" t="str">
        <f t="shared" si="3"/>
        <v>#N/A</v>
      </c>
      <c r="P680" s="28"/>
      <c r="Q680" s="28"/>
      <c r="R680" s="28"/>
      <c r="S680" s="28"/>
      <c r="T680" s="29">
        <f>V680/M680</f>
        <v>1250000</v>
      </c>
      <c r="U680" s="28"/>
      <c r="V680" s="30">
        <f t="shared" si="425"/>
        <v>10000000</v>
      </c>
      <c r="W680" s="30"/>
      <c r="X680" s="33"/>
      <c r="Y680" s="33">
        <f>(max(AE680,AG680,AI680,AK680,AM680,AO680,AQ680,AS680,AU680,AW680,AY680,BA680,BC680)/min(AE680,AG680,AI680,AK680))^(1/M680)-1</f>
        <v>0</v>
      </c>
      <c r="Z680" s="692"/>
      <c r="AA680" s="665"/>
      <c r="AB680" s="36"/>
      <c r="AC680" s="36"/>
      <c r="AD680" s="44"/>
      <c r="AE680" s="46"/>
      <c r="AF680" s="726">
        <v>43224.0</v>
      </c>
      <c r="AG680" s="46"/>
      <c r="AH680" s="36"/>
      <c r="AI680" s="46"/>
      <c r="AJ680" s="75">
        <v>44987.0</v>
      </c>
      <c r="AK680" s="38">
        <v>1.0E7</v>
      </c>
      <c r="AL680" s="44"/>
      <c r="AM680" s="46"/>
      <c r="AN680" s="37"/>
      <c r="AO680" s="38"/>
      <c r="AP680" s="44"/>
      <c r="AQ680" s="46"/>
      <c r="AR680" s="44"/>
      <c r="AS680" s="44"/>
      <c r="AT680" s="44"/>
      <c r="AU680" s="45"/>
      <c r="AV680" s="44"/>
      <c r="AW680" s="38"/>
      <c r="AX680" s="44"/>
      <c r="AY680" s="38"/>
      <c r="AZ680" s="44"/>
      <c r="BA680" s="45"/>
      <c r="BB680" s="44"/>
      <c r="BC680" s="45"/>
      <c r="BD680" s="44"/>
      <c r="BE680" s="38"/>
      <c r="BF680" s="36"/>
      <c r="BG680" s="115"/>
      <c r="BH680" s="115"/>
      <c r="BI680" s="115"/>
      <c r="BJ680" s="115"/>
      <c r="BK680" s="115"/>
      <c r="BL680" s="115"/>
      <c r="BM680" s="115"/>
      <c r="BN680" s="115"/>
      <c r="BO680" s="115"/>
      <c r="BP680" s="115"/>
      <c r="BQ680" s="115"/>
      <c r="BR680" s="115"/>
      <c r="BS680" s="115"/>
      <c r="BT680" s="115"/>
      <c r="BU680" s="115"/>
      <c r="BV680" s="115"/>
      <c r="BW680" s="115"/>
      <c r="BX680" s="115"/>
      <c r="BY680" s="115"/>
      <c r="BZ680" s="115"/>
      <c r="CA680" s="115"/>
      <c r="CB680" s="115"/>
      <c r="CC680" s="115"/>
      <c r="CD680" s="115"/>
      <c r="CE680" s="115"/>
      <c r="CF680" s="115"/>
      <c r="CG680" s="115"/>
      <c r="CH680" s="115"/>
      <c r="CI680" s="115"/>
      <c r="CJ680" s="115"/>
      <c r="CK680" s="115"/>
      <c r="CL680" s="115"/>
      <c r="CM680" s="115"/>
      <c r="CN680" s="115"/>
      <c r="CO680" s="115"/>
      <c r="CP680" s="115"/>
    </row>
    <row r="681" ht="15.75" customHeight="1">
      <c r="A681" s="47" t="s">
        <v>3416</v>
      </c>
      <c r="C681" s="48" t="s">
        <v>68</v>
      </c>
      <c r="D681" s="49" t="s">
        <v>3417</v>
      </c>
      <c r="E681" s="49" t="s">
        <v>3418</v>
      </c>
      <c r="F681" s="352" t="s">
        <v>3419</v>
      </c>
      <c r="G681" s="52"/>
      <c r="H681" s="53" t="s">
        <v>1130</v>
      </c>
      <c r="I681" s="54" t="s">
        <v>263</v>
      </c>
      <c r="K681" s="55"/>
      <c r="L681" s="56">
        <v>2021.0</v>
      </c>
      <c r="M681" s="55"/>
      <c r="N681" s="55"/>
      <c r="O681" s="27" t="str">
        <f t="shared" si="3"/>
        <v>#N/A</v>
      </c>
      <c r="P681" s="55"/>
      <c r="Q681" s="55"/>
      <c r="R681" s="55"/>
      <c r="S681" s="55"/>
      <c r="T681" s="55"/>
      <c r="U681" s="55"/>
      <c r="V681" s="30">
        <f t="shared" si="425"/>
        <v>10000000</v>
      </c>
      <c r="W681" s="30"/>
      <c r="X681" s="58"/>
      <c r="Y681" s="58"/>
      <c r="Z681" s="692"/>
      <c r="AA681" s="665"/>
      <c r="AB681" s="55"/>
      <c r="AC681" s="55"/>
      <c r="AD681" s="453"/>
      <c r="AE681" s="55"/>
      <c r="AF681" s="62">
        <v>44565.0</v>
      </c>
      <c r="AG681" s="55"/>
      <c r="AH681" s="55"/>
      <c r="AI681" s="55"/>
      <c r="AJ681" s="62">
        <v>44937.0</v>
      </c>
      <c r="AK681" s="38">
        <v>1.0E7</v>
      </c>
      <c r="AL681" s="55"/>
      <c r="AM681" s="55"/>
      <c r="AN681" s="55"/>
      <c r="AO681" s="55"/>
      <c r="AP681" s="356"/>
      <c r="AQ681" s="38"/>
      <c r="AR681" s="55"/>
      <c r="AS681" s="38"/>
      <c r="AT681" s="55"/>
      <c r="AU681" s="38"/>
      <c r="AV681" s="55"/>
      <c r="AW681" s="38"/>
      <c r="AX681" s="55"/>
      <c r="AY681" s="38"/>
      <c r="AZ681" s="55"/>
      <c r="BA681" s="722"/>
      <c r="BB681" s="55"/>
      <c r="BC681" s="38"/>
      <c r="BD681" s="55"/>
      <c r="BE681" s="38"/>
      <c r="BF681" s="55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</row>
    <row r="682" ht="15.75" customHeight="1">
      <c r="A682" s="47" t="s">
        <v>3420</v>
      </c>
      <c r="C682" s="48" t="s">
        <v>629</v>
      </c>
      <c r="D682" s="49" t="s">
        <v>3421</v>
      </c>
      <c r="E682" s="49" t="s">
        <v>3422</v>
      </c>
      <c r="F682" s="749" t="s">
        <v>3423</v>
      </c>
      <c r="G682" s="353"/>
      <c r="H682" s="53" t="s">
        <v>394</v>
      </c>
      <c r="I682" s="54" t="s">
        <v>395</v>
      </c>
      <c r="J682" s="55"/>
      <c r="K682" s="54">
        <v>2.0</v>
      </c>
      <c r="L682" s="56">
        <v>2018.0</v>
      </c>
      <c r="M682" s="55"/>
      <c r="N682" s="55"/>
      <c r="O682" s="27" t="str">
        <f t="shared" si="3"/>
        <v>#N/A</v>
      </c>
      <c r="P682" s="55"/>
      <c r="Q682" s="55"/>
      <c r="R682" s="55"/>
      <c r="S682" s="55"/>
      <c r="T682" s="55"/>
      <c r="U682" s="55"/>
      <c r="V682" s="30">
        <f t="shared" si="425"/>
        <v>9900000</v>
      </c>
      <c r="W682" s="30"/>
      <c r="X682" s="58"/>
      <c r="Y682" s="58"/>
      <c r="Z682" s="692"/>
      <c r="AA682" s="665"/>
      <c r="AB682" s="55"/>
      <c r="AC682" s="55"/>
      <c r="AD682" s="880">
        <v>44181.0</v>
      </c>
      <c r="AE682" s="38">
        <v>1900000.0</v>
      </c>
      <c r="AF682" s="62">
        <v>44945.0</v>
      </c>
      <c r="AG682" s="38">
        <v>8000000.0</v>
      </c>
      <c r="AH682" s="55"/>
      <c r="AI682" s="55"/>
      <c r="AJ682" s="55"/>
      <c r="AK682" s="55"/>
      <c r="AL682" s="55"/>
      <c r="AM682" s="55"/>
      <c r="AN682" s="55"/>
      <c r="AO682" s="55"/>
      <c r="AP682" s="356"/>
      <c r="AQ682" s="356"/>
      <c r="AR682" s="55"/>
      <c r="AS682" s="55"/>
      <c r="AT682" s="55"/>
      <c r="AU682" s="722"/>
      <c r="AV682" s="55"/>
      <c r="AW682" s="38"/>
      <c r="AX682" s="55"/>
      <c r="AY682" s="38"/>
      <c r="AZ682" s="55"/>
      <c r="BA682" s="722"/>
      <c r="BB682" s="55"/>
      <c r="BC682" s="38"/>
      <c r="BD682" s="55"/>
      <c r="BE682" s="38"/>
      <c r="BF682" s="55"/>
      <c r="BG682" s="1328"/>
      <c r="BH682" s="1328"/>
      <c r="BI682" s="1328"/>
      <c r="BJ682" s="1328"/>
      <c r="BK682" s="1328"/>
      <c r="BL682" s="1328"/>
      <c r="BM682" s="1328"/>
      <c r="BN682" s="1328"/>
      <c r="BO682" s="1328"/>
      <c r="BP682" s="1328"/>
      <c r="BQ682" s="1328"/>
      <c r="BR682" s="1328"/>
      <c r="BS682" s="1328"/>
      <c r="BT682" s="1328"/>
      <c r="BU682" s="1328"/>
      <c r="BV682" s="1328"/>
      <c r="BW682" s="1328"/>
      <c r="BX682" s="1328"/>
      <c r="BY682" s="1328"/>
      <c r="BZ682" s="1328"/>
      <c r="CA682" s="1328"/>
      <c r="CB682" s="1328"/>
      <c r="CC682" s="1328"/>
      <c r="CD682" s="1328"/>
      <c r="CE682" s="1328"/>
      <c r="CF682" s="1328"/>
      <c r="CG682" s="1328"/>
      <c r="CH682" s="1328"/>
      <c r="CI682" s="1328"/>
      <c r="CJ682" s="1328"/>
      <c r="CK682" s="1328"/>
      <c r="CL682" s="1328"/>
      <c r="CM682" s="1328"/>
      <c r="CN682" s="1328"/>
      <c r="CO682" s="1328"/>
      <c r="CP682" s="1328"/>
    </row>
    <row r="683" ht="15.75" customHeight="1">
      <c r="A683" s="666" t="s">
        <v>3424</v>
      </c>
      <c r="B683" s="116" t="s">
        <v>3425</v>
      </c>
      <c r="C683" s="116" t="s">
        <v>207</v>
      </c>
      <c r="D683" s="161" t="s">
        <v>3426</v>
      </c>
      <c r="E683" s="161" t="s">
        <v>3427</v>
      </c>
      <c r="F683" s="668" t="s">
        <v>3428</v>
      </c>
      <c r="G683" s="119" t="s">
        <v>3429</v>
      </c>
      <c r="H683" s="119" t="s">
        <v>3430</v>
      </c>
      <c r="I683" s="54" t="s">
        <v>3431</v>
      </c>
      <c r="J683" s="120" t="s">
        <v>3432</v>
      </c>
      <c r="K683" s="25">
        <v>1.0</v>
      </c>
      <c r="L683" s="25">
        <v>2016.0</v>
      </c>
      <c r="M683" s="25">
        <f t="shared" ref="M683:M686" si="540">year(now()) -L683</f>
        <v>9</v>
      </c>
      <c r="N683" s="26">
        <f t="shared" ref="N683:N686" si="541">counta(AE683,AG683,AI683,AK683,AM683,AO683,AQ683,AS683,AU683,AW683,AY683,BA683,BC683)</f>
        <v>4</v>
      </c>
      <c r="O683" s="27" t="str">
        <f t="shared" si="3"/>
        <v>#N/A</v>
      </c>
      <c r="P683" s="28"/>
      <c r="Q683" s="28"/>
      <c r="R683" s="28"/>
      <c r="S683" s="28"/>
      <c r="T683" s="29">
        <f t="shared" ref="T683:T686" si="542">V683/M683</f>
        <v>1095555.556</v>
      </c>
      <c r="U683" s="28"/>
      <c r="V683" s="30">
        <f t="shared" si="425"/>
        <v>9860000</v>
      </c>
      <c r="W683" s="30"/>
      <c r="X683" s="597"/>
      <c r="Y683" s="33">
        <f t="shared" ref="Y683:Y686" si="543">(max(AE683,AG683,AI683,AK683,AM683,AO683,AQ683,AS683,AU683,AW683,AY683,BA683,BC683)/min(AE683,AG683,AI683,AK683))^(1/M683)-1</f>
        <v>0.7293414865</v>
      </c>
      <c r="Z683" s="692"/>
      <c r="AA683" s="665"/>
      <c r="AB683" s="123"/>
      <c r="AC683" s="123"/>
      <c r="AD683" s="322"/>
      <c r="AE683" s="323"/>
      <c r="AF683" s="324" t="str">
        <f>HYPERLINK("https://www.crunchbase.com/funding_round/envairo-seed--882742ce"," 3/2/2017")</f>
        <v> 3/2/2017</v>
      </c>
      <c r="AG683" s="805">
        <v>60000.0</v>
      </c>
      <c r="AH683" s="326"/>
      <c r="AI683" s="327"/>
      <c r="AJ683" s="917">
        <v>41085.0</v>
      </c>
      <c r="AK683" s="325">
        <v>500000.0</v>
      </c>
      <c r="AL683" s="917">
        <v>41583.0</v>
      </c>
      <c r="AM683" s="325">
        <v>8300000.0</v>
      </c>
      <c r="AN683" s="917">
        <v>43522.0</v>
      </c>
      <c r="AO683" s="325">
        <v>1000000.0</v>
      </c>
      <c r="AP683" s="322"/>
      <c r="AQ683" s="323"/>
      <c r="AR683" s="322"/>
      <c r="AS683" s="322"/>
      <c r="AT683" s="322"/>
      <c r="AU683" s="335"/>
      <c r="AV683" s="322"/>
      <c r="AW683" s="38"/>
      <c r="AX683" s="322"/>
      <c r="AY683" s="38"/>
      <c r="AZ683" s="322"/>
      <c r="BA683" s="335"/>
      <c r="BB683" s="322"/>
      <c r="BC683" s="335"/>
      <c r="BD683" s="322"/>
      <c r="BE683" s="38"/>
      <c r="BF683" s="326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68"/>
      <c r="CA683" s="68"/>
      <c r="CB683" s="68"/>
      <c r="CC683" s="68"/>
      <c r="CD683" s="68"/>
      <c r="CE683" s="68"/>
      <c r="CF683" s="68"/>
      <c r="CG683" s="68"/>
      <c r="CH683" s="68"/>
      <c r="CI683" s="68"/>
      <c r="CJ683" s="68"/>
      <c r="CK683" s="68"/>
      <c r="CL683" s="68"/>
      <c r="CM683" s="68"/>
      <c r="CN683" s="68"/>
      <c r="CO683" s="68"/>
      <c r="CP683" s="68"/>
    </row>
    <row r="684" ht="15.75" customHeight="1">
      <c r="A684" s="442" t="s">
        <v>3433</v>
      </c>
      <c r="B684" s="68" t="s">
        <v>301</v>
      </c>
      <c r="C684" s="69" t="s">
        <v>123</v>
      </c>
      <c r="D684" s="184" t="s">
        <v>3434</v>
      </c>
      <c r="E684" s="184" t="s">
        <v>3435</v>
      </c>
      <c r="F684" s="185" t="s">
        <v>3436</v>
      </c>
      <c r="G684" s="186" t="s">
        <v>3437</v>
      </c>
      <c r="H684" s="186" t="s">
        <v>128</v>
      </c>
      <c r="I684" s="74" t="s">
        <v>129</v>
      </c>
      <c r="J684" s="155" t="s">
        <v>130</v>
      </c>
      <c r="K684" s="74">
        <v>2.0</v>
      </c>
      <c r="L684" s="26">
        <v>2009.0</v>
      </c>
      <c r="M684" s="25">
        <f t="shared" si="540"/>
        <v>16</v>
      </c>
      <c r="N684" s="26">
        <f t="shared" si="541"/>
        <v>2</v>
      </c>
      <c r="O684" s="27" t="str">
        <f t="shared" si="3"/>
        <v>#N/A</v>
      </c>
      <c r="P684" s="28"/>
      <c r="Q684" s="28"/>
      <c r="R684" s="28"/>
      <c r="S684" s="28"/>
      <c r="T684" s="29">
        <f t="shared" si="542"/>
        <v>615625</v>
      </c>
      <c r="U684" s="28"/>
      <c r="V684" s="30">
        <f t="shared" si="425"/>
        <v>9850000</v>
      </c>
      <c r="W684" s="30"/>
      <c r="X684" s="32"/>
      <c r="Y684" s="33">
        <f t="shared" si="543"/>
        <v>0.1589147063</v>
      </c>
      <c r="Z684" s="692"/>
      <c r="AA684" s="665"/>
      <c r="AB684" s="74"/>
      <c r="AC684" s="74"/>
      <c r="AD684" s="1329" t="str">
        <f>HYPERLINK("https://www.crunchbase.com/funding_round/enertiv-seed--74383dc9"," 1/25/2018")</f>
        <v> 1/25/2018</v>
      </c>
      <c r="AE684" s="38">
        <v>850000.0</v>
      </c>
      <c r="AF684" s="39"/>
      <c r="AG684" s="46"/>
      <c r="AH684" s="36"/>
      <c r="AI684" s="159"/>
      <c r="AJ684" s="43" t="str">
        <f>HYPERLINK("https://www.crunchbase.com/funding_round/enertiv-series-a--77baac83","May 19, 2022")</f>
        <v>May 19, 2022</v>
      </c>
      <c r="AK684" s="38">
        <v>9000000.0</v>
      </c>
      <c r="AL684" s="44"/>
      <c r="AM684" s="46"/>
      <c r="AN684" s="44"/>
      <c r="AO684" s="46"/>
      <c r="AP684" s="44"/>
      <c r="AQ684" s="46"/>
      <c r="AR684" s="44"/>
      <c r="AS684" s="44"/>
      <c r="AT684" s="44"/>
      <c r="AU684" s="45"/>
      <c r="AV684" s="44"/>
      <c r="AW684" s="38"/>
      <c r="AX684" s="44"/>
      <c r="AY684" s="38"/>
      <c r="AZ684" s="44"/>
      <c r="BA684" s="45"/>
      <c r="BB684" s="44"/>
      <c r="BC684" s="45"/>
      <c r="BD684" s="44"/>
      <c r="BE684" s="38"/>
      <c r="BF684" s="3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</row>
    <row r="685" ht="15.75" customHeight="1">
      <c r="A685" s="442" t="s">
        <v>3438</v>
      </c>
      <c r="B685" s="68" t="s">
        <v>1372</v>
      </c>
      <c r="C685" s="69" t="s">
        <v>123</v>
      </c>
      <c r="D685" s="184"/>
      <c r="E685" s="200" t="s">
        <v>3439</v>
      </c>
      <c r="F685" s="177" t="s">
        <v>3440</v>
      </c>
      <c r="G685" s="751" t="s">
        <v>3441</v>
      </c>
      <c r="H685" s="186" t="s">
        <v>128</v>
      </c>
      <c r="I685" s="186" t="s">
        <v>128</v>
      </c>
      <c r="J685" s="72" t="s">
        <v>3000</v>
      </c>
      <c r="K685" s="26">
        <v>3.0</v>
      </c>
      <c r="L685" s="26">
        <v>2017.0</v>
      </c>
      <c r="M685" s="25">
        <f t="shared" si="540"/>
        <v>8</v>
      </c>
      <c r="N685" s="26">
        <f t="shared" si="541"/>
        <v>2</v>
      </c>
      <c r="O685" s="27" t="str">
        <f t="shared" si="3"/>
        <v>#N/A</v>
      </c>
      <c r="P685" s="28"/>
      <c r="Q685" s="28"/>
      <c r="R685" s="28"/>
      <c r="S685" s="28"/>
      <c r="T685" s="29">
        <f t="shared" si="542"/>
        <v>1225000</v>
      </c>
      <c r="U685" s="28"/>
      <c r="V685" s="30">
        <f t="shared" si="425"/>
        <v>9800000</v>
      </c>
      <c r="W685" s="30"/>
      <c r="X685" s="73"/>
      <c r="Y685" s="33">
        <f t="shared" si="543"/>
        <v>0.03124481801</v>
      </c>
      <c r="Z685" s="692"/>
      <c r="AA685" s="665"/>
      <c r="AB685" s="74"/>
      <c r="AC685" s="74"/>
      <c r="AD685" s="79"/>
      <c r="AE685" s="84"/>
      <c r="AF685" s="175" t="str">
        <f>HYPERLINK("https://www.crunchbase.com/organization/okapi-f5af#section-funding-rounds2"," Oct 1, 2017")</f>
        <v> Oct 1, 2017</v>
      </c>
      <c r="AG685" s="76">
        <v>4300000.0</v>
      </c>
      <c r="AH685" s="74"/>
      <c r="AI685" s="78"/>
      <c r="AJ685" s="426" t="str">
        <f>HYPERLINK("https://www.crunchbase.com/funding_round/okapi-f5af-series-a--4d5bd51f"," 9/26/2019")</f>
        <v> 9/26/2019</v>
      </c>
      <c r="AK685" s="76">
        <v>5500000.0</v>
      </c>
      <c r="AL685" s="79"/>
      <c r="AM685" s="84"/>
      <c r="AN685" s="79"/>
      <c r="AO685" s="84"/>
      <c r="AP685" s="79"/>
      <c r="AQ685" s="84"/>
      <c r="AR685" s="79"/>
      <c r="AS685" s="79"/>
      <c r="AT685" s="79"/>
      <c r="AU685" s="80"/>
      <c r="AV685" s="79"/>
      <c r="AW685" s="38"/>
      <c r="AX685" s="79"/>
      <c r="AY685" s="38"/>
      <c r="AZ685" s="79"/>
      <c r="BA685" s="80"/>
      <c r="BB685" s="79"/>
      <c r="BC685" s="80"/>
      <c r="BD685" s="79"/>
      <c r="BE685" s="38"/>
      <c r="BF685" s="74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68"/>
      <c r="CA685" s="68"/>
      <c r="CB685" s="68"/>
      <c r="CC685" s="68"/>
      <c r="CD685" s="68"/>
      <c r="CE685" s="68"/>
      <c r="CF685" s="68"/>
      <c r="CG685" s="68"/>
      <c r="CH685" s="68"/>
      <c r="CI685" s="68"/>
      <c r="CJ685" s="68"/>
      <c r="CK685" s="68"/>
      <c r="CL685" s="68"/>
      <c r="CM685" s="68"/>
      <c r="CN685" s="68"/>
      <c r="CO685" s="68"/>
      <c r="CP685" s="68"/>
    </row>
    <row r="686" ht="15.75" customHeight="1">
      <c r="A686" s="860" t="s">
        <v>3442</v>
      </c>
      <c r="B686" s="115"/>
      <c r="C686" s="116" t="s">
        <v>84</v>
      </c>
      <c r="D686" s="449"/>
      <c r="E686" s="192" t="s">
        <v>3443</v>
      </c>
      <c r="F686" s="118" t="s">
        <v>3444</v>
      </c>
      <c r="G686" s="119" t="s">
        <v>3445</v>
      </c>
      <c r="H686" s="119" t="s">
        <v>3446</v>
      </c>
      <c r="I686" s="25" t="s">
        <v>3447</v>
      </c>
      <c r="J686" s="120" t="s">
        <v>3448</v>
      </c>
      <c r="K686" s="123"/>
      <c r="L686" s="25">
        <v>2019.0</v>
      </c>
      <c r="M686" s="25">
        <f t="shared" si="540"/>
        <v>6</v>
      </c>
      <c r="N686" s="26">
        <f t="shared" si="541"/>
        <v>2</v>
      </c>
      <c r="O686" s="27" t="str">
        <f t="shared" si="3"/>
        <v>#N/A</v>
      </c>
      <c r="P686" s="28"/>
      <c r="Q686" s="28"/>
      <c r="R686" s="28"/>
      <c r="S686" s="28"/>
      <c r="T686" s="29">
        <f t="shared" si="542"/>
        <v>1633333.333</v>
      </c>
      <c r="U686" s="28"/>
      <c r="V686" s="30">
        <f t="shared" si="425"/>
        <v>9800000</v>
      </c>
      <c r="W686" s="30"/>
      <c r="X686" s="403"/>
      <c r="Y686" s="33">
        <f t="shared" si="543"/>
        <v>0.006826863267</v>
      </c>
      <c r="Z686" s="692"/>
      <c r="AA686" s="665"/>
      <c r="AB686" s="123"/>
      <c r="AC686" s="123"/>
      <c r="AD686" s="55"/>
      <c r="AE686" s="55"/>
      <c r="AF686" s="227">
        <v>43692.0</v>
      </c>
      <c r="AG686" s="127">
        <v>4800000.0</v>
      </c>
      <c r="AH686" s="123"/>
      <c r="AI686" s="128"/>
      <c r="AJ686" s="167" t="str">
        <f>HYPERLINK("https://www.crunchbase.com/funding_round/simplifyy-series-a--1d622984","Mar 19,2021")</f>
        <v>Mar 19,2021</v>
      </c>
      <c r="AK686" s="127">
        <v>5000000.0</v>
      </c>
      <c r="AL686" s="169"/>
      <c r="AM686" s="127"/>
      <c r="AN686" s="124"/>
      <c r="AO686" s="125"/>
      <c r="AP686" s="124"/>
      <c r="AQ686" s="125"/>
      <c r="AR686" s="124"/>
      <c r="AS686" s="124"/>
      <c r="AT686" s="124"/>
      <c r="AU686" s="137"/>
      <c r="AV686" s="124"/>
      <c r="AW686" s="38"/>
      <c r="AX686" s="124"/>
      <c r="AY686" s="38"/>
      <c r="AZ686" s="124"/>
      <c r="BA686" s="137"/>
      <c r="BB686" s="124"/>
      <c r="BC686" s="137"/>
      <c r="BD686" s="124"/>
      <c r="BE686" s="38"/>
      <c r="BF686" s="123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</row>
    <row r="687" ht="15.75" customHeight="1">
      <c r="A687" s="47" t="s">
        <v>3449</v>
      </c>
      <c r="C687" s="48" t="s">
        <v>68</v>
      </c>
      <c r="D687" s="351"/>
      <c r="E687" s="617" t="s">
        <v>3450</v>
      </c>
      <c r="F687" s="352" t="s">
        <v>3451</v>
      </c>
      <c r="G687" s="353"/>
      <c r="H687" s="53" t="s">
        <v>3452</v>
      </c>
      <c r="I687" s="54" t="s">
        <v>329</v>
      </c>
      <c r="J687" s="55"/>
      <c r="K687" s="55"/>
      <c r="L687" s="56">
        <v>2003.0</v>
      </c>
      <c r="M687" s="55"/>
      <c r="N687" s="55"/>
      <c r="O687" s="27" t="str">
        <f t="shared" si="3"/>
        <v>#N/A</v>
      </c>
      <c r="P687" s="55"/>
      <c r="Q687" s="55"/>
      <c r="R687" s="55"/>
      <c r="S687" s="55"/>
      <c r="T687" s="55"/>
      <c r="U687" s="55"/>
      <c r="V687" s="30">
        <f t="shared" si="425"/>
        <v>9800000</v>
      </c>
      <c r="W687" s="30"/>
      <c r="X687" s="58"/>
      <c r="Y687" s="58"/>
      <c r="Z687" s="692"/>
      <c r="AA687" s="665"/>
      <c r="AB687" s="55"/>
      <c r="AC687" s="55"/>
      <c r="AD687" s="355"/>
      <c r="AE687" s="55"/>
      <c r="AF687" s="355">
        <v>44924.0</v>
      </c>
      <c r="AG687" s="38">
        <v>9800000.0</v>
      </c>
      <c r="AH687" s="55"/>
      <c r="AI687" s="55"/>
      <c r="AJ687" s="55"/>
      <c r="AK687" s="55"/>
      <c r="AL687" s="55"/>
      <c r="AM687" s="55"/>
      <c r="AN687" s="55"/>
      <c r="AO687" s="55"/>
      <c r="AP687" s="356"/>
      <c r="AQ687" s="356"/>
      <c r="AR687" s="55"/>
      <c r="AS687" s="55"/>
      <c r="AT687" s="55"/>
      <c r="AU687" s="722"/>
      <c r="AV687" s="55"/>
      <c r="AW687" s="38"/>
      <c r="AX687" s="55"/>
      <c r="AY687" s="38"/>
      <c r="AZ687" s="55"/>
      <c r="BA687" s="722"/>
      <c r="BB687" s="55"/>
      <c r="BC687" s="722"/>
      <c r="BD687" s="55"/>
      <c r="BE687" s="38"/>
      <c r="BF687" s="55"/>
      <c r="BG687" s="115"/>
      <c r="BH687" s="115"/>
      <c r="BI687" s="115"/>
      <c r="BJ687" s="115"/>
      <c r="BK687" s="115"/>
      <c r="BL687" s="115"/>
      <c r="BM687" s="115"/>
      <c r="BN687" s="115"/>
      <c r="BO687" s="115"/>
      <c r="BP687" s="115"/>
      <c r="BQ687" s="115"/>
      <c r="BR687" s="115"/>
      <c r="BS687" s="115"/>
      <c r="BT687" s="115"/>
      <c r="BU687" s="115"/>
      <c r="BV687" s="115"/>
      <c r="BW687" s="115"/>
      <c r="BX687" s="115"/>
      <c r="BY687" s="115"/>
      <c r="BZ687" s="115"/>
      <c r="CA687" s="115"/>
      <c r="CB687" s="115"/>
      <c r="CC687" s="115"/>
      <c r="CD687" s="115"/>
      <c r="CE687" s="115"/>
      <c r="CF687" s="115"/>
      <c r="CG687" s="115"/>
      <c r="CH687" s="115"/>
      <c r="CI687" s="115"/>
      <c r="CJ687" s="115"/>
      <c r="CK687" s="115"/>
      <c r="CL687" s="115"/>
      <c r="CM687" s="115"/>
      <c r="CN687" s="115"/>
      <c r="CO687" s="115"/>
      <c r="CP687" s="115"/>
    </row>
    <row r="688" ht="15.75" customHeight="1">
      <c r="A688" s="21" t="s">
        <v>3453</v>
      </c>
      <c r="B688" s="68"/>
      <c r="C688" s="69" t="s">
        <v>132</v>
      </c>
      <c r="D688" s="200" t="s">
        <v>3454</v>
      </c>
      <c r="E688" s="200" t="s">
        <v>3455</v>
      </c>
      <c r="F688" s="565" t="s">
        <v>3456</v>
      </c>
      <c r="G688" s="54"/>
      <c r="H688" s="71" t="s">
        <v>64</v>
      </c>
      <c r="I688" s="26" t="s">
        <v>65</v>
      </c>
      <c r="J688" s="718"/>
      <c r="K688" s="26">
        <v>1.0</v>
      </c>
      <c r="L688" s="26">
        <v>2019.0</v>
      </c>
      <c r="M688" s="25"/>
      <c r="N688" s="26"/>
      <c r="O688" s="27" t="str">
        <f t="shared" si="3"/>
        <v>#N/A</v>
      </c>
      <c r="P688" s="273"/>
      <c r="Q688" s="273"/>
      <c r="R688" s="273"/>
      <c r="S688" s="273"/>
      <c r="T688" s="273"/>
      <c r="U688" s="273"/>
      <c r="V688" s="30">
        <f t="shared" si="425"/>
        <v>9750500</v>
      </c>
      <c r="W688" s="30"/>
      <c r="X688" s="73"/>
      <c r="Y688" s="73"/>
      <c r="Z688" s="692"/>
      <c r="AA688" s="665"/>
      <c r="AB688" s="74"/>
      <c r="AC688" s="74"/>
      <c r="AD688" s="75">
        <v>44182.0</v>
      </c>
      <c r="AE688" s="76">
        <v>250500.0</v>
      </c>
      <c r="AF688" s="726">
        <v>44839.0</v>
      </c>
      <c r="AG688" s="76">
        <v>9500000.0</v>
      </c>
      <c r="AH688" s="77"/>
      <c r="AI688" s="435"/>
      <c r="AJ688" s="279"/>
      <c r="AK688" s="76"/>
      <c r="AL688" s="79"/>
      <c r="AM688" s="84"/>
      <c r="AN688" s="79"/>
      <c r="AO688" s="84"/>
      <c r="AP688" s="79"/>
      <c r="AQ688" s="84"/>
      <c r="AR688" s="79"/>
      <c r="AS688" s="79"/>
      <c r="AT688" s="79"/>
      <c r="AU688" s="80"/>
      <c r="AV688" s="79"/>
      <c r="AW688" s="38"/>
      <c r="AX688" s="79"/>
      <c r="AY688" s="38"/>
      <c r="AZ688" s="79"/>
      <c r="BA688" s="80"/>
      <c r="BB688" s="79"/>
      <c r="BC688" s="80"/>
      <c r="BD688" s="79"/>
      <c r="BE688" s="38"/>
      <c r="BF688" s="74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68"/>
      <c r="CA688" s="68"/>
      <c r="CB688" s="68"/>
      <c r="CC688" s="68"/>
      <c r="CD688" s="68"/>
      <c r="CE688" s="68"/>
      <c r="CF688" s="68"/>
      <c r="CG688" s="68"/>
      <c r="CH688" s="68"/>
      <c r="CI688" s="68"/>
      <c r="CJ688" s="68"/>
      <c r="CK688" s="68"/>
      <c r="CL688" s="68"/>
      <c r="CM688" s="68"/>
      <c r="CN688" s="68"/>
      <c r="CO688" s="68"/>
      <c r="CP688" s="68"/>
    </row>
    <row r="689" ht="15.75" customHeight="1">
      <c r="A689" s="400" t="s">
        <v>3457</v>
      </c>
      <c r="B689" s="115"/>
      <c r="C689" s="116" t="s">
        <v>84</v>
      </c>
      <c r="D689" s="161" t="s">
        <v>3458</v>
      </c>
      <c r="E689" s="161" t="s">
        <v>3459</v>
      </c>
      <c r="F689" s="402" t="s">
        <v>3460</v>
      </c>
      <c r="G689" s="286"/>
      <c r="H689" s="119" t="s">
        <v>163</v>
      </c>
      <c r="I689" s="25" t="s">
        <v>164</v>
      </c>
      <c r="J689" s="287"/>
      <c r="K689" s="25">
        <v>3.0</v>
      </c>
      <c r="L689" s="25">
        <v>2017.0</v>
      </c>
      <c r="M689" s="25">
        <f>year(now()) -L689</f>
        <v>8</v>
      </c>
      <c r="N689" s="26">
        <f>counta(AE689,AG689,AI689,AK689,AM689,AO689,AQ689,AS689,AU689,AW689,AY689,BA689,BC689)</f>
        <v>2</v>
      </c>
      <c r="O689" s="27" t="str">
        <f t="shared" si="3"/>
        <v>#N/A</v>
      </c>
      <c r="P689" s="28"/>
      <c r="Q689" s="28"/>
      <c r="R689" s="28"/>
      <c r="S689" s="28"/>
      <c r="T689" s="29">
        <f>V689/M689</f>
        <v>1212500</v>
      </c>
      <c r="U689" s="28"/>
      <c r="V689" s="30">
        <f t="shared" si="425"/>
        <v>9700000</v>
      </c>
      <c r="W689" s="30"/>
      <c r="X689" s="597"/>
      <c r="Y689" s="33">
        <f>(max(AE689,AG689,AI689,AK689,AM689,AO689,AQ689,AS689,AU689,AW689,AY689,BA689,BC689)/min(AE689,AG689,AI689,AK689))^(1/M689)-1</f>
        <v>0.2136127578</v>
      </c>
      <c r="Z689" s="692"/>
      <c r="AA689" s="665"/>
      <c r="AB689" s="123"/>
      <c r="AC689" s="123"/>
      <c r="AD689" s="124"/>
      <c r="AE689" s="125"/>
      <c r="AF689" s="1330">
        <v>44054.0</v>
      </c>
      <c r="AG689" s="127">
        <v>8000000.0</v>
      </c>
      <c r="AH689" s="1331" t="str">
        <f>HYPERLINK("https://www.crunchbase.com/funding_round/till-inc-series-unknown--be046cfc","Jun 19, 2019")</f>
        <v>Jun 19, 2019</v>
      </c>
      <c r="AI689" s="759">
        <v>1700000.0</v>
      </c>
      <c r="AJ689" s="124"/>
      <c r="AK689" s="125"/>
      <c r="AL689" s="124"/>
      <c r="AM689" s="125"/>
      <c r="AN689" s="124"/>
      <c r="AO689" s="125"/>
      <c r="AP689" s="124"/>
      <c r="AQ689" s="125"/>
      <c r="AR689" s="124"/>
      <c r="AS689" s="124"/>
      <c r="AT689" s="124"/>
      <c r="AU689" s="137"/>
      <c r="AV689" s="124"/>
      <c r="AW689" s="38"/>
      <c r="AX689" s="124"/>
      <c r="AY689" s="38"/>
      <c r="AZ689" s="124"/>
      <c r="BA689" s="137"/>
      <c r="BB689" s="124"/>
      <c r="BC689" s="137"/>
      <c r="BD689" s="124"/>
      <c r="BE689" s="38"/>
      <c r="BF689" s="123"/>
      <c r="BG689" s="115"/>
      <c r="BH689" s="115"/>
      <c r="BI689" s="115"/>
      <c r="BJ689" s="115"/>
      <c r="BK689" s="115"/>
      <c r="BL689" s="115"/>
      <c r="BM689" s="115"/>
      <c r="BN689" s="115"/>
      <c r="BO689" s="115"/>
      <c r="BP689" s="115"/>
      <c r="BQ689" s="115"/>
      <c r="BR689" s="115"/>
      <c r="BS689" s="115"/>
      <c r="BT689" s="115"/>
      <c r="BU689" s="115"/>
      <c r="BV689" s="115"/>
      <c r="BW689" s="115"/>
      <c r="BX689" s="115"/>
      <c r="BY689" s="115"/>
      <c r="BZ689" s="115"/>
      <c r="CA689" s="115"/>
      <c r="CB689" s="115"/>
      <c r="CC689" s="115"/>
      <c r="CD689" s="115"/>
      <c r="CE689" s="115"/>
      <c r="CF689" s="115"/>
      <c r="CG689" s="115"/>
      <c r="CH689" s="115"/>
      <c r="CI689" s="115"/>
      <c r="CJ689" s="115"/>
      <c r="CK689" s="115"/>
      <c r="CL689" s="115"/>
      <c r="CM689" s="115"/>
      <c r="CN689" s="115"/>
      <c r="CO689" s="115"/>
      <c r="CP689" s="115"/>
    </row>
    <row r="690" ht="15.75" customHeight="1">
      <c r="A690" s="48" t="s">
        <v>3461</v>
      </c>
      <c r="B690" s="68"/>
      <c r="C690" s="69" t="s">
        <v>207</v>
      </c>
      <c r="D690" s="48"/>
      <c r="E690" s="138" t="s">
        <v>3462</v>
      </c>
      <c r="F690" s="118" t="s">
        <v>3463</v>
      </c>
      <c r="G690" s="186"/>
      <c r="H690" s="71" t="s">
        <v>3464</v>
      </c>
      <c r="I690" s="26" t="s">
        <v>959</v>
      </c>
      <c r="J690" s="155"/>
      <c r="K690" s="26">
        <v>4.0</v>
      </c>
      <c r="L690" s="26">
        <v>2018.0</v>
      </c>
      <c r="M690" s="25"/>
      <c r="N690" s="26"/>
      <c r="O690" s="27" t="str">
        <f t="shared" si="3"/>
        <v>#N/A</v>
      </c>
      <c r="P690" s="273"/>
      <c r="Q690" s="273"/>
      <c r="R690" s="273"/>
      <c r="S690" s="273"/>
      <c r="T690" s="273"/>
      <c r="U690" s="273"/>
      <c r="V690" s="30">
        <f t="shared" si="425"/>
        <v>9600000</v>
      </c>
      <c r="W690" s="30"/>
      <c r="X690" s="73"/>
      <c r="Y690" s="73"/>
      <c r="Z690" s="692"/>
      <c r="AA690" s="665"/>
      <c r="AB690" s="74"/>
      <c r="AC690" s="74"/>
      <c r="AD690" s="44"/>
      <c r="AE690" s="46"/>
      <c r="AF690" s="158" t="str">
        <f>HYPERLINK("https://www.crunchbase.com/funding_round/daybase-seed--d175239d","Mar 3, 2022")</f>
        <v>Mar 3, 2022</v>
      </c>
      <c r="AG690" s="38">
        <v>9600000.0</v>
      </c>
      <c r="AH690" s="36"/>
      <c r="AI690" s="159"/>
      <c r="AJ690" s="44"/>
      <c r="AK690" s="46"/>
      <c r="AL690" s="44"/>
      <c r="AM690" s="46"/>
      <c r="AN690" s="44"/>
      <c r="AO690" s="46"/>
      <c r="AP690" s="44"/>
      <c r="AQ690" s="46"/>
      <c r="AR690" s="44"/>
      <c r="AS690" s="44"/>
      <c r="AT690" s="44"/>
      <c r="AU690" s="45"/>
      <c r="AV690" s="44"/>
      <c r="AW690" s="38"/>
      <c r="AX690" s="44"/>
      <c r="AY690" s="38"/>
      <c r="AZ690" s="44"/>
      <c r="BA690" s="45"/>
      <c r="BB690" s="44"/>
      <c r="BC690" s="45"/>
      <c r="BD690" s="44"/>
      <c r="BE690" s="38"/>
      <c r="BF690" s="36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  <c r="CO690" s="68"/>
      <c r="CP690" s="68"/>
    </row>
    <row r="691" ht="15.75" customHeight="1">
      <c r="A691" s="952" t="s">
        <v>3465</v>
      </c>
      <c r="B691" s="534"/>
      <c r="C691" s="849" t="s">
        <v>123</v>
      </c>
      <c r="D691" s="192" t="s">
        <v>3466</v>
      </c>
      <c r="E691" s="192" t="s">
        <v>3467</v>
      </c>
      <c r="F691" s="118" t="s">
        <v>3468</v>
      </c>
      <c r="G691" s="850" t="s">
        <v>3469</v>
      </c>
      <c r="H691" s="850" t="s">
        <v>1546</v>
      </c>
      <c r="I691" s="222" t="s">
        <v>1547</v>
      </c>
      <c r="J691" s="691"/>
      <c r="K691" s="222">
        <v>2.0</v>
      </c>
      <c r="L691" s="222">
        <v>2010.0</v>
      </c>
      <c r="M691" s="25">
        <f>year(now()) -L691</f>
        <v>15</v>
      </c>
      <c r="N691" s="26">
        <f>counta(AE691,AG691,AI691,AK691,AM691,AO691,AQ691,AS691,AU691,AW691,AY691,BA691,BC691)</f>
        <v>3</v>
      </c>
      <c r="O691" s="27" t="str">
        <f t="shared" si="3"/>
        <v>#N/A</v>
      </c>
      <c r="P691" s="28"/>
      <c r="Q691" s="28"/>
      <c r="R691" s="28"/>
      <c r="S691" s="28"/>
      <c r="T691" s="29">
        <f>V691/M691</f>
        <v>636666.6667</v>
      </c>
      <c r="U691" s="28"/>
      <c r="V691" s="30">
        <f t="shared" si="425"/>
        <v>9550000</v>
      </c>
      <c r="W691" s="30"/>
      <c r="X691" s="852"/>
      <c r="Y691" s="33">
        <f>(max(AE691,AG691,AI691,AK691,AM691,AO691,AQ691,AS691,AU691,AW691,AY691,BA691,BC691)/min(AE691,AG691,AI691,AK691))^(1/M691)-1</f>
        <v>0.1726972428</v>
      </c>
      <c r="Z691" s="692"/>
      <c r="AA691" s="665"/>
      <c r="AB691" s="326"/>
      <c r="AC691" s="326"/>
      <c r="AD691" s="42">
        <v>43040.0</v>
      </c>
      <c r="AE691" s="325">
        <v>550000.0</v>
      </c>
      <c r="AF691" s="42">
        <v>43647.0</v>
      </c>
      <c r="AG691" s="325">
        <v>3000000.0</v>
      </c>
      <c r="AH691" s="326"/>
      <c r="AI691" s="323"/>
      <c r="AJ691" s="42">
        <v>43935.0</v>
      </c>
      <c r="AK691" s="325">
        <v>6000000.0</v>
      </c>
      <c r="AL691" s="227"/>
      <c r="AM691" s="954"/>
      <c r="AN691" s="227"/>
      <c r="AO691" s="325"/>
      <c r="AP691" s="322"/>
      <c r="AQ691" s="323"/>
      <c r="AR691" s="322"/>
      <c r="AS691" s="322"/>
      <c r="AT691" s="322"/>
      <c r="AU691" s="335"/>
      <c r="AV691" s="322"/>
      <c r="AW691" s="38"/>
      <c r="AX691" s="322"/>
      <c r="AY691" s="38"/>
      <c r="AZ691" s="322"/>
      <c r="BA691" s="335"/>
      <c r="BB691" s="322"/>
      <c r="BC691" s="335"/>
      <c r="BD691" s="322"/>
      <c r="BE691" s="38"/>
      <c r="BF691" s="326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  <c r="CO691" s="68"/>
      <c r="CP691" s="68"/>
    </row>
    <row r="692" ht="15.75" customHeight="1">
      <c r="A692" s="47" t="s">
        <v>3470</v>
      </c>
      <c r="C692" s="48" t="s">
        <v>68</v>
      </c>
      <c r="D692" s="49" t="s">
        <v>3471</v>
      </c>
      <c r="E692" s="49" t="s">
        <v>3472</v>
      </c>
      <c r="F692" s="352" t="s">
        <v>3473</v>
      </c>
      <c r="G692" s="353"/>
      <c r="H692" s="47" t="s">
        <v>128</v>
      </c>
      <c r="I692" s="48" t="s">
        <v>129</v>
      </c>
      <c r="J692" s="55"/>
      <c r="K692" s="54">
        <v>2.0</v>
      </c>
      <c r="L692" s="56">
        <v>2018.0</v>
      </c>
      <c r="M692" s="55"/>
      <c r="N692" s="55"/>
      <c r="O692" s="27" t="str">
        <f t="shared" si="3"/>
        <v>#N/A</v>
      </c>
      <c r="P692" s="55"/>
      <c r="Q692" s="55"/>
      <c r="R692" s="55"/>
      <c r="S692" s="55"/>
      <c r="T692" s="55"/>
      <c r="U692" s="55"/>
      <c r="V692" s="30">
        <f t="shared" si="425"/>
        <v>9550000</v>
      </c>
      <c r="W692" s="30"/>
      <c r="X692" s="58"/>
      <c r="Y692" s="58"/>
      <c r="Z692" s="692"/>
      <c r="AA692" s="665"/>
      <c r="AB692" s="55"/>
      <c r="AC692" s="55"/>
      <c r="AD692" s="880">
        <v>43586.0</v>
      </c>
      <c r="AE692" s="38">
        <v>750000.0</v>
      </c>
      <c r="AF692" s="62">
        <v>44440.0</v>
      </c>
      <c r="AG692" s="38">
        <v>3200000.0</v>
      </c>
      <c r="AH692" s="55"/>
      <c r="AI692" s="55"/>
      <c r="AJ692" s="55"/>
      <c r="AK692" s="55"/>
      <c r="AL692" s="55"/>
      <c r="AM692" s="55"/>
      <c r="AN692" s="55"/>
      <c r="AO692" s="55"/>
      <c r="AP692" s="356"/>
      <c r="AQ692" s="356"/>
      <c r="AR692" s="55"/>
      <c r="AS692" s="55"/>
      <c r="AT692" s="55"/>
      <c r="AU692" s="722"/>
      <c r="AV692" s="55"/>
      <c r="AW692" s="38"/>
      <c r="AX692" s="55"/>
      <c r="AY692" s="38"/>
      <c r="AZ692" s="62">
        <v>44931.0</v>
      </c>
      <c r="BA692" s="743">
        <v>5600000.0</v>
      </c>
      <c r="BB692" s="55"/>
      <c r="BC692" s="722"/>
      <c r="BD692" s="55"/>
      <c r="BE692" s="38"/>
      <c r="BF692" s="55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</row>
    <row r="693" ht="15.75" customHeight="1">
      <c r="A693" s="935" t="s">
        <v>3474</v>
      </c>
      <c r="B693" s="858"/>
      <c r="C693" s="69" t="s">
        <v>132</v>
      </c>
      <c r="D693" s="192" t="s">
        <v>3475</v>
      </c>
      <c r="E693" s="192" t="s">
        <v>3476</v>
      </c>
      <c r="F693" s="118" t="s">
        <v>3477</v>
      </c>
      <c r="G693" s="140"/>
      <c r="H693" s="1110" t="s">
        <v>64</v>
      </c>
      <c r="I693" s="858" t="s">
        <v>65</v>
      </c>
      <c r="J693" s="72"/>
      <c r="K693" s="26"/>
      <c r="L693" s="26">
        <v>2017.0</v>
      </c>
      <c r="M693" s="25">
        <f t="shared" ref="M693:M694" si="544">year(now()) -L693</f>
        <v>8</v>
      </c>
      <c r="N693" s="26">
        <f t="shared" ref="N693:N694" si="545">counta(AE693,AG693,AI693,AK693,AM693,AO693,AQ693,AS693,AU693,AW693,AY693,BA693,BC693)</f>
        <v>2</v>
      </c>
      <c r="O693" s="27" t="str">
        <f t="shared" si="3"/>
        <v>#N/A</v>
      </c>
      <c r="P693" s="28"/>
      <c r="Q693" s="28"/>
      <c r="R693" s="28"/>
      <c r="S693" s="28"/>
      <c r="T693" s="29">
        <f t="shared" ref="T693:T694" si="546">V693/M693</f>
        <v>1187500</v>
      </c>
      <c r="U693" s="28"/>
      <c r="V693" s="30">
        <f t="shared" si="425"/>
        <v>9500000</v>
      </c>
      <c r="W693" s="30"/>
      <c r="X693" s="73"/>
      <c r="Y693" s="33">
        <f t="shared" ref="Y693:Y694" si="547">(max(AE693,AG693,AI693,AK693,AM693,AO693,AQ693,AS693,AU693,AW693,AY693,BA693,BC693)/min(AE693,AG693,AI693,AK693))^(1/M693)-1</f>
        <v>0.1796520003</v>
      </c>
      <c r="Z693" s="692"/>
      <c r="AA693" s="665"/>
      <c r="AB693" s="74"/>
      <c r="AC693" s="74"/>
      <c r="AD693" s="44"/>
      <c r="AE693" s="46"/>
      <c r="AF693" s="916">
        <v>43867.0</v>
      </c>
      <c r="AG693" s="38">
        <v>2000000.0</v>
      </c>
      <c r="AH693" s="36"/>
      <c r="AI693" s="159"/>
      <c r="AJ693" s="180">
        <v>44133.0</v>
      </c>
      <c r="AK693" s="38">
        <v>7500000.0</v>
      </c>
      <c r="AL693" s="44"/>
      <c r="AM693" s="46"/>
      <c r="AN693" s="44"/>
      <c r="AO693" s="46"/>
      <c r="AP693" s="44"/>
      <c r="AQ693" s="46"/>
      <c r="AR693" s="44"/>
      <c r="AS693" s="44"/>
      <c r="AT693" s="44"/>
      <c r="AU693" s="45"/>
      <c r="AV693" s="44"/>
      <c r="AW693" s="38"/>
      <c r="AX693" s="44"/>
      <c r="AY693" s="38"/>
      <c r="AZ693" s="44"/>
      <c r="BA693" s="45"/>
      <c r="BB693" s="44"/>
      <c r="BC693" s="45"/>
      <c r="BD693" s="44"/>
      <c r="BE693" s="38"/>
      <c r="BF693" s="36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68"/>
      <c r="CA693" s="68"/>
      <c r="CB693" s="68"/>
      <c r="CC693" s="68"/>
      <c r="CD693" s="68"/>
      <c r="CE693" s="68"/>
      <c r="CF693" s="68"/>
      <c r="CG693" s="68"/>
      <c r="CH693" s="68"/>
      <c r="CI693" s="68"/>
      <c r="CJ693" s="68"/>
      <c r="CK693" s="68"/>
      <c r="CL693" s="68"/>
      <c r="CM693" s="68"/>
      <c r="CN693" s="68"/>
      <c r="CO693" s="68"/>
      <c r="CP693" s="68"/>
    </row>
    <row r="694" ht="15.75" customHeight="1">
      <c r="A694" s="21" t="s">
        <v>3478</v>
      </c>
      <c r="B694" s="68"/>
      <c r="C694" s="69" t="s">
        <v>84</v>
      </c>
      <c r="D694" s="192" t="s">
        <v>3479</v>
      </c>
      <c r="E694" s="139" t="s">
        <v>3480</v>
      </c>
      <c r="F694" s="757" t="s">
        <v>3481</v>
      </c>
      <c r="G694" s="1051"/>
      <c r="H694" s="71" t="s">
        <v>64</v>
      </c>
      <c r="I694" s="26" t="s">
        <v>65</v>
      </c>
      <c r="J694" s="72"/>
      <c r="K694" s="26">
        <v>2.0</v>
      </c>
      <c r="L694" s="26">
        <v>2020.0</v>
      </c>
      <c r="M694" s="25">
        <f t="shared" si="544"/>
        <v>5</v>
      </c>
      <c r="N694" s="26">
        <f t="shared" si="545"/>
        <v>1</v>
      </c>
      <c r="O694" s="27" t="str">
        <f t="shared" si="3"/>
        <v>#N/A</v>
      </c>
      <c r="P694" s="28"/>
      <c r="Q694" s="28"/>
      <c r="R694" s="28"/>
      <c r="S694" s="28"/>
      <c r="T694" s="29">
        <f t="shared" si="546"/>
        <v>1900000</v>
      </c>
      <c r="U694" s="28"/>
      <c r="V694" s="30">
        <f t="shared" si="425"/>
        <v>9500000</v>
      </c>
      <c r="W694" s="30"/>
      <c r="X694" s="73"/>
      <c r="Y694" s="33">
        <f t="shared" si="547"/>
        <v>0</v>
      </c>
      <c r="Z694" s="692"/>
      <c r="AA694" s="665"/>
      <c r="AB694" s="74"/>
      <c r="AC694" s="74"/>
      <c r="AD694" s="79"/>
      <c r="AE694" s="84"/>
      <c r="AF694" s="175" t="str">
        <f>HYPERLINK("https://www.crunchbase.com/funding_round/jupe-seed--e10997a8","Dec 2, 2021")</f>
        <v>Dec 2, 2021</v>
      </c>
      <c r="AG694" s="76">
        <v>9500000.0</v>
      </c>
      <c r="AH694" s="74"/>
      <c r="AI694" s="78"/>
      <c r="AJ694" s="279"/>
      <c r="AK694" s="76"/>
      <c r="AL694" s="279"/>
      <c r="AM694" s="887"/>
      <c r="AN694" s="279"/>
      <c r="AO694" s="76"/>
      <c r="AP694" s="79"/>
      <c r="AQ694" s="84"/>
      <c r="AR694" s="79"/>
      <c r="AS694" s="79"/>
      <c r="AT694" s="79"/>
      <c r="AU694" s="80"/>
      <c r="AV694" s="79"/>
      <c r="AW694" s="38"/>
      <c r="AX694" s="79"/>
      <c r="AY694" s="38"/>
      <c r="AZ694" s="79"/>
      <c r="BA694" s="80"/>
      <c r="BB694" s="79"/>
      <c r="BC694" s="80"/>
      <c r="BD694" s="79"/>
      <c r="BE694" s="38"/>
      <c r="BF694" s="74"/>
      <c r="BG694" s="115"/>
      <c r="BH694" s="115"/>
      <c r="BI694" s="115"/>
      <c r="BJ694" s="115"/>
      <c r="BK694" s="115"/>
      <c r="BL694" s="115"/>
      <c r="BM694" s="115"/>
      <c r="BN694" s="115"/>
      <c r="BO694" s="115"/>
      <c r="BP694" s="115"/>
      <c r="BQ694" s="115"/>
      <c r="BR694" s="115"/>
      <c r="BS694" s="115"/>
      <c r="BT694" s="115"/>
      <c r="BU694" s="115"/>
      <c r="BV694" s="115"/>
      <c r="BW694" s="115"/>
      <c r="BX694" s="115"/>
      <c r="BY694" s="115"/>
      <c r="BZ694" s="115"/>
      <c r="CA694" s="115"/>
      <c r="CB694" s="115"/>
      <c r="CC694" s="115"/>
      <c r="CD694" s="115"/>
      <c r="CE694" s="115"/>
      <c r="CF694" s="115"/>
      <c r="CG694" s="115"/>
      <c r="CH694" s="115"/>
      <c r="CI694" s="115"/>
      <c r="CJ694" s="115"/>
      <c r="CK694" s="115"/>
      <c r="CL694" s="115"/>
      <c r="CM694" s="115"/>
      <c r="CN694" s="115"/>
      <c r="CO694" s="115"/>
      <c r="CP694" s="115"/>
    </row>
    <row r="695" ht="15.75" customHeight="1">
      <c r="A695" s="400" t="s">
        <v>3482</v>
      </c>
      <c r="B695" s="115"/>
      <c r="C695" s="116" t="s">
        <v>190</v>
      </c>
      <c r="D695" s="449"/>
      <c r="E695" s="161" t="s">
        <v>3483</v>
      </c>
      <c r="F695" s="708" t="s">
        <v>3484</v>
      </c>
      <c r="G695" s="286"/>
      <c r="H695" s="119" t="s">
        <v>2169</v>
      </c>
      <c r="I695" s="25" t="s">
        <v>2171</v>
      </c>
      <c r="J695" s="287"/>
      <c r="K695" s="25">
        <v>4.0</v>
      </c>
      <c r="L695" s="25">
        <v>2019.0</v>
      </c>
      <c r="M695" s="123"/>
      <c r="N695" s="123"/>
      <c r="O695" s="27" t="str">
        <f t="shared" si="3"/>
        <v>#N/A</v>
      </c>
      <c r="P695" s="55"/>
      <c r="Q695" s="55"/>
      <c r="R695" s="55"/>
      <c r="S695" s="55"/>
      <c r="T695" s="55"/>
      <c r="U695" s="55"/>
      <c r="V695" s="30">
        <f t="shared" si="425"/>
        <v>9500000</v>
      </c>
      <c r="W695" s="30"/>
      <c r="X695" s="403"/>
      <c r="Y695" s="403"/>
      <c r="Z695" s="692"/>
      <c r="AA695" s="665"/>
      <c r="AB695" s="123"/>
      <c r="AC695" s="123"/>
      <c r="AD695" s="62">
        <v>43739.0</v>
      </c>
      <c r="AE695" s="335">
        <v>500000.0</v>
      </c>
      <c r="AF695" s="62">
        <v>44894.0</v>
      </c>
      <c r="AG695" s="38">
        <v>9000000.0</v>
      </c>
      <c r="AH695" s="123"/>
      <c r="AI695" s="123"/>
      <c r="AJ695" s="123"/>
      <c r="AK695" s="123"/>
      <c r="AL695" s="123"/>
      <c r="AM695" s="123"/>
      <c r="AN695" s="123"/>
      <c r="AO695" s="123"/>
      <c r="AP695" s="123"/>
      <c r="AQ695" s="123"/>
      <c r="AR695" s="123"/>
      <c r="AS695" s="123"/>
      <c r="AT695" s="123"/>
      <c r="AU695" s="137"/>
      <c r="AV695" s="123"/>
      <c r="AW695" s="38"/>
      <c r="AX695" s="123"/>
      <c r="AY695" s="38"/>
      <c r="AZ695" s="123"/>
      <c r="BA695" s="137"/>
      <c r="BB695" s="1332">
        <v>44894.0</v>
      </c>
      <c r="BC695" s="137"/>
      <c r="BD695" s="123"/>
      <c r="BE695" s="38"/>
      <c r="BF695" s="123"/>
      <c r="BG695" s="534"/>
      <c r="BH695" s="534"/>
      <c r="BI695" s="534"/>
      <c r="BJ695" s="534"/>
      <c r="BK695" s="534"/>
      <c r="BL695" s="534"/>
      <c r="BM695" s="534"/>
      <c r="BN695" s="534"/>
      <c r="BO695" s="534"/>
      <c r="BP695" s="534"/>
      <c r="BQ695" s="534"/>
      <c r="BR695" s="534"/>
      <c r="BS695" s="534"/>
      <c r="BT695" s="534"/>
      <c r="BU695" s="534"/>
      <c r="BV695" s="534"/>
      <c r="BW695" s="534"/>
      <c r="BX695" s="534"/>
      <c r="BY695" s="534"/>
      <c r="BZ695" s="534"/>
      <c r="CA695" s="534"/>
      <c r="CB695" s="534"/>
      <c r="CC695" s="534"/>
      <c r="CD695" s="534"/>
      <c r="CE695" s="534"/>
      <c r="CF695" s="534"/>
      <c r="CG695" s="534"/>
      <c r="CH695" s="534"/>
      <c r="CI695" s="534"/>
      <c r="CJ695" s="534"/>
      <c r="CK695" s="534"/>
      <c r="CL695" s="534"/>
      <c r="CM695" s="534"/>
      <c r="CN695" s="534"/>
      <c r="CO695" s="534"/>
      <c r="CP695" s="534"/>
    </row>
    <row r="696" ht="15.75" customHeight="1">
      <c r="A696" s="442" t="s">
        <v>3485</v>
      </c>
      <c r="B696" s="16" t="s">
        <v>3486</v>
      </c>
      <c r="C696" s="16" t="s">
        <v>59</v>
      </c>
      <c r="D696" s="184" t="s">
        <v>3487</v>
      </c>
      <c r="E696" s="184" t="s">
        <v>3488</v>
      </c>
      <c r="F696" s="185" t="s">
        <v>3489</v>
      </c>
      <c r="G696" s="317" t="s">
        <v>3490</v>
      </c>
      <c r="H696" s="317" t="s">
        <v>771</v>
      </c>
      <c r="I696" s="36" t="s">
        <v>772</v>
      </c>
      <c r="J696" s="237" t="s">
        <v>1663</v>
      </c>
      <c r="K696" s="36">
        <v>1.0</v>
      </c>
      <c r="L696" s="23">
        <v>2011.0</v>
      </c>
      <c r="M696" s="25">
        <f t="shared" ref="M696:M698" si="548">year(now()) -L696</f>
        <v>14</v>
      </c>
      <c r="N696" s="26">
        <f t="shared" ref="N696:N698" si="549">counta(AE696,AG696,AI696,AK696,AM696,AO696,AQ696,AS696,AU696,AW696,AY696,BA696,BC696)</f>
        <v>2</v>
      </c>
      <c r="O696" s="27" t="str">
        <f t="shared" si="3"/>
        <v>#N/A</v>
      </c>
      <c r="P696" s="28"/>
      <c r="Q696" s="28"/>
      <c r="R696" s="28"/>
      <c r="S696" s="28"/>
      <c r="T696" s="29">
        <f t="shared" ref="T696:T698" si="550">V696/M696</f>
        <v>671428.5714</v>
      </c>
      <c r="U696" s="28"/>
      <c r="V696" s="30">
        <f t="shared" si="425"/>
        <v>9400000</v>
      </c>
      <c r="W696" s="30"/>
      <c r="X696" s="847"/>
      <c r="Y696" s="33">
        <f t="shared" ref="Y696:Y698" si="551">(max(AE696,AG696,AI696,AK696,AM696,AO696,AQ696,AS696,AU696,AW696,AY696,BA696,BC696)/min(AE696,AG696,AI696,AK696))^(1/M696)-1</f>
        <v>0.1325795373</v>
      </c>
      <c r="Z696" s="692"/>
      <c r="AA696" s="665"/>
      <c r="AB696" s="36"/>
      <c r="AC696" s="36"/>
      <c r="AD696" s="37"/>
      <c r="AE696" s="38"/>
      <c r="AF696" s="39"/>
      <c r="AG696" s="38"/>
      <c r="AH696" s="886"/>
      <c r="AI696" s="38"/>
      <c r="AJ696" s="228" t="str">
        <f>HYPERLINK("https://www.crunchbase.com/funding_round/apto-series-a--a92fba51"," Nov 24, 2014")</f>
        <v> Nov 24, 2014</v>
      </c>
      <c r="AK696" s="38">
        <v>1400000.0</v>
      </c>
      <c r="AL696" s="228" t="str">
        <f>HYPERLINK("https://www.crunchbase.com/funding_round/apto-series-b--aa1bc5e8"," Aug 12, 2015")</f>
        <v> Aug 12, 2015</v>
      </c>
      <c r="AM696" s="38">
        <v>8000000.0</v>
      </c>
      <c r="AN696" s="37"/>
      <c r="AO696" s="38"/>
      <c r="AP696" s="37"/>
      <c r="AQ696" s="715"/>
      <c r="AR696" s="44"/>
      <c r="AS696" s="44"/>
      <c r="AT696" s="44"/>
      <c r="AU696" s="45"/>
      <c r="AV696" s="44"/>
      <c r="AW696" s="38"/>
      <c r="AX696" s="44"/>
      <c r="AY696" s="38"/>
      <c r="AZ696" s="44"/>
      <c r="BA696" s="45"/>
      <c r="BB696" s="44"/>
      <c r="BC696" s="45"/>
      <c r="BD696" s="44"/>
      <c r="BE696" s="38"/>
      <c r="BF696" s="36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68"/>
      <c r="CA696" s="68"/>
      <c r="CB696" s="68"/>
      <c r="CC696" s="68"/>
      <c r="CD696" s="68"/>
      <c r="CE696" s="68"/>
      <c r="CF696" s="68"/>
      <c r="CG696" s="68"/>
      <c r="CH696" s="68"/>
      <c r="CI696" s="68"/>
      <c r="CJ696" s="68"/>
      <c r="CK696" s="68"/>
      <c r="CL696" s="68"/>
      <c r="CM696" s="68"/>
      <c r="CN696" s="68"/>
      <c r="CO696" s="68"/>
      <c r="CP696" s="68"/>
    </row>
    <row r="697" ht="15.75" customHeight="1">
      <c r="A697" s="245" t="s">
        <v>3491</v>
      </c>
      <c r="B697" s="16"/>
      <c r="C697" s="17" t="s">
        <v>513</v>
      </c>
      <c r="D697" s="245"/>
      <c r="E697" s="138" t="s">
        <v>3492</v>
      </c>
      <c r="F697" s="803" t="s">
        <v>3493</v>
      </c>
      <c r="G697" s="317"/>
      <c r="H697" s="22" t="s">
        <v>64</v>
      </c>
      <c r="I697" s="23" t="s">
        <v>65</v>
      </c>
      <c r="J697" s="237"/>
      <c r="K697" s="23" t="s">
        <v>219</v>
      </c>
      <c r="L697" s="23">
        <v>2020.0</v>
      </c>
      <c r="M697" s="25">
        <f t="shared" si="548"/>
        <v>5</v>
      </c>
      <c r="N697" s="26">
        <f t="shared" si="549"/>
        <v>1</v>
      </c>
      <c r="O697" s="27" t="str">
        <f t="shared" si="3"/>
        <v>#N/A</v>
      </c>
      <c r="P697" s="28"/>
      <c r="Q697" s="28"/>
      <c r="R697" s="28"/>
      <c r="S697" s="28"/>
      <c r="T697" s="29">
        <f t="shared" si="550"/>
        <v>1860000</v>
      </c>
      <c r="U697" s="28"/>
      <c r="V697" s="30">
        <f t="shared" si="425"/>
        <v>9300000</v>
      </c>
      <c r="W697" s="30"/>
      <c r="X697" s="33"/>
      <c r="Y697" s="33">
        <f t="shared" si="551"/>
        <v>0</v>
      </c>
      <c r="Z697" s="692"/>
      <c r="AA697" s="665"/>
      <c r="AB697" s="36"/>
      <c r="AC697" s="36"/>
      <c r="AD697" s="44"/>
      <c r="AE697" s="46"/>
      <c r="AF697" s="158" t="str">
        <f>HYPERLINK("https://www.crunchbase.com/funding_round/awning-seed--64fa2773","Sep 23rd, 2021")</f>
        <v>Sep 23rd, 2021</v>
      </c>
      <c r="AG697" s="38">
        <v>9300000.0</v>
      </c>
      <c r="AH697" s="36"/>
      <c r="AI697" s="159"/>
      <c r="AJ697" s="44"/>
      <c r="AK697" s="46"/>
      <c r="AL697" s="44"/>
      <c r="AM697" s="46"/>
      <c r="AN697" s="37"/>
      <c r="AO697" s="38"/>
      <c r="AP697" s="44"/>
      <c r="AQ697" s="46"/>
      <c r="AR697" s="44"/>
      <c r="AS697" s="44"/>
      <c r="AT697" s="44"/>
      <c r="AU697" s="45"/>
      <c r="AV697" s="44"/>
      <c r="AW697" s="38"/>
      <c r="AX697" s="44"/>
      <c r="AY697" s="38"/>
      <c r="AZ697" s="44"/>
      <c r="BA697" s="45"/>
      <c r="BB697" s="44"/>
      <c r="BC697" s="45"/>
      <c r="BD697" s="44"/>
      <c r="BE697" s="38"/>
      <c r="BF697" s="3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</row>
    <row r="698" ht="15.75" customHeight="1">
      <c r="A698" s="892" t="s">
        <v>3494</v>
      </c>
      <c r="B698" s="68"/>
      <c r="C698" s="69" t="s">
        <v>427</v>
      </c>
      <c r="D698" s="192" t="s">
        <v>3495</v>
      </c>
      <c r="E698" s="192" t="s">
        <v>3496</v>
      </c>
      <c r="F698" s="118" t="s">
        <v>3497</v>
      </c>
      <c r="G698" s="407" t="s">
        <v>3498</v>
      </c>
      <c r="H698" s="71" t="s">
        <v>128</v>
      </c>
      <c r="I698" s="69" t="s">
        <v>129</v>
      </c>
      <c r="J698" s="718" t="s">
        <v>157</v>
      </c>
      <c r="K698" s="26">
        <v>2.0</v>
      </c>
      <c r="L698" s="26">
        <v>2017.0</v>
      </c>
      <c r="M698" s="25">
        <f t="shared" si="548"/>
        <v>8</v>
      </c>
      <c r="N698" s="26">
        <f t="shared" si="549"/>
        <v>3</v>
      </c>
      <c r="O698" s="27" t="str">
        <f t="shared" si="3"/>
        <v>#N/A</v>
      </c>
      <c r="P698" s="28"/>
      <c r="Q698" s="28"/>
      <c r="R698" s="28"/>
      <c r="S698" s="28"/>
      <c r="T698" s="29">
        <f t="shared" si="550"/>
        <v>2275000</v>
      </c>
      <c r="U698" s="28"/>
      <c r="V698" s="30">
        <f t="shared" si="425"/>
        <v>18200000</v>
      </c>
      <c r="W698" s="30"/>
      <c r="X698" s="73"/>
      <c r="Y698" s="33">
        <f t="shared" si="551"/>
        <v>0.09995306037</v>
      </c>
      <c r="Z698" s="692"/>
      <c r="AA698" s="665"/>
      <c r="AB698" s="74"/>
      <c r="AC698" s="74"/>
      <c r="AD698" s="279"/>
      <c r="AE698" s="76"/>
      <c r="AF698" s="320">
        <v>43819.0</v>
      </c>
      <c r="AG698" s="76">
        <v>4200000.0</v>
      </c>
      <c r="AH698" s="77"/>
      <c r="AI698" s="78"/>
      <c r="AJ698" s="181" t="str">
        <f>HYPERLINK("https://www.prnewswire.com/news-releases/vero-announces-5-million-series-a-funding-round-led-by-eleven-capital-and-bienville-capital-301318514.html","May 24, 2021")</f>
        <v>May 24, 2021</v>
      </c>
      <c r="AK698" s="76">
        <v>5000000.0</v>
      </c>
      <c r="AL698" s="75">
        <v>45027.0</v>
      </c>
      <c r="AM698" s="76">
        <v>9000000.0</v>
      </c>
      <c r="AN698" s="79"/>
      <c r="AO698" s="84"/>
      <c r="AP698" s="79"/>
      <c r="AQ698" s="84"/>
      <c r="AR698" s="79"/>
      <c r="AS698" s="79"/>
      <c r="AT698" s="79"/>
      <c r="AU698" s="80"/>
      <c r="AV698" s="79"/>
      <c r="AW698" s="38"/>
      <c r="AX698" s="79"/>
      <c r="AY698" s="38"/>
      <c r="AZ698" s="79"/>
      <c r="BA698" s="80"/>
      <c r="BB698" s="79"/>
      <c r="BC698" s="80"/>
      <c r="BD698" s="79"/>
      <c r="BE698" s="38"/>
      <c r="BF698" s="74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</row>
    <row r="699" ht="15.75" customHeight="1">
      <c r="A699" s="21" t="s">
        <v>3499</v>
      </c>
      <c r="B699" s="68"/>
      <c r="C699" s="69" t="s">
        <v>513</v>
      </c>
      <c r="D699" s="231" t="s">
        <v>3500</v>
      </c>
      <c r="E699" s="231" t="s">
        <v>3501</v>
      </c>
      <c r="F699" s="173" t="s">
        <v>3502</v>
      </c>
      <c r="G699" s="174"/>
      <c r="H699" s="71" t="s">
        <v>309</v>
      </c>
      <c r="I699" s="69" t="s">
        <v>115</v>
      </c>
      <c r="J699" s="514"/>
      <c r="K699" s="26">
        <v>3.0</v>
      </c>
      <c r="L699" s="26">
        <v>2018.0</v>
      </c>
      <c r="M699" s="25"/>
      <c r="N699" s="26"/>
      <c r="O699" s="27" t="str">
        <f t="shared" si="3"/>
        <v>#N/A</v>
      </c>
      <c r="P699" s="28"/>
      <c r="Q699" s="28"/>
      <c r="R699" s="28"/>
      <c r="S699" s="28"/>
      <c r="T699" s="28"/>
      <c r="U699" s="28"/>
      <c r="V699" s="30">
        <f t="shared" si="425"/>
        <v>9130000</v>
      </c>
      <c r="W699" s="30"/>
      <c r="X699" s="73"/>
      <c r="Y699" s="73"/>
      <c r="Z699" s="692"/>
      <c r="AA699" s="665"/>
      <c r="AB699" s="74"/>
      <c r="AC699" s="74"/>
      <c r="AD699" s="391">
        <v>44400.0</v>
      </c>
      <c r="AE699" s="76">
        <v>1030000.0</v>
      </c>
      <c r="AF699" s="338"/>
      <c r="AG699" s="84"/>
      <c r="AH699" s="55"/>
      <c r="AI699" s="55"/>
      <c r="AJ699" s="964">
        <v>44767.0</v>
      </c>
      <c r="AK699" s="435">
        <v>8100000.0</v>
      </c>
      <c r="AL699" s="79"/>
      <c r="AM699" s="76"/>
      <c r="AN699" s="79"/>
      <c r="AO699" s="84"/>
      <c r="AP699" s="79"/>
      <c r="AQ699" s="84"/>
      <c r="AR699" s="79"/>
      <c r="AS699" s="79"/>
      <c r="AT699" s="79"/>
      <c r="AU699" s="80"/>
      <c r="AV699" s="79"/>
      <c r="AW699" s="38"/>
      <c r="AX699" s="79"/>
      <c r="AY699" s="38"/>
      <c r="AZ699" s="79"/>
      <c r="BA699" s="80"/>
      <c r="BB699" s="79"/>
      <c r="BC699" s="80"/>
      <c r="BD699" s="79"/>
      <c r="BE699" s="38"/>
      <c r="BF699" s="74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</row>
    <row r="700" ht="15.75" customHeight="1">
      <c r="A700" s="442" t="s">
        <v>3503</v>
      </c>
      <c r="B700" s="1333" t="s">
        <v>301</v>
      </c>
      <c r="C700" s="17" t="s">
        <v>123</v>
      </c>
      <c r="D700" s="231" t="s">
        <v>3504</v>
      </c>
      <c r="E700" s="184" t="s">
        <v>3505</v>
      </c>
      <c r="F700" s="185" t="s">
        <v>3506</v>
      </c>
      <c r="G700" s="317" t="s">
        <v>3507</v>
      </c>
      <c r="H700" s="442" t="s">
        <v>80</v>
      </c>
      <c r="I700" s="36" t="s">
        <v>65</v>
      </c>
      <c r="J700" s="509" t="s">
        <v>3508</v>
      </c>
      <c r="K700" s="36">
        <v>1.0</v>
      </c>
      <c r="L700" s="23">
        <v>2009.0</v>
      </c>
      <c r="M700" s="25">
        <f t="shared" ref="M700:M701" si="552">year(now()) -L700</f>
        <v>16</v>
      </c>
      <c r="N700" s="26">
        <f t="shared" ref="N700:N701" si="553">counta(AE700,AG700,AI700,AK700,AM700,AO700,AQ700,AS700,AU700,AW700,AY700,BA700,BC700)</f>
        <v>1</v>
      </c>
      <c r="O700" s="27" t="str">
        <f t="shared" si="3"/>
        <v>#N/A</v>
      </c>
      <c r="P700" s="28"/>
      <c r="Q700" s="28"/>
      <c r="R700" s="28"/>
      <c r="S700" s="28"/>
      <c r="T700" s="29">
        <f t="shared" ref="T700:T701" si="554">V700/M700</f>
        <v>562500</v>
      </c>
      <c r="U700" s="28"/>
      <c r="V700" s="30">
        <f t="shared" si="425"/>
        <v>9000000</v>
      </c>
      <c r="W700" s="30"/>
      <c r="X700" s="847"/>
      <c r="Y700" s="33">
        <f t="shared" ref="Y700:Y701" si="555">(max(AE700,AG700,AI700,AK700,AM700,AO700,AQ700,AS700,AU700,AW700,AY700,BA700,BC700)/min(AE700,AG700,AI700,AK700))^(1/M700)-1</f>
        <v>0</v>
      </c>
      <c r="Z700" s="692"/>
      <c r="AA700" s="665"/>
      <c r="AB700" s="36"/>
      <c r="AC700" s="36"/>
      <c r="AD700" s="37"/>
      <c r="AE700" s="38"/>
      <c r="AF700" s="39"/>
      <c r="AG700" s="46"/>
      <c r="AH700" s="46"/>
      <c r="AI700" s="159"/>
      <c r="AJ700" s="228" t="str">
        <f>HYPERLINK("https://www.crunchbase.com/funding_round/buildingiq-series-a--e33543d3"," Jan 22, 2013")</f>
        <v> Jan 22, 2013</v>
      </c>
      <c r="AK700" s="38">
        <v>9000000.0</v>
      </c>
      <c r="AL700" s="44"/>
      <c r="AM700" s="46"/>
      <c r="AN700" s="44"/>
      <c r="AO700" s="46"/>
      <c r="AP700" s="44"/>
      <c r="AQ700" s="46"/>
      <c r="AR700" s="44"/>
      <c r="AS700" s="44"/>
      <c r="AT700" s="44"/>
      <c r="AU700" s="45"/>
      <c r="AV700" s="44"/>
      <c r="AW700" s="38"/>
      <c r="AX700" s="44"/>
      <c r="AY700" s="38"/>
      <c r="AZ700" s="44"/>
      <c r="BA700" s="45"/>
      <c r="BB700" s="44"/>
      <c r="BC700" s="45"/>
      <c r="BD700" s="44"/>
      <c r="BE700" s="38"/>
      <c r="BF700" s="46"/>
      <c r="BG700" s="115"/>
      <c r="BH700" s="115"/>
      <c r="BI700" s="115"/>
      <c r="BJ700" s="115"/>
      <c r="BK700" s="115"/>
      <c r="BL700" s="115"/>
      <c r="BM700" s="115"/>
      <c r="BN700" s="115"/>
      <c r="BO700" s="115"/>
      <c r="BP700" s="115"/>
      <c r="BQ700" s="115"/>
      <c r="BR700" s="115"/>
      <c r="BS700" s="115"/>
      <c r="BT700" s="115"/>
      <c r="BU700" s="115"/>
      <c r="BV700" s="115"/>
      <c r="BW700" s="115"/>
      <c r="BX700" s="115"/>
      <c r="BY700" s="115"/>
      <c r="BZ700" s="115"/>
      <c r="CA700" s="115"/>
      <c r="CB700" s="115"/>
      <c r="CC700" s="115"/>
      <c r="CD700" s="115"/>
      <c r="CE700" s="115"/>
      <c r="CF700" s="115"/>
      <c r="CG700" s="115"/>
      <c r="CH700" s="115"/>
      <c r="CI700" s="115"/>
      <c r="CJ700" s="115"/>
      <c r="CK700" s="115"/>
      <c r="CL700" s="115"/>
      <c r="CM700" s="115"/>
      <c r="CN700" s="115"/>
      <c r="CO700" s="115"/>
      <c r="CP700" s="115"/>
    </row>
    <row r="701" ht="15.75" customHeight="1">
      <c r="A701" s="21" t="s">
        <v>3509</v>
      </c>
      <c r="B701" s="68"/>
      <c r="C701" s="69" t="s">
        <v>59</v>
      </c>
      <c r="D701" s="138" t="s">
        <v>3510</v>
      </c>
      <c r="E701" s="231" t="s">
        <v>3511</v>
      </c>
      <c r="F701" s="386" t="s">
        <v>3512</v>
      </c>
      <c r="G701" s="54" t="s">
        <v>3513</v>
      </c>
      <c r="H701" s="71" t="s">
        <v>64</v>
      </c>
      <c r="I701" s="26" t="s">
        <v>65</v>
      </c>
      <c r="J701" s="178" t="s">
        <v>3514</v>
      </c>
      <c r="K701" s="26">
        <v>2.0</v>
      </c>
      <c r="L701" s="26">
        <v>2019.0</v>
      </c>
      <c r="M701" s="25">
        <f t="shared" si="552"/>
        <v>6</v>
      </c>
      <c r="N701" s="26">
        <f t="shared" si="553"/>
        <v>1</v>
      </c>
      <c r="O701" s="27" t="str">
        <f t="shared" si="3"/>
        <v>#N/A</v>
      </c>
      <c r="P701" s="28"/>
      <c r="Q701" s="28"/>
      <c r="R701" s="28"/>
      <c r="S701" s="28"/>
      <c r="T701" s="29">
        <f t="shared" si="554"/>
        <v>1500000</v>
      </c>
      <c r="U701" s="28"/>
      <c r="V701" s="30">
        <f t="shared" si="425"/>
        <v>9000000</v>
      </c>
      <c r="W701" s="30"/>
      <c r="X701" s="73"/>
      <c r="Y701" s="33">
        <f t="shared" si="555"/>
        <v>0</v>
      </c>
      <c r="Z701" s="692"/>
      <c r="AA701" s="665"/>
      <c r="AB701" s="74"/>
      <c r="AC701" s="74"/>
      <c r="AD701" s="79"/>
      <c r="AE701" s="84"/>
      <c r="AF701" s="175" t="str">
        <f>HYPERLINK("https://www.crunchbase.com/funding_round/made-renovation-seed--69c12a10","Feb 26, 2020")</f>
        <v>Feb 26, 2020</v>
      </c>
      <c r="AG701" s="76">
        <v>9000000.0</v>
      </c>
      <c r="AH701" s="74"/>
      <c r="AI701" s="78"/>
      <c r="AJ701" s="79"/>
      <c r="AK701" s="76"/>
      <c r="AL701" s="79"/>
      <c r="AM701" s="76"/>
      <c r="AN701" s="79"/>
      <c r="AO701" s="76"/>
      <c r="AP701" s="79"/>
      <c r="AQ701" s="84"/>
      <c r="AR701" s="79"/>
      <c r="AS701" s="427"/>
      <c r="AT701" s="79"/>
      <c r="AU701" s="80"/>
      <c r="AV701" s="79"/>
      <c r="AW701" s="38"/>
      <c r="AX701" s="79"/>
      <c r="AY701" s="38"/>
      <c r="AZ701" s="79"/>
      <c r="BA701" s="80"/>
      <c r="BB701" s="79"/>
      <c r="BC701" s="80"/>
      <c r="BD701" s="79"/>
      <c r="BE701" s="38"/>
      <c r="BF701" s="74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</row>
    <row r="702" ht="15.75" customHeight="1">
      <c r="A702" s="747" t="s">
        <v>3515</v>
      </c>
      <c r="B702" s="68"/>
      <c r="C702" s="69" t="s">
        <v>207</v>
      </c>
      <c r="D702" s="388" t="s">
        <v>3516</v>
      </c>
      <c r="E702" s="48"/>
      <c r="F702" s="389" t="s">
        <v>3517</v>
      </c>
      <c r="G702" s="71"/>
      <c r="H702" s="71" t="s">
        <v>128</v>
      </c>
      <c r="I702" s="26" t="s">
        <v>129</v>
      </c>
      <c r="J702" s="72"/>
      <c r="K702" s="26">
        <v>2.0</v>
      </c>
      <c r="L702" s="26">
        <v>2018.0</v>
      </c>
      <c r="M702" s="25"/>
      <c r="N702" s="26"/>
      <c r="O702" s="27" t="str">
        <f t="shared" si="3"/>
        <v>#N/A</v>
      </c>
      <c r="P702" s="273"/>
      <c r="Q702" s="273"/>
      <c r="R702" s="273"/>
      <c r="S702" s="273"/>
      <c r="T702" s="273"/>
      <c r="U702" s="273"/>
      <c r="V702" s="30">
        <f t="shared" si="425"/>
        <v>9000000</v>
      </c>
      <c r="W702" s="30"/>
      <c r="X702" s="73"/>
      <c r="Y702" s="73"/>
      <c r="Z702" s="692"/>
      <c r="AA702" s="665"/>
      <c r="AB702" s="74"/>
      <c r="AC702" s="74"/>
      <c r="AD702" s="79"/>
      <c r="AE702" s="76"/>
      <c r="AF702" s="1091">
        <v>44735.0</v>
      </c>
      <c r="AG702" s="84">
        <f>9000000</f>
        <v>9000000</v>
      </c>
      <c r="AH702" s="74"/>
      <c r="AI702" s="78"/>
      <c r="AJ702" s="79"/>
      <c r="AK702" s="84"/>
      <c r="AL702" s="79"/>
      <c r="AM702" s="84"/>
      <c r="AN702" s="79"/>
      <c r="AO702" s="84"/>
      <c r="AP702" s="79"/>
      <c r="AQ702" s="84"/>
      <c r="AR702" s="79"/>
      <c r="AS702" s="79"/>
      <c r="AT702" s="79"/>
      <c r="AU702" s="80"/>
      <c r="AV702" s="79"/>
      <c r="AW702" s="38"/>
      <c r="AX702" s="79"/>
      <c r="AY702" s="38"/>
      <c r="AZ702" s="79"/>
      <c r="BA702" s="80"/>
      <c r="BB702" s="79"/>
      <c r="BC702" s="80"/>
      <c r="BD702" s="79"/>
      <c r="BE702" s="38"/>
      <c r="BF702" s="74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</row>
    <row r="703" ht="15.75" customHeight="1">
      <c r="A703" s="400" t="s">
        <v>3518</v>
      </c>
      <c r="B703" s="115"/>
      <c r="C703" s="116" t="s">
        <v>513</v>
      </c>
      <c r="D703" s="401" t="s">
        <v>3519</v>
      </c>
      <c r="E703" s="401" t="s">
        <v>3520</v>
      </c>
      <c r="F703" s="402" t="s">
        <v>3521</v>
      </c>
      <c r="G703" s="119" t="s">
        <v>3522</v>
      </c>
      <c r="H703" s="119" t="s">
        <v>128</v>
      </c>
      <c r="I703" s="25" t="s">
        <v>128</v>
      </c>
      <c r="J703" s="120" t="s">
        <v>130</v>
      </c>
      <c r="K703" s="25">
        <v>2.0</v>
      </c>
      <c r="L703" s="25">
        <v>2016.0</v>
      </c>
      <c r="M703" s="123"/>
      <c r="N703" s="123"/>
      <c r="O703" s="27" t="str">
        <f t="shared" si="3"/>
        <v>#N/A</v>
      </c>
      <c r="P703" s="55"/>
      <c r="Q703" s="55"/>
      <c r="R703" s="55"/>
      <c r="S703" s="55"/>
      <c r="T703" s="55"/>
      <c r="U703" s="55"/>
      <c r="V703" s="30">
        <f t="shared" si="425"/>
        <v>9000000</v>
      </c>
      <c r="W703" s="31">
        <v>2000000.0</v>
      </c>
      <c r="X703" s="403"/>
      <c r="Y703" s="403"/>
      <c r="Z703" s="692"/>
      <c r="AA703" s="665"/>
      <c r="AB703" s="123"/>
      <c r="AC703" s="123"/>
      <c r="AD703" s="404">
        <v>42401.0</v>
      </c>
      <c r="AE703" s="127">
        <v>1500000.0</v>
      </c>
      <c r="AF703" s="404">
        <v>44242.0</v>
      </c>
      <c r="AG703" s="127">
        <v>7500000.0</v>
      </c>
      <c r="AH703" s="123"/>
      <c r="AI703" s="128"/>
      <c r="AJ703" s="123"/>
      <c r="AK703" s="123"/>
      <c r="AL703" s="123"/>
      <c r="AM703" s="125"/>
      <c r="AN703" s="123"/>
      <c r="AO703" s="123"/>
      <c r="AP703" s="881"/>
      <c r="AQ703" s="123"/>
      <c r="AR703" s="123"/>
      <c r="AS703" s="123"/>
      <c r="AT703" s="123"/>
      <c r="AU703" s="137"/>
      <c r="AV703" s="123"/>
      <c r="AW703" s="38"/>
      <c r="AX703" s="123"/>
      <c r="AY703" s="38"/>
      <c r="AZ703" s="123"/>
      <c r="BA703" s="137"/>
      <c r="BB703" s="123"/>
      <c r="BC703" s="137"/>
      <c r="BD703" s="123"/>
      <c r="BE703" s="38"/>
      <c r="BF703" s="123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</row>
    <row r="704" ht="15.75" customHeight="1">
      <c r="A704" s="400" t="s">
        <v>3523</v>
      </c>
      <c r="B704" s="115"/>
      <c r="C704" s="116" t="s">
        <v>190</v>
      </c>
      <c r="D704" s="401" t="s">
        <v>3524</v>
      </c>
      <c r="E704" s="401" t="s">
        <v>3525</v>
      </c>
      <c r="F704" s="402" t="s">
        <v>3526</v>
      </c>
      <c r="G704" s="286"/>
      <c r="H704" s="119" t="s">
        <v>128</v>
      </c>
      <c r="I704" s="25" t="s">
        <v>129</v>
      </c>
      <c r="J704" s="287"/>
      <c r="K704" s="25">
        <v>4.0</v>
      </c>
      <c r="L704" s="25">
        <v>2022.0</v>
      </c>
      <c r="M704" s="123"/>
      <c r="N704" s="123"/>
      <c r="O704" s="27" t="str">
        <f t="shared" si="3"/>
        <v>#N/A</v>
      </c>
      <c r="P704" s="55"/>
      <c r="Q704" s="55"/>
      <c r="R704" s="55"/>
      <c r="S704" s="55"/>
      <c r="T704" s="55"/>
      <c r="U704" s="55"/>
      <c r="V704" s="30">
        <f t="shared" si="425"/>
        <v>9000000</v>
      </c>
      <c r="W704" s="30"/>
      <c r="X704" s="403"/>
      <c r="Y704" s="403"/>
      <c r="Z704" s="692"/>
      <c r="AA704" s="665"/>
      <c r="AB704" s="123"/>
      <c r="AC704" s="123"/>
      <c r="AD704" s="452"/>
      <c r="AE704" s="123"/>
      <c r="AF704" s="62">
        <v>44868.0</v>
      </c>
      <c r="AG704" s="335">
        <v>9000000.0</v>
      </c>
      <c r="AH704" s="123"/>
      <c r="AI704" s="123"/>
      <c r="AJ704" s="123"/>
      <c r="AK704" s="123"/>
      <c r="AL704" s="123"/>
      <c r="AM704" s="123"/>
      <c r="AN704" s="123"/>
      <c r="AO704" s="123"/>
      <c r="AP704" s="123"/>
      <c r="AQ704" s="123"/>
      <c r="AR704" s="123"/>
      <c r="AS704" s="123"/>
      <c r="AT704" s="123"/>
      <c r="AU704" s="137"/>
      <c r="AV704" s="123"/>
      <c r="AW704" s="38"/>
      <c r="AX704" s="123"/>
      <c r="AY704" s="38"/>
      <c r="AZ704" s="123"/>
      <c r="BA704" s="137"/>
      <c r="BB704" s="123"/>
      <c r="BC704" s="137"/>
      <c r="BD704" s="123"/>
      <c r="BE704" s="38"/>
      <c r="BF704" s="123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</row>
    <row r="705" ht="15.75" customHeight="1">
      <c r="A705" s="442" t="s">
        <v>3527</v>
      </c>
      <c r="B705" s="68" t="s">
        <v>276</v>
      </c>
      <c r="C705" s="69" t="s">
        <v>276</v>
      </c>
      <c r="D705" s="184" t="s">
        <v>3528</v>
      </c>
      <c r="E705" s="184" t="s">
        <v>3529</v>
      </c>
      <c r="F705" s="1334" t="s">
        <v>3530</v>
      </c>
      <c r="G705" s="174" t="s">
        <v>3531</v>
      </c>
      <c r="H705" s="186" t="s">
        <v>673</v>
      </c>
      <c r="I705" s="74" t="s">
        <v>3532</v>
      </c>
      <c r="J705" s="155" t="s">
        <v>3533</v>
      </c>
      <c r="K705" s="74">
        <v>4.0</v>
      </c>
      <c r="L705" s="26">
        <v>2012.0</v>
      </c>
      <c r="M705" s="25">
        <f t="shared" ref="M705:M706" si="556">year(now()) -L705</f>
        <v>13</v>
      </c>
      <c r="N705" s="26">
        <f t="shared" ref="N705:N706" si="557">counta(AE705,AG705,AI705,AK705,AM705,AO705,AQ705,AS705,AU705,AW705,AY705,BA705,BC705)</f>
        <v>2</v>
      </c>
      <c r="O705" s="27" t="str">
        <f t="shared" si="3"/>
        <v>#N/A</v>
      </c>
      <c r="P705" s="28"/>
      <c r="Q705" s="28"/>
      <c r="R705" s="28"/>
      <c r="S705" s="28"/>
      <c r="T705" s="29">
        <f t="shared" ref="T705:T706" si="558">V705/M705</f>
        <v>684615.3846</v>
      </c>
      <c r="U705" s="28"/>
      <c r="V705" s="30">
        <f t="shared" si="425"/>
        <v>8900000</v>
      </c>
      <c r="W705" s="30"/>
      <c r="X705" s="32"/>
      <c r="Y705" s="33">
        <f t="shared" ref="Y705:Y706" si="559">(max(AE705,AG705,AI705,AK705,AM705,AO705,AQ705,AS705,AU705,AW705,AY705,BA705,BC705)/min(AE705,AG705,AI705,AK705))^(1/M705)-1</f>
        <v>0.123848871</v>
      </c>
      <c r="Z705" s="692"/>
      <c r="AA705" s="665"/>
      <c r="AB705" s="74"/>
      <c r="AC705" s="74"/>
      <c r="AD705" s="79"/>
      <c r="AE705" s="84"/>
      <c r="AF705" s="175" t="str">
        <f>HYPERLINK("https://www.crunchbase.com/organization/storefront#section-funding-rounds"," Jun 26, 2013")</f>
        <v> Jun 26, 2013</v>
      </c>
      <c r="AG705" s="76">
        <v>1600000.0</v>
      </c>
      <c r="AH705" s="74"/>
      <c r="AI705" s="78"/>
      <c r="AJ705" s="426" t="str">
        <f>HYPERLINK("https://www.crunchbase.com/funding_round/storefront-series-a--361d5f38","Apr 14, 2014")</f>
        <v>Apr 14, 2014</v>
      </c>
      <c r="AK705" s="894">
        <v>7300000.0</v>
      </c>
      <c r="AL705" s="79"/>
      <c r="AM705" s="84"/>
      <c r="AN705" s="79"/>
      <c r="AO705" s="84"/>
      <c r="AP705" s="79"/>
      <c r="AQ705" s="84"/>
      <c r="AR705" s="79"/>
      <c r="AS705" s="79"/>
      <c r="AT705" s="79"/>
      <c r="AU705" s="80"/>
      <c r="AV705" s="79"/>
      <c r="AW705" s="38"/>
      <c r="AX705" s="79"/>
      <c r="AY705" s="38"/>
      <c r="AZ705" s="79"/>
      <c r="BA705" s="80"/>
      <c r="BB705" s="79"/>
      <c r="BC705" s="80"/>
      <c r="BD705" s="79"/>
      <c r="BE705" s="38"/>
      <c r="BF705" s="74"/>
      <c r="BG705" s="115"/>
      <c r="BH705" s="115"/>
      <c r="BI705" s="115"/>
      <c r="BJ705" s="115"/>
      <c r="BK705" s="115"/>
      <c r="BL705" s="115"/>
      <c r="BM705" s="115"/>
      <c r="BN705" s="115"/>
      <c r="BO705" s="115"/>
      <c r="BP705" s="115"/>
      <c r="BQ705" s="115"/>
      <c r="BR705" s="115"/>
      <c r="BS705" s="115"/>
      <c r="BT705" s="115"/>
      <c r="BU705" s="115"/>
      <c r="BV705" s="115"/>
      <c r="BW705" s="115"/>
      <c r="BX705" s="115"/>
      <c r="BY705" s="115"/>
      <c r="BZ705" s="115"/>
      <c r="CA705" s="115"/>
      <c r="CB705" s="115"/>
      <c r="CC705" s="115"/>
      <c r="CD705" s="115"/>
      <c r="CE705" s="115"/>
      <c r="CF705" s="115"/>
      <c r="CG705" s="115"/>
      <c r="CH705" s="115"/>
      <c r="CI705" s="115"/>
      <c r="CJ705" s="115"/>
      <c r="CK705" s="115"/>
      <c r="CL705" s="115"/>
      <c r="CM705" s="115"/>
      <c r="CN705" s="115"/>
      <c r="CO705" s="115"/>
      <c r="CP705" s="115"/>
    </row>
    <row r="706" ht="15.75" customHeight="1">
      <c r="A706" s="400" t="s">
        <v>3534</v>
      </c>
      <c r="B706" s="543" t="s">
        <v>301</v>
      </c>
      <c r="C706" s="116" t="s">
        <v>59</v>
      </c>
      <c r="D706" s="540" t="s">
        <v>3535</v>
      </c>
      <c r="E706" s="540" t="s">
        <v>3536</v>
      </c>
      <c r="F706" s="1335" t="s">
        <v>3537</v>
      </c>
      <c r="G706" s="543" t="s">
        <v>3538</v>
      </c>
      <c r="H706" s="119" t="s">
        <v>450</v>
      </c>
      <c r="I706" s="25" t="s">
        <v>450</v>
      </c>
      <c r="J706" s="120" t="s">
        <v>3539</v>
      </c>
      <c r="K706" s="25">
        <v>1.0</v>
      </c>
      <c r="L706" s="25">
        <v>2016.0</v>
      </c>
      <c r="M706" s="25">
        <f t="shared" si="556"/>
        <v>9</v>
      </c>
      <c r="N706" s="26">
        <f t="shared" si="557"/>
        <v>2</v>
      </c>
      <c r="O706" s="27" t="str">
        <f t="shared" si="3"/>
        <v>#N/A</v>
      </c>
      <c r="P706" s="28"/>
      <c r="Q706" s="28"/>
      <c r="R706" s="28"/>
      <c r="S706" s="28"/>
      <c r="T706" s="29">
        <f t="shared" si="558"/>
        <v>981033.8889</v>
      </c>
      <c r="U706" s="28"/>
      <c r="V706" s="30">
        <f t="shared" si="425"/>
        <v>8829305</v>
      </c>
      <c r="W706" s="30"/>
      <c r="X706" s="597"/>
      <c r="Y706" s="33">
        <f t="shared" si="559"/>
        <v>0.3577478438</v>
      </c>
      <c r="Z706" s="692"/>
      <c r="AA706" s="665"/>
      <c r="AB706" s="123"/>
      <c r="AC706" s="123"/>
      <c r="AD706" s="124"/>
      <c r="AE706" s="125"/>
      <c r="AF706" s="126" t="str">
        <f>HYPERLINK("https://www.crunchbase.com/funding_round/sensorflow-seed--4f75604a"," Apr 4, 2018")</f>
        <v> Apr 4, 2018</v>
      </c>
      <c r="AG706" s="127">
        <v>529305.0</v>
      </c>
      <c r="AH706" s="123"/>
      <c r="AI706" s="128"/>
      <c r="AJ706" s="167" t="str">
        <f>HYPERLINK("https://www.businesstimes.com.sg/garage/sensorflow-raises-us83m-in-series-a-round-led-by-openspace-gaw-capital-partners?utm_source=Real%20Estate%20Newsletter%20Distribution&amp;utm_campaign=f3895395d8-EMAIL_CAMPAIGN_2020_04_29_03_54_COPY_03&amp;utm_medium=email&amp;u"&amp;"tm_term=0_535e1d2fea-f3895395d8-68526553","Apr 23, 2020")</f>
        <v>Apr 23, 2020</v>
      </c>
      <c r="AK706" s="127">
        <v>8300000.0</v>
      </c>
      <c r="AL706" s="455" t="str">
        <f>HYPERLINK("https://www.crunchbase.com/funding_round/sensorflow-series-b--91711655","Mar 6, 2020")</f>
        <v>Mar 6, 2020</v>
      </c>
      <c r="AM706" s="127"/>
      <c r="AN706" s="124"/>
      <c r="AO706" s="125"/>
      <c r="AP706" s="124"/>
      <c r="AQ706" s="125"/>
      <c r="AR706" s="124"/>
      <c r="AS706" s="124"/>
      <c r="AT706" s="124"/>
      <c r="AU706" s="137"/>
      <c r="AV706" s="124"/>
      <c r="AW706" s="38"/>
      <c r="AX706" s="124"/>
      <c r="AY706" s="38"/>
      <c r="AZ706" s="124"/>
      <c r="BA706" s="137"/>
      <c r="BB706" s="124"/>
      <c r="BC706" s="137"/>
      <c r="BD706" s="124"/>
      <c r="BE706" s="38"/>
      <c r="BF706" s="123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68"/>
      <c r="CA706" s="68"/>
      <c r="CB706" s="68"/>
      <c r="CC706" s="68"/>
      <c r="CD706" s="68"/>
      <c r="CE706" s="68"/>
      <c r="CF706" s="68"/>
      <c r="CG706" s="68"/>
      <c r="CH706" s="68"/>
      <c r="CI706" s="68"/>
      <c r="CJ706" s="68"/>
      <c r="CK706" s="68"/>
      <c r="CL706" s="68"/>
      <c r="CM706" s="68"/>
      <c r="CN706" s="68"/>
      <c r="CO706" s="68"/>
      <c r="CP706" s="68"/>
    </row>
    <row r="707" ht="15.75" customHeight="1">
      <c r="A707" s="21" t="s">
        <v>3540</v>
      </c>
      <c r="B707" s="68"/>
      <c r="C707" s="69" t="s">
        <v>84</v>
      </c>
      <c r="D707" s="200" t="s">
        <v>3541</v>
      </c>
      <c r="E707" s="192" t="s">
        <v>3542</v>
      </c>
      <c r="F707" s="154" t="s">
        <v>3543</v>
      </c>
      <c r="G707" s="407"/>
      <c r="H707" s="71" t="s">
        <v>1304</v>
      </c>
      <c r="I707" s="26" t="s">
        <v>65</v>
      </c>
      <c r="J707" s="72"/>
      <c r="K707" s="26">
        <v>2.0</v>
      </c>
      <c r="L707" s="142">
        <v>2014.0</v>
      </c>
      <c r="M707" s="25"/>
      <c r="N707" s="26"/>
      <c r="O707" s="27" t="str">
        <f t="shared" si="3"/>
        <v>#N/A</v>
      </c>
      <c r="P707" s="28"/>
      <c r="Q707" s="28"/>
      <c r="R707" s="28"/>
      <c r="S707" s="28"/>
      <c r="T707" s="28"/>
      <c r="U707" s="28"/>
      <c r="V707" s="30">
        <f t="shared" si="425"/>
        <v>8800000</v>
      </c>
      <c r="W707" s="30"/>
      <c r="X707" s="73"/>
      <c r="Y707" s="73"/>
      <c r="Z707" s="692"/>
      <c r="AA707" s="665"/>
      <c r="AB707" s="74"/>
      <c r="AC707" s="74"/>
      <c r="AD707" s="44"/>
      <c r="AE707" s="46"/>
      <c r="AF707" s="726">
        <v>44136.0</v>
      </c>
      <c r="AG707" s="38">
        <f>325000+810000+65000</f>
        <v>1200000</v>
      </c>
      <c r="AH707" s="36"/>
      <c r="AI707" s="159"/>
      <c r="AJ707" s="726">
        <v>44811.0</v>
      </c>
      <c r="AK707" s="38">
        <v>7600000.0</v>
      </c>
      <c r="AL707" s="44"/>
      <c r="AM707" s="46"/>
      <c r="AN707" s="44"/>
      <c r="AO707" s="46"/>
      <c r="AP707" s="44"/>
      <c r="AQ707" s="46"/>
      <c r="AR707" s="44"/>
      <c r="AS707" s="44"/>
      <c r="AT707" s="44"/>
      <c r="AU707" s="45"/>
      <c r="AV707" s="44"/>
      <c r="AW707" s="38"/>
      <c r="AX707" s="44"/>
      <c r="AY707" s="38"/>
      <c r="AZ707" s="44"/>
      <c r="BA707" s="45"/>
      <c r="BB707" s="44"/>
      <c r="BC707" s="45"/>
      <c r="BD707" s="44"/>
      <c r="BE707" s="38"/>
      <c r="BF707" s="36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</row>
    <row r="708" ht="15.75" customHeight="1">
      <c r="A708" s="442" t="s">
        <v>3544</v>
      </c>
      <c r="B708" s="68" t="s">
        <v>3545</v>
      </c>
      <c r="C708" s="69" t="s">
        <v>123</v>
      </c>
      <c r="D708" s="184" t="s">
        <v>3546</v>
      </c>
      <c r="E708" s="184" t="s">
        <v>3547</v>
      </c>
      <c r="F708" s="185" t="s">
        <v>3548</v>
      </c>
      <c r="G708" s="186" t="s">
        <v>3549</v>
      </c>
      <c r="H708" s="186" t="s">
        <v>3550</v>
      </c>
      <c r="I708" s="74" t="s">
        <v>3550</v>
      </c>
      <c r="J708" s="155" t="s">
        <v>3551</v>
      </c>
      <c r="K708" s="74">
        <v>1.0</v>
      </c>
      <c r="L708" s="26">
        <v>2009.0</v>
      </c>
      <c r="M708" s="25">
        <f t="shared" ref="M708:M709" si="560">year(now()) -L708</f>
        <v>16</v>
      </c>
      <c r="N708" s="26">
        <f t="shared" ref="N708:N709" si="561">counta(AE708,AG708,AI708,AK708,AM708,AO708,AQ708,AS708,AU708,AW708,AY708,BA708,BC708)</f>
        <v>2</v>
      </c>
      <c r="O708" s="27" t="str">
        <f t="shared" si="3"/>
        <v>#N/A</v>
      </c>
      <c r="P708" s="28"/>
      <c r="Q708" s="28"/>
      <c r="R708" s="28"/>
      <c r="S708" s="28"/>
      <c r="T708" s="29">
        <f t="shared" ref="T708:T709" si="562">V708/M708</f>
        <v>545839.0625</v>
      </c>
      <c r="U708" s="28"/>
      <c r="V708" s="30">
        <f t="shared" si="425"/>
        <v>8733425</v>
      </c>
      <c r="W708" s="30"/>
      <c r="X708" s="32"/>
      <c r="Y708" s="33">
        <f t="shared" ref="Y708:Y709" si="563">(max(AE708,AG708,AI708,AK708,AM708,AO708,AQ708,AS708,AU708,AW708,AY708,BA708,BC708)/min(AE708,AG708,AI708,AK708))^(1/M708)-1</f>
        <v>0.05876401115</v>
      </c>
      <c r="Z708" s="692"/>
      <c r="AA708" s="665"/>
      <c r="AB708" s="74"/>
      <c r="AC708" s="74"/>
      <c r="AD708" s="79"/>
      <c r="AE708" s="84"/>
      <c r="AF708" s="175" t="str">
        <f>HYPERLINK("https://www.crunchbase.com/organization/around-knowledge#section-funding-rounds"," Dec 10, 2012")</f>
        <v> Dec 10, 2012</v>
      </c>
      <c r="AG708" s="76">
        <v>2500000.0</v>
      </c>
      <c r="AH708" s="74"/>
      <c r="AI708" s="78"/>
      <c r="AJ708" s="426" t="str">
        <f>HYPERLINK("https://www.crunchbase.com/funding_round/around-knowledge-series-a--9926a003"," 6/7/2016")</f>
        <v> 6/7/2016</v>
      </c>
      <c r="AK708" s="76">
        <v>6233425.0</v>
      </c>
      <c r="AL708" s="79"/>
      <c r="AM708" s="84"/>
      <c r="AN708" s="79"/>
      <c r="AO708" s="84"/>
      <c r="AP708" s="79"/>
      <c r="AQ708" s="84"/>
      <c r="AR708" s="79"/>
      <c r="AS708" s="79"/>
      <c r="AT708" s="79"/>
      <c r="AU708" s="80"/>
      <c r="AV708" s="79"/>
      <c r="AW708" s="38"/>
      <c r="AX708" s="79"/>
      <c r="AY708" s="38"/>
      <c r="AZ708" s="79"/>
      <c r="BA708" s="80"/>
      <c r="BB708" s="79"/>
      <c r="BC708" s="80"/>
      <c r="BD708" s="79"/>
      <c r="BE708" s="38"/>
      <c r="BF708" s="74"/>
      <c r="BG708" s="115"/>
      <c r="BH708" s="115"/>
      <c r="BI708" s="115"/>
      <c r="BJ708" s="115"/>
      <c r="BK708" s="115"/>
      <c r="BL708" s="115"/>
      <c r="BM708" s="115"/>
      <c r="BN708" s="115"/>
      <c r="BO708" s="115"/>
      <c r="BP708" s="115"/>
      <c r="BQ708" s="115"/>
      <c r="BR708" s="115"/>
      <c r="BS708" s="115"/>
      <c r="BT708" s="115"/>
      <c r="BU708" s="115"/>
      <c r="BV708" s="115"/>
      <c r="BW708" s="115"/>
      <c r="BX708" s="115"/>
      <c r="BY708" s="115"/>
      <c r="BZ708" s="115"/>
      <c r="CA708" s="115"/>
      <c r="CB708" s="115"/>
      <c r="CC708" s="115"/>
      <c r="CD708" s="115"/>
      <c r="CE708" s="115"/>
      <c r="CF708" s="115"/>
      <c r="CG708" s="115"/>
      <c r="CH708" s="115"/>
      <c r="CI708" s="115"/>
      <c r="CJ708" s="115"/>
      <c r="CK708" s="115"/>
      <c r="CL708" s="115"/>
      <c r="CM708" s="115"/>
      <c r="CN708" s="115"/>
      <c r="CO708" s="115"/>
      <c r="CP708" s="115"/>
    </row>
    <row r="709" ht="15.75" customHeight="1">
      <c r="A709" s="47" t="s">
        <v>3552</v>
      </c>
      <c r="B709" s="115"/>
      <c r="C709" s="116" t="s">
        <v>84</v>
      </c>
      <c r="D709" s="192" t="s">
        <v>3553</v>
      </c>
      <c r="E709" s="192" t="s">
        <v>3554</v>
      </c>
      <c r="F709" s="118" t="s">
        <v>3555</v>
      </c>
      <c r="G709" s="119" t="s">
        <v>3556</v>
      </c>
      <c r="H709" s="119" t="s">
        <v>3557</v>
      </c>
      <c r="I709" s="25" t="s">
        <v>2338</v>
      </c>
      <c r="J709" s="120" t="s">
        <v>3558</v>
      </c>
      <c r="K709" s="25">
        <v>3.0</v>
      </c>
      <c r="L709" s="25">
        <v>2011.0</v>
      </c>
      <c r="M709" s="25">
        <f t="shared" si="560"/>
        <v>14</v>
      </c>
      <c r="N709" s="26">
        <f t="shared" si="561"/>
        <v>3</v>
      </c>
      <c r="O709" s="27" t="str">
        <f t="shared" si="3"/>
        <v>#N/A</v>
      </c>
      <c r="P709" s="28"/>
      <c r="Q709" s="28"/>
      <c r="R709" s="28"/>
      <c r="S709" s="28"/>
      <c r="T709" s="29">
        <f t="shared" si="562"/>
        <v>623214.2857</v>
      </c>
      <c r="U709" s="28"/>
      <c r="V709" s="30">
        <f t="shared" si="425"/>
        <v>8725000</v>
      </c>
      <c r="W709" s="30"/>
      <c r="X709" s="597"/>
      <c r="Y709" s="33">
        <f t="shared" si="563"/>
        <v>0.2120640288</v>
      </c>
      <c r="Z709" s="692"/>
      <c r="AA709" s="665"/>
      <c r="AB709" s="123"/>
      <c r="AC709" s="123"/>
      <c r="AD709" s="124"/>
      <c r="AE709" s="125"/>
      <c r="AF709" s="126" t="str">
        <f>HYPERLINK("https://www.crunchbase.com/funding_round/rentableapts-seed--6c8b3726","May 17, 2013")</f>
        <v>May 17, 2013</v>
      </c>
      <c r="AG709" s="127">
        <v>325000.0</v>
      </c>
      <c r="AH709" s="123"/>
      <c r="AI709" s="128"/>
      <c r="AJ709" s="455" t="str">
        <f>HYPERLINK("https://www.crunchbase.com/funding_round/rentableapts-series-a--ced91ee0","Jun 16, 2016")</f>
        <v>Jun 16, 2016</v>
      </c>
      <c r="AK709" s="127">
        <v>4800000.0</v>
      </c>
      <c r="AL709" s="455" t="str">
        <f>HYPERLINK("https://www.crunchbase.com/funding_round/rentableapts-series-b--dca829a6","May 24, 2019")</f>
        <v>May 24, 2019</v>
      </c>
      <c r="AM709" s="127">
        <v>3600000.0</v>
      </c>
      <c r="AN709" s="124"/>
      <c r="AO709" s="125"/>
      <c r="AP709" s="124"/>
      <c r="AQ709" s="125"/>
      <c r="AR709" s="124"/>
      <c r="AS709" s="124"/>
      <c r="AT709" s="124"/>
      <c r="AU709" s="137"/>
      <c r="AV709" s="124"/>
      <c r="AW709" s="38"/>
      <c r="AX709" s="124"/>
      <c r="AY709" s="38"/>
      <c r="AZ709" s="124"/>
      <c r="BA709" s="137"/>
      <c r="BB709" s="124"/>
      <c r="BC709" s="137"/>
      <c r="BD709" s="124"/>
      <c r="BE709" s="38"/>
      <c r="BF709" s="123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  <c r="CO709" s="68"/>
      <c r="CP709" s="68"/>
    </row>
    <row r="710" ht="15.75" customHeight="1">
      <c r="A710" s="48" t="s">
        <v>3559</v>
      </c>
      <c r="B710" s="69"/>
      <c r="C710" s="69" t="s">
        <v>513</v>
      </c>
      <c r="D710" s="50" t="s">
        <v>3560</v>
      </c>
      <c r="E710" s="192" t="s">
        <v>3561</v>
      </c>
      <c r="F710" s="118" t="s">
        <v>3562</v>
      </c>
      <c r="G710" s="23"/>
      <c r="H710" s="71" t="s">
        <v>526</v>
      </c>
      <c r="I710" s="26" t="s">
        <v>65</v>
      </c>
      <c r="J710" s="72"/>
      <c r="K710" s="26">
        <v>2.0</v>
      </c>
      <c r="L710" s="142">
        <v>2021.0</v>
      </c>
      <c r="M710" s="25"/>
      <c r="N710" s="26"/>
      <c r="O710" s="27" t="str">
        <f t="shared" si="3"/>
        <v>#N/A</v>
      </c>
      <c r="P710" s="273"/>
      <c r="Q710" s="273"/>
      <c r="R710" s="273"/>
      <c r="S710" s="273"/>
      <c r="T710" s="273"/>
      <c r="U710" s="273"/>
      <c r="V710" s="30">
        <f t="shared" si="425"/>
        <v>8700000</v>
      </c>
      <c r="W710" s="30"/>
      <c r="X710" s="73"/>
      <c r="Y710" s="73"/>
      <c r="Z710" s="692"/>
      <c r="AA710" s="665"/>
      <c r="AB710" s="74"/>
      <c r="AC710" s="74"/>
      <c r="AD710" s="75">
        <v>44258.0</v>
      </c>
      <c r="AE710" s="46"/>
      <c r="AF710" s="726">
        <v>44840.0</v>
      </c>
      <c r="AG710" s="38">
        <v>8700000.0</v>
      </c>
      <c r="AH710" s="36"/>
      <c r="AI710" s="159"/>
      <c r="AJ710" s="898"/>
      <c r="AK710" s="715"/>
      <c r="AL710" s="44"/>
      <c r="AM710" s="46"/>
      <c r="AN710" s="44"/>
      <c r="AO710" s="46"/>
      <c r="AP710" s="44"/>
      <c r="AQ710" s="46"/>
      <c r="AR710" s="44"/>
      <c r="AS710" s="44"/>
      <c r="AT710" s="44"/>
      <c r="AU710" s="45"/>
      <c r="AV710" s="44"/>
      <c r="AW710" s="38"/>
      <c r="AX710" s="44"/>
      <c r="AY710" s="38"/>
      <c r="AZ710" s="44"/>
      <c r="BA710" s="45"/>
      <c r="BB710" s="44"/>
      <c r="BC710" s="45"/>
      <c r="BD710" s="44"/>
      <c r="BE710" s="38"/>
      <c r="BF710" s="36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  <c r="CO710" s="68"/>
      <c r="CP710" s="68"/>
    </row>
    <row r="711" ht="15.75" customHeight="1">
      <c r="A711" s="21" t="s">
        <v>3563</v>
      </c>
      <c r="B711" s="69"/>
      <c r="C711" s="69" t="s">
        <v>132</v>
      </c>
      <c r="D711" s="184"/>
      <c r="E711" s="200" t="s">
        <v>3564</v>
      </c>
      <c r="F711" s="154" t="s">
        <v>3565</v>
      </c>
      <c r="G711" s="71"/>
      <c r="H711" s="71" t="s">
        <v>1935</v>
      </c>
      <c r="I711" s="26" t="s">
        <v>639</v>
      </c>
      <c r="J711" s="155"/>
      <c r="K711" s="26">
        <v>3.0</v>
      </c>
      <c r="L711" s="142">
        <v>2018.0</v>
      </c>
      <c r="M711" s="25"/>
      <c r="N711" s="26"/>
      <c r="O711" s="27" t="str">
        <f t="shared" si="3"/>
        <v>#N/A</v>
      </c>
      <c r="P711" s="28"/>
      <c r="Q711" s="28"/>
      <c r="R711" s="28"/>
      <c r="S711" s="28"/>
      <c r="T711" s="28"/>
      <c r="U711" s="28"/>
      <c r="V711" s="30">
        <f t="shared" si="425"/>
        <v>8700000</v>
      </c>
      <c r="W711" s="30"/>
      <c r="X711" s="73"/>
      <c r="Y711" s="73"/>
      <c r="Z711" s="692"/>
      <c r="AA711" s="665"/>
      <c r="AB711" s="74"/>
      <c r="AC711" s="74"/>
      <c r="AD711" s="79"/>
      <c r="AE711" s="84"/>
      <c r="AF711" s="1336" t="str">
        <f>HYPERLINK("https://www.crunchbase.com/funding_round/key-c0c5-seed--e985ba97","Mar 17, 2022")</f>
        <v>Mar 17, 2022</v>
      </c>
      <c r="AG711" s="76">
        <v>8700000.0</v>
      </c>
      <c r="AH711" s="929"/>
      <c r="AI711" s="435"/>
      <c r="AJ711" s="79"/>
      <c r="AK711" s="84"/>
      <c r="AL711" s="79"/>
      <c r="AM711" s="84"/>
      <c r="AN711" s="79"/>
      <c r="AO711" s="84"/>
      <c r="AP711" s="79"/>
      <c r="AQ711" s="84"/>
      <c r="AR711" s="79"/>
      <c r="AS711" s="79"/>
      <c r="AT711" s="79"/>
      <c r="AU711" s="80"/>
      <c r="AV711" s="79"/>
      <c r="AW711" s="38"/>
      <c r="AX711" s="79"/>
      <c r="AY711" s="38"/>
      <c r="AZ711" s="79"/>
      <c r="BA711" s="80"/>
      <c r="BB711" s="79"/>
      <c r="BC711" s="80"/>
      <c r="BD711" s="79"/>
      <c r="BE711" s="38"/>
      <c r="BF711" s="74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68"/>
      <c r="CA711" s="68"/>
      <c r="CB711" s="68"/>
      <c r="CC711" s="68"/>
      <c r="CD711" s="68"/>
      <c r="CE711" s="68"/>
      <c r="CF711" s="68"/>
      <c r="CG711" s="68"/>
      <c r="CH711" s="68"/>
      <c r="CI711" s="68"/>
      <c r="CJ711" s="68"/>
      <c r="CK711" s="68"/>
      <c r="CL711" s="68"/>
      <c r="CM711" s="68"/>
      <c r="CN711" s="68"/>
      <c r="CO711" s="68"/>
      <c r="CP711" s="68"/>
    </row>
    <row r="712" ht="15.75" customHeight="1">
      <c r="A712" s="21" t="s">
        <v>3566</v>
      </c>
      <c r="B712" s="69"/>
      <c r="C712" s="69" t="s">
        <v>267</v>
      </c>
      <c r="D712" s="138" t="s">
        <v>3567</v>
      </c>
      <c r="E712" s="138" t="s">
        <v>3568</v>
      </c>
      <c r="F712" s="173" t="s">
        <v>3569</v>
      </c>
      <c r="G712" s="71"/>
      <c r="H712" s="71" t="s">
        <v>1546</v>
      </c>
      <c r="I712" s="26" t="s">
        <v>1547</v>
      </c>
      <c r="J712" s="72"/>
      <c r="K712" s="26">
        <v>3.0</v>
      </c>
      <c r="L712" s="142">
        <v>2019.0</v>
      </c>
      <c r="M712" s="25"/>
      <c r="N712" s="26"/>
      <c r="O712" s="27" t="str">
        <f t="shared" si="3"/>
        <v>#N/A</v>
      </c>
      <c r="P712" s="28"/>
      <c r="Q712" s="28"/>
      <c r="R712" s="28"/>
      <c r="S712" s="28"/>
      <c r="T712" s="28"/>
      <c r="U712" s="28"/>
      <c r="V712" s="30">
        <f t="shared" si="425"/>
        <v>8645000</v>
      </c>
      <c r="W712" s="30"/>
      <c r="X712" s="73"/>
      <c r="Y712" s="73"/>
      <c r="Z712" s="692"/>
      <c r="AA712" s="665"/>
      <c r="AB712" s="74"/>
      <c r="AC712" s="74"/>
      <c r="AD712" s="79"/>
      <c r="AE712" s="84"/>
      <c r="AF712" s="175" t="str">
        <f>HYPERLINK("https://www.crunchbase.com/funding_round/mastt-seed--84ac707a","Dec 2, 2020")</f>
        <v>Dec 2, 2020</v>
      </c>
      <c r="AG712" s="76">
        <v>1620000.0</v>
      </c>
      <c r="AH712" s="77"/>
      <c r="AI712" s="78"/>
      <c r="AJ712" s="1337" t="str">
        <f>HYPERLINK("https://www.crunchbase.com/funding_round/mastt-series-a--2dfeb6b5","Mar 14, 2022")</f>
        <v>Mar 14, 2022</v>
      </c>
      <c r="AK712" s="971">
        <v>7025000.0</v>
      </c>
      <c r="AL712" s="79"/>
      <c r="AM712" s="76"/>
      <c r="AN712" s="79"/>
      <c r="AO712" s="76"/>
      <c r="AP712" s="79"/>
      <c r="AQ712" s="76"/>
      <c r="AR712" s="79"/>
      <c r="AS712" s="79"/>
      <c r="AT712" s="79"/>
      <c r="AU712" s="80"/>
      <c r="AV712" s="79"/>
      <c r="AW712" s="38"/>
      <c r="AX712" s="79"/>
      <c r="AY712" s="38"/>
      <c r="AZ712" s="79"/>
      <c r="BA712" s="80"/>
      <c r="BB712" s="79"/>
      <c r="BC712" s="80"/>
      <c r="BD712" s="79"/>
      <c r="BE712" s="38"/>
      <c r="BF712" s="74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</row>
    <row r="713" ht="15.75" customHeight="1">
      <c r="A713" s="21" t="s">
        <v>3570</v>
      </c>
      <c r="B713" s="17"/>
      <c r="C713" s="17" t="s">
        <v>132</v>
      </c>
      <c r="D713" s="192" t="s">
        <v>3571</v>
      </c>
      <c r="E713" s="138" t="s">
        <v>3572</v>
      </c>
      <c r="F713" s="173" t="s">
        <v>3573</v>
      </c>
      <c r="G713" s="317"/>
      <c r="H713" s="22" t="s">
        <v>1994</v>
      </c>
      <c r="I713" s="23" t="s">
        <v>639</v>
      </c>
      <c r="J713" s="237"/>
      <c r="K713" s="26">
        <v>2.0</v>
      </c>
      <c r="L713" s="23">
        <v>2015.0</v>
      </c>
      <c r="M713" s="25">
        <f t="shared" ref="M713:M717" si="564">year(now()) -L713</f>
        <v>10</v>
      </c>
      <c r="N713" s="26">
        <f t="shared" ref="N713:N717" si="565">counta(AE713,AG713,AI713,AK713,AM713,AO713,AQ713,AS713,AU713,AW713,AY713,BA713,BC713)</f>
        <v>2</v>
      </c>
      <c r="O713" s="27" t="str">
        <f t="shared" si="3"/>
        <v>#N/A</v>
      </c>
      <c r="P713" s="28"/>
      <c r="Q713" s="28"/>
      <c r="R713" s="28"/>
      <c r="S713" s="28"/>
      <c r="T713" s="29">
        <f t="shared" ref="T713:T717" si="566">V713/M713</f>
        <v>862500</v>
      </c>
      <c r="U713" s="28"/>
      <c r="V713" s="30">
        <f t="shared" si="425"/>
        <v>8625000</v>
      </c>
      <c r="W713" s="30"/>
      <c r="X713" s="73"/>
      <c r="Y713" s="33">
        <f t="shared" ref="Y713:Y717" si="567">(max(AE713,AG713,AI713,AK713,AM713,AO713,AQ713,AS713,AU713,AW713,AY713,BA713,BC713)/min(AE713,AG713,AI713,AK713))^(1/M713)-1</f>
        <v>0.5249334512</v>
      </c>
      <c r="Z713" s="692"/>
      <c r="AA713" s="665"/>
      <c r="AB713" s="36"/>
      <c r="AC713" s="36"/>
      <c r="AD713" s="43" t="str">
        <f>HYPERLINK("https://www.crunchbase.com/funding_round/costcertified-pre-seed--895c2d45","Aug 31, 2021")</f>
        <v>Aug 31, 2021</v>
      </c>
      <c r="AE713" s="38">
        <v>125000.0</v>
      </c>
      <c r="AF713" s="158" t="str">
        <f>HYPERLINK("https://www.crunchbase.com/funding_round/costcertified-seed--087990e1","Oct 6, 2021")</f>
        <v>Oct 6, 2021</v>
      </c>
      <c r="AG713" s="38">
        <v>8500000.0</v>
      </c>
      <c r="AH713" s="36"/>
      <c r="AI713" s="159"/>
      <c r="AJ713" s="44"/>
      <c r="AK713" s="46"/>
      <c r="AL713" s="44"/>
      <c r="AM713" s="46"/>
      <c r="AN713" s="44"/>
      <c r="AO713" s="46"/>
      <c r="AP713" s="44"/>
      <c r="AQ713" s="46"/>
      <c r="AR713" s="44"/>
      <c r="AS713" s="44"/>
      <c r="AT713" s="44"/>
      <c r="AU713" s="45"/>
      <c r="AV713" s="44"/>
      <c r="AW713" s="38"/>
      <c r="AX713" s="44"/>
      <c r="AY713" s="38"/>
      <c r="AZ713" s="44"/>
      <c r="BA713" s="45"/>
      <c r="BB713" s="44"/>
      <c r="BC713" s="45"/>
      <c r="BD713" s="44"/>
      <c r="BE713" s="38"/>
      <c r="BF713" s="36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  <c r="CO713" s="68"/>
      <c r="CP713" s="68"/>
    </row>
    <row r="714" ht="15.75" customHeight="1">
      <c r="A714" s="1162" t="s">
        <v>3574</v>
      </c>
      <c r="B714" s="17" t="s">
        <v>3575</v>
      </c>
      <c r="C714" s="17" t="s">
        <v>123</v>
      </c>
      <c r="D714" s="236" t="s">
        <v>3576</v>
      </c>
      <c r="E714" s="236" t="s">
        <v>3577</v>
      </c>
      <c r="F714" s="803" t="s">
        <v>3578</v>
      </c>
      <c r="G714" s="317"/>
      <c r="H714" s="22" t="s">
        <v>526</v>
      </c>
      <c r="I714" s="23" t="s">
        <v>65</v>
      </c>
      <c r="J714" s="237"/>
      <c r="K714" s="23"/>
      <c r="L714" s="23">
        <v>2015.0</v>
      </c>
      <c r="M714" s="25">
        <f t="shared" si="564"/>
        <v>10</v>
      </c>
      <c r="N714" s="26">
        <f t="shared" si="565"/>
        <v>2</v>
      </c>
      <c r="O714" s="27" t="str">
        <f t="shared" si="3"/>
        <v>#N/A</v>
      </c>
      <c r="P714" s="28"/>
      <c r="Q714" s="28"/>
      <c r="R714" s="28"/>
      <c r="S714" s="28"/>
      <c r="T714" s="29">
        <f t="shared" si="566"/>
        <v>860000</v>
      </c>
      <c r="U714" s="28"/>
      <c r="V714" s="30">
        <f t="shared" si="425"/>
        <v>8600000</v>
      </c>
      <c r="W714" s="30"/>
      <c r="X714" s="33"/>
      <c r="Y714" s="33">
        <f t="shared" si="567"/>
        <v>0.1590383492</v>
      </c>
      <c r="Z714" s="692"/>
      <c r="AA714" s="665"/>
      <c r="AB714" s="36"/>
      <c r="AC714" s="36"/>
      <c r="AD714" s="44"/>
      <c r="AE714" s="38"/>
      <c r="AF714" s="320">
        <v>42036.0</v>
      </c>
      <c r="AG714" s="38">
        <v>1600000.0</v>
      </c>
      <c r="AH714" s="36"/>
      <c r="AI714" s="159"/>
      <c r="AJ714" s="227">
        <v>43060.0</v>
      </c>
      <c r="AK714" s="38">
        <v>7000000.0</v>
      </c>
      <c r="AL714" s="804"/>
      <c r="AM714" s="805"/>
      <c r="AN714" s="1116"/>
      <c r="AO714" s="805"/>
      <c r="AP714" s="44"/>
      <c r="AQ714" s="46"/>
      <c r="AR714" s="44"/>
      <c r="AS714" s="44"/>
      <c r="AT714" s="44"/>
      <c r="AU714" s="45"/>
      <c r="AV714" s="44"/>
      <c r="AW714" s="38"/>
      <c r="AX714" s="44"/>
      <c r="AY714" s="38"/>
      <c r="AZ714" s="44"/>
      <c r="BA714" s="45"/>
      <c r="BB714" s="44"/>
      <c r="BC714" s="45"/>
      <c r="BD714" s="44"/>
      <c r="BE714" s="38"/>
      <c r="BF714" s="36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  <c r="CO714" s="68"/>
      <c r="CP714" s="68"/>
    </row>
    <row r="715" ht="15.75" customHeight="1">
      <c r="A715" s="666" t="s">
        <v>3579</v>
      </c>
      <c r="B715" s="116" t="s">
        <v>892</v>
      </c>
      <c r="C715" s="116" t="s">
        <v>132</v>
      </c>
      <c r="D715" s="667" t="s">
        <v>3580</v>
      </c>
      <c r="E715" s="667" t="s">
        <v>3581</v>
      </c>
      <c r="F715" s="668" t="s">
        <v>3582</v>
      </c>
      <c r="G715" s="286"/>
      <c r="H715" s="286" t="s">
        <v>1109</v>
      </c>
      <c r="I715" s="123" t="s">
        <v>959</v>
      </c>
      <c r="J715" s="287"/>
      <c r="K715" s="123">
        <v>3.0</v>
      </c>
      <c r="L715" s="25">
        <v>2014.0</v>
      </c>
      <c r="M715" s="25">
        <f t="shared" si="564"/>
        <v>11</v>
      </c>
      <c r="N715" s="26">
        <f t="shared" si="565"/>
        <v>2</v>
      </c>
      <c r="O715" s="27" t="str">
        <f t="shared" si="3"/>
        <v>#N/A</v>
      </c>
      <c r="P715" s="28"/>
      <c r="Q715" s="28"/>
      <c r="R715" s="28"/>
      <c r="S715" s="28"/>
      <c r="T715" s="29">
        <f t="shared" si="566"/>
        <v>775454.5455</v>
      </c>
      <c r="U715" s="28"/>
      <c r="V715" s="30">
        <f t="shared" si="425"/>
        <v>8530000</v>
      </c>
      <c r="W715" s="30"/>
      <c r="X715" s="403"/>
      <c r="Y715" s="33">
        <f t="shared" si="567"/>
        <v>0.6708449559</v>
      </c>
      <c r="Z715" s="692"/>
      <c r="AA715" s="665"/>
      <c r="AB715" s="123"/>
      <c r="AC715" s="123"/>
      <c r="AD715" s="124"/>
      <c r="AE715" s="125"/>
      <c r="AF715" s="126" t="str">
        <f>HYPERLINK("https://www.crunchbase.com/organization/iotas-inc#section-funding-rounds"," 4/22/2016")</f>
        <v> 4/22/2016</v>
      </c>
      <c r="AG715" s="127">
        <v>30000.0</v>
      </c>
      <c r="AH715" s="123"/>
      <c r="AI715" s="128"/>
      <c r="AJ715" s="167" t="str">
        <f>HYPERLINK("https://www.crunchbase.com/funding_round/iotas-inc-series-a--eb412f0d"," 10/1/2019")</f>
        <v> 10/1/2019</v>
      </c>
      <c r="AK715" s="165">
        <v>8500000.0</v>
      </c>
      <c r="AL715" s="169"/>
      <c r="AM715" s="127"/>
      <c r="AN715" s="124"/>
      <c r="AO715" s="125"/>
      <c r="AP715" s="124"/>
      <c r="AQ715" s="125"/>
      <c r="AR715" s="124"/>
      <c r="AS715" s="124"/>
      <c r="AT715" s="124"/>
      <c r="AU715" s="137"/>
      <c r="AV715" s="124"/>
      <c r="AW715" s="38"/>
      <c r="AX715" s="124"/>
      <c r="AY715" s="38"/>
      <c r="AZ715" s="124"/>
      <c r="BA715" s="137"/>
      <c r="BB715" s="124"/>
      <c r="BC715" s="137"/>
      <c r="BD715" s="124"/>
      <c r="BE715" s="38"/>
      <c r="BF715" s="123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</row>
    <row r="716" ht="15.75" customHeight="1">
      <c r="A716" s="931" t="s">
        <v>3583</v>
      </c>
      <c r="B716" s="69" t="s">
        <v>68</v>
      </c>
      <c r="C716" s="69" t="s">
        <v>123</v>
      </c>
      <c r="D716" s="192" t="s">
        <v>3584</v>
      </c>
      <c r="E716" s="192" t="s">
        <v>3585</v>
      </c>
      <c r="F716" s="756" t="s">
        <v>3586</v>
      </c>
      <c r="G716" s="140"/>
      <c r="H716" s="71" t="s">
        <v>120</v>
      </c>
      <c r="I716" s="26" t="s">
        <v>65</v>
      </c>
      <c r="J716" s="155"/>
      <c r="K716" s="26"/>
      <c r="L716" s="26">
        <v>2016.0</v>
      </c>
      <c r="M716" s="25">
        <f t="shared" si="564"/>
        <v>9</v>
      </c>
      <c r="N716" s="26">
        <f t="shared" si="565"/>
        <v>2</v>
      </c>
      <c r="O716" s="27" t="str">
        <f t="shared" si="3"/>
        <v>#N/A</v>
      </c>
      <c r="P716" s="28"/>
      <c r="Q716" s="28"/>
      <c r="R716" s="28"/>
      <c r="S716" s="28"/>
      <c r="T716" s="29">
        <f t="shared" si="566"/>
        <v>944444.4444</v>
      </c>
      <c r="U716" s="28"/>
      <c r="V716" s="30">
        <f t="shared" si="425"/>
        <v>8500000</v>
      </c>
      <c r="W716" s="30"/>
      <c r="X716" s="73"/>
      <c r="Y716" s="33">
        <f t="shared" si="567"/>
        <v>0.1866812674</v>
      </c>
      <c r="Z716" s="692"/>
      <c r="AA716" s="665"/>
      <c r="AB716" s="74"/>
      <c r="AC716" s="74"/>
      <c r="AD716" s="79"/>
      <c r="AE716" s="84"/>
      <c r="AF716" s="320">
        <v>43472.0</v>
      </c>
      <c r="AG716" s="76">
        <v>1500000.0</v>
      </c>
      <c r="AH716" s="74"/>
      <c r="AI716" s="78"/>
      <c r="AJ716" s="42">
        <v>43893.0</v>
      </c>
      <c r="AK716" s="76">
        <v>7000000.0</v>
      </c>
      <c r="AL716" s="79"/>
      <c r="AM716" s="84"/>
      <c r="AN716" s="79"/>
      <c r="AO716" s="84"/>
      <c r="AP716" s="79"/>
      <c r="AQ716" s="84"/>
      <c r="AR716" s="79"/>
      <c r="AS716" s="79"/>
      <c r="AT716" s="79"/>
      <c r="AU716" s="80"/>
      <c r="AV716" s="79"/>
      <c r="AW716" s="38"/>
      <c r="AX716" s="79"/>
      <c r="AY716" s="38"/>
      <c r="AZ716" s="79"/>
      <c r="BA716" s="80"/>
      <c r="BB716" s="79"/>
      <c r="BC716" s="80"/>
      <c r="BD716" s="79"/>
      <c r="BE716" s="38"/>
      <c r="BF716" s="74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</row>
    <row r="717" ht="15.75" customHeight="1">
      <c r="A717" s="666" t="s">
        <v>3587</v>
      </c>
      <c r="B717" s="115" t="s">
        <v>3588</v>
      </c>
      <c r="C717" s="116" t="s">
        <v>276</v>
      </c>
      <c r="D717" s="1338" t="s">
        <v>3589</v>
      </c>
      <c r="E717" s="667" t="s">
        <v>3590</v>
      </c>
      <c r="F717" s="1339" t="s">
        <v>3591</v>
      </c>
      <c r="G717" s="286" t="s">
        <v>3592</v>
      </c>
      <c r="H717" s="286" t="s">
        <v>3056</v>
      </c>
      <c r="I717" s="123" t="s">
        <v>3593</v>
      </c>
      <c r="J717" s="287">
        <v>33629.0</v>
      </c>
      <c r="K717" s="123">
        <v>3.0</v>
      </c>
      <c r="L717" s="25">
        <v>2013.0</v>
      </c>
      <c r="M717" s="25">
        <f t="shared" si="564"/>
        <v>12</v>
      </c>
      <c r="N717" s="26">
        <f t="shared" si="565"/>
        <v>3</v>
      </c>
      <c r="O717" s="27" t="str">
        <f t="shared" si="3"/>
        <v>#N/A</v>
      </c>
      <c r="P717" s="28"/>
      <c r="Q717" s="28"/>
      <c r="R717" s="28"/>
      <c r="S717" s="28"/>
      <c r="T717" s="29">
        <f t="shared" si="566"/>
        <v>708333.3333</v>
      </c>
      <c r="U717" s="28"/>
      <c r="V717" s="30">
        <f t="shared" si="425"/>
        <v>8500000</v>
      </c>
      <c r="W717" s="30"/>
      <c r="X717" s="403"/>
      <c r="Y717" s="33">
        <f t="shared" si="567"/>
        <v>0.06717312499</v>
      </c>
      <c r="Z717" s="692"/>
      <c r="AA717" s="665"/>
      <c r="AB717" s="123"/>
      <c r="AC717" s="123"/>
      <c r="AD717" s="124"/>
      <c r="AE717" s="125"/>
      <c r="AF717" s="166"/>
      <c r="AG717" s="125"/>
      <c r="AH717" s="123"/>
      <c r="AI717" s="128"/>
      <c r="AJ717" s="167" t="str">
        <f>HYPERLINK("https://www.crunchbase.com/organization/sitezeus#section-funding-rounds"," Apr 22, 2015")</f>
        <v> Apr 22, 2015</v>
      </c>
      <c r="AK717" s="127">
        <v>2200000.0</v>
      </c>
      <c r="AL717" s="167" t="str">
        <f>HYPERLINK("https://www.crunchbase.com/funding_round/sitezeus-series-b--0c4af5e5","Aug 3, 2016")</f>
        <v>Aug 3, 2016</v>
      </c>
      <c r="AM717" s="127">
        <v>1500000.0</v>
      </c>
      <c r="AN717" s="124"/>
      <c r="AO717" s="125"/>
      <c r="AP717" s="124"/>
      <c r="AQ717" s="125"/>
      <c r="AR717" s="124"/>
      <c r="AS717" s="124"/>
      <c r="AT717" s="124"/>
      <c r="AU717" s="137"/>
      <c r="AV717" s="124"/>
      <c r="AW717" s="38"/>
      <c r="AX717" s="124"/>
      <c r="AY717" s="38"/>
      <c r="AZ717" s="171">
        <v>45006.0</v>
      </c>
      <c r="BA717" s="170">
        <v>4800000.0</v>
      </c>
      <c r="BB717" s="124"/>
      <c r="BC717" s="137"/>
      <c r="BD717" s="124"/>
      <c r="BE717" s="38"/>
      <c r="BF717" s="123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</row>
    <row r="718" ht="15.75" customHeight="1">
      <c r="A718" s="400" t="s">
        <v>3594</v>
      </c>
      <c r="B718" s="115"/>
      <c r="C718" s="116" t="s">
        <v>84</v>
      </c>
      <c r="D718" s="449"/>
      <c r="E718" s="401" t="s">
        <v>3595</v>
      </c>
      <c r="F718" s="708" t="s">
        <v>3596</v>
      </c>
      <c r="G718" s="286"/>
      <c r="H718" s="119" t="s">
        <v>128</v>
      </c>
      <c r="I718" s="25" t="s">
        <v>129</v>
      </c>
      <c r="J718" s="287"/>
      <c r="K718" s="123"/>
      <c r="L718" s="25">
        <v>2022.0</v>
      </c>
      <c r="M718" s="123"/>
      <c r="N718" s="123"/>
      <c r="O718" s="27" t="str">
        <f t="shared" si="3"/>
        <v>#N/A</v>
      </c>
      <c r="P718" s="55"/>
      <c r="Q718" s="55"/>
      <c r="R718" s="55"/>
      <c r="S718" s="55"/>
      <c r="T718" s="55"/>
      <c r="U718" s="55"/>
      <c r="V718" s="30">
        <f t="shared" si="425"/>
        <v>8500000</v>
      </c>
      <c r="W718" s="30"/>
      <c r="X718" s="403"/>
      <c r="Y718" s="403"/>
      <c r="Z718" s="692"/>
      <c r="AA718" s="665"/>
      <c r="AB718" s="123"/>
      <c r="AC718" s="123"/>
      <c r="AD718" s="62">
        <v>44545.0</v>
      </c>
      <c r="AE718" s="123"/>
      <c r="AF718" s="62">
        <v>44900.0</v>
      </c>
      <c r="AG718" s="38">
        <v>8500000.0</v>
      </c>
      <c r="AH718" s="123"/>
      <c r="AI718" s="123"/>
      <c r="AJ718" s="123"/>
      <c r="AK718" s="123"/>
      <c r="AL718" s="123"/>
      <c r="AM718" s="123"/>
      <c r="AN718" s="123"/>
      <c r="AO718" s="123"/>
      <c r="AP718" s="123"/>
      <c r="AQ718" s="123"/>
      <c r="AR718" s="123"/>
      <c r="AS718" s="123"/>
      <c r="AT718" s="123"/>
      <c r="AU718" s="137"/>
      <c r="AV718" s="123"/>
      <c r="AW718" s="38"/>
      <c r="AX718" s="123"/>
      <c r="AY718" s="38"/>
      <c r="AZ718" s="123"/>
      <c r="BA718" s="137"/>
      <c r="BB718" s="123"/>
      <c r="BC718" s="137"/>
      <c r="BD718" s="123"/>
      <c r="BE718" s="38"/>
      <c r="BF718" s="123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</row>
    <row r="719" ht="15.75" customHeight="1">
      <c r="A719" s="47" t="s">
        <v>3597</v>
      </c>
      <c r="C719" s="48" t="s">
        <v>190</v>
      </c>
      <c r="D719" s="617" t="s">
        <v>3598</v>
      </c>
      <c r="E719" s="49" t="s">
        <v>3599</v>
      </c>
      <c r="F719" s="749" t="s">
        <v>3600</v>
      </c>
      <c r="G719" s="353"/>
      <c r="H719" s="53" t="s">
        <v>328</v>
      </c>
      <c r="I719" s="54" t="s">
        <v>329</v>
      </c>
      <c r="J719" s="55"/>
      <c r="K719" s="54">
        <v>2.0</v>
      </c>
      <c r="L719" s="56">
        <v>2012.0</v>
      </c>
      <c r="M719" s="55"/>
      <c r="N719" s="55"/>
      <c r="O719" s="27" t="str">
        <f t="shared" si="3"/>
        <v>#N/A</v>
      </c>
      <c r="P719" s="55"/>
      <c r="Q719" s="55"/>
      <c r="R719" s="55"/>
      <c r="S719" s="55"/>
      <c r="T719" s="55"/>
      <c r="U719" s="55"/>
      <c r="V719" s="30">
        <f t="shared" si="425"/>
        <v>8500000</v>
      </c>
      <c r="W719" s="30"/>
      <c r="X719" s="58"/>
      <c r="Y719" s="58"/>
      <c r="Z719" s="692"/>
      <c r="AA719" s="665"/>
      <c r="AB719" s="55"/>
      <c r="AC719" s="55"/>
      <c r="AD719" s="880">
        <v>41023.0</v>
      </c>
      <c r="AE719" s="38">
        <v>500000.0</v>
      </c>
      <c r="AF719" s="62">
        <v>41458.0</v>
      </c>
      <c r="AG719" s="38">
        <v>1500000.0</v>
      </c>
      <c r="AH719" s="689"/>
      <c r="AI719" s="1172"/>
      <c r="AJ719" s="1340">
        <v>44943.0</v>
      </c>
      <c r="AK719" s="38">
        <v>6500000.0</v>
      </c>
      <c r="AL719" s="71"/>
      <c r="AM719" s="26"/>
      <c r="AN719" s="120"/>
      <c r="AO719" s="123"/>
      <c r="AP719" s="25"/>
      <c r="AQ719" s="123"/>
      <c r="AR719" s="123"/>
      <c r="AS719" s="1341"/>
      <c r="AT719" s="28"/>
      <c r="AU719" s="28"/>
      <c r="AV719" s="55"/>
      <c r="AW719" s="38"/>
      <c r="AX719" s="55"/>
      <c r="AY719" s="38"/>
      <c r="AZ719" s="335"/>
      <c r="BA719" s="1342"/>
      <c r="BB719" s="403"/>
      <c r="BC719" s="38"/>
      <c r="BD719" s="335"/>
      <c r="BE719" s="38"/>
      <c r="BF719" s="123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</row>
    <row r="720" ht="15.75" customHeight="1">
      <c r="A720" s="765" t="s">
        <v>3601</v>
      </c>
      <c r="B720" s="723"/>
      <c r="C720" s="766" t="s">
        <v>276</v>
      </c>
      <c r="D720" s="1343" t="s">
        <v>3602</v>
      </c>
      <c r="E720" s="767" t="s">
        <v>3603</v>
      </c>
      <c r="F720" s="1344" t="s">
        <v>3604</v>
      </c>
      <c r="G720" s="770" t="s">
        <v>3605</v>
      </c>
      <c r="H720" s="770" t="s">
        <v>3606</v>
      </c>
      <c r="I720" s="771" t="s">
        <v>129</v>
      </c>
      <c r="J720" s="772" t="s">
        <v>157</v>
      </c>
      <c r="K720" s="771">
        <v>3.0</v>
      </c>
      <c r="L720" s="771">
        <v>2016.0</v>
      </c>
      <c r="M720" s="25">
        <f>year(now()) -L720</f>
        <v>9</v>
      </c>
      <c r="N720" s="26">
        <f>counta(AE720,AG720,AI720,AK720,AM720,AO720,AQ720,AS720,AU720,AW720,AY720,BA720,BC720)</f>
        <v>2</v>
      </c>
      <c r="O720" s="27" t="str">
        <f t="shared" si="3"/>
        <v>#N/A</v>
      </c>
      <c r="P720" s="28"/>
      <c r="Q720" s="28"/>
      <c r="R720" s="28"/>
      <c r="S720" s="28"/>
      <c r="T720" s="29">
        <f>V720/M720</f>
        <v>938888.8889</v>
      </c>
      <c r="U720" s="28"/>
      <c r="V720" s="30">
        <f t="shared" si="425"/>
        <v>8450000</v>
      </c>
      <c r="W720" s="30"/>
      <c r="X720" s="1345"/>
      <c r="Y720" s="33">
        <f>(max(AE720,AG720,AI720,AK720,AM720,AO720,AQ720,AS720,AU720,AW720,AY720,BA720,BC720)/min(AE720,AG720,AI720,AK720))^(1/M720)-1</f>
        <v>0.2755882747</v>
      </c>
      <c r="Z720" s="692"/>
      <c r="AA720" s="665"/>
      <c r="AB720" s="773"/>
      <c r="AC720" s="773"/>
      <c r="AD720" s="784"/>
      <c r="AE720" s="785"/>
      <c r="AF720" s="1346" t="str">
        <f>HYPERLINK("https://www.crunchbase.com/funding_round/shopic-seed--78af29dd","Mar 5, 2016")</f>
        <v>Mar 5, 2016</v>
      </c>
      <c r="AG720" s="1347">
        <v>850000.0</v>
      </c>
      <c r="AH720" s="773"/>
      <c r="AI720" s="1348"/>
      <c r="AJ720" s="1349" t="str">
        <f>HYPERLINK("https://www.crunchbase.com/funding_round/shopic-series-a--243c11cf","May 14, 2020")</f>
        <v>May 14, 2020</v>
      </c>
      <c r="AK720" s="1347">
        <v>7600000.0</v>
      </c>
      <c r="AL720" s="1350"/>
      <c r="AM720" s="1347"/>
      <c r="AN720" s="784"/>
      <c r="AO720" s="785"/>
      <c r="AP720" s="784"/>
      <c r="AQ720" s="785"/>
      <c r="AR720" s="784"/>
      <c r="AS720" s="784"/>
      <c r="AT720" s="784"/>
      <c r="AU720" s="1351"/>
      <c r="AV720" s="784"/>
      <c r="AW720" s="38"/>
      <c r="AX720" s="784"/>
      <c r="AY720" s="38"/>
      <c r="AZ720" s="784"/>
      <c r="BA720" s="1351"/>
      <c r="BB720" s="784"/>
      <c r="BC720" s="1351"/>
      <c r="BD720" s="784"/>
      <c r="BE720" s="38"/>
      <c r="BF720" s="773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</row>
    <row r="721" ht="15.75" customHeight="1">
      <c r="A721" s="47" t="s">
        <v>3607</v>
      </c>
      <c r="C721" s="48" t="s">
        <v>68</v>
      </c>
      <c r="D721" s="49" t="s">
        <v>3608</v>
      </c>
      <c r="E721" s="49" t="s">
        <v>3609</v>
      </c>
      <c r="F721" s="352" t="s">
        <v>3610</v>
      </c>
      <c r="G721" s="353"/>
      <c r="H721" s="53" t="s">
        <v>3400</v>
      </c>
      <c r="I721" s="54" t="s">
        <v>1642</v>
      </c>
      <c r="J721" s="55"/>
      <c r="K721" s="54">
        <v>4.0</v>
      </c>
      <c r="L721" s="56">
        <v>2020.0</v>
      </c>
      <c r="M721" s="55"/>
      <c r="N721" s="55"/>
      <c r="O721" s="27" t="str">
        <f t="shared" si="3"/>
        <v>#N/A</v>
      </c>
      <c r="P721" s="55"/>
      <c r="Q721" s="55"/>
      <c r="R721" s="55"/>
      <c r="S721" s="55"/>
      <c r="T721" s="55"/>
      <c r="U721" s="55"/>
      <c r="V721" s="30">
        <f t="shared" si="425"/>
        <v>8300000</v>
      </c>
      <c r="W721" s="30"/>
      <c r="X721" s="58"/>
      <c r="Y721" s="58"/>
      <c r="Z721" s="692"/>
      <c r="AA721" s="665"/>
      <c r="AB721" s="55"/>
      <c r="AC721" s="55"/>
      <c r="AD721" s="880">
        <v>44490.0</v>
      </c>
      <c r="AE721" s="38">
        <v>2100000.0</v>
      </c>
      <c r="AF721" s="62">
        <v>44971.0</v>
      </c>
      <c r="AG721" s="38">
        <v>5600000.0</v>
      </c>
      <c r="AH721" s="55"/>
      <c r="AI721" s="38"/>
      <c r="AJ721" s="55"/>
      <c r="AK721" s="38"/>
      <c r="AL721" s="55"/>
      <c r="AM721" s="38"/>
      <c r="AN721" s="55"/>
      <c r="AO721" s="38"/>
      <c r="AP721" s="356"/>
      <c r="AQ721" s="38"/>
      <c r="AR721" s="55"/>
      <c r="AS721" s="38"/>
      <c r="AT721" s="55"/>
      <c r="AU721" s="38"/>
      <c r="AV721" s="55"/>
      <c r="AW721" s="38"/>
      <c r="AX721" s="55"/>
      <c r="AY721" s="38"/>
      <c r="AZ721" s="55"/>
      <c r="BA721" s="38"/>
      <c r="BB721" s="62">
        <v>44145.0</v>
      </c>
      <c r="BC721" s="38">
        <v>600000.0</v>
      </c>
      <c r="BD721" s="55"/>
      <c r="BE721" s="38"/>
      <c r="BF721" s="55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</row>
    <row r="722" ht="15.75" customHeight="1">
      <c r="A722" s="21" t="s">
        <v>3611</v>
      </c>
      <c r="B722" s="68"/>
      <c r="C722" s="69" t="s">
        <v>3612</v>
      </c>
      <c r="D722" s="192" t="s">
        <v>3613</v>
      </c>
      <c r="E722" s="138" t="s">
        <v>3614</v>
      </c>
      <c r="F722" s="173" t="s">
        <v>3615</v>
      </c>
      <c r="G722" s="407" t="s">
        <v>3616</v>
      </c>
      <c r="H722" s="54" t="s">
        <v>1098</v>
      </c>
      <c r="I722" s="26" t="s">
        <v>65</v>
      </c>
      <c r="J722" s="72" t="s">
        <v>3617</v>
      </c>
      <c r="K722" s="26">
        <v>3.0</v>
      </c>
      <c r="L722" s="26">
        <v>2011.0</v>
      </c>
      <c r="M722" s="25">
        <f>year(now()) -L722</f>
        <v>14</v>
      </c>
      <c r="N722" s="26">
        <f>counta(AE722,AG722,AI722,AK722,AM722,AO722,AQ722,AS722,AU722,AW722,AY722,BA722,BC722)</f>
        <v>3</v>
      </c>
      <c r="O722" s="27" t="str">
        <f t="shared" si="3"/>
        <v>#N/A</v>
      </c>
      <c r="P722" s="28"/>
      <c r="Q722" s="28"/>
      <c r="R722" s="28"/>
      <c r="S722" s="28"/>
      <c r="T722" s="29">
        <f>V722/M722</f>
        <v>590142.8571</v>
      </c>
      <c r="U722" s="28"/>
      <c r="V722" s="30">
        <f t="shared" si="425"/>
        <v>8262000</v>
      </c>
      <c r="W722" s="30"/>
      <c r="X722" s="73"/>
      <c r="Y722" s="33">
        <f>(max(AE722,AG722,AI722,AK722,AM722,AO722,AQ722,AS722,AU722,AW722,AY722,BA722,BC722)/min(AE722,AG722,AI722,AK722))^(1/M722)-1</f>
        <v>0.2220896008</v>
      </c>
      <c r="Z722" s="692"/>
      <c r="AA722" s="665"/>
      <c r="AB722" s="74"/>
      <c r="AC722" s="74"/>
      <c r="AD722" s="426" t="str">
        <f>HYPERLINK("https://www.crunchbase.com/organization/verdigris-technologies#section-funding-rounds"," Nov 9, 2011")</f>
        <v> Nov 9, 2011</v>
      </c>
      <c r="AE722" s="76">
        <v>362000.0</v>
      </c>
      <c r="AF722" s="175" t="str">
        <f>HYPERLINK("https://www.crunchbase.com/funding_round/verdigris-technologies-seed--19ec6b22","Jan 1, 2013")</f>
        <v>Jan 1, 2013</v>
      </c>
      <c r="AG722" s="76">
        <v>1900000.0</v>
      </c>
      <c r="AH722" s="77"/>
      <c r="AI722" s="78"/>
      <c r="AJ722" s="426" t="str">
        <f>HYPERLINK("https://www.crunchbase.com/funding_round/verdigris-technologies-series-a--c04cf798","Mar 24, 2016")</f>
        <v>Mar 24, 2016</v>
      </c>
      <c r="AK722" s="76">
        <v>6000000.0</v>
      </c>
      <c r="AL722" s="279"/>
      <c r="AM722" s="76"/>
      <c r="AN722" s="279"/>
      <c r="AO722" s="76"/>
      <c r="AP722" s="79"/>
      <c r="AQ722" s="84"/>
      <c r="AR722" s="79"/>
      <c r="AS722" s="79"/>
      <c r="AT722" s="79"/>
      <c r="AU722" s="80"/>
      <c r="AV722" s="79"/>
      <c r="AW722" s="38"/>
      <c r="AX722" s="79"/>
      <c r="AY722" s="38"/>
      <c r="AZ722" s="79"/>
      <c r="BA722" s="80"/>
      <c r="BB722" s="79"/>
      <c r="BC722" s="80"/>
      <c r="BD722" s="79"/>
      <c r="BE722" s="38"/>
      <c r="BF722" s="74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</row>
    <row r="723" ht="15.75" customHeight="1">
      <c r="A723" s="21" t="s">
        <v>3618</v>
      </c>
      <c r="B723" s="68"/>
      <c r="C723" s="69" t="s">
        <v>132</v>
      </c>
      <c r="D723" s="380"/>
      <c r="E723" s="231" t="s">
        <v>3619</v>
      </c>
      <c r="F723" s="154" t="s">
        <v>3620</v>
      </c>
      <c r="G723" s="71"/>
      <c r="H723" s="71" t="s">
        <v>88</v>
      </c>
      <c r="I723" s="26" t="s">
        <v>89</v>
      </c>
      <c r="J723" s="72"/>
      <c r="K723" s="26">
        <v>2.0</v>
      </c>
      <c r="L723" s="26">
        <v>2020.0</v>
      </c>
      <c r="M723" s="25"/>
      <c r="N723" s="26"/>
      <c r="O723" s="27" t="str">
        <f t="shared" si="3"/>
        <v>#N/A</v>
      </c>
      <c r="P723" s="28"/>
      <c r="Q723" s="28"/>
      <c r="R723" s="28"/>
      <c r="S723" s="28"/>
      <c r="T723" s="28"/>
      <c r="U723" s="28"/>
      <c r="V723" s="30">
        <f t="shared" si="425"/>
        <v>8200000</v>
      </c>
      <c r="W723" s="30"/>
      <c r="X723" s="73"/>
      <c r="Y723" s="73"/>
      <c r="Z723" s="692"/>
      <c r="AA723" s="665"/>
      <c r="AB723" s="74"/>
      <c r="AC723" s="74"/>
      <c r="AD723" s="79"/>
      <c r="AE723" s="84"/>
      <c r="AF723" s="175" t="str">
        <f>HYPERLINK("https://www.crunchbase.com/funding_round/tabas-seed--60096dd3","Mar 1, 2021")</f>
        <v>Mar 1, 2021</v>
      </c>
      <c r="AG723" s="76">
        <v>1600000.0</v>
      </c>
      <c r="AH723" s="74"/>
      <c r="AI723" s="78"/>
      <c r="AJ723" s="181" t="str">
        <f>HYPERLINK("https://www.crunchbase.com/funding_round/tabas-series-a--fbd9c74d","Jan 19, 2022")</f>
        <v>Jan 19, 2022</v>
      </c>
      <c r="AK723" s="76">
        <v>6600000.0</v>
      </c>
      <c r="AL723" s="79"/>
      <c r="AM723" s="84"/>
      <c r="AN723" s="79"/>
      <c r="AO723" s="84"/>
      <c r="AP723" s="79"/>
      <c r="AQ723" s="84"/>
      <c r="AR723" s="79"/>
      <c r="AS723" s="79"/>
      <c r="AT723" s="79"/>
      <c r="AU723" s="80"/>
      <c r="AV723" s="79"/>
      <c r="AW723" s="38"/>
      <c r="AX723" s="79"/>
      <c r="AY723" s="38"/>
      <c r="AZ723" s="79"/>
      <c r="BA723" s="80"/>
      <c r="BB723" s="79"/>
      <c r="BC723" s="80"/>
      <c r="BD723" s="79"/>
      <c r="BE723" s="38"/>
      <c r="BF723" s="74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</row>
    <row r="724" ht="15.75" customHeight="1">
      <c r="A724" s="47" t="s">
        <v>3621</v>
      </c>
      <c r="B724" s="116"/>
      <c r="C724" s="116" t="s">
        <v>84</v>
      </c>
      <c r="D724" s="192" t="s">
        <v>3622</v>
      </c>
      <c r="E724" s="192" t="s">
        <v>3623</v>
      </c>
      <c r="F724" s="386" t="s">
        <v>3624</v>
      </c>
      <c r="G724" s="286"/>
      <c r="H724" s="119" t="s">
        <v>271</v>
      </c>
      <c r="I724" s="25" t="s">
        <v>272</v>
      </c>
      <c r="J724" s="287"/>
      <c r="K724" s="25">
        <v>3.0</v>
      </c>
      <c r="L724" s="25">
        <v>2019.0</v>
      </c>
      <c r="M724" s="25">
        <f t="shared" ref="M724:M725" si="568">year(now()) -L724</f>
        <v>6</v>
      </c>
      <c r="N724" s="26">
        <f t="shared" ref="N724:N725" si="569">counta(AE724,AG724,AI724,AK724,AM724,AO724,AQ724,AS724,AU724,AW724,AY724,BA724,BC724)</f>
        <v>2</v>
      </c>
      <c r="O724" s="27" t="str">
        <f t="shared" si="3"/>
        <v>#N/A</v>
      </c>
      <c r="P724" s="28"/>
      <c r="Q724" s="28"/>
      <c r="R724" s="28"/>
      <c r="S724" s="28"/>
      <c r="T724" s="29">
        <f t="shared" ref="T724:T725" si="570">V724/M724</f>
        <v>1354166.667</v>
      </c>
      <c r="U724" s="28"/>
      <c r="V724" s="30">
        <f t="shared" si="425"/>
        <v>8125000</v>
      </c>
      <c r="W724" s="30"/>
      <c r="X724" s="597"/>
      <c r="Y724" s="33">
        <f t="shared" ref="Y724:Y725" si="571">(max(AE724,AG724,AI724,AK724,AM724,AO724,AQ724,AS724,AU724,AW724,AY724,BA724,BC724)/min(AE724,AG724,AI724,AK724))^(1/M724)-1</f>
        <v>1</v>
      </c>
      <c r="Z724" s="692"/>
      <c r="AA724" s="665"/>
      <c r="AB724" s="123"/>
      <c r="AC724" s="123"/>
      <c r="AD724" s="124"/>
      <c r="AE724" s="125"/>
      <c r="AF724" s="126" t="str">
        <f>HYPERLINK("https://www.crunchbase.com/funding_round/inspectify-dd08-seed--ed4f19e8","Aug 25, 2020")</f>
        <v>Aug 25, 2020</v>
      </c>
      <c r="AG724" s="127">
        <v>125000.0</v>
      </c>
      <c r="AH724" s="123"/>
      <c r="AI724" s="128"/>
      <c r="AJ724" s="167" t="str">
        <f>HYPERLINK("https://www.geekwire.com/2021/rethinking-home-inspections-zillow-and-flyhomes-vets-land-8m-for-seattle-startup-inspectify/","Nov 30, 2021")</f>
        <v>Nov 30, 2021</v>
      </c>
      <c r="AK724" s="165">
        <v>8000000.0</v>
      </c>
      <c r="AL724" s="169"/>
      <c r="AM724" s="127"/>
      <c r="AN724" s="124"/>
      <c r="AO724" s="125"/>
      <c r="AP724" s="124"/>
      <c r="AQ724" s="125"/>
      <c r="AR724" s="124"/>
      <c r="AS724" s="124"/>
      <c r="AT724" s="124"/>
      <c r="AU724" s="137"/>
      <c r="AV724" s="124"/>
      <c r="AW724" s="38"/>
      <c r="AX724" s="124"/>
      <c r="AY724" s="38"/>
      <c r="AZ724" s="124"/>
      <c r="BA724" s="137"/>
      <c r="BB724" s="124"/>
      <c r="BC724" s="137"/>
      <c r="BD724" s="124"/>
      <c r="BE724" s="38"/>
      <c r="BF724" s="123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</row>
    <row r="725" ht="15.75" customHeight="1">
      <c r="A725" s="442" t="s">
        <v>3625</v>
      </c>
      <c r="B725" s="68" t="s">
        <v>676</v>
      </c>
      <c r="C725" s="68" t="s">
        <v>59</v>
      </c>
      <c r="D725" s="200" t="s">
        <v>3626</v>
      </c>
      <c r="E725" s="200" t="s">
        <v>3627</v>
      </c>
      <c r="F725" s="417" t="s">
        <v>3628</v>
      </c>
      <c r="G725" s="71" t="s">
        <v>3629</v>
      </c>
      <c r="H725" s="71" t="s">
        <v>114</v>
      </c>
      <c r="I725" s="26" t="s">
        <v>115</v>
      </c>
      <c r="J725" s="72" t="s">
        <v>3630</v>
      </c>
      <c r="K725" s="74">
        <v>2.0</v>
      </c>
      <c r="L725" s="26">
        <v>2017.0</v>
      </c>
      <c r="M725" s="25">
        <f t="shared" si="568"/>
        <v>8</v>
      </c>
      <c r="N725" s="26">
        <f t="shared" si="569"/>
        <v>2</v>
      </c>
      <c r="O725" s="27" t="str">
        <f t="shared" si="3"/>
        <v>#N/A</v>
      </c>
      <c r="P725" s="28"/>
      <c r="Q725" s="28"/>
      <c r="R725" s="28"/>
      <c r="S725" s="28"/>
      <c r="T725" s="29">
        <f t="shared" si="570"/>
        <v>1015000</v>
      </c>
      <c r="U725" s="28"/>
      <c r="V725" s="30">
        <f t="shared" si="425"/>
        <v>8120000</v>
      </c>
      <c r="W725" s="30"/>
      <c r="X725" s="32"/>
      <c r="Y725" s="33">
        <f t="shared" si="571"/>
        <v>0.6903965303</v>
      </c>
      <c r="Z725" s="692"/>
      <c r="AA725" s="665"/>
      <c r="AB725" s="74" t="s">
        <v>3631</v>
      </c>
      <c r="AC725" s="74"/>
      <c r="AD725" s="79"/>
      <c r="AE725" s="84"/>
      <c r="AF725" s="175" t="str">
        <f>HYPERLINK("https://www.crunchbase.com/funding_round/contract-simply-seed--47fcbad5","Aug 21, 2017")</f>
        <v>Aug 21, 2017</v>
      </c>
      <c r="AG725" s="76">
        <v>120000.0</v>
      </c>
      <c r="AH725" s="74"/>
      <c r="AI725" s="78"/>
      <c r="AJ725" s="181" t="str">
        <f>HYPERLINK("https://www.crunchbase.com/funding_round/contract-simply-series-a--e1dc8c15","Feb 20, 2019")</f>
        <v>Feb 20, 2019</v>
      </c>
      <c r="AK725" s="84">
        <v>8000000.0</v>
      </c>
      <c r="AL725" s="79"/>
      <c r="AM725" s="84"/>
      <c r="AN725" s="79"/>
      <c r="AO725" s="84"/>
      <c r="AP725" s="79"/>
      <c r="AQ725" s="84"/>
      <c r="AR725" s="79"/>
      <c r="AS725" s="79"/>
      <c r="AT725" s="79"/>
      <c r="AU725" s="80"/>
      <c r="AV725" s="79"/>
      <c r="AW725" s="38"/>
      <c r="AX725" s="79"/>
      <c r="AY725" s="38"/>
      <c r="AZ725" s="79"/>
      <c r="BA725" s="80"/>
      <c r="BB725" s="79"/>
      <c r="BC725" s="80"/>
      <c r="BD725" s="79"/>
      <c r="BE725" s="38"/>
      <c r="BF725" s="74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</row>
    <row r="726" ht="15.75" customHeight="1">
      <c r="A726" s="47" t="s">
        <v>3632</v>
      </c>
      <c r="C726" s="48" t="s">
        <v>59</v>
      </c>
      <c r="D726" s="351"/>
      <c r="E726" s="617" t="s">
        <v>3633</v>
      </c>
      <c r="F726" s="352" t="s">
        <v>3634</v>
      </c>
      <c r="G726" s="353"/>
      <c r="H726" s="53" t="s">
        <v>328</v>
      </c>
      <c r="I726" s="54" t="s">
        <v>329</v>
      </c>
      <c r="J726" s="55"/>
      <c r="K726" s="54">
        <v>2.0</v>
      </c>
      <c r="L726" s="56">
        <v>2011.0</v>
      </c>
      <c r="M726" s="55"/>
      <c r="N726" s="55"/>
      <c r="O726" s="27" t="str">
        <f t="shared" si="3"/>
        <v>#N/A</v>
      </c>
      <c r="P726" s="55"/>
      <c r="Q726" s="55"/>
      <c r="R726" s="55"/>
      <c r="S726" s="55"/>
      <c r="T726" s="55"/>
      <c r="U726" s="55"/>
      <c r="V726" s="30">
        <f t="shared" si="425"/>
        <v>8100000</v>
      </c>
      <c r="W726" s="30"/>
      <c r="X726" s="58"/>
      <c r="Y726" s="58"/>
      <c r="Z726" s="692"/>
      <c r="AA726" s="665"/>
      <c r="AB726" s="55"/>
      <c r="AC726" s="55"/>
      <c r="AD726" s="355"/>
      <c r="AE726" s="38"/>
      <c r="AF726" s="355"/>
      <c r="AG726" s="38"/>
      <c r="AH726" s="55"/>
      <c r="AI726" s="38"/>
      <c r="AJ726" s="55"/>
      <c r="AK726" s="38"/>
      <c r="AL726" s="55"/>
      <c r="AM726" s="38"/>
      <c r="AN726" s="55"/>
      <c r="AO726" s="38"/>
      <c r="AP726" s="356"/>
      <c r="AQ726" s="38"/>
      <c r="AR726" s="55"/>
      <c r="AS726" s="38"/>
      <c r="AT726" s="55"/>
      <c r="AU726" s="38"/>
      <c r="AV726" s="55"/>
      <c r="AW726" s="38"/>
      <c r="AX726" s="55"/>
      <c r="AY726" s="38"/>
      <c r="AZ726" s="62">
        <v>44991.0</v>
      </c>
      <c r="BA726" s="38">
        <v>8100000.0</v>
      </c>
      <c r="BB726" s="55"/>
      <c r="BC726" s="38"/>
      <c r="BD726" s="55"/>
      <c r="BE726" s="38"/>
      <c r="BF726" s="55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  <c r="CO726" s="68"/>
      <c r="CP726" s="68"/>
    </row>
    <row r="727" ht="15.75" customHeight="1">
      <c r="A727" s="21" t="s">
        <v>3635</v>
      </c>
      <c r="B727" s="16"/>
      <c r="C727" s="17" t="s">
        <v>123</v>
      </c>
      <c r="D727" s="236" t="s">
        <v>3636</v>
      </c>
      <c r="E727" s="18" t="s">
        <v>3637</v>
      </c>
      <c r="F727" s="173" t="s">
        <v>3638</v>
      </c>
      <c r="G727" s="22"/>
      <c r="H727" s="22" t="s">
        <v>187</v>
      </c>
      <c r="I727" s="23" t="s">
        <v>188</v>
      </c>
      <c r="J727" s="237"/>
      <c r="K727" s="36"/>
      <c r="L727" s="23">
        <v>2010.0</v>
      </c>
      <c r="M727" s="25">
        <f t="shared" ref="M727:M732" si="572">year(now()) -L727</f>
        <v>15</v>
      </c>
      <c r="N727" s="26">
        <f t="shared" ref="N727:N732" si="573">counta(AE727,AG727,AI727,AK727,AM727,AO727,AQ727,AS727,AU727,AW727,AY727,BA727,BC727)</f>
        <v>1</v>
      </c>
      <c r="O727" s="27" t="str">
        <f t="shared" si="3"/>
        <v>#N/A</v>
      </c>
      <c r="P727" s="28"/>
      <c r="Q727" s="28"/>
      <c r="R727" s="28"/>
      <c r="S727" s="28"/>
      <c r="T727" s="29">
        <f t="shared" ref="T727:T732" si="574">V727/M727</f>
        <v>533333.3333</v>
      </c>
      <c r="U727" s="28"/>
      <c r="V727" s="30">
        <f t="shared" si="425"/>
        <v>8000000</v>
      </c>
      <c r="W727" s="30"/>
      <c r="X727" s="847"/>
      <c r="Y727" s="33">
        <f t="shared" ref="Y727:Y732" si="575">(max(AE727,AG727,AI727,AK727,AM727,AO727,AQ727,AS727,AU727,AW727,AY727,BA727,BC727)/min(AE727,AG727,AI727,AK727))^(1/M727)-1</f>
        <v>0</v>
      </c>
      <c r="Z727" s="692"/>
      <c r="AA727" s="665"/>
      <c r="AB727" s="36"/>
      <c r="AC727" s="36"/>
      <c r="AD727" s="44"/>
      <c r="AE727" s="46"/>
      <c r="AF727" s="39"/>
      <c r="AG727" s="46"/>
      <c r="AH727" s="46"/>
      <c r="AI727" s="159"/>
      <c r="AJ727" s="180">
        <v>42901.0</v>
      </c>
      <c r="AK727" s="38">
        <v>8000000.0</v>
      </c>
      <c r="AL727" s="44"/>
      <c r="AM727" s="46"/>
      <c r="AN727" s="44"/>
      <c r="AO727" s="46"/>
      <c r="AP727" s="44"/>
      <c r="AQ727" s="46"/>
      <c r="AR727" s="44"/>
      <c r="AS727" s="44"/>
      <c r="AT727" s="44"/>
      <c r="AU727" s="45"/>
      <c r="AV727" s="44"/>
      <c r="AW727" s="38"/>
      <c r="AX727" s="44"/>
      <c r="AY727" s="38"/>
      <c r="AZ727" s="44"/>
      <c r="BA727" s="45"/>
      <c r="BB727" s="44"/>
      <c r="BC727" s="45"/>
      <c r="BD727" s="44"/>
      <c r="BE727" s="38"/>
      <c r="BF727" s="46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  <c r="CO727" s="68"/>
      <c r="CP727" s="68"/>
    </row>
    <row r="728" ht="15.75" customHeight="1">
      <c r="A728" s="400" t="s">
        <v>3639</v>
      </c>
      <c r="B728" s="115"/>
      <c r="C728" s="116" t="s">
        <v>1972</v>
      </c>
      <c r="D728" s="731"/>
      <c r="E728" s="192" t="s">
        <v>3640</v>
      </c>
      <c r="F728" s="118" t="s">
        <v>3641</v>
      </c>
      <c r="G728" s="286"/>
      <c r="H728" s="119" t="s">
        <v>371</v>
      </c>
      <c r="I728" s="25" t="s">
        <v>372</v>
      </c>
      <c r="J728" s="287"/>
      <c r="K728" s="74"/>
      <c r="L728" s="25">
        <v>2012.0</v>
      </c>
      <c r="M728" s="25">
        <f t="shared" si="572"/>
        <v>13</v>
      </c>
      <c r="N728" s="26">
        <f t="shared" si="573"/>
        <v>1</v>
      </c>
      <c r="O728" s="27" t="str">
        <f t="shared" si="3"/>
        <v>#N/A</v>
      </c>
      <c r="P728" s="28"/>
      <c r="Q728" s="28"/>
      <c r="R728" s="28"/>
      <c r="S728" s="28"/>
      <c r="T728" s="29">
        <f t="shared" si="574"/>
        <v>615384.6154</v>
      </c>
      <c r="U728" s="28"/>
      <c r="V728" s="30">
        <f t="shared" si="425"/>
        <v>8000000</v>
      </c>
      <c r="W728" s="30"/>
      <c r="X728" s="32"/>
      <c r="Y728" s="33">
        <f t="shared" si="575"/>
        <v>0</v>
      </c>
      <c r="Z728" s="692"/>
      <c r="AA728" s="665"/>
      <c r="AB728" s="123"/>
      <c r="AC728" s="123"/>
      <c r="AD728" s="322"/>
      <c r="AE728" s="323"/>
      <c r="AF728" s="868"/>
      <c r="AG728" s="325"/>
      <c r="AH728" s="326"/>
      <c r="AI728" s="327"/>
      <c r="AJ728" s="227">
        <v>43992.0</v>
      </c>
      <c r="AK728" s="325">
        <v>8000000.0</v>
      </c>
      <c r="AL728" s="322"/>
      <c r="AM728" s="323"/>
      <c r="AN728" s="322"/>
      <c r="AO728" s="323"/>
      <c r="AP728" s="322"/>
      <c r="AQ728" s="323"/>
      <c r="AR728" s="322"/>
      <c r="AS728" s="322"/>
      <c r="AT728" s="322"/>
      <c r="AU728" s="335"/>
      <c r="AV728" s="322"/>
      <c r="AW728" s="38"/>
      <c r="AX728" s="322"/>
      <c r="AY728" s="38"/>
      <c r="AZ728" s="322"/>
      <c r="BA728" s="335"/>
      <c r="BB728" s="322"/>
      <c r="BC728" s="335"/>
      <c r="BD728" s="322"/>
      <c r="BE728" s="38"/>
      <c r="BF728" s="326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68"/>
      <c r="CA728" s="68"/>
      <c r="CB728" s="68"/>
      <c r="CC728" s="68"/>
      <c r="CD728" s="68"/>
      <c r="CE728" s="68"/>
      <c r="CF728" s="68"/>
      <c r="CG728" s="68"/>
      <c r="CH728" s="68"/>
      <c r="CI728" s="68"/>
      <c r="CJ728" s="68"/>
      <c r="CK728" s="68"/>
      <c r="CL728" s="68"/>
      <c r="CM728" s="68"/>
      <c r="CN728" s="68"/>
      <c r="CO728" s="68"/>
      <c r="CP728" s="68"/>
    </row>
    <row r="729" ht="15.75" customHeight="1">
      <c r="A729" s="21" t="s">
        <v>3642</v>
      </c>
      <c r="B729" s="68"/>
      <c r="C729" s="69" t="s">
        <v>59</v>
      </c>
      <c r="D729" s="138" t="s">
        <v>3643</v>
      </c>
      <c r="E729" s="200" t="s">
        <v>3644</v>
      </c>
      <c r="F729" s="173" t="s">
        <v>3645</v>
      </c>
      <c r="G729" s="71"/>
      <c r="H729" s="71" t="s">
        <v>128</v>
      </c>
      <c r="I729" s="26" t="s">
        <v>156</v>
      </c>
      <c r="J729" s="72"/>
      <c r="K729" s="26">
        <v>2.0</v>
      </c>
      <c r="L729" s="26">
        <v>2016.0</v>
      </c>
      <c r="M729" s="25">
        <f t="shared" si="572"/>
        <v>9</v>
      </c>
      <c r="N729" s="26">
        <f t="shared" si="573"/>
        <v>2</v>
      </c>
      <c r="O729" s="27" t="str">
        <f t="shared" si="3"/>
        <v>#N/A</v>
      </c>
      <c r="P729" s="28"/>
      <c r="Q729" s="28"/>
      <c r="R729" s="28"/>
      <c r="S729" s="28"/>
      <c r="T729" s="29">
        <f t="shared" si="574"/>
        <v>888888.8889</v>
      </c>
      <c r="U729" s="28"/>
      <c r="V729" s="30">
        <f t="shared" si="425"/>
        <v>8000000</v>
      </c>
      <c r="W729" s="30"/>
      <c r="X729" s="73"/>
      <c r="Y729" s="33">
        <f t="shared" si="575"/>
        <v>0.09155837101</v>
      </c>
      <c r="Z729" s="692"/>
      <c r="AA729" s="665"/>
      <c r="AB729" s="74"/>
      <c r="AC729" s="74"/>
      <c r="AD729" s="84"/>
      <c r="AE729" s="1240"/>
      <c r="AF729" s="1241" t="str">
        <f>HYPERLINK("https://www.crunchbase.com/funding_round/knowify-llc-seed--7a4327bd","Nov 1, 2014")</f>
        <v>Nov 1, 2014</v>
      </c>
      <c r="AG729" s="76">
        <v>2500000.0</v>
      </c>
      <c r="AH729" s="74"/>
      <c r="AI729" s="78"/>
      <c r="AJ729" s="181" t="str">
        <f>HYPERLINK("https://www.crunchbase.com/funding_round/knowify-llc-series-a--84748aaa","Nov 11, 2021")</f>
        <v>Nov 11, 2021</v>
      </c>
      <c r="AK729" s="76">
        <v>5500000.0</v>
      </c>
      <c r="AL729" s="79"/>
      <c r="AM729" s="84"/>
      <c r="AN729" s="79"/>
      <c r="AO729" s="84"/>
      <c r="AP729" s="79"/>
      <c r="AQ729" s="84"/>
      <c r="AR729" s="79"/>
      <c r="AS729" s="79"/>
      <c r="AT729" s="79"/>
      <c r="AU729" s="80"/>
      <c r="AV729" s="79"/>
      <c r="AW729" s="38"/>
      <c r="AX729" s="79"/>
      <c r="AY729" s="38"/>
      <c r="AZ729" s="79"/>
      <c r="BA729" s="80"/>
      <c r="BB729" s="79"/>
      <c r="BC729" s="80"/>
      <c r="BD729" s="79"/>
      <c r="BE729" s="38"/>
      <c r="BF729" s="74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</row>
    <row r="730" ht="15.75" customHeight="1">
      <c r="A730" s="400" t="s">
        <v>3646</v>
      </c>
      <c r="B730" s="116" t="s">
        <v>2234</v>
      </c>
      <c r="C730" s="116" t="s">
        <v>207</v>
      </c>
      <c r="D730" s="192" t="s">
        <v>3647</v>
      </c>
      <c r="E730" s="192" t="s">
        <v>3648</v>
      </c>
      <c r="F730" s="402" t="s">
        <v>3649</v>
      </c>
      <c r="G730" s="286"/>
      <c r="H730" s="1352" t="s">
        <v>3400</v>
      </c>
      <c r="I730" s="25" t="s">
        <v>1642</v>
      </c>
      <c r="J730" s="287"/>
      <c r="K730" s="25">
        <v>2.0</v>
      </c>
      <c r="L730" s="25">
        <v>2017.0</v>
      </c>
      <c r="M730" s="25">
        <f t="shared" si="572"/>
        <v>8</v>
      </c>
      <c r="N730" s="26">
        <f t="shared" si="573"/>
        <v>1</v>
      </c>
      <c r="O730" s="27" t="str">
        <f t="shared" si="3"/>
        <v>#N/A</v>
      </c>
      <c r="P730" s="28"/>
      <c r="Q730" s="28"/>
      <c r="R730" s="28"/>
      <c r="S730" s="28"/>
      <c r="T730" s="29">
        <f t="shared" si="574"/>
        <v>1000000</v>
      </c>
      <c r="U730" s="28"/>
      <c r="V730" s="30">
        <f t="shared" si="425"/>
        <v>8000000</v>
      </c>
      <c r="W730" s="30"/>
      <c r="X730" s="597"/>
      <c r="Y730" s="33">
        <f t="shared" si="575"/>
        <v>0</v>
      </c>
      <c r="Z730" s="692"/>
      <c r="AA730" s="665"/>
      <c r="AB730" s="123"/>
      <c r="AC730" s="123"/>
      <c r="AD730" s="124"/>
      <c r="AE730" s="125"/>
      <c r="AF730" s="166"/>
      <c r="AG730" s="125"/>
      <c r="AH730" s="123"/>
      <c r="AI730" s="128"/>
      <c r="AJ730" s="171">
        <v>44830.0</v>
      </c>
      <c r="AK730" s="127">
        <v>8000000.0</v>
      </c>
      <c r="AL730" s="124"/>
      <c r="AM730" s="125"/>
      <c r="AN730" s="124"/>
      <c r="AO730" s="125"/>
      <c r="AP730" s="124"/>
      <c r="AQ730" s="125"/>
      <c r="AR730" s="124"/>
      <c r="AS730" s="124"/>
      <c r="AT730" s="124"/>
      <c r="AU730" s="137"/>
      <c r="AV730" s="124"/>
      <c r="AW730" s="38"/>
      <c r="AX730" s="124"/>
      <c r="AY730" s="38"/>
      <c r="AZ730" s="124"/>
      <c r="BA730" s="137"/>
      <c r="BB730" s="124"/>
      <c r="BC730" s="137"/>
      <c r="BD730" s="124"/>
      <c r="BE730" s="38"/>
      <c r="BF730" s="123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68"/>
      <c r="CA730" s="68"/>
      <c r="CB730" s="68"/>
      <c r="CC730" s="68"/>
      <c r="CD730" s="68"/>
      <c r="CE730" s="68"/>
      <c r="CF730" s="68"/>
      <c r="CG730" s="68"/>
      <c r="CH730" s="68"/>
      <c r="CI730" s="68"/>
      <c r="CJ730" s="68"/>
      <c r="CK730" s="68"/>
      <c r="CL730" s="68"/>
      <c r="CM730" s="68"/>
      <c r="CN730" s="68"/>
      <c r="CO730" s="68"/>
      <c r="CP730" s="68"/>
    </row>
    <row r="731" ht="15.75" customHeight="1">
      <c r="A731" s="21" t="s">
        <v>3650</v>
      </c>
      <c r="B731" s="68"/>
      <c r="C731" s="69" t="s">
        <v>59</v>
      </c>
      <c r="D731" s="231" t="s">
        <v>3651</v>
      </c>
      <c r="E731" s="192" t="s">
        <v>3652</v>
      </c>
      <c r="F731" s="118" t="s">
        <v>3653</v>
      </c>
      <c r="G731" s="71" t="s">
        <v>3654</v>
      </c>
      <c r="H731" s="71" t="s">
        <v>309</v>
      </c>
      <c r="I731" s="26" t="s">
        <v>115</v>
      </c>
      <c r="J731" s="72" t="s">
        <v>3655</v>
      </c>
      <c r="K731" s="26">
        <v>2.0</v>
      </c>
      <c r="L731" s="26">
        <v>2015.0</v>
      </c>
      <c r="M731" s="25">
        <f t="shared" si="572"/>
        <v>10</v>
      </c>
      <c r="N731" s="26">
        <f t="shared" si="573"/>
        <v>1</v>
      </c>
      <c r="O731" s="27" t="str">
        <f t="shared" si="3"/>
        <v>#N/A</v>
      </c>
      <c r="P731" s="28"/>
      <c r="Q731" s="28"/>
      <c r="R731" s="28"/>
      <c r="S731" s="28"/>
      <c r="T731" s="29">
        <f t="shared" si="574"/>
        <v>800000</v>
      </c>
      <c r="U731" s="28"/>
      <c r="V731" s="30">
        <f t="shared" si="425"/>
        <v>8000000</v>
      </c>
      <c r="W731" s="30"/>
      <c r="X731" s="73"/>
      <c r="Y731" s="33">
        <f t="shared" si="575"/>
        <v>0</v>
      </c>
      <c r="Z731" s="692"/>
      <c r="AA731" s="665"/>
      <c r="AB731" s="74"/>
      <c r="AC731" s="74"/>
      <c r="AD731" s="882"/>
      <c r="AE731" s="76"/>
      <c r="AF731" s="810"/>
      <c r="AG731" s="76"/>
      <c r="AH731" s="74"/>
      <c r="AI731" s="78"/>
      <c r="AJ731" s="181" t="str">
        <f>HYPERLINK("https://www.crunchbase.com/funding_round/noiseaware-series-a--02e526fd","Apr 5, 2021")</f>
        <v>Apr 5, 2021</v>
      </c>
      <c r="AK731" s="76">
        <v>8000000.0</v>
      </c>
      <c r="AL731" s="79"/>
      <c r="AM731" s="76"/>
      <c r="AN731" s="79"/>
      <c r="AO731" s="84"/>
      <c r="AP731" s="79"/>
      <c r="AQ731" s="84"/>
      <c r="AR731" s="79"/>
      <c r="AS731" s="79"/>
      <c r="AT731" s="79"/>
      <c r="AU731" s="80"/>
      <c r="AV731" s="79"/>
      <c r="AW731" s="38"/>
      <c r="AX731" s="79"/>
      <c r="AY731" s="38"/>
      <c r="AZ731" s="79"/>
      <c r="BA731" s="80"/>
      <c r="BB731" s="79"/>
      <c r="BC731" s="80"/>
      <c r="BD731" s="79"/>
      <c r="BE731" s="38"/>
      <c r="BF731" s="74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68"/>
      <c r="CA731" s="68"/>
      <c r="CB731" s="68"/>
      <c r="CC731" s="68"/>
      <c r="CD731" s="68"/>
      <c r="CE731" s="68"/>
      <c r="CF731" s="68"/>
      <c r="CG731" s="68"/>
      <c r="CH731" s="68"/>
      <c r="CI731" s="68"/>
      <c r="CJ731" s="68"/>
      <c r="CK731" s="68"/>
      <c r="CL731" s="68"/>
      <c r="CM731" s="68"/>
      <c r="CN731" s="68"/>
      <c r="CO731" s="68"/>
      <c r="CP731" s="68"/>
    </row>
    <row r="732" ht="15.75" customHeight="1">
      <c r="A732" s="21" t="s">
        <v>3656</v>
      </c>
      <c r="B732" s="68"/>
      <c r="C732" s="69" t="s">
        <v>59</v>
      </c>
      <c r="D732" s="337"/>
      <c r="E732" s="200" t="s">
        <v>3657</v>
      </c>
      <c r="F732" s="173" t="s">
        <v>3658</v>
      </c>
      <c r="G732" s="186"/>
      <c r="H732" s="71" t="s">
        <v>129</v>
      </c>
      <c r="I732" s="26" t="s">
        <v>129</v>
      </c>
      <c r="J732" s="514"/>
      <c r="K732" s="26"/>
      <c r="L732" s="26">
        <v>2021.0</v>
      </c>
      <c r="M732" s="25">
        <f t="shared" si="572"/>
        <v>4</v>
      </c>
      <c r="N732" s="26">
        <f t="shared" si="573"/>
        <v>1</v>
      </c>
      <c r="O732" s="27" t="str">
        <f t="shared" si="3"/>
        <v>#N/A</v>
      </c>
      <c r="P732" s="28"/>
      <c r="Q732" s="28"/>
      <c r="R732" s="28"/>
      <c r="S732" s="28"/>
      <c r="T732" s="29">
        <f t="shared" si="574"/>
        <v>2000000</v>
      </c>
      <c r="U732" s="28"/>
      <c r="V732" s="30">
        <f t="shared" si="425"/>
        <v>8000000</v>
      </c>
      <c r="W732" s="30"/>
      <c r="X732" s="73"/>
      <c r="Y732" s="33">
        <f t="shared" si="575"/>
        <v>0</v>
      </c>
      <c r="Z732" s="692"/>
      <c r="AA732" s="665"/>
      <c r="AB732" s="74"/>
      <c r="AC732" s="74"/>
      <c r="AD732" s="79"/>
      <c r="AE732" s="84"/>
      <c r="AF732" s="338"/>
      <c r="AG732" s="84"/>
      <c r="AH732" s="74"/>
      <c r="AI732" s="78"/>
      <c r="AJ732" s="181" t="str">
        <f>HYPERLINK("https://www.crunchbase.com/funding_round/qira-series-a--77c74677","Aug 17, 2021")</f>
        <v>Aug 17, 2021</v>
      </c>
      <c r="AK732" s="76">
        <v>8000000.0</v>
      </c>
      <c r="AL732" s="79"/>
      <c r="AM732" s="84"/>
      <c r="AN732" s="79"/>
      <c r="AO732" s="84"/>
      <c r="AP732" s="79"/>
      <c r="AQ732" s="84"/>
      <c r="AR732" s="79"/>
      <c r="AS732" s="79"/>
      <c r="AT732" s="79"/>
      <c r="AU732" s="80"/>
      <c r="AV732" s="79"/>
      <c r="AW732" s="38"/>
      <c r="AX732" s="79"/>
      <c r="AY732" s="38"/>
      <c r="AZ732" s="79"/>
      <c r="BA732" s="80"/>
      <c r="BB732" s="79"/>
      <c r="BC732" s="80"/>
      <c r="BD732" s="79"/>
      <c r="BE732" s="38"/>
      <c r="BF732" s="74"/>
      <c r="BG732" s="115"/>
      <c r="BH732" s="115"/>
      <c r="BI732" s="115"/>
      <c r="BJ732" s="115"/>
      <c r="BK732" s="115"/>
      <c r="BL732" s="115"/>
      <c r="BM732" s="115"/>
      <c r="BN732" s="115"/>
      <c r="BO732" s="115"/>
      <c r="BP732" s="115"/>
      <c r="BQ732" s="115"/>
      <c r="BR732" s="115"/>
      <c r="BS732" s="115"/>
      <c r="BT732" s="115"/>
      <c r="BU732" s="115"/>
      <c r="BV732" s="115"/>
      <c r="BW732" s="115"/>
      <c r="BX732" s="115"/>
      <c r="BY732" s="115"/>
      <c r="BZ732" s="115"/>
      <c r="CA732" s="115"/>
      <c r="CB732" s="115"/>
      <c r="CC732" s="115"/>
      <c r="CD732" s="115"/>
      <c r="CE732" s="115"/>
      <c r="CF732" s="115"/>
      <c r="CG732" s="115"/>
      <c r="CH732" s="115"/>
      <c r="CI732" s="115"/>
      <c r="CJ732" s="115"/>
      <c r="CK732" s="115"/>
      <c r="CL732" s="115"/>
      <c r="CM732" s="115"/>
      <c r="CN732" s="115"/>
      <c r="CO732" s="115"/>
      <c r="CP732" s="115"/>
    </row>
    <row r="733" ht="15.75" customHeight="1">
      <c r="A733" s="21" t="s">
        <v>3659</v>
      </c>
      <c r="B733" s="16"/>
      <c r="C733" s="17" t="s">
        <v>1599</v>
      </c>
      <c r="D733" s="245"/>
      <c r="E733" s="388" t="s">
        <v>3660</v>
      </c>
      <c r="F733" s="1039" t="s">
        <v>3661</v>
      </c>
      <c r="G733" s="55"/>
      <c r="H733" s="810" t="s">
        <v>401</v>
      </c>
      <c r="I733" s="810" t="s">
        <v>65</v>
      </c>
      <c r="J733" s="527"/>
      <c r="K733" s="23">
        <v>2.0</v>
      </c>
      <c r="L733" s="712">
        <v>2018.0</v>
      </c>
      <c r="M733" s="222"/>
      <c r="N733" s="23"/>
      <c r="O733" s="27" t="str">
        <f t="shared" si="3"/>
        <v>#N/A</v>
      </c>
      <c r="P733" s="464"/>
      <c r="Q733" s="464"/>
      <c r="R733" s="464"/>
      <c r="S733" s="464"/>
      <c r="T733" s="464"/>
      <c r="U733" s="464"/>
      <c r="V733" s="30">
        <f t="shared" si="425"/>
        <v>8000000</v>
      </c>
      <c r="W733" s="30"/>
      <c r="X733" s="33"/>
      <c r="Y733" s="33"/>
      <c r="Z733" s="692"/>
      <c r="AA733" s="665"/>
      <c r="AB733" s="36"/>
      <c r="AC733" s="36"/>
      <c r="AD733" s="391">
        <v>43528.0</v>
      </c>
      <c r="AE733" s="38">
        <v>1500000.0</v>
      </c>
      <c r="AF733" s="885">
        <v>44742.0</v>
      </c>
      <c r="AG733" s="38">
        <f>6500000</f>
        <v>6500000</v>
      </c>
      <c r="AH733" s="36"/>
      <c r="AI733" s="46"/>
      <c r="AJ733" s="37"/>
      <c r="AK733" s="38"/>
      <c r="AL733" s="37"/>
      <c r="AM733" s="38"/>
      <c r="AN733" s="44"/>
      <c r="AO733" s="46"/>
      <c r="AP733" s="967"/>
      <c r="AQ733" s="968"/>
      <c r="AR733" s="967"/>
      <c r="AS733" s="38"/>
      <c r="AT733" s="44"/>
      <c r="AU733" s="45"/>
      <c r="AV733" s="44"/>
      <c r="AW733" s="38"/>
      <c r="AX733" s="44"/>
      <c r="AY733" s="38"/>
      <c r="AZ733" s="44"/>
      <c r="BA733" s="45"/>
      <c r="BB733" s="44"/>
      <c r="BC733" s="45"/>
      <c r="BD733" s="44"/>
      <c r="BE733" s="38"/>
      <c r="BF733" s="3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</row>
    <row r="734" ht="15.75" customHeight="1">
      <c r="A734" s="245" t="s">
        <v>3662</v>
      </c>
      <c r="B734" s="16"/>
      <c r="C734" s="17" t="s">
        <v>84</v>
      </c>
      <c r="D734" s="18" t="s">
        <v>3663</v>
      </c>
      <c r="E734" s="138" t="s">
        <v>3664</v>
      </c>
      <c r="F734" s="20" t="s">
        <v>3665</v>
      </c>
      <c r="G734" s="317"/>
      <c r="H734" s="22" t="s">
        <v>771</v>
      </c>
      <c r="I734" s="23" t="s">
        <v>772</v>
      </c>
      <c r="J734" s="509"/>
      <c r="K734" s="23">
        <v>2.0</v>
      </c>
      <c r="L734" s="23">
        <v>2021.0</v>
      </c>
      <c r="M734" s="222"/>
      <c r="N734" s="23"/>
      <c r="O734" s="27" t="str">
        <f t="shared" si="3"/>
        <v>#N/A</v>
      </c>
      <c r="P734" s="28"/>
      <c r="Q734" s="28"/>
      <c r="R734" s="28"/>
      <c r="S734" s="28"/>
      <c r="T734" s="28"/>
      <c r="U734" s="28"/>
      <c r="V734" s="30">
        <f t="shared" si="425"/>
        <v>8000000</v>
      </c>
      <c r="W734" s="30"/>
      <c r="X734" s="33"/>
      <c r="Y734" s="33"/>
      <c r="Z734" s="692"/>
      <c r="AA734" s="665"/>
      <c r="AB734" s="36"/>
      <c r="AC734" s="36"/>
      <c r="AD734" s="44"/>
      <c r="AE734" s="38"/>
      <c r="AF734" s="918" t="str">
        <f>HYPERLINK("https://www.crunchbase.com/funding_round/backflip-2fd7-seed--701622e8","May 6, 2022")</f>
        <v>May 6, 2022</v>
      </c>
      <c r="AG734" s="38">
        <v>8000000.0</v>
      </c>
      <c r="AH734" s="919"/>
      <c r="AI734" s="159"/>
      <c r="AJ734" s="44"/>
      <c r="AK734" s="46"/>
      <c r="AL734" s="44"/>
      <c r="AM734" s="46"/>
      <c r="AN734" s="44"/>
      <c r="AO734" s="46"/>
      <c r="AP734" s="44"/>
      <c r="AQ734" s="46"/>
      <c r="AR734" s="44"/>
      <c r="AS734" s="44"/>
      <c r="AT734" s="44"/>
      <c r="AU734" s="45"/>
      <c r="AV734" s="44"/>
      <c r="AW734" s="38"/>
      <c r="AX734" s="44"/>
      <c r="AY734" s="38"/>
      <c r="AZ734" s="44"/>
      <c r="BA734" s="45"/>
      <c r="BB734" s="44"/>
      <c r="BC734" s="45"/>
      <c r="BD734" s="44"/>
      <c r="BE734" s="38"/>
      <c r="BF734" s="36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</row>
    <row r="735" ht="15.75" customHeight="1">
      <c r="A735" s="47" t="s">
        <v>3666</v>
      </c>
      <c r="B735" s="69"/>
      <c r="C735" s="69" t="s">
        <v>68</v>
      </c>
      <c r="D735" s="337"/>
      <c r="E735" s="192" t="s">
        <v>3667</v>
      </c>
      <c r="F735" s="386" t="s">
        <v>3668</v>
      </c>
      <c r="G735" s="186"/>
      <c r="H735" s="71" t="s">
        <v>1984</v>
      </c>
      <c r="I735" s="26" t="s">
        <v>772</v>
      </c>
      <c r="J735" s="155"/>
      <c r="K735" s="26" t="s">
        <v>219</v>
      </c>
      <c r="L735" s="26">
        <v>2021.0</v>
      </c>
      <c r="M735" s="25"/>
      <c r="N735" s="26"/>
      <c r="O735" s="27" t="str">
        <f t="shared" si="3"/>
        <v>#N/A</v>
      </c>
      <c r="P735" s="273"/>
      <c r="Q735" s="273"/>
      <c r="R735" s="273"/>
      <c r="S735" s="273"/>
      <c r="T735" s="273"/>
      <c r="U735" s="273"/>
      <c r="V735" s="30">
        <f t="shared" si="425"/>
        <v>8000000</v>
      </c>
      <c r="W735" s="30"/>
      <c r="X735" s="73"/>
      <c r="Y735" s="73"/>
      <c r="Z735" s="692"/>
      <c r="AA735" s="665"/>
      <c r="AB735" s="74"/>
      <c r="AC735" s="74"/>
      <c r="AD735" s="79"/>
      <c r="AE735" s="84"/>
      <c r="AF735" s="338"/>
      <c r="AG735" s="84"/>
      <c r="AH735" s="74"/>
      <c r="AI735" s="78"/>
      <c r="AJ735" s="181" t="str">
        <f>HYPERLINK("https://www.crunchbase.com/funding_round/prometheus-materials-series-a--60ceb323","Apr 12, 2022")</f>
        <v>Apr 12, 2022</v>
      </c>
      <c r="AK735" s="76">
        <v>8000000.0</v>
      </c>
      <c r="AL735" s="79"/>
      <c r="AM735" s="84"/>
      <c r="AN735" s="79"/>
      <c r="AO735" s="84"/>
      <c r="AP735" s="79"/>
      <c r="AQ735" s="84"/>
      <c r="AR735" s="79"/>
      <c r="AS735" s="79"/>
      <c r="AT735" s="79"/>
      <c r="AU735" s="80"/>
      <c r="AV735" s="79"/>
      <c r="AW735" s="38"/>
      <c r="AX735" s="79"/>
      <c r="AY735" s="38"/>
      <c r="AZ735" s="79"/>
      <c r="BA735" s="80"/>
      <c r="BB735" s="79"/>
      <c r="BC735" s="80"/>
      <c r="BD735" s="79"/>
      <c r="BE735" s="38"/>
      <c r="BF735" s="74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</row>
    <row r="736" ht="15.75" customHeight="1">
      <c r="A736" s="21" t="s">
        <v>3669</v>
      </c>
      <c r="B736" s="68"/>
      <c r="C736" s="69" t="s">
        <v>190</v>
      </c>
      <c r="D736" s="388" t="s">
        <v>3670</v>
      </c>
      <c r="E736" s="388" t="s">
        <v>3671</v>
      </c>
      <c r="F736" s="177" t="s">
        <v>3672</v>
      </c>
      <c r="G736" s="140"/>
      <c r="H736" s="71" t="s">
        <v>328</v>
      </c>
      <c r="I736" s="26" t="s">
        <v>329</v>
      </c>
      <c r="J736" s="155"/>
      <c r="K736" s="26">
        <v>2.0</v>
      </c>
      <c r="L736" s="26">
        <v>2017.0</v>
      </c>
      <c r="M736" s="25"/>
      <c r="N736" s="26"/>
      <c r="O736" s="27" t="str">
        <f t="shared" si="3"/>
        <v>#N/A</v>
      </c>
      <c r="P736" s="28"/>
      <c r="Q736" s="28"/>
      <c r="R736" s="28"/>
      <c r="S736" s="28"/>
      <c r="T736" s="28"/>
      <c r="U736" s="28"/>
      <c r="V736" s="30">
        <f t="shared" si="425"/>
        <v>8000000</v>
      </c>
      <c r="W736" s="30"/>
      <c r="X736" s="73"/>
      <c r="Y736" s="73"/>
      <c r="Z736" s="692"/>
      <c r="AA736" s="665"/>
      <c r="AB736" s="74"/>
      <c r="AC736" s="74"/>
      <c r="AD736" s="79"/>
      <c r="AE736" s="76"/>
      <c r="AF736" s="320"/>
      <c r="AG736" s="76"/>
      <c r="AH736" s="74"/>
      <c r="AI736" s="78"/>
      <c r="AJ736" s="391">
        <v>44742.0</v>
      </c>
      <c r="AK736" s="84">
        <f>8000000</f>
        <v>8000000</v>
      </c>
      <c r="AL736" s="79"/>
      <c r="AM736" s="84"/>
      <c r="AN736" s="79"/>
      <c r="AO736" s="84"/>
      <c r="AP736" s="79"/>
      <c r="AQ736" s="84"/>
      <c r="AR736" s="79"/>
      <c r="AS736" s="79"/>
      <c r="AT736" s="79"/>
      <c r="AU736" s="80"/>
      <c r="AV736" s="79"/>
      <c r="AW736" s="38"/>
      <c r="AX736" s="79"/>
      <c r="AY736" s="38"/>
      <c r="AZ736" s="79"/>
      <c r="BA736" s="80"/>
      <c r="BB736" s="79"/>
      <c r="BC736" s="80"/>
      <c r="BD736" s="79"/>
      <c r="BE736" s="38"/>
      <c r="BF736" s="74"/>
      <c r="BG736" s="115"/>
      <c r="BH736" s="115"/>
      <c r="BI736" s="115"/>
      <c r="BJ736" s="115"/>
      <c r="BK736" s="115"/>
      <c r="BL736" s="115"/>
      <c r="BM736" s="115"/>
      <c r="BN736" s="115"/>
      <c r="BO736" s="115"/>
      <c r="BP736" s="115"/>
      <c r="BQ736" s="115"/>
      <c r="BR736" s="115"/>
      <c r="BS736" s="115"/>
      <c r="BT736" s="115"/>
      <c r="BU736" s="115"/>
      <c r="BV736" s="115"/>
      <c r="BW736" s="115"/>
      <c r="BX736" s="115"/>
      <c r="BY736" s="115"/>
      <c r="BZ736" s="115"/>
      <c r="CA736" s="115"/>
      <c r="CB736" s="115"/>
      <c r="CC736" s="115"/>
      <c r="CD736" s="115"/>
      <c r="CE736" s="115"/>
      <c r="CF736" s="115"/>
      <c r="CG736" s="115"/>
      <c r="CH736" s="115"/>
      <c r="CI736" s="115"/>
      <c r="CJ736" s="115"/>
      <c r="CK736" s="115"/>
      <c r="CL736" s="115"/>
      <c r="CM736" s="115"/>
      <c r="CN736" s="115"/>
      <c r="CO736" s="115"/>
      <c r="CP736" s="115"/>
    </row>
    <row r="737" ht="15.75" customHeight="1">
      <c r="A737" s="1353" t="s">
        <v>3673</v>
      </c>
      <c r="B737" s="582"/>
      <c r="C737" s="1206" t="s">
        <v>76</v>
      </c>
      <c r="D737" s="1354"/>
      <c r="E737" s="1146" t="s">
        <v>3674</v>
      </c>
      <c r="F737" s="1298" t="s">
        <v>3675</v>
      </c>
      <c r="G737" s="1149"/>
      <c r="H737" s="1210" t="s">
        <v>3676</v>
      </c>
      <c r="I737" s="1355" t="s">
        <v>3677</v>
      </c>
      <c r="J737" s="1151"/>
      <c r="K737" s="1211">
        <v>1.0</v>
      </c>
      <c r="L737" s="1211">
        <v>2020.0</v>
      </c>
      <c r="M737" s="25"/>
      <c r="N737" s="1211"/>
      <c r="O737" s="27" t="str">
        <f t="shared" si="3"/>
        <v>#N/A</v>
      </c>
      <c r="P737" s="1212"/>
      <c r="Q737" s="1212"/>
      <c r="R737" s="1212"/>
      <c r="S737" s="1212"/>
      <c r="T737" s="1212"/>
      <c r="U737" s="1212"/>
      <c r="V737" s="30">
        <f t="shared" si="425"/>
        <v>8000000</v>
      </c>
      <c r="W737" s="30"/>
      <c r="X737" s="1213"/>
      <c r="Y737" s="1213"/>
      <c r="Z737" s="692"/>
      <c r="AA737" s="665"/>
      <c r="AB737" s="1214"/>
      <c r="AC737" s="1214"/>
      <c r="AD737" s="1215"/>
      <c r="AE737" s="1216"/>
      <c r="AF737" s="1217" t="str">
        <f>HYPERLINK("https://www.crunchbase.com/funding_round/realto-0bbe-seed--cd7c40bb","Dec 28, 2020")</f>
        <v>Dec 28, 2020</v>
      </c>
      <c r="AG737" s="1218">
        <v>3500000.0</v>
      </c>
      <c r="AH737" s="1214"/>
      <c r="AI737" s="1219"/>
      <c r="AJ737" s="1220" t="str">
        <f>HYPERLINK("https://www.crunchbase.com/funding_round/realto-0bbe-series-a--64efc98a","May 5, 2022")</f>
        <v>May 5, 2022</v>
      </c>
      <c r="AK737" s="1356">
        <v>4500000.0</v>
      </c>
      <c r="AL737" s="1215"/>
      <c r="AM737" s="1216"/>
      <c r="AN737" s="1215"/>
      <c r="AO737" s="1216"/>
      <c r="AP737" s="1215"/>
      <c r="AQ737" s="1216"/>
      <c r="AR737" s="1215"/>
      <c r="AS737" s="1215"/>
      <c r="AT737" s="1215"/>
      <c r="AU737" s="1221"/>
      <c r="AV737" s="1215"/>
      <c r="AW737" s="38"/>
      <c r="AX737" s="1215"/>
      <c r="AY737" s="38"/>
      <c r="AZ737" s="1215"/>
      <c r="BA737" s="1221"/>
      <c r="BB737" s="1215"/>
      <c r="BC737" s="1221"/>
      <c r="BD737" s="1215"/>
      <c r="BE737" s="38"/>
      <c r="BF737" s="1214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</row>
    <row r="738" ht="15.75" customHeight="1">
      <c r="A738" s="47" t="s">
        <v>3678</v>
      </c>
      <c r="C738" s="48" t="s">
        <v>68</v>
      </c>
      <c r="D738" s="49" t="s">
        <v>3679</v>
      </c>
      <c r="E738" s="49" t="s">
        <v>3680</v>
      </c>
      <c r="F738" s="352" t="s">
        <v>3681</v>
      </c>
      <c r="G738" s="353"/>
      <c r="H738" s="53" t="s">
        <v>128</v>
      </c>
      <c r="I738" s="54" t="s">
        <v>129</v>
      </c>
      <c r="J738" s="55"/>
      <c r="K738" s="54">
        <v>2.0</v>
      </c>
      <c r="L738" s="56">
        <v>2017.0</v>
      </c>
      <c r="M738" s="55"/>
      <c r="N738" s="55"/>
      <c r="O738" s="27" t="str">
        <f t="shared" si="3"/>
        <v>#N/A</v>
      </c>
      <c r="P738" s="55"/>
      <c r="Q738" s="55"/>
      <c r="R738" s="55"/>
      <c r="S738" s="55"/>
      <c r="T738" s="55"/>
      <c r="U738" s="55"/>
      <c r="V738" s="30">
        <f t="shared" si="425"/>
        <v>8000000</v>
      </c>
      <c r="W738" s="30"/>
      <c r="X738" s="58"/>
      <c r="Y738" s="58"/>
      <c r="Z738" s="692"/>
      <c r="AA738" s="665"/>
      <c r="AB738" s="55"/>
      <c r="AC738" s="55"/>
      <c r="AD738" s="355"/>
      <c r="AE738" s="38"/>
      <c r="AF738" s="62">
        <v>45006.0</v>
      </c>
      <c r="AG738" s="38">
        <v>8000000.0</v>
      </c>
      <c r="AH738" s="55"/>
      <c r="AI738" s="38"/>
      <c r="AJ738" s="55"/>
      <c r="AK738" s="38"/>
      <c r="AL738" s="55"/>
      <c r="AM738" s="38"/>
      <c r="AN738" s="55"/>
      <c r="AO738" s="38"/>
      <c r="AP738" s="356"/>
      <c r="AQ738" s="38"/>
      <c r="AR738" s="55"/>
      <c r="AS738" s="38"/>
      <c r="AT738" s="55"/>
      <c r="AU738" s="38"/>
      <c r="AV738" s="55"/>
      <c r="AW738" s="38"/>
      <c r="AX738" s="55"/>
      <c r="AY738" s="38"/>
      <c r="AZ738" s="55"/>
      <c r="BA738" s="38"/>
      <c r="BB738" s="55"/>
      <c r="BC738" s="38"/>
      <c r="BD738" s="55"/>
      <c r="BE738" s="38"/>
      <c r="BF738" s="55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</row>
    <row r="739" ht="15.75" customHeight="1">
      <c r="A739" s="47" t="s">
        <v>3682</v>
      </c>
      <c r="B739" s="115"/>
      <c r="C739" s="116" t="s">
        <v>84</v>
      </c>
      <c r="D739" s="50" t="s">
        <v>3683</v>
      </c>
      <c r="E739" s="50" t="s">
        <v>3684</v>
      </c>
      <c r="F739" s="50" t="s">
        <v>3685</v>
      </c>
      <c r="G739" s="1235"/>
      <c r="H739" s="543" t="s">
        <v>3686</v>
      </c>
      <c r="I739" s="116" t="s">
        <v>3687</v>
      </c>
      <c r="J739" s="287"/>
      <c r="K739" s="25">
        <v>3.0</v>
      </c>
      <c r="L739" s="25">
        <v>2020.0</v>
      </c>
      <c r="M739" s="25"/>
      <c r="N739" s="25"/>
      <c r="O739" s="27" t="str">
        <f t="shared" si="3"/>
        <v>#N/A</v>
      </c>
      <c r="P739" s="55"/>
      <c r="Q739" s="55"/>
      <c r="R739" s="55"/>
      <c r="S739" s="55"/>
      <c r="T739" s="55"/>
      <c r="U739" s="55"/>
      <c r="V739" s="30">
        <f t="shared" si="425"/>
        <v>7810000</v>
      </c>
      <c r="W739" s="30"/>
      <c r="X739" s="597"/>
      <c r="Y739" s="597"/>
      <c r="Z739" s="692"/>
      <c r="AA739" s="665"/>
      <c r="AB739" s="123"/>
      <c r="AC739" s="123"/>
      <c r="AD739" s="171">
        <v>43709.0</v>
      </c>
      <c r="AE739" s="127">
        <v>210000.0</v>
      </c>
      <c r="AF739" s="728">
        <v>44575.0</v>
      </c>
      <c r="AG739" s="127">
        <v>2600000.0</v>
      </c>
      <c r="AH739" s="123"/>
      <c r="AI739" s="128"/>
      <c r="AJ739" s="171">
        <v>44848.0</v>
      </c>
      <c r="AK739" s="127">
        <v>5000000.0</v>
      </c>
      <c r="AL739" s="124"/>
      <c r="AM739" s="125"/>
      <c r="AN739" s="124"/>
      <c r="AO739" s="125"/>
      <c r="AP739" s="124"/>
      <c r="AQ739" s="125"/>
      <c r="AR739" s="124"/>
      <c r="AS739" s="124"/>
      <c r="AT739" s="124"/>
      <c r="AU739" s="137"/>
      <c r="AV739" s="124"/>
      <c r="AW739" s="38"/>
      <c r="AX739" s="124"/>
      <c r="AY739" s="38"/>
      <c r="AZ739" s="124"/>
      <c r="BA739" s="137"/>
      <c r="BB739" s="124"/>
      <c r="BC739" s="137"/>
      <c r="BD739" s="124"/>
      <c r="BE739" s="38"/>
      <c r="BF739" s="123"/>
      <c r="BG739" s="456"/>
      <c r="BH739" s="456"/>
      <c r="BI739" s="456"/>
      <c r="BJ739" s="456"/>
      <c r="BK739" s="456"/>
      <c r="BL739" s="456"/>
      <c r="BM739" s="456"/>
      <c r="BN739" s="456"/>
      <c r="BO739" s="456"/>
      <c r="BP739" s="456"/>
      <c r="BQ739" s="456"/>
      <c r="BR739" s="456"/>
      <c r="BS739" s="456"/>
      <c r="BT739" s="456"/>
      <c r="BU739" s="456"/>
      <c r="BV739" s="456"/>
      <c r="BW739" s="456"/>
      <c r="BX739" s="456"/>
      <c r="BY739" s="456"/>
      <c r="BZ739" s="456"/>
      <c r="CA739" s="456"/>
      <c r="CB739" s="456"/>
      <c r="CC739" s="456"/>
      <c r="CD739" s="456"/>
      <c r="CE739" s="456"/>
      <c r="CF739" s="456"/>
      <c r="CG739" s="456"/>
      <c r="CH739" s="456"/>
      <c r="CI739" s="456"/>
      <c r="CJ739" s="456"/>
      <c r="CK739" s="456"/>
      <c r="CL739" s="456"/>
      <c r="CM739" s="456"/>
      <c r="CN739" s="456"/>
      <c r="CO739" s="456"/>
      <c r="CP739" s="456"/>
    </row>
    <row r="740" ht="15.75" customHeight="1">
      <c r="A740" s="747" t="s">
        <v>3688</v>
      </c>
      <c r="B740" s="68"/>
      <c r="C740" s="69" t="s">
        <v>123</v>
      </c>
      <c r="D740" s="192" t="s">
        <v>3689</v>
      </c>
      <c r="E740" s="192" t="s">
        <v>3690</v>
      </c>
      <c r="F740" s="118" t="s">
        <v>3691</v>
      </c>
      <c r="G740" s="186"/>
      <c r="H740" s="71" t="s">
        <v>64</v>
      </c>
      <c r="I740" s="26" t="s">
        <v>287</v>
      </c>
      <c r="J740" s="514"/>
      <c r="K740" s="74"/>
      <c r="L740" s="26">
        <v>2018.0</v>
      </c>
      <c r="M740" s="25">
        <f>year(now()) -L740</f>
        <v>7</v>
      </c>
      <c r="N740" s="26">
        <f>counta(AE740,AG740,AI740,AK740,AM740,AO740,AQ740,AS740,AU740,AW740,AY740,BA740,BC740)</f>
        <v>1</v>
      </c>
      <c r="O740" s="27" t="str">
        <f t="shared" si="3"/>
        <v>#N/A</v>
      </c>
      <c r="P740" s="28"/>
      <c r="Q740" s="28"/>
      <c r="R740" s="28"/>
      <c r="S740" s="28"/>
      <c r="T740" s="29">
        <f>V740/M740</f>
        <v>1114285.714</v>
      </c>
      <c r="U740" s="28"/>
      <c r="V740" s="30">
        <f t="shared" si="425"/>
        <v>7800000</v>
      </c>
      <c r="W740" s="30"/>
      <c r="X740" s="32"/>
      <c r="Y740" s="33">
        <f>(max(AE740,AG740,AI740,AK740,AM740,AO740,AQ740,AS740,AU740,AW740,AY740,BA740,BC740)/min(AE740,AG740,AI740,AK740))^(1/M740)-1</f>
        <v>0</v>
      </c>
      <c r="Z740" s="692"/>
      <c r="AA740" s="665"/>
      <c r="AB740" s="74"/>
      <c r="AC740" s="74"/>
      <c r="AD740" s="79"/>
      <c r="AE740" s="84"/>
      <c r="AF740" s="225">
        <v>43964.0</v>
      </c>
      <c r="AG740" s="76">
        <v>7800000.0</v>
      </c>
      <c r="AH740" s="74"/>
      <c r="AI740" s="78"/>
      <c r="AJ740" s="79"/>
      <c r="AK740" s="84"/>
      <c r="AL740" s="79"/>
      <c r="AM740" s="84"/>
      <c r="AN740" s="79"/>
      <c r="AO740" s="84"/>
      <c r="AP740" s="79"/>
      <c r="AQ740" s="84"/>
      <c r="AR740" s="79"/>
      <c r="AS740" s="79"/>
      <c r="AT740" s="79"/>
      <c r="AU740" s="80"/>
      <c r="AV740" s="79"/>
      <c r="AW740" s="38"/>
      <c r="AX740" s="79"/>
      <c r="AY740" s="38"/>
      <c r="AZ740" s="79"/>
      <c r="BA740" s="80"/>
      <c r="BB740" s="79"/>
      <c r="BC740" s="80"/>
      <c r="BD740" s="79"/>
      <c r="BE740" s="38"/>
      <c r="BF740" s="74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</row>
    <row r="741" ht="15.75" customHeight="1">
      <c r="A741" s="245" t="s">
        <v>3692</v>
      </c>
      <c r="B741" s="16"/>
      <c r="C741" s="17" t="s">
        <v>207</v>
      </c>
      <c r="D741" s="462"/>
      <c r="E741" s="192" t="s">
        <v>3693</v>
      </c>
      <c r="F741" s="20" t="s">
        <v>3694</v>
      </c>
      <c r="G741" s="317"/>
      <c r="H741" s="22" t="s">
        <v>64</v>
      </c>
      <c r="I741" s="23" t="s">
        <v>65</v>
      </c>
      <c r="J741" s="509"/>
      <c r="K741" s="23">
        <v>2.0</v>
      </c>
      <c r="L741" s="23">
        <v>2015.0</v>
      </c>
      <c r="M741" s="222"/>
      <c r="N741" s="23"/>
      <c r="O741" s="27" t="str">
        <f t="shared" si="3"/>
        <v>#N/A</v>
      </c>
      <c r="P741" s="28"/>
      <c r="Q741" s="28"/>
      <c r="R741" s="28"/>
      <c r="S741" s="28"/>
      <c r="T741" s="28"/>
      <c r="U741" s="28"/>
      <c r="V741" s="30">
        <f t="shared" si="425"/>
        <v>7800000</v>
      </c>
      <c r="W741" s="30"/>
      <c r="X741" s="33"/>
      <c r="Y741" s="33"/>
      <c r="Z741" s="692"/>
      <c r="AA741" s="665"/>
      <c r="AB741" s="36"/>
      <c r="AC741" s="36"/>
      <c r="AD741" s="44"/>
      <c r="AE741" s="46"/>
      <c r="AF741" s="158" t="str">
        <f>HYPERLINK("https://www.crunchbase.com/funding_round/anyplace-seed--9c2a8b4d","Jun 3, 2019")</f>
        <v>Jun 3, 2019</v>
      </c>
      <c r="AG741" s="38">
        <v>2500000.0</v>
      </c>
      <c r="AH741" s="36"/>
      <c r="AI741" s="46"/>
      <c r="AJ741" s="43" t="str">
        <f>HYPERLINK("https://www.crunchbase.com/funding_round/anyplace-series-a--c4f0af0b","Jan 24, 2022")</f>
        <v>Jan 24, 2022</v>
      </c>
      <c r="AK741" s="38">
        <v>5300000.0</v>
      </c>
      <c r="AL741" s="44"/>
      <c r="AM741" s="46"/>
      <c r="AN741" s="37"/>
      <c r="AO741" s="38"/>
      <c r="AP741" s="44"/>
      <c r="AQ741" s="46"/>
      <c r="AR741" s="44"/>
      <c r="AS741" s="44"/>
      <c r="AT741" s="44"/>
      <c r="AU741" s="45"/>
      <c r="AV741" s="44"/>
      <c r="AW741" s="38"/>
      <c r="AX741" s="44"/>
      <c r="AY741" s="38"/>
      <c r="AZ741" s="44"/>
      <c r="BA741" s="45"/>
      <c r="BB741" s="44"/>
      <c r="BC741" s="45"/>
      <c r="BD741" s="44"/>
      <c r="BE741" s="38"/>
      <c r="BF741" s="36"/>
      <c r="BG741" s="115"/>
      <c r="BH741" s="115"/>
      <c r="BI741" s="115"/>
      <c r="BJ741" s="115"/>
      <c r="BK741" s="115"/>
      <c r="BL741" s="115"/>
      <c r="BM741" s="115"/>
      <c r="BN741" s="115"/>
      <c r="BO741" s="115"/>
      <c r="BP741" s="115"/>
      <c r="BQ741" s="115"/>
      <c r="BR741" s="115"/>
      <c r="BS741" s="115"/>
      <c r="BT741" s="115"/>
      <c r="BU741" s="115"/>
      <c r="BV741" s="115"/>
      <c r="BW741" s="115"/>
      <c r="BX741" s="115"/>
      <c r="BY741" s="115"/>
      <c r="BZ741" s="115"/>
      <c r="CA741" s="115"/>
      <c r="CB741" s="115"/>
      <c r="CC741" s="115"/>
      <c r="CD741" s="115"/>
      <c r="CE741" s="115"/>
      <c r="CF741" s="115"/>
      <c r="CG741" s="115"/>
      <c r="CH741" s="115"/>
      <c r="CI741" s="115"/>
      <c r="CJ741" s="115"/>
      <c r="CK741" s="115"/>
      <c r="CL741" s="115"/>
      <c r="CM741" s="115"/>
      <c r="CN741" s="115"/>
      <c r="CO741" s="115"/>
      <c r="CP741" s="115"/>
    </row>
    <row r="742" ht="15.75" customHeight="1">
      <c r="A742" s="21" t="s">
        <v>3695</v>
      </c>
      <c r="B742" s="68"/>
      <c r="C742" s="69" t="s">
        <v>190</v>
      </c>
      <c r="D742" s="184"/>
      <c r="E742" s="138" t="s">
        <v>3696</v>
      </c>
      <c r="F742" s="173" t="s">
        <v>3697</v>
      </c>
      <c r="G742" s="71"/>
      <c r="H742" s="71" t="s">
        <v>64</v>
      </c>
      <c r="I742" s="26" t="s">
        <v>287</v>
      </c>
      <c r="J742" s="718"/>
      <c r="K742" s="26">
        <v>2.0</v>
      </c>
      <c r="L742" s="26">
        <v>2021.0</v>
      </c>
      <c r="M742" s="25"/>
      <c r="N742" s="26"/>
      <c r="O742" s="27" t="str">
        <f t="shared" si="3"/>
        <v>#N/A</v>
      </c>
      <c r="P742" s="28"/>
      <c r="Q742" s="28"/>
      <c r="R742" s="28"/>
      <c r="S742" s="28"/>
      <c r="T742" s="28"/>
      <c r="U742" s="28"/>
      <c r="V742" s="30">
        <f t="shared" si="425"/>
        <v>22800000</v>
      </c>
      <c r="W742" s="30"/>
      <c r="X742" s="73"/>
      <c r="Y742" s="73"/>
      <c r="Z742" s="692"/>
      <c r="AA742" s="665"/>
      <c r="AB742" s="74"/>
      <c r="AC742" s="74"/>
      <c r="AD742" s="79"/>
      <c r="AE742" s="84"/>
      <c r="AF742" s="175" t="str">
        <f>HYPERLINK("https://www.crunchbase.com/funding_round/kindred-cf36-seed--9ea89634","Apr 4, 2022")</f>
        <v>Apr 4, 2022</v>
      </c>
      <c r="AG742" s="76">
        <v>7800000.0</v>
      </c>
      <c r="AH742" s="434"/>
      <c r="AI742" s="435"/>
      <c r="AJ742" s="75">
        <v>45035.0</v>
      </c>
      <c r="AK742" s="76">
        <v>1.5E7</v>
      </c>
      <c r="AL742" s="279"/>
      <c r="AM742" s="76"/>
      <c r="AN742" s="279"/>
      <c r="AO742" s="76"/>
      <c r="AP742" s="79"/>
      <c r="AQ742" s="84"/>
      <c r="AR742" s="79"/>
      <c r="AS742" s="79"/>
      <c r="AT742" s="79"/>
      <c r="AU742" s="80"/>
      <c r="AV742" s="79"/>
      <c r="AW742" s="38"/>
      <c r="AX742" s="79"/>
      <c r="AY742" s="38"/>
      <c r="AZ742" s="79"/>
      <c r="BA742" s="80"/>
      <c r="BB742" s="79"/>
      <c r="BC742" s="80"/>
      <c r="BD742" s="79"/>
      <c r="BE742" s="38"/>
      <c r="BF742" s="74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  <c r="CO742" s="68"/>
      <c r="CP742" s="68"/>
    </row>
    <row r="743" ht="15.75" customHeight="1">
      <c r="A743" s="400" t="s">
        <v>3698</v>
      </c>
      <c r="B743" s="115"/>
      <c r="C743" s="116" t="s">
        <v>190</v>
      </c>
      <c r="D743" s="449"/>
      <c r="E743" s="161" t="s">
        <v>3699</v>
      </c>
      <c r="F743" s="402" t="s">
        <v>3700</v>
      </c>
      <c r="G743" s="119" t="s">
        <v>3701</v>
      </c>
      <c r="H743" s="119" t="s">
        <v>1446</v>
      </c>
      <c r="I743" s="25" t="s">
        <v>1447</v>
      </c>
      <c r="J743" s="287"/>
      <c r="K743" s="123"/>
      <c r="L743" s="25">
        <v>2021.0</v>
      </c>
      <c r="M743" s="123"/>
      <c r="N743" s="123"/>
      <c r="O743" s="27" t="str">
        <f t="shared" si="3"/>
        <v>#N/A</v>
      </c>
      <c r="P743" s="55"/>
      <c r="Q743" s="55"/>
      <c r="R743" s="55"/>
      <c r="S743" s="55"/>
      <c r="T743" s="55"/>
      <c r="U743" s="55"/>
      <c r="V743" s="30">
        <f t="shared" si="425"/>
        <v>7800000</v>
      </c>
      <c r="W743" s="31">
        <v>2300000.0</v>
      </c>
      <c r="X743" s="403"/>
      <c r="Y743" s="403"/>
      <c r="Z743" s="692"/>
      <c r="AA743" s="665"/>
      <c r="AB743" s="123"/>
      <c r="AC743" s="123"/>
      <c r="AD743" s="717"/>
      <c r="AE743" s="123"/>
      <c r="AF743" s="62">
        <v>44880.0</v>
      </c>
      <c r="AG743" s="38">
        <v>7800000.0</v>
      </c>
      <c r="AH743" s="123"/>
      <c r="AI743" s="123"/>
      <c r="AJ743" s="123"/>
      <c r="AK743" s="38"/>
      <c r="AL743" s="123"/>
      <c r="AM743" s="123"/>
      <c r="AN743" s="123"/>
      <c r="AO743" s="123"/>
      <c r="AP743" s="123"/>
      <c r="AQ743" s="123"/>
      <c r="AR743" s="123"/>
      <c r="AS743" s="123"/>
      <c r="AT743" s="123"/>
      <c r="AU743" s="137"/>
      <c r="AV743" s="123"/>
      <c r="AW743" s="38"/>
      <c r="AX743" s="123"/>
      <c r="AY743" s="38"/>
      <c r="AZ743" s="123"/>
      <c r="BA743" s="137"/>
      <c r="BB743" s="123"/>
      <c r="BC743" s="137"/>
      <c r="BD743" s="123"/>
      <c r="BE743" s="38"/>
      <c r="BF743" s="123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68"/>
      <c r="CA743" s="68"/>
      <c r="CB743" s="68"/>
      <c r="CC743" s="68"/>
      <c r="CD743" s="68"/>
      <c r="CE743" s="68"/>
      <c r="CF743" s="68"/>
      <c r="CG743" s="68"/>
      <c r="CH743" s="68"/>
      <c r="CI743" s="68"/>
      <c r="CJ743" s="68"/>
      <c r="CK743" s="68"/>
      <c r="CL743" s="68"/>
      <c r="CM743" s="68"/>
      <c r="CN743" s="68"/>
      <c r="CO743" s="68"/>
      <c r="CP743" s="68"/>
    </row>
    <row r="744" ht="15.75" customHeight="1">
      <c r="A744" s="47" t="s">
        <v>3702</v>
      </c>
      <c r="C744" s="48" t="s">
        <v>68</v>
      </c>
      <c r="D744" s="351"/>
      <c r="E744" s="617" t="s">
        <v>3703</v>
      </c>
      <c r="F744" s="749" t="s">
        <v>3704</v>
      </c>
      <c r="G744" s="353"/>
      <c r="H744" s="53" t="s">
        <v>128</v>
      </c>
      <c r="I744" s="54" t="s">
        <v>129</v>
      </c>
      <c r="J744" s="55"/>
      <c r="K744" s="54">
        <v>1.0</v>
      </c>
      <c r="L744" s="56">
        <v>2017.0</v>
      </c>
      <c r="M744" s="55"/>
      <c r="N744" s="55"/>
      <c r="O744" s="27" t="str">
        <f t="shared" si="3"/>
        <v>#N/A</v>
      </c>
      <c r="P744" s="55"/>
      <c r="Q744" s="55"/>
      <c r="R744" s="55"/>
      <c r="S744" s="55"/>
      <c r="T744" s="55"/>
      <c r="U744" s="55"/>
      <c r="V744" s="30">
        <f t="shared" si="425"/>
        <v>7800000</v>
      </c>
      <c r="W744" s="30"/>
      <c r="X744" s="58"/>
      <c r="Y744" s="58"/>
      <c r="Z744" s="692"/>
      <c r="AA744" s="665"/>
      <c r="AB744" s="55"/>
      <c r="AC744" s="55"/>
      <c r="AD744" s="62">
        <v>43132.0</v>
      </c>
      <c r="AE744" s="38">
        <v>1200000.0</v>
      </c>
      <c r="AF744" s="62">
        <v>44930.0</v>
      </c>
      <c r="AG744" s="38">
        <v>6600000.0</v>
      </c>
      <c r="AH744" s="55"/>
      <c r="AI744" s="55"/>
      <c r="AJ744" s="55"/>
      <c r="AK744" s="55"/>
      <c r="AL744" s="55"/>
      <c r="AM744" s="55"/>
      <c r="AN744" s="55"/>
      <c r="AO744" s="55"/>
      <c r="AP744" s="356"/>
      <c r="AQ744" s="356"/>
      <c r="AR744" s="55"/>
      <c r="AS744" s="55"/>
      <c r="AT744" s="55"/>
      <c r="AU744" s="722"/>
      <c r="AV744" s="55"/>
      <c r="AW744" s="38"/>
      <c r="AX744" s="55"/>
      <c r="AY744" s="38"/>
      <c r="AZ744" s="55"/>
      <c r="BA744" s="722"/>
      <c r="BB744" s="55"/>
      <c r="BC744" s="722"/>
      <c r="BD744" s="55"/>
      <c r="BE744" s="38"/>
      <c r="BF744" s="55"/>
      <c r="BG744" s="115"/>
      <c r="BH744" s="115"/>
      <c r="BI744" s="115"/>
      <c r="BJ744" s="115"/>
      <c r="BK744" s="115"/>
      <c r="BL744" s="115"/>
      <c r="BM744" s="115"/>
      <c r="BN744" s="115"/>
      <c r="BO744" s="115"/>
      <c r="BP744" s="115"/>
      <c r="BQ744" s="115"/>
      <c r="BR744" s="115"/>
      <c r="BS744" s="115"/>
      <c r="BT744" s="115"/>
      <c r="BU744" s="115"/>
      <c r="BV744" s="115"/>
      <c r="BW744" s="115"/>
      <c r="BX744" s="115"/>
      <c r="BY744" s="115"/>
      <c r="BZ744" s="115"/>
      <c r="CA744" s="115"/>
      <c r="CB744" s="115"/>
      <c r="CC744" s="115"/>
      <c r="CD744" s="115"/>
      <c r="CE744" s="115"/>
      <c r="CF744" s="115"/>
      <c r="CG744" s="115"/>
      <c r="CH744" s="115"/>
      <c r="CI744" s="115"/>
      <c r="CJ744" s="115"/>
      <c r="CK744" s="115"/>
      <c r="CL744" s="115"/>
      <c r="CM744" s="115"/>
      <c r="CN744" s="115"/>
      <c r="CO744" s="115"/>
      <c r="CP744" s="115"/>
    </row>
    <row r="745" ht="15.75" customHeight="1">
      <c r="A745" s="442" t="s">
        <v>3705</v>
      </c>
      <c r="B745" s="68"/>
      <c r="C745" s="69" t="s">
        <v>123</v>
      </c>
      <c r="D745" s="184" t="s">
        <v>3706</v>
      </c>
      <c r="E745" s="184" t="s">
        <v>3707</v>
      </c>
      <c r="F745" s="185" t="s">
        <v>3708</v>
      </c>
      <c r="G745" s="186" t="s">
        <v>3709</v>
      </c>
      <c r="H745" s="186" t="s">
        <v>3710</v>
      </c>
      <c r="I745" s="74" t="s">
        <v>3711</v>
      </c>
      <c r="J745" s="155" t="s">
        <v>396</v>
      </c>
      <c r="K745" s="74">
        <v>3.0</v>
      </c>
      <c r="L745" s="26">
        <v>2014.0</v>
      </c>
      <c r="M745" s="25">
        <f t="shared" ref="M745:M747" si="576">year(now()) -L745</f>
        <v>11</v>
      </c>
      <c r="N745" s="26">
        <f t="shared" ref="N745:N747" si="577">counta(AE745,AG745,AI745,AK745,AM745,AO745,AQ745,AS745,AU745,AW745,AY745,BA745,BC745)</f>
        <v>2</v>
      </c>
      <c r="O745" s="27" t="str">
        <f t="shared" si="3"/>
        <v>#N/A</v>
      </c>
      <c r="P745" s="28"/>
      <c r="Q745" s="28"/>
      <c r="R745" s="28"/>
      <c r="S745" s="28"/>
      <c r="T745" s="29">
        <f t="shared" ref="T745:T747" si="578">V745/M745</f>
        <v>707000</v>
      </c>
      <c r="U745" s="28"/>
      <c r="V745" s="30">
        <f t="shared" si="425"/>
        <v>7777000</v>
      </c>
      <c r="W745" s="30"/>
      <c r="X745" s="32"/>
      <c r="Y745" s="33">
        <f t="shared" ref="Y745:Y747" si="579">(max(AE745,AG745,AI745,AK745,AM745,AO745,AQ745,AS745,AU745,AW745,AY745,BA745,BC745)/min(AE745,AG745,AI745,AK745))^(1/M745)-1</f>
        <v>0.2212056927</v>
      </c>
      <c r="Z745" s="692"/>
      <c r="AA745" s="665"/>
      <c r="AB745" s="74"/>
      <c r="AC745" s="74"/>
      <c r="AD745" s="279"/>
      <c r="AE745" s="76"/>
      <c r="AF745" s="175" t="str">
        <f>HYPERLINK("https://www.crunchbase.com/organization/pointivo#section-funding-rounds"," Jul 15, 2015")</f>
        <v> Jul 15, 2015</v>
      </c>
      <c r="AG745" s="76">
        <v>777000.0</v>
      </c>
      <c r="AH745" s="434"/>
      <c r="AI745" s="435"/>
      <c r="AJ745" s="426" t="str">
        <f>HYPERLINK("https://www.crunchbase.com/funding_round/pointivo-series-a--5e0d0889","Feb 19, 2019")</f>
        <v>Feb 19, 2019</v>
      </c>
      <c r="AK745" s="76">
        <v>7000000.0</v>
      </c>
      <c r="AL745" s="79"/>
      <c r="AM745" s="84"/>
      <c r="AN745" s="79"/>
      <c r="AO745" s="84"/>
      <c r="AP745" s="79"/>
      <c r="AQ745" s="84"/>
      <c r="AR745" s="79"/>
      <c r="AS745" s="79"/>
      <c r="AT745" s="79"/>
      <c r="AU745" s="80"/>
      <c r="AV745" s="79"/>
      <c r="AW745" s="38"/>
      <c r="AX745" s="79"/>
      <c r="AY745" s="38"/>
      <c r="AZ745" s="79"/>
      <c r="BA745" s="80"/>
      <c r="BB745" s="79"/>
      <c r="BC745" s="80"/>
      <c r="BD745" s="79"/>
      <c r="BE745" s="38"/>
      <c r="BF745" s="74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</row>
    <row r="746" ht="15.75" customHeight="1">
      <c r="A746" s="21" t="s">
        <v>3712</v>
      </c>
      <c r="B746" s="16"/>
      <c r="C746" s="17" t="s">
        <v>132</v>
      </c>
      <c r="D746" s="192" t="s">
        <v>3713</v>
      </c>
      <c r="E746" s="192" t="s">
        <v>3714</v>
      </c>
      <c r="F746" s="118" t="s">
        <v>3715</v>
      </c>
      <c r="G746" s="810" t="s">
        <v>3716</v>
      </c>
      <c r="H746" s="810" t="s">
        <v>3717</v>
      </c>
      <c r="I746" s="810" t="s">
        <v>3717</v>
      </c>
      <c r="J746" s="24"/>
      <c r="K746" s="23"/>
      <c r="L746" s="23">
        <v>2016.0</v>
      </c>
      <c r="M746" s="25">
        <f t="shared" si="576"/>
        <v>9</v>
      </c>
      <c r="N746" s="26">
        <f t="shared" si="577"/>
        <v>1</v>
      </c>
      <c r="O746" s="27" t="str">
        <f t="shared" si="3"/>
        <v>#N/A</v>
      </c>
      <c r="P746" s="28"/>
      <c r="Q746" s="28"/>
      <c r="R746" s="28"/>
      <c r="S746" s="28"/>
      <c r="T746" s="29">
        <f t="shared" si="578"/>
        <v>833333.3333</v>
      </c>
      <c r="U746" s="28"/>
      <c r="V746" s="30">
        <f t="shared" si="425"/>
        <v>7500000</v>
      </c>
      <c r="W746" s="30"/>
      <c r="X746" s="33"/>
      <c r="Y746" s="33">
        <f t="shared" si="579"/>
        <v>0</v>
      </c>
      <c r="Z746" s="692"/>
      <c r="AA746" s="665"/>
      <c r="AB746" s="36"/>
      <c r="AC746" s="36"/>
      <c r="AD746" s="37"/>
      <c r="AE746" s="38"/>
      <c r="AF746" s="320">
        <v>43990.0</v>
      </c>
      <c r="AG746" s="38">
        <v>7500000.0</v>
      </c>
      <c r="AH746" s="36"/>
      <c r="AI746" s="46"/>
      <c r="AJ746" s="37"/>
      <c r="AK746" s="38"/>
      <c r="AL746" s="37"/>
      <c r="AM746" s="38"/>
      <c r="AN746" s="44"/>
      <c r="AO746" s="46"/>
      <c r="AP746" s="44"/>
      <c r="AQ746" s="46"/>
      <c r="AR746" s="1357"/>
      <c r="AS746" s="44"/>
      <c r="AT746" s="44"/>
      <c r="AU746" s="45"/>
      <c r="AV746" s="44"/>
      <c r="AW746" s="38"/>
      <c r="AX746" s="44"/>
      <c r="AY746" s="38"/>
      <c r="AZ746" s="44"/>
      <c r="BA746" s="45"/>
      <c r="BB746" s="44"/>
      <c r="BC746" s="45"/>
      <c r="BD746" s="44"/>
      <c r="BE746" s="38"/>
      <c r="BF746" s="3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</row>
    <row r="747" ht="15.75" customHeight="1">
      <c r="A747" s="21" t="s">
        <v>3718</v>
      </c>
      <c r="B747" s="16"/>
      <c r="C747" s="17" t="s">
        <v>132</v>
      </c>
      <c r="D747" s="138" t="s">
        <v>3719</v>
      </c>
      <c r="E747" s="138" t="s">
        <v>3720</v>
      </c>
      <c r="F747" s="173" t="s">
        <v>3721</v>
      </c>
      <c r="G747" s="22" t="s">
        <v>3722</v>
      </c>
      <c r="H747" s="22" t="s">
        <v>3723</v>
      </c>
      <c r="I747" s="23" t="s">
        <v>3724</v>
      </c>
      <c r="J747" s="24" t="s">
        <v>3725</v>
      </c>
      <c r="K747" s="23">
        <v>3.0</v>
      </c>
      <c r="L747" s="23">
        <v>2012.0</v>
      </c>
      <c r="M747" s="25">
        <f t="shared" si="576"/>
        <v>13</v>
      </c>
      <c r="N747" s="26">
        <f t="shared" si="577"/>
        <v>3</v>
      </c>
      <c r="O747" s="27" t="str">
        <f t="shared" si="3"/>
        <v>#N/A</v>
      </c>
      <c r="P747" s="28"/>
      <c r="Q747" s="28"/>
      <c r="R747" s="28"/>
      <c r="S747" s="28"/>
      <c r="T747" s="29">
        <f t="shared" si="578"/>
        <v>576923.0769</v>
      </c>
      <c r="U747" s="28"/>
      <c r="V747" s="30">
        <f t="shared" si="425"/>
        <v>7500000</v>
      </c>
      <c r="W747" s="30"/>
      <c r="X747" s="33"/>
      <c r="Y747" s="33">
        <f t="shared" si="579"/>
        <v>0.1937766417</v>
      </c>
      <c r="Z747" s="692"/>
      <c r="AA747" s="665"/>
      <c r="AB747" s="36"/>
      <c r="AC747" s="36"/>
      <c r="AD747" s="228" t="str">
        <f>HYPERLINK("https://www.crunchbase.com/funding_round/apsiyon-pre-seed--8b22cf3f"," Jul 15, 2012")</f>
        <v> Jul 15, 2012</v>
      </c>
      <c r="AE747" s="38">
        <v>500000.0</v>
      </c>
      <c r="AF747" s="918" t="str">
        <f>HYPERLINK("https://www.crunchbase.com/funding_round/apsiyon-seed--cd4e1acf"," Dec 30, 2017")</f>
        <v> Dec 30, 2017</v>
      </c>
      <c r="AG747" s="38">
        <v>2000000.0</v>
      </c>
      <c r="AH747" s="40"/>
      <c r="AI747" s="41"/>
      <c r="AJ747" s="228" t="str">
        <f>HYPERLINK("https://www.crunchbase.com/funding_round/apsiyon-series-a--370b7498"," Mar 13, 2020")</f>
        <v> Mar 13, 2020</v>
      </c>
      <c r="AK747" s="38">
        <v>5000000.0</v>
      </c>
      <c r="AL747" s="44"/>
      <c r="AM747" s="46"/>
      <c r="AN747" s="44"/>
      <c r="AO747" s="46"/>
      <c r="AP747" s="44"/>
      <c r="AQ747" s="46"/>
      <c r="AR747" s="44"/>
      <c r="AS747" s="44"/>
      <c r="AT747" s="44"/>
      <c r="AU747" s="45"/>
      <c r="AV747" s="44"/>
      <c r="AW747" s="38"/>
      <c r="AX747" s="44"/>
      <c r="AY747" s="38"/>
      <c r="AZ747" s="44"/>
      <c r="BA747" s="45"/>
      <c r="BB747" s="44"/>
      <c r="BC747" s="45"/>
      <c r="BD747" s="44"/>
      <c r="BE747" s="38"/>
      <c r="BF747" s="3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</row>
    <row r="748" ht="15.75" customHeight="1">
      <c r="A748" s="1358" t="s">
        <v>3726</v>
      </c>
      <c r="B748" s="115"/>
      <c r="C748" s="116" t="s">
        <v>84</v>
      </c>
      <c r="D748" s="401" t="s">
        <v>3727</v>
      </c>
      <c r="E748" s="401" t="s">
        <v>3728</v>
      </c>
      <c r="F748" s="402" t="s">
        <v>3729</v>
      </c>
      <c r="G748" s="119" t="s">
        <v>3730</v>
      </c>
      <c r="H748" s="119" t="s">
        <v>328</v>
      </c>
      <c r="I748" s="25" t="s">
        <v>2742</v>
      </c>
      <c r="J748" s="120" t="s">
        <v>3731</v>
      </c>
      <c r="K748" s="25">
        <v>2.0</v>
      </c>
      <c r="L748" s="25">
        <v>2016.0</v>
      </c>
      <c r="M748" s="123"/>
      <c r="N748" s="123"/>
      <c r="O748" s="27" t="str">
        <f t="shared" si="3"/>
        <v>#N/A</v>
      </c>
      <c r="P748" s="55"/>
      <c r="Q748" s="55"/>
      <c r="R748" s="55"/>
      <c r="S748" s="55"/>
      <c r="T748" s="55"/>
      <c r="U748" s="55"/>
      <c r="V748" s="30">
        <f t="shared" si="425"/>
        <v>7500000</v>
      </c>
      <c r="W748" s="31">
        <v>1000000.0</v>
      </c>
      <c r="X748" s="403"/>
      <c r="Y748" s="403"/>
      <c r="Z748" s="692"/>
      <c r="AA748" s="665"/>
      <c r="AB748" s="123"/>
      <c r="AC748" s="123"/>
      <c r="AD748" s="452"/>
      <c r="AE748" s="125"/>
      <c r="AF748" s="404">
        <v>42635.0</v>
      </c>
      <c r="AG748" s="127">
        <v>1700000.0</v>
      </c>
      <c r="AH748" s="404">
        <v>43313.0</v>
      </c>
      <c r="AI748" s="128"/>
      <c r="AJ748" s="404">
        <v>43739.0</v>
      </c>
      <c r="AK748" s="127">
        <v>5800000.0</v>
      </c>
      <c r="AL748" s="123"/>
      <c r="AM748" s="123"/>
      <c r="AN748" s="123"/>
      <c r="AO748" s="123"/>
      <c r="AP748" s="881"/>
      <c r="AQ748" s="123"/>
      <c r="AR748" s="123"/>
      <c r="AS748" s="123"/>
      <c r="AT748" s="123"/>
      <c r="AU748" s="137"/>
      <c r="AV748" s="123"/>
      <c r="AW748" s="38"/>
      <c r="AX748" s="123"/>
      <c r="AY748" s="38"/>
      <c r="AZ748" s="123"/>
      <c r="BA748" s="137"/>
      <c r="BB748" s="123"/>
      <c r="BC748" s="137"/>
      <c r="BD748" s="123"/>
      <c r="BE748" s="38"/>
      <c r="BF748" s="123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</row>
    <row r="749" ht="15.75" customHeight="1">
      <c r="A749" s="400" t="s">
        <v>3732</v>
      </c>
      <c r="B749" s="115"/>
      <c r="C749" s="116" t="s">
        <v>84</v>
      </c>
      <c r="D749" s="449"/>
      <c r="E749" s="161" t="s">
        <v>3733</v>
      </c>
      <c r="F749" s="402" t="s">
        <v>3734</v>
      </c>
      <c r="G749" s="286"/>
      <c r="H749" s="119" t="s">
        <v>2169</v>
      </c>
      <c r="I749" s="25" t="s">
        <v>2171</v>
      </c>
      <c r="J749" s="287"/>
      <c r="K749" s="25">
        <v>3.0</v>
      </c>
      <c r="L749" s="25">
        <v>2017.0</v>
      </c>
      <c r="M749" s="123"/>
      <c r="N749" s="123"/>
      <c r="O749" s="27" t="str">
        <f t="shared" si="3"/>
        <v>#N/A</v>
      </c>
      <c r="P749" s="55"/>
      <c r="Q749" s="55"/>
      <c r="R749" s="55"/>
      <c r="S749" s="55"/>
      <c r="T749" s="55"/>
      <c r="U749" s="55"/>
      <c r="V749" s="30">
        <f t="shared" si="425"/>
        <v>7500000</v>
      </c>
      <c r="W749" s="30"/>
      <c r="X749" s="403"/>
      <c r="Y749" s="403"/>
      <c r="Z749" s="692"/>
      <c r="AA749" s="665"/>
      <c r="AB749" s="123"/>
      <c r="AC749" s="123"/>
      <c r="AD749" s="452"/>
      <c r="AE749" s="123"/>
      <c r="AF749" s="880">
        <v>44876.0</v>
      </c>
      <c r="AG749" s="335">
        <v>7500000.0</v>
      </c>
      <c r="AH749" s="123"/>
      <c r="AI749" s="123"/>
      <c r="AJ749" s="123"/>
      <c r="AK749" s="123"/>
      <c r="AL749" s="123"/>
      <c r="AM749" s="123"/>
      <c r="AN749" s="123"/>
      <c r="AO749" s="123"/>
      <c r="AP749" s="123"/>
      <c r="AQ749" s="123"/>
      <c r="AR749" s="123"/>
      <c r="AS749" s="123"/>
      <c r="AT749" s="123"/>
      <c r="AU749" s="137"/>
      <c r="AV749" s="123"/>
      <c r="AW749" s="38"/>
      <c r="AX749" s="123"/>
      <c r="AY749" s="38"/>
      <c r="AZ749" s="123"/>
      <c r="BA749" s="137"/>
      <c r="BB749" s="123"/>
      <c r="BC749" s="137"/>
      <c r="BD749" s="123"/>
      <c r="BE749" s="38"/>
      <c r="BF749" s="123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</row>
    <row r="750" ht="15.75" customHeight="1">
      <c r="A750" s="400" t="s">
        <v>3735</v>
      </c>
      <c r="B750" s="115"/>
      <c r="C750" s="116" t="s">
        <v>132</v>
      </c>
      <c r="D750" s="449"/>
      <c r="E750" s="401" t="s">
        <v>3736</v>
      </c>
      <c r="F750" s="402" t="s">
        <v>3737</v>
      </c>
      <c r="G750" s="119" t="s">
        <v>3738</v>
      </c>
      <c r="H750" s="119" t="s">
        <v>601</v>
      </c>
      <c r="I750" s="25" t="s">
        <v>128</v>
      </c>
      <c r="J750" s="120" t="s">
        <v>3739</v>
      </c>
      <c r="K750" s="25">
        <v>3.0</v>
      </c>
      <c r="L750" s="25">
        <v>2015.0</v>
      </c>
      <c r="M750" s="123"/>
      <c r="N750" s="123"/>
      <c r="O750" s="27" t="str">
        <f t="shared" si="3"/>
        <v>#N/A</v>
      </c>
      <c r="P750" s="55"/>
      <c r="Q750" s="55"/>
      <c r="R750" s="55"/>
      <c r="S750" s="55"/>
      <c r="T750" s="55"/>
      <c r="U750" s="55"/>
      <c r="V750" s="30">
        <f t="shared" si="425"/>
        <v>7300000</v>
      </c>
      <c r="W750" s="31">
        <v>1700000.0</v>
      </c>
      <c r="X750" s="403"/>
      <c r="Y750" s="403"/>
      <c r="Z750" s="692"/>
      <c r="AA750" s="665"/>
      <c r="AB750" s="123"/>
      <c r="AC750" s="123"/>
      <c r="AD750" s="404">
        <v>42549.0</v>
      </c>
      <c r="AE750" s="127">
        <v>1200000.0</v>
      </c>
      <c r="AF750" s="404">
        <v>43278.0</v>
      </c>
      <c r="AG750" s="127">
        <v>2200000.0</v>
      </c>
      <c r="AH750" s="123"/>
      <c r="AI750" s="128"/>
      <c r="AJ750" s="123"/>
      <c r="AK750" s="123"/>
      <c r="AL750" s="123"/>
      <c r="AM750" s="123"/>
      <c r="AN750" s="123"/>
      <c r="AO750" s="123"/>
      <c r="AP750" s="881"/>
      <c r="AQ750" s="123"/>
      <c r="AR750" s="123"/>
      <c r="AS750" s="123"/>
      <c r="AT750" s="123"/>
      <c r="AU750" s="137"/>
      <c r="AV750" s="123"/>
      <c r="AW750" s="38"/>
      <c r="AX750" s="123"/>
      <c r="AY750" s="38"/>
      <c r="AZ750" s="404">
        <v>43282.0</v>
      </c>
      <c r="BA750" s="170">
        <v>3900000.0</v>
      </c>
      <c r="BB750" s="123"/>
      <c r="BC750" s="137"/>
      <c r="BD750" s="123"/>
      <c r="BE750" s="38"/>
      <c r="BF750" s="123"/>
      <c r="BG750" s="534"/>
      <c r="BH750" s="534"/>
      <c r="BI750" s="534"/>
      <c r="BJ750" s="534"/>
      <c r="BK750" s="534"/>
      <c r="BL750" s="534"/>
      <c r="BM750" s="534"/>
      <c r="BN750" s="534"/>
      <c r="BO750" s="534"/>
      <c r="BP750" s="534"/>
      <c r="BQ750" s="534"/>
      <c r="BR750" s="534"/>
      <c r="BS750" s="534"/>
      <c r="BT750" s="534"/>
      <c r="BU750" s="534"/>
      <c r="BV750" s="534"/>
      <c r="BW750" s="534"/>
      <c r="BX750" s="534"/>
      <c r="BY750" s="534"/>
      <c r="BZ750" s="534"/>
      <c r="CA750" s="534"/>
      <c r="CB750" s="534"/>
      <c r="CC750" s="534"/>
      <c r="CD750" s="534"/>
      <c r="CE750" s="534"/>
      <c r="CF750" s="534"/>
      <c r="CG750" s="534"/>
      <c r="CH750" s="534"/>
      <c r="CI750" s="534"/>
      <c r="CJ750" s="534"/>
      <c r="CK750" s="534"/>
      <c r="CL750" s="534"/>
      <c r="CM750" s="534"/>
      <c r="CN750" s="534"/>
      <c r="CO750" s="534"/>
      <c r="CP750" s="534"/>
    </row>
    <row r="751" ht="15.75" customHeight="1">
      <c r="A751" s="21" t="s">
        <v>3740</v>
      </c>
      <c r="B751" s="16"/>
      <c r="C751" s="17" t="s">
        <v>68</v>
      </c>
      <c r="D751" s="337"/>
      <c r="E751" s="231" t="s">
        <v>3741</v>
      </c>
      <c r="F751" s="231" t="s">
        <v>3742</v>
      </c>
      <c r="G751" s="317"/>
      <c r="H751" s="317" t="s">
        <v>128</v>
      </c>
      <c r="I751" s="36" t="s">
        <v>156</v>
      </c>
      <c r="J751" s="237"/>
      <c r="K751" s="36"/>
      <c r="L751" s="23">
        <v>2021.0</v>
      </c>
      <c r="M751" s="326"/>
      <c r="N751" s="36"/>
      <c r="O751" s="27" t="str">
        <f t="shared" si="3"/>
        <v>#N/A</v>
      </c>
      <c r="P751" s="464"/>
      <c r="Q751" s="464"/>
      <c r="R751" s="464"/>
      <c r="S751" s="464"/>
      <c r="T751" s="464"/>
      <c r="U751" s="464"/>
      <c r="V751" s="30">
        <f t="shared" si="425"/>
        <v>7250000</v>
      </c>
      <c r="W751" s="30"/>
      <c r="X751" s="847"/>
      <c r="Y751" s="847"/>
      <c r="Z751" s="692"/>
      <c r="AA751" s="665"/>
      <c r="AB751" s="36"/>
      <c r="AC751" s="36"/>
      <c r="AD751" s="391">
        <v>44409.0</v>
      </c>
      <c r="AE751" s="46">
        <f>750000</f>
        <v>750000</v>
      </c>
      <c r="AF751" s="1267">
        <v>44749.0</v>
      </c>
      <c r="AG751" s="46">
        <f>6500000</f>
        <v>6500000</v>
      </c>
      <c r="AH751" s="36"/>
      <c r="AI751" s="46"/>
      <c r="AJ751" s="44"/>
      <c r="AK751" s="38"/>
      <c r="AL751" s="44"/>
      <c r="AM751" s="46"/>
      <c r="AN751" s="44"/>
      <c r="AO751" s="46"/>
      <c r="AP751" s="44"/>
      <c r="AQ751" s="46"/>
      <c r="AR751" s="44"/>
      <c r="AS751" s="44"/>
      <c r="AT751" s="44"/>
      <c r="AU751" s="45"/>
      <c r="AV751" s="44"/>
      <c r="AW751" s="38"/>
      <c r="AX751" s="44"/>
      <c r="AY751" s="38"/>
      <c r="AZ751" s="44"/>
      <c r="BA751" s="45"/>
      <c r="BB751" s="44"/>
      <c r="BC751" s="45"/>
      <c r="BD751" s="44"/>
      <c r="BE751" s="38"/>
      <c r="BF751" s="36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</row>
    <row r="752" ht="15.75" customHeight="1">
      <c r="A752" s="47" t="s">
        <v>3743</v>
      </c>
      <c r="B752" s="534"/>
      <c r="C752" s="849" t="s">
        <v>84</v>
      </c>
      <c r="D752" s="192" t="s">
        <v>3744</v>
      </c>
      <c r="E752" s="192" t="s">
        <v>3745</v>
      </c>
      <c r="F752" s="118" t="s">
        <v>3746</v>
      </c>
      <c r="G752" s="850" t="s">
        <v>3747</v>
      </c>
      <c r="H752" s="850" t="s">
        <v>357</v>
      </c>
      <c r="I752" s="222" t="s">
        <v>358</v>
      </c>
      <c r="J752" s="953" t="s">
        <v>851</v>
      </c>
      <c r="K752" s="222">
        <v>3.0</v>
      </c>
      <c r="L752" s="222">
        <v>2019.0</v>
      </c>
      <c r="M752" s="25">
        <f t="shared" ref="M752:M754" si="580">year(now()) -L752</f>
        <v>6</v>
      </c>
      <c r="N752" s="26">
        <f t="shared" ref="N752:N754" si="581">counta(AE752,AG752,AI752,AK752,AM752,AO752,AQ752,AS752,AU752,AW752,AY752,BA752,BC752)</f>
        <v>1</v>
      </c>
      <c r="O752" s="27" t="str">
        <f t="shared" si="3"/>
        <v>#N/A</v>
      </c>
      <c r="P752" s="28"/>
      <c r="Q752" s="28"/>
      <c r="R752" s="28"/>
      <c r="S752" s="28"/>
      <c r="T752" s="29">
        <f t="shared" ref="T752:T754" si="582">V752/M752</f>
        <v>1200000</v>
      </c>
      <c r="U752" s="28"/>
      <c r="V752" s="30">
        <f t="shared" si="425"/>
        <v>7200000</v>
      </c>
      <c r="W752" s="30"/>
      <c r="X752" s="852"/>
      <c r="Y752" s="33">
        <f t="shared" ref="Y752:Y754" si="583">(max(AE752,AG752,AI752,AK752,AM752,AO752,AQ752,AS752,AU752,AW752,AY752,BA752,BC752)/min(AE752,AG752,AI752,AK752))^(1/M752)-1</f>
        <v>0</v>
      </c>
      <c r="Z752" s="692"/>
      <c r="AA752" s="665"/>
      <c r="AB752" s="326"/>
      <c r="AC752" s="326"/>
      <c r="AD752" s="1134"/>
      <c r="AE752" s="325"/>
      <c r="AF752" s="728">
        <v>44796.0</v>
      </c>
      <c r="AG752" s="325">
        <v>7200000.0</v>
      </c>
      <c r="AH752" s="1359"/>
      <c r="AI752" s="325"/>
      <c r="AJ752" s="1134"/>
      <c r="AK752" s="325"/>
      <c r="AL752" s="1134"/>
      <c r="AM752" s="325"/>
      <c r="AN752" s="322"/>
      <c r="AO752" s="323"/>
      <c r="AP752" s="322"/>
      <c r="AQ752" s="323"/>
      <c r="AR752" s="322"/>
      <c r="AS752" s="322"/>
      <c r="AT752" s="322"/>
      <c r="AU752" s="335"/>
      <c r="AV752" s="322"/>
      <c r="AW752" s="38"/>
      <c r="AX752" s="322"/>
      <c r="AY752" s="38"/>
      <c r="AZ752" s="322"/>
      <c r="BA752" s="335"/>
      <c r="BB752" s="322"/>
      <c r="BC752" s="335"/>
      <c r="BD752" s="322"/>
      <c r="BE752" s="38"/>
      <c r="BF752" s="326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</row>
    <row r="753" ht="15.75" customHeight="1">
      <c r="A753" s="21" t="s">
        <v>3748</v>
      </c>
      <c r="B753" s="68"/>
      <c r="C753" s="69" t="s">
        <v>132</v>
      </c>
      <c r="D753" s="380"/>
      <c r="E753" s="270" t="s">
        <v>3749</v>
      </c>
      <c r="F753" s="154" t="s">
        <v>3750</v>
      </c>
      <c r="G753" s="71"/>
      <c r="H753" s="71" t="s">
        <v>1417</v>
      </c>
      <c r="I753" s="26" t="s">
        <v>65</v>
      </c>
      <c r="J753" s="72"/>
      <c r="K753" s="26">
        <v>2.0</v>
      </c>
      <c r="L753" s="26">
        <v>2018.0</v>
      </c>
      <c r="M753" s="25">
        <f t="shared" si="580"/>
        <v>7</v>
      </c>
      <c r="N753" s="26">
        <f t="shared" si="581"/>
        <v>1</v>
      </c>
      <c r="O753" s="27" t="str">
        <f t="shared" si="3"/>
        <v>#N/A</v>
      </c>
      <c r="P753" s="28"/>
      <c r="Q753" s="28"/>
      <c r="R753" s="28"/>
      <c r="S753" s="28"/>
      <c r="T753" s="29">
        <f t="shared" si="582"/>
        <v>1028571.429</v>
      </c>
      <c r="U753" s="28"/>
      <c r="V753" s="30">
        <f t="shared" si="425"/>
        <v>7200000</v>
      </c>
      <c r="W753" s="30"/>
      <c r="X753" s="73"/>
      <c r="Y753" s="33">
        <f t="shared" si="583"/>
        <v>0</v>
      </c>
      <c r="Z753" s="692"/>
      <c r="AA753" s="665"/>
      <c r="AB753" s="74"/>
      <c r="AC753" s="74"/>
      <c r="AD753" s="79"/>
      <c r="AE753" s="84"/>
      <c r="AF753" s="175" t="str">
        <f>HYPERLINK("https://www.crunchbase.com/funding_round/nillify-seed--c2628b6b","Dec 15, 2021")</f>
        <v>Dec 15, 2021</v>
      </c>
      <c r="AG753" s="76">
        <v>7200000.0</v>
      </c>
      <c r="AH753" s="74"/>
      <c r="AI753" s="78"/>
      <c r="AJ753" s="79"/>
      <c r="AK753" s="84"/>
      <c r="AL753" s="79"/>
      <c r="AM753" s="84"/>
      <c r="AN753" s="79"/>
      <c r="AO753" s="84"/>
      <c r="AP753" s="79"/>
      <c r="AQ753" s="84"/>
      <c r="AR753" s="79"/>
      <c r="AS753" s="79"/>
      <c r="AT753" s="79"/>
      <c r="AU753" s="80"/>
      <c r="AV753" s="79"/>
      <c r="AW753" s="38"/>
      <c r="AX753" s="79"/>
      <c r="AY753" s="38"/>
      <c r="AZ753" s="79"/>
      <c r="BA753" s="80"/>
      <c r="BB753" s="79"/>
      <c r="BC753" s="80"/>
      <c r="BD753" s="79"/>
      <c r="BE753" s="38"/>
      <c r="BF753" s="74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</row>
    <row r="754" ht="15.75" customHeight="1">
      <c r="A754" s="21" t="s">
        <v>3751</v>
      </c>
      <c r="B754" s="69"/>
      <c r="C754" s="69" t="s">
        <v>132</v>
      </c>
      <c r="D754" s="192" t="s">
        <v>3752</v>
      </c>
      <c r="E754" s="192" t="s">
        <v>3753</v>
      </c>
      <c r="F754" s="659" t="s">
        <v>3754</v>
      </c>
      <c r="G754" s="71"/>
      <c r="H754" s="71" t="s">
        <v>64</v>
      </c>
      <c r="I754" s="26" t="s">
        <v>65</v>
      </c>
      <c r="J754" s="72"/>
      <c r="K754" s="26">
        <v>2.0</v>
      </c>
      <c r="L754" s="26">
        <v>2020.0</v>
      </c>
      <c r="M754" s="25">
        <f t="shared" si="580"/>
        <v>5</v>
      </c>
      <c r="N754" s="26">
        <f t="shared" si="581"/>
        <v>2</v>
      </c>
      <c r="O754" s="27" t="str">
        <f t="shared" si="3"/>
        <v>#N/A</v>
      </c>
      <c r="P754" s="28"/>
      <c r="Q754" s="28"/>
      <c r="R754" s="28"/>
      <c r="S754" s="28"/>
      <c r="T754" s="29">
        <f t="shared" si="582"/>
        <v>1440000</v>
      </c>
      <c r="U754" s="28"/>
      <c r="V754" s="30">
        <f t="shared" si="425"/>
        <v>7200000</v>
      </c>
      <c r="W754" s="30"/>
      <c r="X754" s="73"/>
      <c r="Y754" s="33">
        <f t="shared" si="583"/>
        <v>0.6804320641</v>
      </c>
      <c r="Z754" s="692"/>
      <c r="AA754" s="665"/>
      <c r="AB754" s="74"/>
      <c r="AC754" s="74"/>
      <c r="AD754" s="181" t="str">
        <f>HYPERLINK("https://www.crunchbase.com/funding_round/astro-pre-seed--f1cfb2c0","Sep 7, 2019")</f>
        <v>Sep 7, 2019</v>
      </c>
      <c r="AE754" s="76">
        <v>500000.0</v>
      </c>
      <c r="AF754" s="175" t="str">
        <f>HYPERLINK("https://www.crunchbase.com/funding_round/astro-seed--c0c05308","Nov 19, 2021")</f>
        <v>Nov 19, 2021</v>
      </c>
      <c r="AG754" s="76">
        <v>6700000.0</v>
      </c>
      <c r="AH754" s="74"/>
      <c r="AI754" s="78"/>
      <c r="AJ754" s="79"/>
      <c r="AK754" s="76"/>
      <c r="AL754" s="279"/>
      <c r="AM754" s="846"/>
      <c r="AN754" s="79"/>
      <c r="AO754" s="76"/>
      <c r="AP754" s="79"/>
      <c r="AQ754" s="84"/>
      <c r="AR754" s="79"/>
      <c r="AS754" s="79"/>
      <c r="AT754" s="79"/>
      <c r="AU754" s="80"/>
      <c r="AV754" s="79"/>
      <c r="AW754" s="38"/>
      <c r="AX754" s="79"/>
      <c r="AY754" s="38"/>
      <c r="AZ754" s="79"/>
      <c r="BA754" s="80"/>
      <c r="BB754" s="79"/>
      <c r="BC754" s="80"/>
      <c r="BD754" s="79"/>
      <c r="BE754" s="38"/>
      <c r="BF754" s="74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</row>
    <row r="755" ht="15.75" customHeight="1">
      <c r="A755" s="747" t="s">
        <v>3755</v>
      </c>
      <c r="B755" s="68"/>
      <c r="C755" s="69" t="s">
        <v>68</v>
      </c>
      <c r="D755" s="48"/>
      <c r="E755" s="192" t="s">
        <v>3756</v>
      </c>
      <c r="F755" s="118" t="s">
        <v>3757</v>
      </c>
      <c r="G755" s="71"/>
      <c r="H755" s="71" t="s">
        <v>752</v>
      </c>
      <c r="I755" s="26" t="s">
        <v>753</v>
      </c>
      <c r="J755" s="72"/>
      <c r="K755" s="26"/>
      <c r="L755" s="26">
        <v>2022.0</v>
      </c>
      <c r="M755" s="25"/>
      <c r="N755" s="26"/>
      <c r="O755" s="27" t="str">
        <f t="shared" si="3"/>
        <v>#N/A</v>
      </c>
      <c r="P755" s="28"/>
      <c r="Q755" s="28"/>
      <c r="R755" s="28"/>
      <c r="S755" s="28"/>
      <c r="T755" s="28"/>
      <c r="U755" s="28"/>
      <c r="V755" s="30">
        <f t="shared" si="425"/>
        <v>7200000</v>
      </c>
      <c r="W755" s="30"/>
      <c r="X755" s="73"/>
      <c r="Y755" s="73"/>
      <c r="Z755" s="692"/>
      <c r="AA755" s="665"/>
      <c r="AB755" s="74"/>
      <c r="AC755" s="74"/>
      <c r="AD755" s="75">
        <v>44699.0</v>
      </c>
      <c r="AE755" s="76">
        <v>1600000.0</v>
      </c>
      <c r="AF755" s="726">
        <v>44831.0</v>
      </c>
      <c r="AG755" s="76">
        <v>5600000.0</v>
      </c>
      <c r="AH755" s="55"/>
      <c r="AI755" s="55"/>
      <c r="AJ755" s="74"/>
      <c r="AK755" s="435"/>
      <c r="AL755" s="79"/>
      <c r="AM755" s="84"/>
      <c r="AN755" s="79"/>
      <c r="AO755" s="84"/>
      <c r="AP755" s="79"/>
      <c r="AQ755" s="84"/>
      <c r="AR755" s="79"/>
      <c r="AS755" s="79"/>
      <c r="AT755" s="79"/>
      <c r="AU755" s="80"/>
      <c r="AV755" s="79"/>
      <c r="AW755" s="38"/>
      <c r="AX755" s="79"/>
      <c r="AY755" s="38"/>
      <c r="AZ755" s="79"/>
      <c r="BA755" s="80"/>
      <c r="BB755" s="79"/>
      <c r="BC755" s="80"/>
      <c r="BD755" s="79"/>
      <c r="BE755" s="38"/>
      <c r="BF755" s="74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</row>
    <row r="756" ht="15.75" customHeight="1">
      <c r="A756" s="47" t="s">
        <v>3758</v>
      </c>
      <c r="C756" s="48" t="s">
        <v>84</v>
      </c>
      <c r="D756" s="351"/>
      <c r="E756" s="49" t="s">
        <v>3759</v>
      </c>
      <c r="F756" s="352" t="s">
        <v>3760</v>
      </c>
      <c r="G756" s="353"/>
      <c r="H756" s="53" t="s">
        <v>3761</v>
      </c>
      <c r="I756" s="54" t="s">
        <v>3762</v>
      </c>
      <c r="J756" s="55"/>
      <c r="K756" s="54">
        <v>1.0</v>
      </c>
      <c r="L756" s="56">
        <v>2017.0</v>
      </c>
      <c r="M756" s="55"/>
      <c r="N756" s="55"/>
      <c r="O756" s="27" t="str">
        <f t="shared" si="3"/>
        <v>#N/A</v>
      </c>
      <c r="P756" s="55"/>
      <c r="Q756" s="55"/>
      <c r="R756" s="55"/>
      <c r="S756" s="55"/>
      <c r="T756" s="55"/>
      <c r="U756" s="55"/>
      <c r="V756" s="30">
        <f t="shared" si="425"/>
        <v>7200000</v>
      </c>
      <c r="W756" s="30"/>
      <c r="X756" s="58"/>
      <c r="Y756" s="58"/>
      <c r="Z756" s="692"/>
      <c r="AA756" s="665"/>
      <c r="AB756" s="55"/>
      <c r="AC756" s="55"/>
      <c r="AD756" s="62">
        <v>43101.0</v>
      </c>
      <c r="AE756" s="38"/>
      <c r="AF756" s="62">
        <v>44650.0</v>
      </c>
      <c r="AG756" s="38">
        <v>2200000.0</v>
      </c>
      <c r="AH756" s="55"/>
      <c r="AI756" s="38"/>
      <c r="AJ756" s="62">
        <v>44983.0</v>
      </c>
      <c r="AK756" s="38">
        <v>5000000.0</v>
      </c>
      <c r="AL756" s="55"/>
      <c r="AM756" s="38"/>
      <c r="AN756" s="55"/>
      <c r="AO756" s="38"/>
      <c r="AP756" s="356"/>
      <c r="AQ756" s="38"/>
      <c r="AR756" s="55"/>
      <c r="AS756" s="38"/>
      <c r="AT756" s="55"/>
      <c r="AU756" s="38"/>
      <c r="AV756" s="55"/>
      <c r="AW756" s="38"/>
      <c r="AX756" s="55"/>
      <c r="AY756" s="38"/>
      <c r="AZ756" s="55"/>
      <c r="BA756" s="38"/>
      <c r="BB756" s="55"/>
      <c r="BC756" s="38"/>
      <c r="BD756" s="55"/>
      <c r="BE756" s="38"/>
      <c r="BF756" s="55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</row>
    <row r="757" ht="15.75" customHeight="1">
      <c r="A757" s="47" t="s">
        <v>3763</v>
      </c>
      <c r="C757" s="48" t="s">
        <v>84</v>
      </c>
      <c r="D757" s="49" t="s">
        <v>3764</v>
      </c>
      <c r="E757" s="617" t="s">
        <v>3765</v>
      </c>
      <c r="F757" s="352" t="s">
        <v>3766</v>
      </c>
      <c r="G757" s="353"/>
      <c r="H757" s="53" t="s">
        <v>3767</v>
      </c>
      <c r="I757" s="54" t="s">
        <v>1547</v>
      </c>
      <c r="J757" s="55"/>
      <c r="K757" s="54">
        <v>3.0</v>
      </c>
      <c r="L757" s="56">
        <v>2016.0</v>
      </c>
      <c r="M757" s="55"/>
      <c r="N757" s="55"/>
      <c r="O757" s="27" t="str">
        <f t="shared" si="3"/>
        <v>#N/A</v>
      </c>
      <c r="P757" s="55"/>
      <c r="Q757" s="55"/>
      <c r="R757" s="55"/>
      <c r="S757" s="55"/>
      <c r="T757" s="55"/>
      <c r="U757" s="55"/>
      <c r="V757" s="30">
        <f t="shared" si="425"/>
        <v>7150000</v>
      </c>
      <c r="W757" s="30"/>
      <c r="X757" s="58"/>
      <c r="Y757" s="58"/>
      <c r="Z757" s="692"/>
      <c r="AA757" s="665"/>
      <c r="AB757" s="55"/>
      <c r="AC757" s="55"/>
      <c r="AD757" s="453"/>
      <c r="AE757" s="55"/>
      <c r="AF757" s="355"/>
      <c r="AG757" s="55"/>
      <c r="AH757" s="55"/>
      <c r="AI757" s="55"/>
      <c r="AJ757" s="62">
        <v>43697.0</v>
      </c>
      <c r="AK757" s="38">
        <v>3500000.0</v>
      </c>
      <c r="AL757" s="55"/>
      <c r="AM757" s="55"/>
      <c r="AN757" s="55"/>
      <c r="AO757" s="55"/>
      <c r="AP757" s="356"/>
      <c r="AQ757" s="38"/>
      <c r="AR757" s="55"/>
      <c r="AS757" s="38"/>
      <c r="AT757" s="55"/>
      <c r="AU757" s="38"/>
      <c r="AV757" s="55"/>
      <c r="AW757" s="38"/>
      <c r="AX757" s="55"/>
      <c r="AY757" s="38"/>
      <c r="AZ757" s="62">
        <v>44956.0</v>
      </c>
      <c r="BA757" s="743">
        <v>3650000.0</v>
      </c>
      <c r="BB757" s="55"/>
      <c r="BC757" s="38"/>
      <c r="BD757" s="55"/>
      <c r="BE757" s="38"/>
      <c r="BF757" s="55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</row>
    <row r="758" ht="15.75" customHeight="1">
      <c r="A758" s="231" t="s">
        <v>3768</v>
      </c>
      <c r="B758" s="69"/>
      <c r="C758" s="69" t="s">
        <v>3769</v>
      </c>
      <c r="D758" s="1323"/>
      <c r="E758" s="200" t="s">
        <v>3770</v>
      </c>
      <c r="F758" s="154" t="s">
        <v>3771</v>
      </c>
      <c r="G758" s="71"/>
      <c r="H758" s="71" t="s">
        <v>128</v>
      </c>
      <c r="I758" s="26" t="s">
        <v>129</v>
      </c>
      <c r="J758" s="72"/>
      <c r="K758" s="26"/>
      <c r="L758" s="26">
        <v>2017.0</v>
      </c>
      <c r="M758" s="25">
        <f t="shared" ref="M758:M761" si="584">year(now()) -L758</f>
        <v>8</v>
      </c>
      <c r="N758" s="26">
        <f t="shared" ref="N758:N761" si="585">counta(AE758,AG758,AI758,AK758,AM758,AO758,AQ758,AS758,AU758,AW758,AY758,BA758,BC758)</f>
        <v>1</v>
      </c>
      <c r="O758" s="27" t="str">
        <f t="shared" si="3"/>
        <v>#N/A</v>
      </c>
      <c r="P758" s="28"/>
      <c r="Q758" s="28"/>
      <c r="R758" s="28"/>
      <c r="S758" s="28"/>
      <c r="T758" s="29">
        <f t="shared" ref="T758:T761" si="586">V758/M758</f>
        <v>875000</v>
      </c>
      <c r="U758" s="28"/>
      <c r="V758" s="30">
        <f t="shared" si="425"/>
        <v>7000000</v>
      </c>
      <c r="W758" s="30"/>
      <c r="X758" s="73"/>
      <c r="Y758" s="33">
        <f t="shared" ref="Y758:Y761" si="587">(max(AE758,AG758,AI758,AK758,AM758,AO758,AQ758,AS758,AU758,AW758,AY758,BA758,BC758)/min(AE758,AG758,AI758,AK758))^(1/M758)-1</f>
        <v>0</v>
      </c>
      <c r="Z758" s="692"/>
      <c r="AA758" s="665"/>
      <c r="AB758" s="74"/>
      <c r="AC758" s="74"/>
      <c r="AD758" s="44"/>
      <c r="AE758" s="46"/>
      <c r="AF758" s="39"/>
      <c r="AG758" s="46"/>
      <c r="AH758" s="36"/>
      <c r="AI758" s="159"/>
      <c r="AJ758" s="43" t="str">
        <f>HYPERLINK("https://www.crunchbase.com/funding_round/get-covered-series-a--f74d7556","Nov 9, 2021")</f>
        <v>Nov 9, 2021</v>
      </c>
      <c r="AK758" s="38">
        <v>7000000.0</v>
      </c>
      <c r="AL758" s="37"/>
      <c r="AM758" s="715"/>
      <c r="AN758" s="44"/>
      <c r="AO758" s="46"/>
      <c r="AP758" s="44"/>
      <c r="AQ758" s="46"/>
      <c r="AR758" s="44"/>
      <c r="AS758" s="44"/>
      <c r="AT758" s="44"/>
      <c r="AU758" s="45"/>
      <c r="AV758" s="44"/>
      <c r="AW758" s="38"/>
      <c r="AX758" s="44"/>
      <c r="AY758" s="38"/>
      <c r="AZ758" s="44"/>
      <c r="BA758" s="45"/>
      <c r="BB758" s="44"/>
      <c r="BC758" s="45"/>
      <c r="BD758" s="44"/>
      <c r="BE758" s="38"/>
      <c r="BF758" s="36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</row>
    <row r="759" ht="15.75" customHeight="1">
      <c r="A759" s="21" t="s">
        <v>3772</v>
      </c>
      <c r="B759" s="68"/>
      <c r="C759" s="69" t="s">
        <v>123</v>
      </c>
      <c r="D759" s="269"/>
      <c r="E759" s="270" t="s">
        <v>3773</v>
      </c>
      <c r="F759" s="841" t="s">
        <v>3774</v>
      </c>
      <c r="G759" s="272" t="s">
        <v>3775</v>
      </c>
      <c r="H759" s="71" t="s">
        <v>3776</v>
      </c>
      <c r="I759" s="26" t="s">
        <v>372</v>
      </c>
      <c r="J759" s="155"/>
      <c r="K759" s="26">
        <v>3.0</v>
      </c>
      <c r="L759" s="142">
        <v>2019.0</v>
      </c>
      <c r="M759" s="25">
        <f t="shared" si="584"/>
        <v>6</v>
      </c>
      <c r="N759" s="26">
        <f t="shared" si="585"/>
        <v>1</v>
      </c>
      <c r="O759" s="27" t="str">
        <f t="shared" si="3"/>
        <v>#N/A</v>
      </c>
      <c r="P759" s="28"/>
      <c r="Q759" s="28"/>
      <c r="R759" s="28"/>
      <c r="S759" s="28"/>
      <c r="T759" s="29">
        <f t="shared" si="586"/>
        <v>1166666.667</v>
      </c>
      <c r="U759" s="28"/>
      <c r="V759" s="30">
        <f t="shared" si="425"/>
        <v>7000000</v>
      </c>
      <c r="W759" s="30"/>
      <c r="X759" s="73"/>
      <c r="Y759" s="33">
        <f t="shared" si="587"/>
        <v>0</v>
      </c>
      <c r="Z759" s="692"/>
      <c r="AA759" s="665"/>
      <c r="AB759" s="74"/>
      <c r="AC759" s="74"/>
      <c r="AD759" s="79"/>
      <c r="AE759" s="84"/>
      <c r="AF759" s="1360" t="str">
        <f>HYPERLINK("https://www.crunchbase.com/funding_round/buildos-seed--1b355c7e","Jan 20, 2021")</f>
        <v>Jan 20, 2021</v>
      </c>
      <c r="AG759" s="76">
        <v>7000000.0</v>
      </c>
      <c r="AH759" s="74"/>
      <c r="AI759" s="78"/>
      <c r="AJ759" s="279"/>
      <c r="AK759" s="76"/>
      <c r="AL759" s="877"/>
      <c r="AM759" s="84"/>
      <c r="AN759" s="79"/>
      <c r="AO759" s="84"/>
      <c r="AP759" s="79"/>
      <c r="AQ759" s="84"/>
      <c r="AR759" s="79"/>
      <c r="AS759" s="79"/>
      <c r="AT759" s="79"/>
      <c r="AU759" s="80"/>
      <c r="AV759" s="79"/>
      <c r="AW759" s="38"/>
      <c r="AX759" s="79"/>
      <c r="AY759" s="38"/>
      <c r="AZ759" s="79"/>
      <c r="BA759" s="80"/>
      <c r="BB759" s="79"/>
      <c r="BC759" s="80"/>
      <c r="BD759" s="79"/>
      <c r="BE759" s="38"/>
      <c r="BF759" s="74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</row>
    <row r="760" ht="15.75" customHeight="1">
      <c r="A760" s="21" t="s">
        <v>3777</v>
      </c>
      <c r="B760" s="68"/>
      <c r="C760" s="69" t="s">
        <v>3778</v>
      </c>
      <c r="D760" s="200" t="s">
        <v>3779</v>
      </c>
      <c r="E760" s="200" t="s">
        <v>3780</v>
      </c>
      <c r="F760" s="841" t="s">
        <v>3781</v>
      </c>
      <c r="G760" s="71" t="s">
        <v>3782</v>
      </c>
      <c r="H760" s="186"/>
      <c r="I760" s="74"/>
      <c r="J760" s="155"/>
      <c r="K760" s="26">
        <v>2.0</v>
      </c>
      <c r="L760" s="142">
        <v>2012.0</v>
      </c>
      <c r="M760" s="25">
        <f t="shared" si="584"/>
        <v>13</v>
      </c>
      <c r="N760" s="26">
        <f t="shared" si="585"/>
        <v>2</v>
      </c>
      <c r="O760" s="27" t="str">
        <f t="shared" si="3"/>
        <v>#N/A</v>
      </c>
      <c r="P760" s="28"/>
      <c r="Q760" s="28"/>
      <c r="R760" s="28"/>
      <c r="S760" s="28"/>
      <c r="T760" s="29">
        <f t="shared" si="586"/>
        <v>538461.5385</v>
      </c>
      <c r="U760" s="28"/>
      <c r="V760" s="30">
        <f t="shared" si="425"/>
        <v>7000000</v>
      </c>
      <c r="W760" s="30"/>
      <c r="X760" s="73"/>
      <c r="Y760" s="33">
        <f t="shared" si="587"/>
        <v>0.06184949756</v>
      </c>
      <c r="Z760" s="692"/>
      <c r="AA760" s="665"/>
      <c r="AB760" s="74"/>
      <c r="AC760" s="74"/>
      <c r="AD760" s="79"/>
      <c r="AE760" s="84"/>
      <c r="AF760" s="175" t="str">
        <f>HYPERLINK("https://www.crunchbase.com/organization/switch-automation#section-funding-rounds"," Nov 1, 2015")</f>
        <v> Nov 1, 2015</v>
      </c>
      <c r="AG760" s="76">
        <v>2200000.0</v>
      </c>
      <c r="AH760" s="74"/>
      <c r="AI760" s="78"/>
      <c r="AJ760" s="426" t="str">
        <f>HYPERLINK("https://www.crunchbase.com/funding_round/switch-automation-series-a--5988166f"," Oct 30, 2019        
")</f>
        <v> Oct 30, 2019        
</v>
      </c>
      <c r="AK760" s="76">
        <v>4800000.0</v>
      </c>
      <c r="AL760" s="26" t="s">
        <v>3783</v>
      </c>
      <c r="AM760" s="84"/>
      <c r="AN760" s="79"/>
      <c r="AO760" s="84"/>
      <c r="AP760" s="79"/>
      <c r="AQ760" s="84"/>
      <c r="AR760" s="79"/>
      <c r="AS760" s="79"/>
      <c r="AT760" s="79"/>
      <c r="AU760" s="80"/>
      <c r="AV760" s="79"/>
      <c r="AW760" s="38"/>
      <c r="AX760" s="79"/>
      <c r="AY760" s="38"/>
      <c r="AZ760" s="79"/>
      <c r="BA760" s="80"/>
      <c r="BB760" s="79"/>
      <c r="BC760" s="80"/>
      <c r="BD760" s="79"/>
      <c r="BE760" s="38"/>
      <c r="BF760" s="74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68"/>
      <c r="CA760" s="68"/>
      <c r="CB760" s="68"/>
      <c r="CC760" s="68"/>
      <c r="CD760" s="68"/>
      <c r="CE760" s="68"/>
      <c r="CF760" s="68"/>
      <c r="CG760" s="68"/>
      <c r="CH760" s="68"/>
      <c r="CI760" s="68"/>
      <c r="CJ760" s="68"/>
      <c r="CK760" s="68"/>
      <c r="CL760" s="68"/>
      <c r="CM760" s="68"/>
      <c r="CN760" s="68"/>
      <c r="CO760" s="68"/>
      <c r="CP760" s="68"/>
    </row>
    <row r="761" ht="15.75" customHeight="1">
      <c r="A761" s="442" t="s">
        <v>3784</v>
      </c>
      <c r="B761" s="68"/>
      <c r="C761" s="69" t="s">
        <v>59</v>
      </c>
      <c r="D761" s="184" t="s">
        <v>3785</v>
      </c>
      <c r="E761" s="184" t="s">
        <v>3786</v>
      </c>
      <c r="F761" s="185" t="s">
        <v>3787</v>
      </c>
      <c r="G761" s="186" t="s">
        <v>3788</v>
      </c>
      <c r="H761" s="186" t="s">
        <v>814</v>
      </c>
      <c r="I761" s="74" t="s">
        <v>1088</v>
      </c>
      <c r="J761" s="155" t="s">
        <v>3789</v>
      </c>
      <c r="K761" s="74">
        <v>1.0</v>
      </c>
      <c r="L761" s="26">
        <v>1997.0</v>
      </c>
      <c r="M761" s="25">
        <f t="shared" si="584"/>
        <v>28</v>
      </c>
      <c r="N761" s="26">
        <f t="shared" si="585"/>
        <v>2</v>
      </c>
      <c r="O761" s="27" t="str">
        <f t="shared" si="3"/>
        <v>#N/A</v>
      </c>
      <c r="P761" s="28"/>
      <c r="Q761" s="28"/>
      <c r="R761" s="28"/>
      <c r="S761" s="28"/>
      <c r="T761" s="29">
        <f t="shared" si="586"/>
        <v>250000</v>
      </c>
      <c r="U761" s="28"/>
      <c r="V761" s="30">
        <f t="shared" si="425"/>
        <v>7000000</v>
      </c>
      <c r="W761" s="30"/>
      <c r="X761" s="32"/>
      <c r="Y761" s="33">
        <f t="shared" si="587"/>
        <v>0.0332660099</v>
      </c>
      <c r="Z761" s="692"/>
      <c r="AA761" s="665"/>
      <c r="AB761" s="74"/>
      <c r="AC761" s="74"/>
      <c r="AD761" s="79"/>
      <c r="AE761" s="84"/>
      <c r="AF761" s="338"/>
      <c r="AG761" s="84"/>
      <c r="AH761" s="74"/>
      <c r="AI761" s="78"/>
      <c r="AJ761" s="426" t="str">
        <f>HYPERLINK("https://www.crunchbase.com/organization/tridium#section-funding-rounds"," Nov 16, 2000")</f>
        <v> Nov 16, 2000</v>
      </c>
      <c r="AK761" s="76">
        <v>2000000.0</v>
      </c>
      <c r="AL761" s="426" t="str">
        <f>HYPERLINK("https://www.crunchbase.com/funding_round/tridium-series-b--30627919","Sep 23, 2002")</f>
        <v>Sep 23, 2002</v>
      </c>
      <c r="AM761" s="76">
        <v>5000000.0</v>
      </c>
      <c r="AN761" s="79"/>
      <c r="AO761" s="84"/>
      <c r="AP761" s="79"/>
      <c r="AQ761" s="84"/>
      <c r="AR761" s="79"/>
      <c r="AS761" s="79"/>
      <c r="AT761" s="79"/>
      <c r="AU761" s="80"/>
      <c r="AV761" s="79"/>
      <c r="AW761" s="38"/>
      <c r="AX761" s="79"/>
      <c r="AY761" s="38"/>
      <c r="AZ761" s="79"/>
      <c r="BA761" s="80"/>
      <c r="BB761" s="79"/>
      <c r="BC761" s="80"/>
      <c r="BD761" s="79"/>
      <c r="BE761" s="38"/>
      <c r="BF761" s="74"/>
      <c r="BG761" s="115"/>
      <c r="BH761" s="115"/>
      <c r="BI761" s="115"/>
      <c r="BJ761" s="115"/>
      <c r="BK761" s="115"/>
      <c r="BL761" s="115"/>
      <c r="BM761" s="115"/>
      <c r="BN761" s="115"/>
      <c r="BO761" s="115"/>
      <c r="BP761" s="115"/>
      <c r="BQ761" s="115"/>
      <c r="BR761" s="115"/>
      <c r="BS761" s="115"/>
      <c r="BT761" s="115"/>
      <c r="BU761" s="115"/>
      <c r="BV761" s="115"/>
      <c r="BW761" s="115"/>
      <c r="BX761" s="115"/>
      <c r="BY761" s="115"/>
      <c r="BZ761" s="115"/>
      <c r="CA761" s="115"/>
      <c r="CB761" s="115"/>
      <c r="CC761" s="115"/>
      <c r="CD761" s="115"/>
      <c r="CE761" s="115"/>
      <c r="CF761" s="115"/>
      <c r="CG761" s="115"/>
      <c r="CH761" s="115"/>
      <c r="CI761" s="115"/>
      <c r="CJ761" s="115"/>
      <c r="CK761" s="115"/>
      <c r="CL761" s="115"/>
      <c r="CM761" s="115"/>
      <c r="CN761" s="115"/>
      <c r="CO761" s="115"/>
      <c r="CP761" s="115"/>
    </row>
    <row r="762" ht="15.75" customHeight="1">
      <c r="A762" s="245" t="s">
        <v>3790</v>
      </c>
      <c r="B762" s="16"/>
      <c r="C762" s="17" t="s">
        <v>267</v>
      </c>
      <c r="D762" s="184"/>
      <c r="E762" s="236" t="s">
        <v>3791</v>
      </c>
      <c r="F762" s="803" t="s">
        <v>3792</v>
      </c>
      <c r="G762" s="317"/>
      <c r="H762" s="1361" t="s">
        <v>3793</v>
      </c>
      <c r="I762" s="23" t="s">
        <v>666</v>
      </c>
      <c r="J762" s="237"/>
      <c r="K762" s="23"/>
      <c r="L762" s="23">
        <v>2018.0</v>
      </c>
      <c r="M762" s="222"/>
      <c r="N762" s="23"/>
      <c r="O762" s="27" t="str">
        <f t="shared" si="3"/>
        <v>#N/A</v>
      </c>
      <c r="P762" s="28"/>
      <c r="Q762" s="28"/>
      <c r="R762" s="28"/>
      <c r="S762" s="28"/>
      <c r="T762" s="28"/>
      <c r="U762" s="28"/>
      <c r="V762" s="30">
        <f t="shared" si="425"/>
        <v>7000000</v>
      </c>
      <c r="W762" s="30"/>
      <c r="X762" s="33"/>
      <c r="Y762" s="33"/>
      <c r="Z762" s="692"/>
      <c r="AA762" s="665"/>
      <c r="AB762" s="36"/>
      <c r="AC762" s="36"/>
      <c r="AD762" s="44"/>
      <c r="AE762" s="46"/>
      <c r="AF762" s="918" t="str">
        <f>HYPERLINK("https://www.crunchbase.com/funding_round/cofi-836c-seed--55824eb2","Mar 9, 2022")</f>
        <v>Mar 9, 2022</v>
      </c>
      <c r="AG762" s="38">
        <v>7000000.0</v>
      </c>
      <c r="AH762" s="919"/>
      <c r="AI762" s="159"/>
      <c r="AJ762" s="44"/>
      <c r="AK762" s="46"/>
      <c r="AL762" s="37"/>
      <c r="AM762" s="38"/>
      <c r="AN762" s="44"/>
      <c r="AO762" s="46"/>
      <c r="AP762" s="44"/>
      <c r="AQ762" s="46"/>
      <c r="AR762" s="44"/>
      <c r="AS762" s="44"/>
      <c r="AT762" s="44"/>
      <c r="AU762" s="45"/>
      <c r="AV762" s="44"/>
      <c r="AW762" s="38"/>
      <c r="AX762" s="44"/>
      <c r="AY762" s="38"/>
      <c r="AZ762" s="44"/>
      <c r="BA762" s="45"/>
      <c r="BB762" s="44"/>
      <c r="BC762" s="45"/>
      <c r="BD762" s="44"/>
      <c r="BE762" s="38"/>
      <c r="BF762" s="36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</row>
    <row r="763" ht="15.75" customHeight="1">
      <c r="A763" s="21" t="s">
        <v>3794</v>
      </c>
      <c r="B763" s="68"/>
      <c r="C763" s="69" t="s">
        <v>76</v>
      </c>
      <c r="D763" s="200" t="s">
        <v>3795</v>
      </c>
      <c r="E763" s="492" t="s">
        <v>3796</v>
      </c>
      <c r="F763" s="173" t="s">
        <v>3797</v>
      </c>
      <c r="G763" s="71"/>
      <c r="H763" s="71" t="s">
        <v>533</v>
      </c>
      <c r="I763" s="26" t="s">
        <v>65</v>
      </c>
      <c r="J763" s="155"/>
      <c r="K763" s="26">
        <v>1.0</v>
      </c>
      <c r="L763" s="26">
        <v>2018.0</v>
      </c>
      <c r="M763" s="25"/>
      <c r="N763" s="26"/>
      <c r="O763" s="27" t="str">
        <f t="shared" si="3"/>
        <v>#N/A</v>
      </c>
      <c r="P763" s="273"/>
      <c r="Q763" s="273"/>
      <c r="R763" s="273"/>
      <c r="S763" s="273"/>
      <c r="T763" s="273"/>
      <c r="U763" s="273"/>
      <c r="V763" s="30">
        <f t="shared" si="425"/>
        <v>7000000</v>
      </c>
      <c r="W763" s="30"/>
      <c r="X763" s="73"/>
      <c r="Y763" s="73"/>
      <c r="Z763" s="692"/>
      <c r="AA763" s="665"/>
      <c r="AB763" s="74"/>
      <c r="AC763" s="74"/>
      <c r="AD763" s="44"/>
      <c r="AE763" s="46"/>
      <c r="AF763" s="158" t="str">
        <f>HYPERLINK("https://www.crunchbase.com/funding_round/endpoint-seed--63159105","Jul 1, 2018")</f>
        <v>Jul 1, 2018</v>
      </c>
      <c r="AG763" s="38">
        <v>7000000.0</v>
      </c>
      <c r="AH763" s="36"/>
      <c r="AI763" s="159"/>
      <c r="AJ763" s="44"/>
      <c r="AK763" s="46"/>
      <c r="AL763" s="44"/>
      <c r="AM763" s="46"/>
      <c r="AN763" s="44"/>
      <c r="AO763" s="46"/>
      <c r="AP763" s="44"/>
      <c r="AQ763" s="46"/>
      <c r="AR763" s="44"/>
      <c r="AS763" s="44"/>
      <c r="AT763" s="44"/>
      <c r="AU763" s="45"/>
      <c r="AV763" s="44"/>
      <c r="AW763" s="38"/>
      <c r="AX763" s="44"/>
      <c r="AY763" s="38"/>
      <c r="AZ763" s="44"/>
      <c r="BA763" s="45"/>
      <c r="BB763" s="44"/>
      <c r="BC763" s="45"/>
      <c r="BD763" s="44"/>
      <c r="BE763" s="38"/>
      <c r="BF763" s="3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</row>
    <row r="764" ht="15.75" customHeight="1">
      <c r="A764" s="1362" t="s">
        <v>3798</v>
      </c>
      <c r="B764" s="115"/>
      <c r="C764" s="116" t="s">
        <v>190</v>
      </c>
      <c r="D764" s="161" t="s">
        <v>3799</v>
      </c>
      <c r="E764" s="161" t="s">
        <v>3800</v>
      </c>
      <c r="F764" s="1363" t="s">
        <v>3801</v>
      </c>
      <c r="G764" s="119"/>
      <c r="H764" s="119" t="s">
        <v>1918</v>
      </c>
      <c r="I764" s="25" t="s">
        <v>1384</v>
      </c>
      <c r="J764" s="178"/>
      <c r="K764" s="25">
        <v>1.0</v>
      </c>
      <c r="L764" s="25">
        <v>2022.0</v>
      </c>
      <c r="M764" s="25"/>
      <c r="N764" s="25"/>
      <c r="O764" s="27" t="str">
        <f t="shared" si="3"/>
        <v>#N/A</v>
      </c>
      <c r="P764" s="55"/>
      <c r="Q764" s="55"/>
      <c r="R764" s="55"/>
      <c r="S764" s="55"/>
      <c r="T764" s="55"/>
      <c r="U764" s="55"/>
      <c r="V764" s="30">
        <f t="shared" si="425"/>
        <v>7000000</v>
      </c>
      <c r="W764" s="30"/>
      <c r="X764" s="597"/>
      <c r="Y764" s="597"/>
      <c r="Z764" s="692"/>
      <c r="AA764" s="665"/>
      <c r="AB764" s="123"/>
      <c r="AC764" s="123"/>
      <c r="AD764" s="855">
        <v>44622.0</v>
      </c>
      <c r="AE764" s="127">
        <v>2000000.0</v>
      </c>
      <c r="AF764" s="854">
        <v>44755.0</v>
      </c>
      <c r="AG764" s="127">
        <v>5000000.0</v>
      </c>
      <c r="AH764" s="123"/>
      <c r="AI764" s="128"/>
      <c r="AJ764" s="169"/>
      <c r="AK764" s="127"/>
      <c r="AL764" s="169"/>
      <c r="AM764" s="127"/>
      <c r="AN764" s="124"/>
      <c r="AO764" s="125"/>
      <c r="AP764" s="124"/>
      <c r="AQ764" s="125"/>
      <c r="AR764" s="124"/>
      <c r="AS764" s="124"/>
      <c r="AT764" s="124"/>
      <c r="AU764" s="137"/>
      <c r="AV764" s="124"/>
      <c r="AW764" s="38"/>
      <c r="AX764" s="124"/>
      <c r="AY764" s="38"/>
      <c r="AZ764" s="124"/>
      <c r="BA764" s="137"/>
      <c r="BB764" s="124"/>
      <c r="BC764" s="137"/>
      <c r="BD764" s="124"/>
      <c r="BE764" s="38"/>
      <c r="BF764" s="123"/>
      <c r="BG764" s="115"/>
      <c r="BH764" s="115"/>
      <c r="BI764" s="115"/>
      <c r="BJ764" s="115"/>
      <c r="BK764" s="115"/>
      <c r="BL764" s="115"/>
      <c r="BM764" s="115"/>
      <c r="BN764" s="115"/>
      <c r="BO764" s="115"/>
      <c r="BP764" s="115"/>
      <c r="BQ764" s="115"/>
      <c r="BR764" s="115"/>
      <c r="BS764" s="115"/>
      <c r="BT764" s="115"/>
      <c r="BU764" s="115"/>
      <c r="BV764" s="115"/>
      <c r="BW764" s="115"/>
      <c r="BX764" s="115"/>
      <c r="BY764" s="115"/>
      <c r="BZ764" s="115"/>
      <c r="CA764" s="115"/>
      <c r="CB764" s="115"/>
      <c r="CC764" s="115"/>
      <c r="CD764" s="115"/>
      <c r="CE764" s="115"/>
      <c r="CF764" s="115"/>
      <c r="CG764" s="115"/>
      <c r="CH764" s="115"/>
      <c r="CI764" s="115"/>
      <c r="CJ764" s="115"/>
      <c r="CK764" s="115"/>
      <c r="CL764" s="115"/>
      <c r="CM764" s="115"/>
      <c r="CN764" s="115"/>
      <c r="CO764" s="115"/>
      <c r="CP764" s="115"/>
    </row>
    <row r="765" ht="15.75" customHeight="1">
      <c r="A765" s="21" t="s">
        <v>3802</v>
      </c>
      <c r="B765" s="68"/>
      <c r="C765" s="69" t="s">
        <v>84</v>
      </c>
      <c r="D765" s="138" t="s">
        <v>3803</v>
      </c>
      <c r="E765" s="138" t="s">
        <v>3804</v>
      </c>
      <c r="F765" s="173" t="s">
        <v>3805</v>
      </c>
      <c r="G765" s="186"/>
      <c r="H765" s="71" t="s">
        <v>3806</v>
      </c>
      <c r="I765" s="26" t="s">
        <v>666</v>
      </c>
      <c r="J765" s="155"/>
      <c r="K765" s="26">
        <v>3.0</v>
      </c>
      <c r="L765" s="26">
        <v>2020.0</v>
      </c>
      <c r="M765" s="25"/>
      <c r="N765" s="26"/>
      <c r="O765" s="27" t="str">
        <f t="shared" si="3"/>
        <v>#N/A</v>
      </c>
      <c r="P765" s="28"/>
      <c r="Q765" s="28"/>
      <c r="R765" s="28"/>
      <c r="S765" s="28"/>
      <c r="T765" s="28"/>
      <c r="U765" s="28"/>
      <c r="V765" s="30">
        <f t="shared" si="425"/>
        <v>7000000</v>
      </c>
      <c r="W765" s="30"/>
      <c r="X765" s="73"/>
      <c r="Y765" s="73"/>
      <c r="Z765" s="692"/>
      <c r="AA765" s="665"/>
      <c r="AB765" s="74"/>
      <c r="AC765" s="74"/>
      <c r="AD765" s="79"/>
      <c r="AE765" s="84"/>
      <c r="AF765" s="338"/>
      <c r="AG765" s="84"/>
      <c r="AH765" s="74"/>
      <c r="AI765" s="78"/>
      <c r="AJ765" s="181" t="str">
        <f>HYPERLINK("https://www.crunchbase.com/funding_round/homepace-series-a--0e94cc74","Apr 27, 2022")</f>
        <v>Apr 27, 2022</v>
      </c>
      <c r="AK765" s="76">
        <v>7000000.0</v>
      </c>
      <c r="AL765" s="79"/>
      <c r="AM765" s="84"/>
      <c r="AN765" s="79"/>
      <c r="AO765" s="84"/>
      <c r="AP765" s="79"/>
      <c r="AQ765" s="84"/>
      <c r="AR765" s="79"/>
      <c r="AS765" s="79"/>
      <c r="AT765" s="79"/>
      <c r="AU765" s="80"/>
      <c r="AV765" s="79"/>
      <c r="AW765" s="38"/>
      <c r="AX765" s="79"/>
      <c r="AY765" s="38"/>
      <c r="AZ765" s="79"/>
      <c r="BA765" s="80"/>
      <c r="BB765" s="79"/>
      <c r="BC765" s="80"/>
      <c r="BD765" s="79"/>
      <c r="BE765" s="38"/>
      <c r="BF765" s="74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68"/>
      <c r="CA765" s="68"/>
      <c r="CB765" s="68"/>
      <c r="CC765" s="68"/>
      <c r="CD765" s="68"/>
      <c r="CE765" s="68"/>
      <c r="CF765" s="68"/>
      <c r="CG765" s="68"/>
      <c r="CH765" s="68"/>
      <c r="CI765" s="68"/>
      <c r="CJ765" s="68"/>
      <c r="CK765" s="68"/>
      <c r="CL765" s="68"/>
      <c r="CM765" s="68"/>
      <c r="CN765" s="68"/>
      <c r="CO765" s="68"/>
      <c r="CP765" s="68"/>
    </row>
    <row r="766" ht="15.75" customHeight="1">
      <c r="A766" s="47" t="s">
        <v>3807</v>
      </c>
      <c r="B766" s="115"/>
      <c r="C766" s="116" t="s">
        <v>190</v>
      </c>
      <c r="D766" s="48"/>
      <c r="E766" s="192" t="s">
        <v>3808</v>
      </c>
      <c r="F766" s="428" t="s">
        <v>3809</v>
      </c>
      <c r="G766" s="604"/>
      <c r="H766" s="119" t="s">
        <v>64</v>
      </c>
      <c r="I766" s="25" t="s">
        <v>65</v>
      </c>
      <c r="J766" s="287"/>
      <c r="K766" s="25">
        <v>2.0</v>
      </c>
      <c r="L766" s="25">
        <v>2019.0</v>
      </c>
      <c r="M766" s="25"/>
      <c r="N766" s="25"/>
      <c r="O766" s="27" t="str">
        <f t="shared" si="3"/>
        <v>#N/A</v>
      </c>
      <c r="P766" s="55"/>
      <c r="Q766" s="55"/>
      <c r="R766" s="55"/>
      <c r="S766" s="55"/>
      <c r="T766" s="55"/>
      <c r="U766" s="55"/>
      <c r="V766" s="30">
        <f t="shared" si="425"/>
        <v>7000000</v>
      </c>
      <c r="W766" s="30"/>
      <c r="X766" s="597"/>
      <c r="Y766" s="597"/>
      <c r="Z766" s="692"/>
      <c r="AA766" s="665"/>
      <c r="AB766" s="123"/>
      <c r="AC766" s="123"/>
      <c r="AD766" s="124"/>
      <c r="AE766" s="127"/>
      <c r="AF766" s="920" t="str">
        <f>HYPERLINK("https://www.crunchbase.com/funding_round/landed-11de-seed--df2c6cdc","Apr 7, 2022")</f>
        <v>Apr 7, 2022</v>
      </c>
      <c r="AG766" s="127">
        <v>7000000.0</v>
      </c>
      <c r="AH766" s="123"/>
      <c r="AI766" s="128"/>
      <c r="AJ766" s="855"/>
      <c r="AK766" s="127"/>
      <c r="AL766" s="855"/>
      <c r="AM766" s="127"/>
      <c r="AN766" s="124"/>
      <c r="AO766" s="125"/>
      <c r="AP766" s="124"/>
      <c r="AQ766" s="125"/>
      <c r="AR766" s="124"/>
      <c r="AS766" s="124"/>
      <c r="AT766" s="124"/>
      <c r="AU766" s="137"/>
      <c r="AV766" s="124"/>
      <c r="AW766" s="38"/>
      <c r="AX766" s="124"/>
      <c r="AY766" s="38"/>
      <c r="AZ766" s="124"/>
      <c r="BA766" s="137"/>
      <c r="BB766" s="124"/>
      <c r="BC766" s="137"/>
      <c r="BD766" s="124"/>
      <c r="BE766" s="38"/>
      <c r="BF766" s="123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</row>
    <row r="767" ht="15.75" customHeight="1">
      <c r="A767" s="47" t="s">
        <v>3810</v>
      </c>
      <c r="C767" s="48" t="s">
        <v>68</v>
      </c>
      <c r="D767" s="351"/>
      <c r="E767" s="49" t="s">
        <v>3811</v>
      </c>
      <c r="F767" s="352" t="s">
        <v>3812</v>
      </c>
      <c r="G767" s="353"/>
      <c r="H767" s="53" t="s">
        <v>1472</v>
      </c>
      <c r="I767" s="54" t="s">
        <v>639</v>
      </c>
      <c r="J767" s="55"/>
      <c r="K767" s="55"/>
      <c r="L767" s="56">
        <v>2022.0</v>
      </c>
      <c r="M767" s="55"/>
      <c r="N767" s="55"/>
      <c r="O767" s="27" t="str">
        <f t="shared" si="3"/>
        <v>#N/A</v>
      </c>
      <c r="P767" s="55"/>
      <c r="Q767" s="55"/>
      <c r="R767" s="55"/>
      <c r="S767" s="55"/>
      <c r="T767" s="55"/>
      <c r="U767" s="55"/>
      <c r="V767" s="30">
        <f t="shared" si="425"/>
        <v>7000000</v>
      </c>
      <c r="W767" s="30"/>
      <c r="X767" s="58"/>
      <c r="Y767" s="58"/>
      <c r="Z767" s="692"/>
      <c r="AA767" s="665"/>
      <c r="AB767" s="55"/>
      <c r="AC767" s="55"/>
      <c r="AD767" s="453"/>
      <c r="AE767" s="38"/>
      <c r="AF767" s="62">
        <v>44958.0</v>
      </c>
      <c r="AG767" s="38">
        <v>7000000.0</v>
      </c>
      <c r="AH767" s="55"/>
      <c r="AI767" s="38"/>
      <c r="AJ767" s="55"/>
      <c r="AK767" s="38"/>
      <c r="AL767" s="55"/>
      <c r="AM767" s="38"/>
      <c r="AN767" s="55"/>
      <c r="AO767" s="38"/>
      <c r="AP767" s="356"/>
      <c r="AQ767" s="38"/>
      <c r="AR767" s="55"/>
      <c r="AS767" s="38"/>
      <c r="AT767" s="55"/>
      <c r="AU767" s="38"/>
      <c r="AV767" s="55"/>
      <c r="AW767" s="38"/>
      <c r="AX767" s="55"/>
      <c r="AY767" s="38"/>
      <c r="AZ767" s="55"/>
      <c r="BA767" s="38"/>
      <c r="BB767" s="55"/>
      <c r="BC767" s="38"/>
      <c r="BD767" s="55"/>
      <c r="BE767" s="38"/>
      <c r="BF767" s="55"/>
      <c r="BG767" s="115"/>
      <c r="BH767" s="115"/>
      <c r="BI767" s="115"/>
      <c r="BJ767" s="115"/>
      <c r="BK767" s="115"/>
      <c r="BL767" s="115"/>
      <c r="BM767" s="115"/>
      <c r="BN767" s="115"/>
      <c r="BO767" s="115"/>
      <c r="BP767" s="115"/>
      <c r="BQ767" s="115"/>
      <c r="BR767" s="115"/>
      <c r="BS767" s="115"/>
      <c r="BT767" s="115"/>
      <c r="BU767" s="115"/>
      <c r="BV767" s="115"/>
      <c r="BW767" s="115"/>
      <c r="BX767" s="115"/>
      <c r="BY767" s="115"/>
      <c r="BZ767" s="115"/>
      <c r="CA767" s="115"/>
      <c r="CB767" s="115"/>
      <c r="CC767" s="115"/>
      <c r="CD767" s="115"/>
      <c r="CE767" s="115"/>
      <c r="CF767" s="115"/>
      <c r="CG767" s="115"/>
      <c r="CH767" s="115"/>
      <c r="CI767" s="115"/>
      <c r="CJ767" s="115"/>
      <c r="CK767" s="115"/>
      <c r="CL767" s="115"/>
      <c r="CM767" s="115"/>
      <c r="CN767" s="115"/>
      <c r="CO767" s="115"/>
      <c r="CP767" s="115"/>
    </row>
    <row r="768" ht="15.75" customHeight="1">
      <c r="A768" s="47" t="s">
        <v>3813</v>
      </c>
      <c r="C768" s="48" t="s">
        <v>84</v>
      </c>
      <c r="D768" s="351"/>
      <c r="E768" s="49" t="s">
        <v>3814</v>
      </c>
      <c r="F768" s="352" t="s">
        <v>3815</v>
      </c>
      <c r="G768" s="353"/>
      <c r="H768" s="53" t="s">
        <v>1104</v>
      </c>
      <c r="I768" s="54" t="s">
        <v>195</v>
      </c>
      <c r="J768" s="55"/>
      <c r="K768" s="55"/>
      <c r="L768" s="56">
        <v>2022.0</v>
      </c>
      <c r="M768" s="55"/>
      <c r="N768" s="55"/>
      <c r="O768" s="27" t="str">
        <f t="shared" si="3"/>
        <v>#N/A</v>
      </c>
      <c r="P768" s="55"/>
      <c r="Q768" s="55"/>
      <c r="R768" s="55"/>
      <c r="S768" s="55"/>
      <c r="T768" s="55"/>
      <c r="U768" s="55"/>
      <c r="V768" s="30">
        <f t="shared" si="425"/>
        <v>6900000</v>
      </c>
      <c r="W768" s="30"/>
      <c r="X768" s="58"/>
      <c r="Y768" s="58"/>
      <c r="Z768" s="692"/>
      <c r="AA768" s="665"/>
      <c r="AB768" s="55"/>
      <c r="AC768" s="55"/>
      <c r="AD768" s="62">
        <v>44732.0</v>
      </c>
      <c r="AE768" s="38">
        <v>2100000.0</v>
      </c>
      <c r="AF768" s="62">
        <v>44914.0</v>
      </c>
      <c r="AG768" s="38">
        <v>4800000.0</v>
      </c>
      <c r="AH768" s="55"/>
      <c r="AI768" s="55"/>
      <c r="AJ768" s="55"/>
      <c r="AK768" s="55"/>
      <c r="AL768" s="55"/>
      <c r="AM768" s="55"/>
      <c r="AN768" s="55"/>
      <c r="AO768" s="55"/>
      <c r="AP768" s="356"/>
      <c r="AQ768" s="356"/>
      <c r="AR768" s="55"/>
      <c r="AS768" s="55"/>
      <c r="AT768" s="55"/>
      <c r="AU768" s="722"/>
      <c r="AV768" s="55"/>
      <c r="AW768" s="38"/>
      <c r="AX768" s="55"/>
      <c r="AY768" s="38"/>
      <c r="AZ768" s="55"/>
      <c r="BA768" s="722"/>
      <c r="BB768" s="55"/>
      <c r="BC768" s="722"/>
      <c r="BD768" s="55"/>
      <c r="BE768" s="38"/>
      <c r="BF768" s="55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</row>
    <row r="769" ht="15.75" customHeight="1">
      <c r="A769" s="860" t="s">
        <v>3816</v>
      </c>
      <c r="B769" s="68"/>
      <c r="C769" s="69" t="s">
        <v>207</v>
      </c>
      <c r="D769" s="192" t="s">
        <v>3817</v>
      </c>
      <c r="E769" s="192" t="s">
        <v>3818</v>
      </c>
      <c r="F769" s="118" t="s">
        <v>3819</v>
      </c>
      <c r="G769" s="71"/>
      <c r="H769" s="71" t="s">
        <v>1984</v>
      </c>
      <c r="I769" s="26" t="s">
        <v>772</v>
      </c>
      <c r="J769" s="155"/>
      <c r="K769" s="26"/>
      <c r="L769" s="26">
        <v>2012.0</v>
      </c>
      <c r="M769" s="25">
        <f t="shared" ref="M769:M770" si="588">year(now()) -L769</f>
        <v>13</v>
      </c>
      <c r="N769" s="26">
        <f t="shared" ref="N769:N770" si="589">counta(AE769,AG769,AI769,AK769,AM769,AO769,AQ769,AS769,AU769,AW769,AY769,BA769,BC769)</f>
        <v>2</v>
      </c>
      <c r="O769" s="27" t="str">
        <f t="shared" si="3"/>
        <v>#N/A</v>
      </c>
      <c r="P769" s="28"/>
      <c r="Q769" s="28"/>
      <c r="R769" s="28"/>
      <c r="S769" s="28"/>
      <c r="T769" s="29">
        <f t="shared" ref="T769:T770" si="590">V769/M769</f>
        <v>523076.9231</v>
      </c>
      <c r="U769" s="28"/>
      <c r="V769" s="30">
        <f t="shared" si="425"/>
        <v>6800000</v>
      </c>
      <c r="W769" s="30"/>
      <c r="X769" s="73"/>
      <c r="Y769" s="33">
        <f t="shared" ref="Y769:Y770" si="591">(max(AE769,AG769,AI769,AK769,AM769,AO769,AQ769,AS769,AU769,AW769,AY769,BA769,BC769)/min(AE769,AG769,AI769,AK769))^(1/M769)-1</f>
        <v>0.009101401665</v>
      </c>
      <c r="Z769" s="692"/>
      <c r="AA769" s="665"/>
      <c r="AB769" s="76"/>
      <c r="AC769" s="74"/>
      <c r="AD769" s="338"/>
      <c r="AE769" s="76"/>
      <c r="AF769" s="1175">
        <v>41176.0</v>
      </c>
      <c r="AG769" s="76">
        <v>3200000.0</v>
      </c>
      <c r="AH769" s="77"/>
      <c r="AI769" s="78"/>
      <c r="AJ769" s="227">
        <v>41739.0</v>
      </c>
      <c r="AK769" s="427">
        <v>3600000.0</v>
      </c>
      <c r="AL769" s="79"/>
      <c r="AM769" s="84"/>
      <c r="AN769" s="79"/>
      <c r="AO769" s="84"/>
      <c r="AP769" s="79"/>
      <c r="AQ769" s="84"/>
      <c r="AR769" s="79"/>
      <c r="AS769" s="79"/>
      <c r="AT769" s="79"/>
      <c r="AU769" s="80"/>
      <c r="AV769" s="79"/>
      <c r="AW769" s="38"/>
      <c r="AX769" s="79"/>
      <c r="AY769" s="38"/>
      <c r="AZ769" s="79"/>
      <c r="BA769" s="80"/>
      <c r="BB769" s="79"/>
      <c r="BC769" s="80"/>
      <c r="BD769" s="79"/>
      <c r="BE769" s="38"/>
      <c r="BF769" s="74"/>
      <c r="BG769" s="115"/>
      <c r="BH769" s="115"/>
      <c r="BI769" s="115"/>
      <c r="BJ769" s="115"/>
      <c r="BK769" s="115"/>
      <c r="BL769" s="115"/>
      <c r="BM769" s="115"/>
      <c r="BN769" s="115"/>
      <c r="BO769" s="115"/>
      <c r="BP769" s="115"/>
      <c r="BQ769" s="115"/>
      <c r="BR769" s="115"/>
      <c r="BS769" s="115"/>
      <c r="BT769" s="115"/>
      <c r="BU769" s="115"/>
      <c r="BV769" s="115"/>
      <c r="BW769" s="115"/>
      <c r="BX769" s="115"/>
      <c r="BY769" s="115"/>
      <c r="BZ769" s="115"/>
      <c r="CA769" s="115"/>
      <c r="CB769" s="115"/>
      <c r="CC769" s="115"/>
      <c r="CD769" s="115"/>
      <c r="CE769" s="115"/>
      <c r="CF769" s="115"/>
      <c r="CG769" s="115"/>
      <c r="CH769" s="115"/>
      <c r="CI769" s="115"/>
      <c r="CJ769" s="115"/>
      <c r="CK769" s="115"/>
      <c r="CL769" s="115"/>
      <c r="CM769" s="115"/>
      <c r="CN769" s="115"/>
      <c r="CO769" s="115"/>
      <c r="CP769" s="115"/>
    </row>
    <row r="770" ht="15.75" customHeight="1">
      <c r="A770" s="47" t="s">
        <v>3820</v>
      </c>
      <c r="B770" s="115"/>
      <c r="C770" s="116" t="s">
        <v>59</v>
      </c>
      <c r="D770" s="48"/>
      <c r="E770" s="388" t="s">
        <v>3821</v>
      </c>
      <c r="F770" s="192" t="s">
        <v>3822</v>
      </c>
      <c r="G770" s="930"/>
      <c r="H770" s="543" t="s">
        <v>771</v>
      </c>
      <c r="I770" s="116" t="s">
        <v>772</v>
      </c>
      <c r="J770" s="287"/>
      <c r="K770" s="25">
        <v>1.0</v>
      </c>
      <c r="L770" s="25">
        <v>2004.0</v>
      </c>
      <c r="M770" s="25">
        <f t="shared" si="588"/>
        <v>21</v>
      </c>
      <c r="N770" s="26">
        <f t="shared" si="589"/>
        <v>2</v>
      </c>
      <c r="O770" s="27" t="str">
        <f t="shared" si="3"/>
        <v>#N/A</v>
      </c>
      <c r="P770" s="28"/>
      <c r="Q770" s="28"/>
      <c r="R770" s="28"/>
      <c r="S770" s="28"/>
      <c r="T770" s="29">
        <f t="shared" si="590"/>
        <v>323809.5238</v>
      </c>
      <c r="U770" s="28"/>
      <c r="V770" s="30">
        <f t="shared" si="425"/>
        <v>6800000</v>
      </c>
      <c r="W770" s="30"/>
      <c r="X770" s="597"/>
      <c r="Y770" s="33">
        <f t="shared" si="591"/>
        <v>0.0873108305</v>
      </c>
      <c r="Z770" s="692"/>
      <c r="AA770" s="665"/>
      <c r="AB770" s="123"/>
      <c r="AC770" s="123"/>
      <c r="AD770" s="124"/>
      <c r="AE770" s="125"/>
      <c r="AF770" s="126" t="str">
        <f>HYPERLINK("https://www.crunchbase.com/funding_round/remotelock-seed--f2f4044b","Nov 15, 2015")</f>
        <v>Nov 15, 2015</v>
      </c>
      <c r="AG770" s="127">
        <v>1000000.0</v>
      </c>
      <c r="AH770" s="123"/>
      <c r="AI770" s="128"/>
      <c r="AJ770" s="455" t="str">
        <f>HYPERLINK("https://www.crunchbase.com/funding_round/remotelock-series-a--11012ed2","May 22, 2018")</f>
        <v>May 22, 2018</v>
      </c>
      <c r="AK770" s="127">
        <v>5800000.0</v>
      </c>
      <c r="AL770" s="124"/>
      <c r="AM770" s="125"/>
      <c r="AN770" s="124"/>
      <c r="AO770" s="125"/>
      <c r="AP770" s="124"/>
      <c r="AQ770" s="125"/>
      <c r="AR770" s="124"/>
      <c r="AS770" s="124"/>
      <c r="AT770" s="124"/>
      <c r="AU770" s="137"/>
      <c r="AV770" s="124"/>
      <c r="AW770" s="38"/>
      <c r="AX770" s="124"/>
      <c r="AY770" s="38"/>
      <c r="AZ770" s="124"/>
      <c r="BA770" s="137"/>
      <c r="BB770" s="124"/>
      <c r="BC770" s="137"/>
      <c r="BD770" s="124"/>
      <c r="BE770" s="38"/>
      <c r="BF770" s="123"/>
      <c r="BG770" s="115"/>
      <c r="BH770" s="115"/>
      <c r="BI770" s="115"/>
      <c r="BJ770" s="115"/>
      <c r="BK770" s="115"/>
      <c r="BL770" s="115"/>
      <c r="BM770" s="115"/>
      <c r="BN770" s="115"/>
      <c r="BO770" s="115"/>
      <c r="BP770" s="115"/>
      <c r="BQ770" s="115"/>
      <c r="BR770" s="115"/>
      <c r="BS770" s="115"/>
      <c r="BT770" s="115"/>
      <c r="BU770" s="115"/>
      <c r="BV770" s="115"/>
      <c r="BW770" s="115"/>
      <c r="BX770" s="115"/>
      <c r="BY770" s="115"/>
      <c r="BZ770" s="115"/>
      <c r="CA770" s="115"/>
      <c r="CB770" s="115"/>
      <c r="CC770" s="115"/>
      <c r="CD770" s="115"/>
      <c r="CE770" s="115"/>
      <c r="CF770" s="115"/>
      <c r="CG770" s="115"/>
      <c r="CH770" s="115"/>
      <c r="CI770" s="115"/>
      <c r="CJ770" s="115"/>
      <c r="CK770" s="115"/>
      <c r="CL770" s="115"/>
      <c r="CM770" s="115"/>
      <c r="CN770" s="115"/>
      <c r="CO770" s="115"/>
      <c r="CP770" s="115"/>
    </row>
    <row r="771" ht="15.75" customHeight="1">
      <c r="A771" s="47" t="s">
        <v>3823</v>
      </c>
      <c r="B771" s="68"/>
      <c r="C771" s="69" t="s">
        <v>513</v>
      </c>
      <c r="D771" s="867"/>
      <c r="E771" s="192" t="s">
        <v>3824</v>
      </c>
      <c r="F771" s="70" t="s">
        <v>3825</v>
      </c>
      <c r="G771" s="71"/>
      <c r="H771" s="71" t="s">
        <v>1546</v>
      </c>
      <c r="I771" s="26" t="s">
        <v>1547</v>
      </c>
      <c r="J771" s="155"/>
      <c r="K771" s="26">
        <v>2.0</v>
      </c>
      <c r="L771" s="26">
        <v>2021.0</v>
      </c>
      <c r="M771" s="25"/>
      <c r="N771" s="26"/>
      <c r="O771" s="27" t="str">
        <f t="shared" si="3"/>
        <v>#N/A</v>
      </c>
      <c r="P771" s="273"/>
      <c r="Q771" s="273"/>
      <c r="R771" s="273"/>
      <c r="S771" s="273"/>
      <c r="T771" s="273"/>
      <c r="U771" s="273"/>
      <c r="V771" s="30">
        <f t="shared" si="425"/>
        <v>6700000</v>
      </c>
      <c r="W771" s="30"/>
      <c r="X771" s="73"/>
      <c r="Y771" s="73"/>
      <c r="Z771" s="692"/>
      <c r="AA771" s="665"/>
      <c r="AB771" s="74"/>
      <c r="AC771" s="74"/>
      <c r="AD771" s="75">
        <v>44608.0</v>
      </c>
      <c r="AE771" s="76">
        <v>1600000.0</v>
      </c>
      <c r="AF771" s="726">
        <v>44839.0</v>
      </c>
      <c r="AG771" s="76">
        <v>5100000.0</v>
      </c>
      <c r="AH771" s="74"/>
      <c r="AI771" s="78"/>
      <c r="AJ771" s="79"/>
      <c r="AK771" s="76"/>
      <c r="AL771" s="279"/>
      <c r="AM771" s="76"/>
      <c r="AN771" s="79"/>
      <c r="AO771" s="84"/>
      <c r="AP771" s="79"/>
      <c r="AQ771" s="84"/>
      <c r="AR771" s="79"/>
      <c r="AS771" s="79"/>
      <c r="AT771" s="79"/>
      <c r="AU771" s="80"/>
      <c r="AV771" s="79"/>
      <c r="AW771" s="38"/>
      <c r="AX771" s="79"/>
      <c r="AY771" s="38"/>
      <c r="AZ771" s="79"/>
      <c r="BA771" s="80"/>
      <c r="BB771" s="79"/>
      <c r="BC771" s="80"/>
      <c r="BD771" s="79"/>
      <c r="BE771" s="38"/>
      <c r="BF771" s="74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</row>
    <row r="772" ht="15.75" customHeight="1">
      <c r="A772" s="47" t="s">
        <v>3826</v>
      </c>
      <c r="B772" s="115"/>
      <c r="C772" s="69" t="s">
        <v>123</v>
      </c>
      <c r="D772" s="449"/>
      <c r="E772" s="192" t="s">
        <v>3827</v>
      </c>
      <c r="F772" s="118" t="s">
        <v>3828</v>
      </c>
      <c r="G772" s="286"/>
      <c r="H772" s="119" t="s">
        <v>1383</v>
      </c>
      <c r="I772" s="25" t="s">
        <v>1384</v>
      </c>
      <c r="J772" s="287"/>
      <c r="K772" s="123"/>
      <c r="L772" s="25">
        <v>2006.0</v>
      </c>
      <c r="M772" s="25">
        <f t="shared" ref="M772:M773" si="592">year(now()) -L772</f>
        <v>19</v>
      </c>
      <c r="N772" s="26">
        <f t="shared" ref="N772:N773" si="593">counta(AE772,AG772,AI772,AK772,AM772,AO772,AQ772,AS772,AU772,AW772,AY772,BA772,BC772)</f>
        <v>2</v>
      </c>
      <c r="O772" s="27" t="str">
        <f t="shared" si="3"/>
        <v>#N/A</v>
      </c>
      <c r="P772" s="28"/>
      <c r="Q772" s="28"/>
      <c r="R772" s="28"/>
      <c r="S772" s="28"/>
      <c r="T772" s="29">
        <f t="shared" ref="T772:T773" si="594">V772/M772</f>
        <v>347368.4211</v>
      </c>
      <c r="U772" s="28"/>
      <c r="V772" s="30">
        <f t="shared" si="425"/>
        <v>6600000</v>
      </c>
      <c r="W772" s="30"/>
      <c r="X772" s="403"/>
      <c r="Y772" s="33">
        <f t="shared" ref="Y772:Y773" si="595">(max(AE772,AG772,AI772,AK772,AM772,AO772,AQ772,AS772,AU772,AW772,AY772,BA772,BC772)/min(AE772,AG772,AI772,AK772))^(1/M772)-1</f>
        <v>0.06180493129</v>
      </c>
      <c r="Z772" s="692"/>
      <c r="AA772" s="665"/>
      <c r="AB772" s="123"/>
      <c r="AC772" s="123"/>
      <c r="AD772" s="169"/>
      <c r="AE772" s="127"/>
      <c r="AF772" s="225">
        <v>42887.0</v>
      </c>
      <c r="AG772" s="127">
        <v>1600000.0</v>
      </c>
      <c r="AH772" s="123"/>
      <c r="AI772" s="128"/>
      <c r="AJ772" s="42">
        <v>44085.0</v>
      </c>
      <c r="AK772" s="127">
        <v>5000000.0</v>
      </c>
      <c r="AL772" s="124"/>
      <c r="AM772" s="125"/>
      <c r="AN772" s="124"/>
      <c r="AO772" s="125"/>
      <c r="AP772" s="124"/>
      <c r="AQ772" s="125"/>
      <c r="AR772" s="124"/>
      <c r="AS772" s="124"/>
      <c r="AT772" s="124"/>
      <c r="AU772" s="137"/>
      <c r="AV772" s="124"/>
      <c r="AW772" s="38"/>
      <c r="AX772" s="124"/>
      <c r="AY772" s="38"/>
      <c r="AZ772" s="124"/>
      <c r="BA772" s="137"/>
      <c r="BB772" s="124"/>
      <c r="BC772" s="137"/>
      <c r="BD772" s="124"/>
      <c r="BE772" s="38"/>
      <c r="BF772" s="123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</row>
    <row r="773" ht="15.75" customHeight="1">
      <c r="A773" s="21" t="s">
        <v>3829</v>
      </c>
      <c r="B773" s="69"/>
      <c r="C773" s="69" t="s">
        <v>84</v>
      </c>
      <c r="D773" s="138" t="s">
        <v>3830</v>
      </c>
      <c r="E773" s="138" t="s">
        <v>3831</v>
      </c>
      <c r="F773" s="173" t="s">
        <v>3832</v>
      </c>
      <c r="G773" s="186"/>
      <c r="H773" s="71" t="s">
        <v>2588</v>
      </c>
      <c r="I773" s="26" t="s">
        <v>129</v>
      </c>
      <c r="J773" s="155"/>
      <c r="K773" s="26">
        <v>3.0</v>
      </c>
      <c r="L773" s="26">
        <v>2020.0</v>
      </c>
      <c r="M773" s="25">
        <f t="shared" si="592"/>
        <v>5</v>
      </c>
      <c r="N773" s="26">
        <f t="shared" si="593"/>
        <v>2</v>
      </c>
      <c r="O773" s="27" t="str">
        <f t="shared" si="3"/>
        <v>#N/A</v>
      </c>
      <c r="P773" s="28"/>
      <c r="Q773" s="28"/>
      <c r="R773" s="28"/>
      <c r="S773" s="28"/>
      <c r="T773" s="29">
        <f t="shared" si="594"/>
        <v>1320000</v>
      </c>
      <c r="U773" s="28"/>
      <c r="V773" s="30">
        <f t="shared" si="425"/>
        <v>6600000</v>
      </c>
      <c r="W773" s="30"/>
      <c r="X773" s="73"/>
      <c r="Y773" s="33">
        <f t="shared" si="595"/>
        <v>0.4113593522</v>
      </c>
      <c r="Z773" s="692"/>
      <c r="AA773" s="665"/>
      <c r="AB773" s="74"/>
      <c r="AC773" s="74"/>
      <c r="AD773" s="181" t="str">
        <f>HYPERLINK("https://www.crunchbase.com/funding_round/humming-homes-pre-seed--17372deb","Jan 1, 2020")</f>
        <v>Jan 1, 2020</v>
      </c>
      <c r="AE773" s="76">
        <v>1000000.0</v>
      </c>
      <c r="AF773" s="175" t="str">
        <f>HYPERLINK("https://www.crunchbase.com/funding_round/humming-homes-seed--e809f1be","Oct 11, 2021")</f>
        <v>Oct 11, 2021</v>
      </c>
      <c r="AG773" s="76">
        <v>5600000.0</v>
      </c>
      <c r="AH773" s="74"/>
      <c r="AI773" s="78"/>
      <c r="AJ773" s="79"/>
      <c r="AK773" s="84"/>
      <c r="AL773" s="79"/>
      <c r="AM773" s="84"/>
      <c r="AN773" s="79"/>
      <c r="AO773" s="84"/>
      <c r="AP773" s="79"/>
      <c r="AQ773" s="84"/>
      <c r="AR773" s="79"/>
      <c r="AS773" s="79"/>
      <c r="AT773" s="79"/>
      <c r="AU773" s="80"/>
      <c r="AV773" s="79"/>
      <c r="AW773" s="38"/>
      <c r="AX773" s="79"/>
      <c r="AY773" s="38"/>
      <c r="AZ773" s="79"/>
      <c r="BA773" s="80"/>
      <c r="BB773" s="79"/>
      <c r="BC773" s="80"/>
      <c r="BD773" s="79"/>
      <c r="BE773" s="38"/>
      <c r="BF773" s="74"/>
      <c r="BG773" s="582"/>
      <c r="BH773" s="582"/>
      <c r="BI773" s="582"/>
      <c r="BJ773" s="582"/>
      <c r="BK773" s="582"/>
      <c r="BL773" s="582"/>
      <c r="BM773" s="582"/>
      <c r="BN773" s="582"/>
      <c r="BO773" s="582"/>
      <c r="BP773" s="582"/>
      <c r="BQ773" s="582"/>
      <c r="BR773" s="582"/>
      <c r="BS773" s="582"/>
      <c r="BT773" s="582"/>
      <c r="BU773" s="582"/>
      <c r="BV773" s="582"/>
      <c r="BW773" s="582"/>
      <c r="BX773" s="582"/>
      <c r="BY773" s="582"/>
      <c r="BZ773" s="582"/>
      <c r="CA773" s="582"/>
      <c r="CB773" s="582"/>
      <c r="CC773" s="582"/>
      <c r="CD773" s="582"/>
      <c r="CE773" s="582"/>
      <c r="CF773" s="582"/>
      <c r="CG773" s="582"/>
      <c r="CH773" s="582"/>
      <c r="CI773" s="582"/>
      <c r="CJ773" s="582"/>
      <c r="CK773" s="582"/>
      <c r="CL773" s="582"/>
      <c r="CM773" s="582"/>
      <c r="CN773" s="582"/>
      <c r="CO773" s="582"/>
      <c r="CP773" s="582"/>
    </row>
    <row r="774" ht="15.75" customHeight="1">
      <c r="A774" s="21" t="s">
        <v>3833</v>
      </c>
      <c r="B774" s="69"/>
      <c r="C774" s="69" t="s">
        <v>3834</v>
      </c>
      <c r="D774" s="138"/>
      <c r="E774" s="535" t="s">
        <v>3835</v>
      </c>
      <c r="F774" s="757" t="s">
        <v>3836</v>
      </c>
      <c r="G774" s="71" t="s">
        <v>3837</v>
      </c>
      <c r="H774" s="71" t="s">
        <v>394</v>
      </c>
      <c r="I774" s="26" t="s">
        <v>395</v>
      </c>
      <c r="J774" s="72" t="s">
        <v>3838</v>
      </c>
      <c r="K774" s="25">
        <v>4.0</v>
      </c>
      <c r="L774" s="26">
        <v>2019.0</v>
      </c>
      <c r="M774" s="25"/>
      <c r="N774" s="25"/>
      <c r="O774" s="27" t="str">
        <f t="shared" si="3"/>
        <v>#N/A</v>
      </c>
      <c r="P774" s="28"/>
      <c r="Q774" s="28"/>
      <c r="R774" s="28"/>
      <c r="S774" s="28"/>
      <c r="T774" s="28"/>
      <c r="U774" s="28"/>
      <c r="V774" s="30">
        <f t="shared" si="425"/>
        <v>6600000</v>
      </c>
      <c r="W774" s="30"/>
      <c r="X774" s="597"/>
      <c r="Y774" s="597"/>
      <c r="Z774" s="692"/>
      <c r="AA774" s="665"/>
      <c r="AB774" s="74"/>
      <c r="AC774" s="74"/>
      <c r="AD774" s="44"/>
      <c r="AE774" s="46"/>
      <c r="AF774" s="726">
        <v>44845.0</v>
      </c>
      <c r="AG774" s="38">
        <v>6600000.0</v>
      </c>
      <c r="AH774" s="36"/>
      <c r="AI774" s="159"/>
      <c r="AJ774" s="44"/>
      <c r="AK774" s="46"/>
      <c r="AL774" s="44"/>
      <c r="AM774" s="46"/>
      <c r="AN774" s="44"/>
      <c r="AO774" s="46"/>
      <c r="AP774" s="44"/>
      <c r="AQ774" s="46"/>
      <c r="AR774" s="44"/>
      <c r="AS774" s="44"/>
      <c r="AT774" s="44"/>
      <c r="AU774" s="45"/>
      <c r="AV774" s="44"/>
      <c r="AW774" s="38"/>
      <c r="AX774" s="44"/>
      <c r="AY774" s="38"/>
      <c r="AZ774" s="44"/>
      <c r="BA774" s="45"/>
      <c r="BB774" s="44"/>
      <c r="BC774" s="45"/>
      <c r="BD774" s="44"/>
      <c r="BE774" s="38"/>
      <c r="BF774" s="3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</row>
    <row r="775" ht="15.75" customHeight="1">
      <c r="A775" s="401" t="s">
        <v>3839</v>
      </c>
      <c r="B775" s="115"/>
      <c r="C775" s="116" t="s">
        <v>84</v>
      </c>
      <c r="D775" s="449"/>
      <c r="E775" s="401" t="s">
        <v>3840</v>
      </c>
      <c r="F775" s="1364" t="s">
        <v>3841</v>
      </c>
      <c r="G775" s="286"/>
      <c r="H775" s="119" t="s">
        <v>450</v>
      </c>
      <c r="I775" s="119" t="s">
        <v>450</v>
      </c>
      <c r="J775" s="287"/>
      <c r="K775" s="25">
        <v>1.0</v>
      </c>
      <c r="L775" s="25">
        <v>2018.0</v>
      </c>
      <c r="M775" s="123"/>
      <c r="N775" s="123"/>
      <c r="O775" s="27" t="str">
        <f t="shared" si="3"/>
        <v>#N/A</v>
      </c>
      <c r="P775" s="55"/>
      <c r="Q775" s="55"/>
      <c r="R775" s="55"/>
      <c r="S775" s="55"/>
      <c r="T775" s="55"/>
      <c r="U775" s="55"/>
      <c r="V775" s="30">
        <f t="shared" si="425"/>
        <v>6570000</v>
      </c>
      <c r="W775" s="30"/>
      <c r="X775" s="403"/>
      <c r="Y775" s="403"/>
      <c r="Z775" s="692"/>
      <c r="AA775" s="665"/>
      <c r="AB775" s="123"/>
      <c r="AC775" s="123"/>
      <c r="AD775" s="717"/>
      <c r="AE775" s="123"/>
      <c r="AF775" s="61"/>
      <c r="AG775" s="38"/>
      <c r="AH775" s="123"/>
      <c r="AI775" s="123"/>
      <c r="AJ775" s="404">
        <v>44880.0</v>
      </c>
      <c r="AK775" s="38">
        <f>0.73*9000000</f>
        <v>6570000</v>
      </c>
      <c r="AL775" s="123"/>
      <c r="AM775" s="123"/>
      <c r="AN775" s="123"/>
      <c r="AO775" s="123"/>
      <c r="AP775" s="123"/>
      <c r="AQ775" s="123"/>
      <c r="AR775" s="123"/>
      <c r="AS775" s="123"/>
      <c r="AT775" s="123"/>
      <c r="AU775" s="137"/>
      <c r="AV775" s="123"/>
      <c r="AW775" s="38"/>
      <c r="AX775" s="123"/>
      <c r="AY775" s="38"/>
      <c r="AZ775" s="123"/>
      <c r="BA775" s="137"/>
      <c r="BB775" s="123"/>
      <c r="BC775" s="137"/>
      <c r="BD775" s="123"/>
      <c r="BE775" s="38"/>
      <c r="BF775" s="123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</row>
    <row r="776" ht="15.75" customHeight="1">
      <c r="A776" s="860" t="s">
        <v>3842</v>
      </c>
      <c r="B776" s="69" t="s">
        <v>3843</v>
      </c>
      <c r="C776" s="69" t="s">
        <v>123</v>
      </c>
      <c r="D776" s="192" t="s">
        <v>3844</v>
      </c>
      <c r="E776" s="192" t="s">
        <v>3845</v>
      </c>
      <c r="F776" s="118" t="s">
        <v>3846</v>
      </c>
      <c r="G776" s="71"/>
      <c r="H776" s="71" t="s">
        <v>650</v>
      </c>
      <c r="I776" s="26" t="s">
        <v>3847</v>
      </c>
      <c r="J776" s="72"/>
      <c r="K776" s="74"/>
      <c r="L776" s="26">
        <v>2015.0</v>
      </c>
      <c r="M776" s="25">
        <f t="shared" ref="M776:M777" si="596">year(now()) -L776</f>
        <v>10</v>
      </c>
      <c r="N776" s="26">
        <f t="shared" ref="N776:N777" si="597">counta(AE776,AG776,AI776,AK776,AM776,AO776,AQ776,AS776,AU776,AW776,AY776,BA776,BC776)</f>
        <v>1</v>
      </c>
      <c r="O776" s="27" t="str">
        <f t="shared" si="3"/>
        <v>#N/A</v>
      </c>
      <c r="P776" s="28"/>
      <c r="Q776" s="28"/>
      <c r="R776" s="28"/>
      <c r="S776" s="28"/>
      <c r="T776" s="29">
        <f t="shared" ref="T776:T777" si="598">V776/M776</f>
        <v>650000</v>
      </c>
      <c r="U776" s="28"/>
      <c r="V776" s="30">
        <f t="shared" si="425"/>
        <v>6500000</v>
      </c>
      <c r="W776" s="30"/>
      <c r="X776" s="32"/>
      <c r="Y776" s="33">
        <f t="shared" ref="Y776:Y777" si="599">(max(AE776,AG776,AI776,AK776,AM776,AO776,AQ776,AS776,AU776,AW776,AY776,BA776,BC776)/min(AE776,AG776,AI776,AK776))^(1/M776)-1</f>
        <v>0</v>
      </c>
      <c r="Z776" s="692"/>
      <c r="AA776" s="665"/>
      <c r="AB776" s="74"/>
      <c r="AC776" s="74"/>
      <c r="AD776" s="79"/>
      <c r="AE776" s="84"/>
      <c r="AF776" s="338"/>
      <c r="AG776" s="807"/>
      <c r="AH776" s="74"/>
      <c r="AI776" s="78"/>
      <c r="AJ776" s="227">
        <v>43544.0</v>
      </c>
      <c r="AK776" s="76">
        <v>6500000.0</v>
      </c>
      <c r="AL776" s="79"/>
      <c r="AM776" s="84"/>
      <c r="AN776" s="79"/>
      <c r="AO776" s="84"/>
      <c r="AP776" s="79"/>
      <c r="AQ776" s="84"/>
      <c r="AR776" s="79"/>
      <c r="AS776" s="79"/>
      <c r="AT776" s="79"/>
      <c r="AU776" s="80"/>
      <c r="AV776" s="79"/>
      <c r="AW776" s="38"/>
      <c r="AX776" s="79"/>
      <c r="AY776" s="38"/>
      <c r="AZ776" s="79"/>
      <c r="BA776" s="80"/>
      <c r="BB776" s="79"/>
      <c r="BC776" s="80"/>
      <c r="BD776" s="79"/>
      <c r="BE776" s="38"/>
      <c r="BF776" s="74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</row>
    <row r="777" ht="15.75" customHeight="1">
      <c r="A777" s="747" t="s">
        <v>3848</v>
      </c>
      <c r="B777" s="68"/>
      <c r="C777" s="69" t="s">
        <v>132</v>
      </c>
      <c r="D777" s="50" t="s">
        <v>3849</v>
      </c>
      <c r="E777" s="192" t="s">
        <v>3850</v>
      </c>
      <c r="F777" s="118" t="s">
        <v>3851</v>
      </c>
      <c r="G777" s="71" t="s">
        <v>3852</v>
      </c>
      <c r="H777" s="71" t="s">
        <v>1606</v>
      </c>
      <c r="I777" s="26" t="s">
        <v>272</v>
      </c>
      <c r="J777" s="72" t="s">
        <v>3853</v>
      </c>
      <c r="K777" s="26">
        <v>2.0</v>
      </c>
      <c r="L777" s="26">
        <v>2019.0</v>
      </c>
      <c r="M777" s="25">
        <f t="shared" si="596"/>
        <v>6</v>
      </c>
      <c r="N777" s="26">
        <f t="shared" si="597"/>
        <v>1</v>
      </c>
      <c r="O777" s="27" t="str">
        <f t="shared" si="3"/>
        <v>#N/A</v>
      </c>
      <c r="P777" s="28"/>
      <c r="Q777" s="28"/>
      <c r="R777" s="28"/>
      <c r="S777" s="28"/>
      <c r="T777" s="29">
        <f t="shared" si="598"/>
        <v>1083333.333</v>
      </c>
      <c r="U777" s="28"/>
      <c r="V777" s="30">
        <f t="shared" si="425"/>
        <v>6500000</v>
      </c>
      <c r="W777" s="30"/>
      <c r="X777" s="73"/>
      <c r="Y777" s="33">
        <f t="shared" si="599"/>
        <v>0</v>
      </c>
      <c r="Z777" s="692"/>
      <c r="AA777" s="665"/>
      <c r="AB777" s="74"/>
      <c r="AC777" s="74"/>
      <c r="AD777" s="79"/>
      <c r="AE777" s="84"/>
      <c r="AF777" s="75">
        <v>44876.0</v>
      </c>
      <c r="AG777" s="76">
        <v>6500000.0</v>
      </c>
      <c r="AH777" s="74"/>
      <c r="AI777" s="78"/>
      <c r="AJ777" s="79"/>
      <c r="AK777" s="84"/>
      <c r="AL777" s="79"/>
      <c r="AM777" s="84"/>
      <c r="AN777" s="79"/>
      <c r="AO777" s="84"/>
      <c r="AP777" s="79"/>
      <c r="AQ777" s="84"/>
      <c r="AR777" s="79"/>
      <c r="AS777" s="79"/>
      <c r="AT777" s="79"/>
      <c r="AU777" s="80"/>
      <c r="AV777" s="79"/>
      <c r="AW777" s="38"/>
      <c r="AX777" s="79"/>
      <c r="AY777" s="38"/>
      <c r="AZ777" s="79"/>
      <c r="BA777" s="80"/>
      <c r="BB777" s="55"/>
      <c r="BC777" s="80"/>
      <c r="BD777" s="79"/>
      <c r="BE777" s="38"/>
      <c r="BF777" s="74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</row>
    <row r="778" ht="15.75" customHeight="1">
      <c r="A778" s="21" t="s">
        <v>3854</v>
      </c>
      <c r="B778" s="68"/>
      <c r="C778" s="69" t="s">
        <v>76</v>
      </c>
      <c r="D778" s="138" t="s">
        <v>3855</v>
      </c>
      <c r="E778" s="138" t="s">
        <v>3856</v>
      </c>
      <c r="F778" s="173" t="s">
        <v>3857</v>
      </c>
      <c r="G778" s="186"/>
      <c r="H778" s="71" t="s">
        <v>394</v>
      </c>
      <c r="I778" s="26" t="s">
        <v>395</v>
      </c>
      <c r="J778" s="155"/>
      <c r="K778" s="26">
        <v>2.0</v>
      </c>
      <c r="L778" s="26">
        <v>2013.0</v>
      </c>
      <c r="M778" s="25"/>
      <c r="N778" s="26"/>
      <c r="O778" s="27" t="str">
        <f t="shared" si="3"/>
        <v>#N/A</v>
      </c>
      <c r="P778" s="273"/>
      <c r="Q778" s="273"/>
      <c r="R778" s="273"/>
      <c r="S778" s="273"/>
      <c r="T778" s="273"/>
      <c r="U778" s="273"/>
      <c r="V778" s="30">
        <f t="shared" si="425"/>
        <v>6500000</v>
      </c>
      <c r="W778" s="30"/>
      <c r="X778" s="73"/>
      <c r="Y778" s="73"/>
      <c r="Z778" s="692"/>
      <c r="AA778" s="665"/>
      <c r="AB778" s="74"/>
      <c r="AC778" s="74"/>
      <c r="AD778" s="79"/>
      <c r="AE778" s="84"/>
      <c r="AF778" s="175" t="str">
        <f>HYPERLINK("https://www.crunchbase.com/funding_round/groundfloor-2-seed--f83788df","Aug 19, 2014")</f>
        <v>Aug 19, 2014</v>
      </c>
      <c r="AG778" s="76">
        <v>1500000.0</v>
      </c>
      <c r="AH778" s="74"/>
      <c r="AI778" s="78"/>
      <c r="AJ778" s="426" t="str">
        <f>HYPERLINK("https://www.crunchbase.com/funding_round/groundfloor-2-series-a--641774dc","Dec 9, 2015")</f>
        <v>Dec 9, 2015</v>
      </c>
      <c r="AK778" s="76">
        <v>5000000.0</v>
      </c>
      <c r="AL778" s="279"/>
      <c r="AM778" s="76"/>
      <c r="AN778" s="279"/>
      <c r="AO778" s="76"/>
      <c r="AP778" s="79"/>
      <c r="AQ778" s="84"/>
      <c r="AR778" s="79"/>
      <c r="AS778" s="79"/>
      <c r="AT778" s="79"/>
      <c r="AU778" s="80"/>
      <c r="AV778" s="79"/>
      <c r="AW778" s="38"/>
      <c r="AX778" s="79"/>
      <c r="AY778" s="38"/>
      <c r="AZ778" s="79"/>
      <c r="BA778" s="80"/>
      <c r="BB778" s="79"/>
      <c r="BC778" s="80"/>
      <c r="BD778" s="79"/>
      <c r="BE778" s="38"/>
      <c r="BF778" s="74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</row>
    <row r="779" ht="15.75" customHeight="1">
      <c r="A779" s="47" t="s">
        <v>3858</v>
      </c>
      <c r="B779" s="116"/>
      <c r="C779" s="116" t="s">
        <v>267</v>
      </c>
      <c r="D779" s="48"/>
      <c r="E779" s="192" t="s">
        <v>3859</v>
      </c>
      <c r="F779" s="756" t="s">
        <v>3860</v>
      </c>
      <c r="G779" s="119"/>
      <c r="H779" s="119" t="s">
        <v>2040</v>
      </c>
      <c r="I779" s="26" t="s">
        <v>372</v>
      </c>
      <c r="J779" s="120"/>
      <c r="K779" s="25">
        <v>2.0</v>
      </c>
      <c r="L779" s="25">
        <v>2017.0</v>
      </c>
      <c r="M779" s="25"/>
      <c r="N779" s="25"/>
      <c r="O779" s="27" t="str">
        <f t="shared" si="3"/>
        <v>#N/A</v>
      </c>
      <c r="P779" s="55"/>
      <c r="Q779" s="55"/>
      <c r="R779" s="55"/>
      <c r="S779" s="55"/>
      <c r="T779" s="55"/>
      <c r="U779" s="55"/>
      <c r="V779" s="30">
        <f t="shared" si="425"/>
        <v>6500000</v>
      </c>
      <c r="W779" s="30"/>
      <c r="X779" s="597"/>
      <c r="Y779" s="597"/>
      <c r="Z779" s="692"/>
      <c r="AA779" s="665"/>
      <c r="AB779" s="123"/>
      <c r="AC779" s="123"/>
      <c r="AD779" s="124"/>
      <c r="AE779" s="125"/>
      <c r="AF779" s="320" t="str">
        <f>HYPERLINK("https://www.crunchbase.com/funding_round/skyline-robotics-seed--71a6ee65","Mar 22, 2022")</f>
        <v>Mar 22, 2022</v>
      </c>
      <c r="AG779" s="127">
        <v>6500000.0</v>
      </c>
      <c r="AH779" s="123"/>
      <c r="AI779" s="128"/>
      <c r="AJ779" s="124"/>
      <c r="AK779" s="125"/>
      <c r="AL779" s="124"/>
      <c r="AM779" s="125"/>
      <c r="AN779" s="124"/>
      <c r="AO779" s="125"/>
      <c r="AP779" s="124"/>
      <c r="AQ779" s="125"/>
      <c r="AR779" s="124"/>
      <c r="AS779" s="124"/>
      <c r="AT779" s="124"/>
      <c r="AU779" s="137"/>
      <c r="AV779" s="124"/>
      <c r="AW779" s="38"/>
      <c r="AX779" s="124"/>
      <c r="AY779" s="38"/>
      <c r="AZ779" s="124"/>
      <c r="BA779" s="137"/>
      <c r="BB779" s="124"/>
      <c r="BC779" s="137"/>
      <c r="BD779" s="124"/>
      <c r="BE779" s="38"/>
      <c r="BF779" s="123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</row>
    <row r="780" ht="15.75" customHeight="1">
      <c r="A780" s="47" t="s">
        <v>3861</v>
      </c>
      <c r="C780" s="48" t="s">
        <v>68</v>
      </c>
      <c r="D780" s="351"/>
      <c r="E780" s="49" t="s">
        <v>3862</v>
      </c>
      <c r="F780" s="749" t="s">
        <v>3863</v>
      </c>
      <c r="G780" s="353"/>
      <c r="H780" s="53" t="s">
        <v>394</v>
      </c>
      <c r="I780" s="54" t="s">
        <v>395</v>
      </c>
      <c r="J780" s="55"/>
      <c r="K780" s="54">
        <v>3.0</v>
      </c>
      <c r="L780" s="56">
        <v>2012.0</v>
      </c>
      <c r="M780" s="55"/>
      <c r="N780" s="55"/>
      <c r="O780" s="27" t="str">
        <f t="shared" si="3"/>
        <v>#N/A</v>
      </c>
      <c r="P780" s="55"/>
      <c r="Q780" s="55"/>
      <c r="R780" s="55"/>
      <c r="S780" s="55"/>
      <c r="T780" s="55"/>
      <c r="U780" s="55"/>
      <c r="V780" s="30">
        <f t="shared" si="425"/>
        <v>6485000</v>
      </c>
      <c r="W780" s="30"/>
      <c r="X780" s="58"/>
      <c r="Y780" s="58"/>
      <c r="Z780" s="692"/>
      <c r="AA780" s="665"/>
      <c r="AB780" s="55"/>
      <c r="AC780" s="55"/>
      <c r="AD780" s="355"/>
      <c r="AE780" s="38"/>
      <c r="AF780" s="62">
        <v>43223.0</v>
      </c>
      <c r="AG780" s="38">
        <v>1100000.0</v>
      </c>
      <c r="AH780" s="62">
        <v>44208.0</v>
      </c>
      <c r="AI780" s="38">
        <v>785000.0</v>
      </c>
      <c r="AJ780" s="55"/>
      <c r="AK780" s="38"/>
      <c r="AL780" s="55"/>
      <c r="AM780" s="38"/>
      <c r="AN780" s="55"/>
      <c r="AO780" s="38"/>
      <c r="AP780" s="356"/>
      <c r="AQ780" s="38"/>
      <c r="AR780" s="55"/>
      <c r="AS780" s="38"/>
      <c r="AT780" s="55"/>
      <c r="AU780" s="38"/>
      <c r="AV780" s="55"/>
      <c r="AW780" s="38"/>
      <c r="AX780" s="55"/>
      <c r="AY780" s="38"/>
      <c r="AZ780" s="62">
        <v>44970.0</v>
      </c>
      <c r="BA780" s="38">
        <v>4600000.0</v>
      </c>
      <c r="BB780" s="55"/>
      <c r="BC780" s="38"/>
      <c r="BD780" s="55"/>
      <c r="BE780" s="38"/>
      <c r="BF780" s="55"/>
      <c r="BG780" s="534"/>
      <c r="BH780" s="534"/>
      <c r="BI780" s="534"/>
      <c r="BJ780" s="534"/>
      <c r="BK780" s="534"/>
      <c r="BL780" s="534"/>
      <c r="BM780" s="534"/>
      <c r="BN780" s="534"/>
      <c r="BO780" s="534"/>
      <c r="BP780" s="534"/>
      <c r="BQ780" s="534"/>
      <c r="BR780" s="534"/>
      <c r="BS780" s="534"/>
      <c r="BT780" s="534"/>
      <c r="BU780" s="534"/>
      <c r="BV780" s="534"/>
      <c r="BW780" s="534"/>
      <c r="BX780" s="534"/>
      <c r="BY780" s="534"/>
      <c r="BZ780" s="534"/>
      <c r="CA780" s="534"/>
      <c r="CB780" s="534"/>
      <c r="CC780" s="534"/>
      <c r="CD780" s="534"/>
      <c r="CE780" s="534"/>
      <c r="CF780" s="534"/>
      <c r="CG780" s="534"/>
      <c r="CH780" s="534"/>
      <c r="CI780" s="534"/>
      <c r="CJ780" s="534"/>
      <c r="CK780" s="534"/>
      <c r="CL780" s="534"/>
      <c r="CM780" s="534"/>
      <c r="CN780" s="534"/>
      <c r="CO780" s="534"/>
      <c r="CP780" s="534"/>
    </row>
    <row r="781" ht="15.75" customHeight="1">
      <c r="A781" s="442" t="s">
        <v>3864</v>
      </c>
      <c r="B781" s="16" t="s">
        <v>501</v>
      </c>
      <c r="C781" s="17" t="s">
        <v>3865</v>
      </c>
      <c r="D781" s="184" t="s">
        <v>3866</v>
      </c>
      <c r="E781" s="184" t="s">
        <v>3867</v>
      </c>
      <c r="F781" s="185" t="s">
        <v>3868</v>
      </c>
      <c r="G781" s="317" t="s">
        <v>3869</v>
      </c>
      <c r="H781" s="317" t="s">
        <v>64</v>
      </c>
      <c r="I781" s="36" t="s">
        <v>287</v>
      </c>
      <c r="J781" s="237" t="s">
        <v>142</v>
      </c>
      <c r="K781" s="36">
        <v>2.0</v>
      </c>
      <c r="L781" s="23">
        <v>2015.0</v>
      </c>
      <c r="M781" s="25">
        <f t="shared" ref="M781:M782" si="600">year(now()) -L781</f>
        <v>10</v>
      </c>
      <c r="N781" s="26">
        <f t="shared" ref="N781:N782" si="601">counta(AE781,AG781,AI781,AK781,AM781,AO781,AQ781,AS781,AU781,AW781,AY781,BA781,BC781)</f>
        <v>1</v>
      </c>
      <c r="O781" s="27" t="str">
        <f t="shared" si="3"/>
        <v>#N/A</v>
      </c>
      <c r="P781" s="28"/>
      <c r="Q781" s="28"/>
      <c r="R781" s="28"/>
      <c r="S781" s="28"/>
      <c r="T781" s="29">
        <f t="shared" ref="T781:T782" si="602">V781/M781</f>
        <v>642000</v>
      </c>
      <c r="U781" s="28"/>
      <c r="V781" s="30">
        <f t="shared" si="425"/>
        <v>6420000</v>
      </c>
      <c r="W781" s="30"/>
      <c r="X781" s="847"/>
      <c r="Y781" s="33">
        <f t="shared" ref="Y781:Y782" si="603">(max(AE781,AG781,AI781,AK781,AM781,AO781,AQ781,AS781,AU781,AW781,AY781,BA781,BC781)/min(AE781,AG781,AI781,AK781))^(1/M781)-1</f>
        <v>0</v>
      </c>
      <c r="Z781" s="692"/>
      <c r="AA781" s="665"/>
      <c r="AB781" s="36"/>
      <c r="AC781" s="36"/>
      <c r="AD781" s="44"/>
      <c r="AE781" s="46"/>
      <c r="AF781" s="158" t="str">
        <f>HYPERLINK("https://www.crunchbase.com/organization/alphaflow#section-funding-rounds"," Sep 20, 2017")</f>
        <v> Sep 20, 2017</v>
      </c>
      <c r="AG781" s="38">
        <v>6420000.0</v>
      </c>
      <c r="AH781" s="36"/>
      <c r="AI781" s="46"/>
      <c r="AJ781" s="44"/>
      <c r="AK781" s="46"/>
      <c r="AL781" s="44"/>
      <c r="AM781" s="46"/>
      <c r="AN781" s="44"/>
      <c r="AO781" s="46"/>
      <c r="AP781" s="44"/>
      <c r="AQ781" s="46"/>
      <c r="AR781" s="44"/>
      <c r="AS781" s="44"/>
      <c r="AT781" s="44"/>
      <c r="AU781" s="45"/>
      <c r="AV781" s="44"/>
      <c r="AW781" s="38"/>
      <c r="AX781" s="44"/>
      <c r="AY781" s="38"/>
      <c r="AZ781" s="44"/>
      <c r="BA781" s="45"/>
      <c r="BB781" s="44"/>
      <c r="BC781" s="45"/>
      <c r="BD781" s="44"/>
      <c r="BE781" s="38"/>
      <c r="BF781" s="36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68"/>
      <c r="CA781" s="68"/>
      <c r="CB781" s="68"/>
      <c r="CC781" s="68"/>
      <c r="CD781" s="68"/>
      <c r="CE781" s="68"/>
      <c r="CF781" s="68"/>
      <c r="CG781" s="68"/>
      <c r="CH781" s="68"/>
      <c r="CI781" s="68"/>
      <c r="CJ781" s="68"/>
      <c r="CK781" s="68"/>
      <c r="CL781" s="68"/>
      <c r="CM781" s="68"/>
      <c r="CN781" s="68"/>
      <c r="CO781" s="68"/>
      <c r="CP781" s="68"/>
    </row>
    <row r="782" ht="15.75" customHeight="1">
      <c r="A782" s="21" t="s">
        <v>3870</v>
      </c>
      <c r="B782" s="68"/>
      <c r="C782" s="69" t="s">
        <v>755</v>
      </c>
      <c r="D782" s="337"/>
      <c r="E782" s="492" t="s">
        <v>3871</v>
      </c>
      <c r="F782" s="154" t="s">
        <v>3872</v>
      </c>
      <c r="G782" s="140" t="s">
        <v>3229</v>
      </c>
      <c r="H782" s="186"/>
      <c r="I782" s="74"/>
      <c r="J782" s="155"/>
      <c r="K782" s="26">
        <v>3.0</v>
      </c>
      <c r="L782" s="26">
        <v>2012.0</v>
      </c>
      <c r="M782" s="25">
        <f t="shared" si="600"/>
        <v>13</v>
      </c>
      <c r="N782" s="26">
        <f t="shared" si="601"/>
        <v>2</v>
      </c>
      <c r="O782" s="27" t="str">
        <f t="shared" si="3"/>
        <v>#N/A</v>
      </c>
      <c r="P782" s="28"/>
      <c r="Q782" s="28"/>
      <c r="R782" s="28"/>
      <c r="S782" s="28"/>
      <c r="T782" s="29">
        <f t="shared" si="602"/>
        <v>492307.6923</v>
      </c>
      <c r="U782" s="28"/>
      <c r="V782" s="30">
        <f t="shared" si="425"/>
        <v>6400000</v>
      </c>
      <c r="W782" s="30"/>
      <c r="X782" s="73"/>
      <c r="Y782" s="33">
        <f t="shared" si="603"/>
        <v>0.1285725316</v>
      </c>
      <c r="Z782" s="692"/>
      <c r="AA782" s="665"/>
      <c r="AB782" s="74"/>
      <c r="AC782" s="74"/>
      <c r="AD782" s="44"/>
      <c r="AE782" s="46"/>
      <c r="AF782" s="158" t="str">
        <f>HYPERLINK("https://www.crunchbase.com/organization/floored#section-funding-rounds"," Dec 1, 2012")</f>
        <v> Dec 1, 2012</v>
      </c>
      <c r="AG782" s="38">
        <v>1100000.0</v>
      </c>
      <c r="AH782" s="36"/>
      <c r="AI782" s="159"/>
      <c r="AJ782" s="228" t="str">
        <f>HYPERLINK("https://www.crunchbase.com/funding_round/floored-series-a--6232dbd2"," 12/19/2013")</f>
        <v> 12/19/2013</v>
      </c>
      <c r="AK782" s="38">
        <v>5300000.0</v>
      </c>
      <c r="AL782" s="44"/>
      <c r="AM782" s="46"/>
      <c r="AN782" s="44"/>
      <c r="AO782" s="46"/>
      <c r="AP782" s="44"/>
      <c r="AQ782" s="46"/>
      <c r="AR782" s="44"/>
      <c r="AS782" s="44"/>
      <c r="AT782" s="44"/>
      <c r="AU782" s="45"/>
      <c r="AV782" s="44"/>
      <c r="AW782" s="38"/>
      <c r="AX782" s="44"/>
      <c r="AY782" s="38"/>
      <c r="AZ782" s="44"/>
      <c r="BA782" s="45"/>
      <c r="BB782" s="44"/>
      <c r="BC782" s="45"/>
      <c r="BD782" s="44"/>
      <c r="BE782" s="38"/>
      <c r="BF782" s="36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68"/>
      <c r="CA782" s="68"/>
      <c r="CB782" s="68"/>
      <c r="CC782" s="68"/>
      <c r="CD782" s="68"/>
      <c r="CE782" s="68"/>
      <c r="CF782" s="68"/>
      <c r="CG782" s="68"/>
      <c r="CH782" s="68"/>
      <c r="CI782" s="68"/>
      <c r="CJ782" s="68"/>
      <c r="CK782" s="68"/>
      <c r="CL782" s="68"/>
      <c r="CM782" s="68"/>
      <c r="CN782" s="68"/>
      <c r="CO782" s="68"/>
      <c r="CP782" s="68"/>
    </row>
    <row r="783" ht="15.75" customHeight="1">
      <c r="A783" s="47" t="s">
        <v>3873</v>
      </c>
      <c r="C783" s="48" t="s">
        <v>84</v>
      </c>
      <c r="D783" s="351"/>
      <c r="E783" s="49" t="s">
        <v>3874</v>
      </c>
      <c r="F783" s="352" t="s">
        <v>3875</v>
      </c>
      <c r="G783" s="353"/>
      <c r="H783" s="53" t="s">
        <v>3876</v>
      </c>
      <c r="I783" s="54" t="s">
        <v>2944</v>
      </c>
      <c r="J783" s="55"/>
      <c r="K783" s="54">
        <v>3.0</v>
      </c>
      <c r="L783" s="56">
        <v>2017.0</v>
      </c>
      <c r="M783" s="55"/>
      <c r="N783" s="55"/>
      <c r="O783" s="27" t="str">
        <f t="shared" si="3"/>
        <v>#N/A</v>
      </c>
      <c r="P783" s="55"/>
      <c r="Q783" s="55"/>
      <c r="R783" s="55"/>
      <c r="S783" s="55"/>
      <c r="T783" s="55"/>
      <c r="U783" s="55"/>
      <c r="V783" s="30">
        <f t="shared" si="425"/>
        <v>6400000</v>
      </c>
      <c r="W783" s="30"/>
      <c r="X783" s="58"/>
      <c r="Y783" s="58"/>
      <c r="Z783" s="692"/>
      <c r="AA783" s="665"/>
      <c r="AB783" s="55"/>
      <c r="AC783" s="55"/>
      <c r="AD783" s="453"/>
      <c r="AE783" s="55"/>
      <c r="AF783" s="62">
        <v>44943.0</v>
      </c>
      <c r="AG783" s="38">
        <v>6400000.0</v>
      </c>
      <c r="AH783" s="55"/>
      <c r="AI783" s="55"/>
      <c r="AJ783" s="55"/>
      <c r="AK783" s="55"/>
      <c r="AL783" s="55"/>
      <c r="AM783" s="55"/>
      <c r="AN783" s="55"/>
      <c r="AO783" s="55"/>
      <c r="AP783" s="356"/>
      <c r="AQ783" s="356"/>
      <c r="AR783" s="55"/>
      <c r="AS783" s="55"/>
      <c r="AT783" s="55"/>
      <c r="AU783" s="722"/>
      <c r="AV783" s="55"/>
      <c r="AW783" s="38"/>
      <c r="AX783" s="55"/>
      <c r="AY783" s="38"/>
      <c r="AZ783" s="55"/>
      <c r="BA783" s="722"/>
      <c r="BB783" s="55"/>
      <c r="BC783" s="38"/>
      <c r="BD783" s="55"/>
      <c r="BE783" s="38"/>
      <c r="BF783" s="55"/>
      <c r="BG783" s="582"/>
      <c r="BH783" s="582"/>
      <c r="BI783" s="582"/>
      <c r="BJ783" s="582"/>
      <c r="BK783" s="582"/>
      <c r="BL783" s="582"/>
      <c r="BM783" s="582"/>
      <c r="BN783" s="582"/>
      <c r="BO783" s="582"/>
      <c r="BP783" s="582"/>
      <c r="BQ783" s="582"/>
      <c r="BR783" s="582"/>
      <c r="BS783" s="582"/>
      <c r="BT783" s="582"/>
      <c r="BU783" s="582"/>
      <c r="BV783" s="582"/>
      <c r="BW783" s="582"/>
      <c r="BX783" s="582"/>
      <c r="BY783" s="582"/>
      <c r="BZ783" s="582"/>
      <c r="CA783" s="582"/>
      <c r="CB783" s="582"/>
      <c r="CC783" s="582"/>
      <c r="CD783" s="582"/>
      <c r="CE783" s="582"/>
      <c r="CF783" s="582"/>
      <c r="CG783" s="582"/>
      <c r="CH783" s="582"/>
      <c r="CI783" s="582"/>
      <c r="CJ783" s="582"/>
      <c r="CK783" s="582"/>
      <c r="CL783" s="582"/>
      <c r="CM783" s="582"/>
      <c r="CN783" s="582"/>
      <c r="CO783" s="582"/>
      <c r="CP783" s="582"/>
    </row>
    <row r="784" ht="15.75" customHeight="1">
      <c r="A784" s="47" t="s">
        <v>3877</v>
      </c>
      <c r="C784" s="48" t="s">
        <v>84</v>
      </c>
      <c r="D784" s="49" t="s">
        <v>3878</v>
      </c>
      <c r="E784" s="49" t="s">
        <v>3879</v>
      </c>
      <c r="F784" s="749" t="s">
        <v>3880</v>
      </c>
      <c r="G784" s="353"/>
      <c r="H784" s="53" t="s">
        <v>328</v>
      </c>
      <c r="I784" s="54" t="s">
        <v>329</v>
      </c>
      <c r="J784" s="55"/>
      <c r="K784" s="54">
        <v>2.0</v>
      </c>
      <c r="L784" s="56">
        <v>2021.0</v>
      </c>
      <c r="M784" s="55"/>
      <c r="N784" s="55"/>
      <c r="O784" s="27" t="str">
        <f t="shared" si="3"/>
        <v>#N/A</v>
      </c>
      <c r="P784" s="55"/>
      <c r="Q784" s="55"/>
      <c r="R784" s="55"/>
      <c r="S784" s="55"/>
      <c r="T784" s="55"/>
      <c r="U784" s="55"/>
      <c r="V784" s="30">
        <f t="shared" si="425"/>
        <v>6400000</v>
      </c>
      <c r="W784" s="30"/>
      <c r="X784" s="58"/>
      <c r="Y784" s="58"/>
      <c r="Z784" s="692"/>
      <c r="AA784" s="665"/>
      <c r="AB784" s="55"/>
      <c r="AC784" s="55"/>
      <c r="AD784" s="880">
        <v>44470.0</v>
      </c>
      <c r="AE784" s="38">
        <v>2700000.0</v>
      </c>
      <c r="AF784" s="62">
        <v>44950.0</v>
      </c>
      <c r="AG784" s="38">
        <v>3700000.0</v>
      </c>
      <c r="AH784" s="55"/>
      <c r="AI784" s="55"/>
      <c r="AJ784" s="55"/>
      <c r="AK784" s="55"/>
      <c r="AL784" s="55"/>
      <c r="AM784" s="55"/>
      <c r="AN784" s="55"/>
      <c r="AO784" s="55"/>
      <c r="AP784" s="356"/>
      <c r="AQ784" s="38"/>
      <c r="AR784" s="55"/>
      <c r="AS784" s="38"/>
      <c r="AT784" s="55"/>
      <c r="AU784" s="38"/>
      <c r="AV784" s="55"/>
      <c r="AW784" s="38"/>
      <c r="AX784" s="55"/>
      <c r="AY784" s="38"/>
      <c r="AZ784" s="55"/>
      <c r="BA784" s="722"/>
      <c r="BB784" s="55"/>
      <c r="BC784" s="38"/>
      <c r="BD784" s="55"/>
      <c r="BE784" s="38"/>
      <c r="BF784" s="55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68"/>
      <c r="CA784" s="68"/>
      <c r="CB784" s="68"/>
      <c r="CC784" s="68"/>
      <c r="CD784" s="68"/>
      <c r="CE784" s="68"/>
      <c r="CF784" s="68"/>
      <c r="CG784" s="68"/>
      <c r="CH784" s="68"/>
      <c r="CI784" s="68"/>
      <c r="CJ784" s="68"/>
      <c r="CK784" s="68"/>
      <c r="CL784" s="68"/>
      <c r="CM784" s="68"/>
      <c r="CN784" s="68"/>
      <c r="CO784" s="68"/>
      <c r="CP784" s="68"/>
    </row>
    <row r="785" ht="15.75" customHeight="1">
      <c r="A785" s="860" t="s">
        <v>3881</v>
      </c>
      <c r="B785" s="68"/>
      <c r="C785" s="69" t="s">
        <v>123</v>
      </c>
      <c r="D785" s="337"/>
      <c r="E785" s="192" t="s">
        <v>3882</v>
      </c>
      <c r="F785" s="386" t="s">
        <v>3883</v>
      </c>
      <c r="G785" s="71"/>
      <c r="H785" s="71" t="s">
        <v>129</v>
      </c>
      <c r="I785" s="26" t="s">
        <v>129</v>
      </c>
      <c r="J785" s="155"/>
      <c r="K785" s="26"/>
      <c r="L785" s="26">
        <v>2011.0</v>
      </c>
      <c r="M785" s="25">
        <f>year(now()) -L785</f>
        <v>14</v>
      </c>
      <c r="N785" s="26">
        <f>counta(AE785,AG785,AI785,AK785,AM785,AO785,AQ785,AS785,AU785,AW785,AY785,BA785,BC785)</f>
        <v>3</v>
      </c>
      <c r="O785" s="27" t="str">
        <f t="shared" si="3"/>
        <v>#N/A</v>
      </c>
      <c r="P785" s="28"/>
      <c r="Q785" s="28"/>
      <c r="R785" s="28"/>
      <c r="S785" s="28"/>
      <c r="T785" s="29">
        <f>V785/M785</f>
        <v>450000</v>
      </c>
      <c r="U785" s="28"/>
      <c r="V785" s="30">
        <f t="shared" si="425"/>
        <v>6300000</v>
      </c>
      <c r="W785" s="30"/>
      <c r="X785" s="73"/>
      <c r="Y785" s="33">
        <f>(max(AE785,AG785,AI785,AK785,AM785,AO785,AQ785,AS785,AU785,AW785,AY785,BA785,BC785)/min(AE785,AG785,AI785,AK785))^(1/M785)-1</f>
        <v>0.1004268693</v>
      </c>
      <c r="Z785" s="692"/>
      <c r="AA785" s="665"/>
      <c r="AB785" s="74"/>
      <c r="AC785" s="74"/>
      <c r="AD785" s="79"/>
      <c r="AE785" s="84"/>
      <c r="AF785" s="320">
        <v>41453.0</v>
      </c>
      <c r="AG785" s="76">
        <v>1100000.0</v>
      </c>
      <c r="AH785" s="74"/>
      <c r="AI785" s="78"/>
      <c r="AJ785" s="42">
        <v>41801.0</v>
      </c>
      <c r="AK785" s="76">
        <v>4200000.0</v>
      </c>
      <c r="AL785" s="42">
        <v>42493.0</v>
      </c>
      <c r="AM785" s="76">
        <v>1000000.0</v>
      </c>
      <c r="AN785" s="79"/>
      <c r="AO785" s="84"/>
      <c r="AP785" s="79"/>
      <c r="AQ785" s="84"/>
      <c r="AR785" s="79"/>
      <c r="AS785" s="79"/>
      <c r="AT785" s="79"/>
      <c r="AU785" s="80"/>
      <c r="AV785" s="79"/>
      <c r="AW785" s="38"/>
      <c r="AX785" s="79"/>
      <c r="AY785" s="38"/>
      <c r="AZ785" s="79"/>
      <c r="BA785" s="80"/>
      <c r="BB785" s="79"/>
      <c r="BC785" s="80"/>
      <c r="BD785" s="79"/>
      <c r="BE785" s="38"/>
      <c r="BF785" s="74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  <c r="CO785" s="68"/>
      <c r="CP785" s="68"/>
    </row>
    <row r="786" ht="15.75" customHeight="1">
      <c r="A786" s="21" t="s">
        <v>3884</v>
      </c>
      <c r="B786" s="17"/>
      <c r="C786" s="17" t="s">
        <v>68</v>
      </c>
      <c r="D786" s="231"/>
      <c r="E786" s="231" t="s">
        <v>3885</v>
      </c>
      <c r="F786" s="177" t="s">
        <v>3886</v>
      </c>
      <c r="G786" s="22"/>
      <c r="H786" s="22" t="s">
        <v>2270</v>
      </c>
      <c r="I786" s="23" t="s">
        <v>129</v>
      </c>
      <c r="J786" s="24"/>
      <c r="K786" s="26"/>
      <c r="L786" s="23">
        <v>2019.0</v>
      </c>
      <c r="M786" s="25"/>
      <c r="N786" s="26"/>
      <c r="O786" s="27" t="str">
        <f t="shared" si="3"/>
        <v>#N/A</v>
      </c>
      <c r="P786" s="464"/>
      <c r="Q786" s="464"/>
      <c r="R786" s="464"/>
      <c r="S786" s="464"/>
      <c r="T786" s="464"/>
      <c r="U786" s="464"/>
      <c r="V786" s="30">
        <f t="shared" si="425"/>
        <v>113800000</v>
      </c>
      <c r="W786" s="30"/>
      <c r="X786" s="73"/>
      <c r="Y786" s="73"/>
      <c r="Z786" s="692"/>
      <c r="AA786" s="665"/>
      <c r="AB786" s="36"/>
      <c r="AC786" s="36"/>
      <c r="AD786" s="44"/>
      <c r="AE786" s="46"/>
      <c r="AF786" s="918" t="str">
        <f>HYPERLINK("https://www.crunchbase.com/funding_round/constrafor-seed--22ee1145","Jun 1, 2022")</f>
        <v>Jun 1, 2022</v>
      </c>
      <c r="AG786" s="38">
        <v>6300000.0</v>
      </c>
      <c r="AH786" s="36"/>
      <c r="AI786" s="159"/>
      <c r="AJ786" s="37"/>
      <c r="AK786" s="38"/>
      <c r="AL786" s="44"/>
      <c r="AM786" s="46"/>
      <c r="AN786" s="44"/>
      <c r="AO786" s="46"/>
      <c r="AP786" s="44"/>
      <c r="AQ786" s="46"/>
      <c r="AR786" s="44"/>
      <c r="AS786" s="44"/>
      <c r="AT786" s="44"/>
      <c r="AU786" s="45"/>
      <c r="AV786" s="44"/>
      <c r="AW786" s="38"/>
      <c r="AX786" s="44"/>
      <c r="AY786" s="38"/>
      <c r="AZ786" s="75">
        <v>45040.0</v>
      </c>
      <c r="BA786" s="229">
        <v>7500000.0</v>
      </c>
      <c r="BB786" s="75">
        <v>44713.0</v>
      </c>
      <c r="BC786" s="229">
        <v>1.0E8</v>
      </c>
      <c r="BD786" s="44"/>
      <c r="BE786" s="38"/>
      <c r="BF786" s="36"/>
      <c r="BG786" s="115"/>
      <c r="BH786" s="115"/>
      <c r="BI786" s="115"/>
      <c r="BJ786" s="115"/>
      <c r="BK786" s="115"/>
      <c r="BL786" s="115"/>
      <c r="BM786" s="115"/>
      <c r="BN786" s="115"/>
      <c r="BO786" s="115"/>
      <c r="BP786" s="115"/>
      <c r="BQ786" s="115"/>
      <c r="BR786" s="115"/>
      <c r="BS786" s="115"/>
      <c r="BT786" s="115"/>
      <c r="BU786" s="115"/>
      <c r="BV786" s="115"/>
      <c r="BW786" s="115"/>
      <c r="BX786" s="115"/>
      <c r="BY786" s="115"/>
      <c r="BZ786" s="115"/>
      <c r="CA786" s="115"/>
      <c r="CB786" s="115"/>
      <c r="CC786" s="115"/>
      <c r="CD786" s="115"/>
      <c r="CE786" s="115"/>
      <c r="CF786" s="115"/>
      <c r="CG786" s="115"/>
      <c r="CH786" s="115"/>
      <c r="CI786" s="115"/>
      <c r="CJ786" s="115"/>
      <c r="CK786" s="115"/>
      <c r="CL786" s="115"/>
      <c r="CM786" s="115"/>
      <c r="CN786" s="115"/>
      <c r="CO786" s="115"/>
      <c r="CP786" s="115"/>
    </row>
    <row r="787" ht="15.75" customHeight="1">
      <c r="A787" s="21" t="s">
        <v>3887</v>
      </c>
      <c r="B787" s="69"/>
      <c r="C787" s="69" t="s">
        <v>267</v>
      </c>
      <c r="D787" s="192" t="s">
        <v>3888</v>
      </c>
      <c r="E787" s="117" t="s">
        <v>3889</v>
      </c>
      <c r="F787" s="118" t="s">
        <v>3890</v>
      </c>
      <c r="G787" s="71" t="s">
        <v>3891</v>
      </c>
      <c r="H787" s="186" t="s">
        <v>128</v>
      </c>
      <c r="I787" s="74" t="s">
        <v>3189</v>
      </c>
      <c r="J787" s="72"/>
      <c r="K787" s="74"/>
      <c r="L787" s="712">
        <v>2012.0</v>
      </c>
      <c r="M787" s="25">
        <f t="shared" ref="M787:M789" si="604">year(now()) -L787</f>
        <v>13</v>
      </c>
      <c r="N787" s="26">
        <f t="shared" ref="N787:N789" si="605">counta(AE787,AG787,AI787,AK787,AM787,AO787,AQ787,AS787,AU787,AW787,AY787,BA787,BC787)</f>
        <v>2</v>
      </c>
      <c r="O787" s="27" t="str">
        <f t="shared" si="3"/>
        <v>#N/A</v>
      </c>
      <c r="P787" s="28"/>
      <c r="Q787" s="28"/>
      <c r="R787" s="28"/>
      <c r="S787" s="28"/>
      <c r="T787" s="29">
        <f t="shared" ref="T787:T789" si="606">V787/M787</f>
        <v>476923.0769</v>
      </c>
      <c r="U787" s="28"/>
      <c r="V787" s="30">
        <f t="shared" si="425"/>
        <v>6200000</v>
      </c>
      <c r="W787" s="30"/>
      <c r="X787" s="32"/>
      <c r="Y787" s="33">
        <f t="shared" ref="Y787:Y789" si="607">(max(AE787,AG787,AI787,AK787,AM787,AO787,AQ787,AS787,AU787,AW787,AY787,BA787,BC787)/min(AE787,AG787,AI787,AK787))^(1/M787)-1</f>
        <v>0.1160304865</v>
      </c>
      <c r="Z787" s="692"/>
      <c r="AA787" s="665"/>
      <c r="AB787" s="74"/>
      <c r="AC787" s="74"/>
      <c r="AD787" s="44"/>
      <c r="AE787" s="46"/>
      <c r="AF787" s="225">
        <v>41974.0</v>
      </c>
      <c r="AG787" s="38">
        <v>1200000.0</v>
      </c>
      <c r="AH787" s="36"/>
      <c r="AI787" s="159"/>
      <c r="AJ787" s="42">
        <v>44244.0</v>
      </c>
      <c r="AK787" s="38">
        <v>5000000.0</v>
      </c>
      <c r="AL787" s="44"/>
      <c r="AM787" s="46"/>
      <c r="AN787" s="44"/>
      <c r="AO787" s="46"/>
      <c r="AP787" s="44"/>
      <c r="AQ787" s="46"/>
      <c r="AR787" s="44"/>
      <c r="AS787" s="44"/>
      <c r="AT787" s="44"/>
      <c r="AU787" s="45"/>
      <c r="AV787" s="44"/>
      <c r="AW787" s="38"/>
      <c r="AX787" s="44"/>
      <c r="AY787" s="38"/>
      <c r="AZ787" s="44"/>
      <c r="BA787" s="45"/>
      <c r="BB787" s="44"/>
      <c r="BC787" s="45"/>
      <c r="BD787" s="44"/>
      <c r="BE787" s="38"/>
      <c r="BF787" s="36"/>
      <c r="BG787" s="115"/>
      <c r="BH787" s="115"/>
      <c r="BI787" s="115"/>
      <c r="BJ787" s="115"/>
      <c r="BK787" s="115"/>
      <c r="BL787" s="115"/>
      <c r="BM787" s="115"/>
      <c r="BN787" s="115"/>
      <c r="BO787" s="115"/>
      <c r="BP787" s="115"/>
      <c r="BQ787" s="115"/>
      <c r="BR787" s="115"/>
      <c r="BS787" s="115"/>
      <c r="BT787" s="115"/>
      <c r="BU787" s="115"/>
      <c r="BV787" s="115"/>
      <c r="BW787" s="115"/>
      <c r="BX787" s="115"/>
      <c r="BY787" s="115"/>
      <c r="BZ787" s="115"/>
      <c r="CA787" s="115"/>
      <c r="CB787" s="115"/>
      <c r="CC787" s="115"/>
      <c r="CD787" s="115"/>
      <c r="CE787" s="115"/>
      <c r="CF787" s="115"/>
      <c r="CG787" s="115"/>
      <c r="CH787" s="115"/>
      <c r="CI787" s="115"/>
      <c r="CJ787" s="115"/>
      <c r="CK787" s="115"/>
      <c r="CL787" s="115"/>
      <c r="CM787" s="115"/>
      <c r="CN787" s="115"/>
      <c r="CO787" s="115"/>
      <c r="CP787" s="115"/>
    </row>
    <row r="788" ht="15.75" customHeight="1">
      <c r="A788" s="400" t="s">
        <v>3892</v>
      </c>
      <c r="B788" s="115"/>
      <c r="C788" s="694" t="s">
        <v>1007</v>
      </c>
      <c r="D788" s="192" t="s">
        <v>3893</v>
      </c>
      <c r="E788" s="192" t="s">
        <v>3217</v>
      </c>
      <c r="F788" s="118" t="s">
        <v>3894</v>
      </c>
      <c r="G788" s="286"/>
      <c r="H788" s="119" t="s">
        <v>187</v>
      </c>
      <c r="I788" s="25" t="s">
        <v>188</v>
      </c>
      <c r="J788" s="287"/>
      <c r="K788" s="123"/>
      <c r="L788" s="25">
        <v>2012.0</v>
      </c>
      <c r="M788" s="25">
        <f t="shared" si="604"/>
        <v>13</v>
      </c>
      <c r="N788" s="26">
        <f t="shared" si="605"/>
        <v>2</v>
      </c>
      <c r="O788" s="27" t="str">
        <f t="shared" si="3"/>
        <v>#N/A</v>
      </c>
      <c r="P788" s="28"/>
      <c r="Q788" s="28"/>
      <c r="R788" s="28"/>
      <c r="S788" s="28"/>
      <c r="T788" s="29">
        <f t="shared" si="606"/>
        <v>476923.0769</v>
      </c>
      <c r="U788" s="28"/>
      <c r="V788" s="30">
        <f t="shared" si="425"/>
        <v>6200000</v>
      </c>
      <c r="W788" s="30"/>
      <c r="X788" s="403"/>
      <c r="Y788" s="33">
        <f t="shared" si="607"/>
        <v>0.05873214587</v>
      </c>
      <c r="Z788" s="692"/>
      <c r="AA788" s="665"/>
      <c r="AB788" s="123"/>
      <c r="AC788" s="123"/>
      <c r="AD788" s="124"/>
      <c r="AE788" s="125"/>
      <c r="AF788" s="320">
        <v>42880.0</v>
      </c>
      <c r="AG788" s="1365">
        <v>2000000.0</v>
      </c>
      <c r="AH788" s="123"/>
      <c r="AI788" s="128"/>
      <c r="AJ788" s="42">
        <v>44034.0</v>
      </c>
      <c r="AK788" s="127">
        <v>4200000.0</v>
      </c>
      <c r="AL788" s="124"/>
      <c r="AM788" s="125"/>
      <c r="AN788" s="124"/>
      <c r="AO788" s="125"/>
      <c r="AP788" s="124"/>
      <c r="AQ788" s="125"/>
      <c r="AR788" s="124"/>
      <c r="AS788" s="124"/>
      <c r="AT788" s="124"/>
      <c r="AU788" s="137"/>
      <c r="AV788" s="124"/>
      <c r="AW788" s="38"/>
      <c r="AX788" s="124"/>
      <c r="AY788" s="38"/>
      <c r="AZ788" s="124"/>
      <c r="BA788" s="137"/>
      <c r="BB788" s="124"/>
      <c r="BC788" s="137"/>
      <c r="BD788" s="124"/>
      <c r="BE788" s="38"/>
      <c r="BF788" s="123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68"/>
      <c r="CA788" s="68"/>
      <c r="CB788" s="68"/>
      <c r="CC788" s="68"/>
      <c r="CD788" s="68"/>
      <c r="CE788" s="68"/>
      <c r="CF788" s="68"/>
      <c r="CG788" s="68"/>
      <c r="CH788" s="68"/>
      <c r="CI788" s="68"/>
      <c r="CJ788" s="68"/>
      <c r="CK788" s="68"/>
      <c r="CL788" s="68"/>
      <c r="CM788" s="68"/>
      <c r="CN788" s="68"/>
      <c r="CO788" s="68"/>
      <c r="CP788" s="68"/>
    </row>
    <row r="789" ht="15.75" customHeight="1">
      <c r="A789" s="21" t="s">
        <v>3895</v>
      </c>
      <c r="B789" s="68"/>
      <c r="C789" s="69" t="s">
        <v>59</v>
      </c>
      <c r="D789" s="192" t="s">
        <v>3896</v>
      </c>
      <c r="E789" s="192" t="s">
        <v>3897</v>
      </c>
      <c r="F789" s="803" t="s">
        <v>3898</v>
      </c>
      <c r="G789" s="71"/>
      <c r="H789" s="119" t="s">
        <v>64</v>
      </c>
      <c r="I789" s="25" t="s">
        <v>65</v>
      </c>
      <c r="J789" s="72"/>
      <c r="K789" s="26">
        <v>2.0</v>
      </c>
      <c r="L789" s="26">
        <v>2021.0</v>
      </c>
      <c r="M789" s="25">
        <f t="shared" si="604"/>
        <v>4</v>
      </c>
      <c r="N789" s="26">
        <f t="shared" si="605"/>
        <v>1</v>
      </c>
      <c r="O789" s="27" t="str">
        <f t="shared" si="3"/>
        <v>#N/A</v>
      </c>
      <c r="P789" s="28"/>
      <c r="Q789" s="28"/>
      <c r="R789" s="28"/>
      <c r="S789" s="28"/>
      <c r="T789" s="29">
        <f t="shared" si="606"/>
        <v>1550000</v>
      </c>
      <c r="U789" s="28"/>
      <c r="V789" s="30">
        <f t="shared" si="425"/>
        <v>6200000</v>
      </c>
      <c r="W789" s="30"/>
      <c r="X789" s="73"/>
      <c r="Y789" s="33">
        <f t="shared" si="607"/>
        <v>0</v>
      </c>
      <c r="Z789" s="692"/>
      <c r="AA789" s="665"/>
      <c r="AB789" s="74"/>
      <c r="AC789" s="74"/>
      <c r="AD789" s="79"/>
      <c r="AE789" s="84"/>
      <c r="AF789" s="883" t="str">
        <f>HYPERLINK("https://www.crunchbase.com/funding_round/shepherd-a537-seed--ed506b93","Sep 2, 2021")</f>
        <v>Sep 2, 2021</v>
      </c>
      <c r="AG789" s="76">
        <v>6200000.0</v>
      </c>
      <c r="AH789" s="74"/>
      <c r="AI789" s="78"/>
      <c r="AJ789" s="804"/>
      <c r="AK789" s="76"/>
      <c r="AL789" s="180"/>
      <c r="AM789" s="76"/>
      <c r="AN789" s="804"/>
      <c r="AO789" s="76"/>
      <c r="AP789" s="79"/>
      <c r="AQ789" s="84"/>
      <c r="AR789" s="79"/>
      <c r="AS789" s="79"/>
      <c r="AT789" s="79"/>
      <c r="AU789" s="80"/>
      <c r="AV789" s="79"/>
      <c r="AW789" s="38"/>
      <c r="AX789" s="79"/>
      <c r="AY789" s="38"/>
      <c r="AZ789" s="79"/>
      <c r="BA789" s="80"/>
      <c r="BB789" s="79"/>
      <c r="BC789" s="80"/>
      <c r="BD789" s="79"/>
      <c r="BE789" s="38"/>
      <c r="BF789" s="74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68"/>
      <c r="CA789" s="68"/>
      <c r="CB789" s="68"/>
      <c r="CC789" s="68"/>
      <c r="CD789" s="68"/>
      <c r="CE789" s="68"/>
      <c r="CF789" s="68"/>
      <c r="CG789" s="68"/>
      <c r="CH789" s="68"/>
      <c r="CI789" s="68"/>
      <c r="CJ789" s="68"/>
      <c r="CK789" s="68"/>
      <c r="CL789" s="68"/>
      <c r="CM789" s="68"/>
      <c r="CN789" s="68"/>
      <c r="CO789" s="68"/>
      <c r="CP789" s="68"/>
    </row>
    <row r="790" ht="15.75" customHeight="1">
      <c r="A790" s="400" t="s">
        <v>3899</v>
      </c>
      <c r="B790" s="115"/>
      <c r="C790" s="116" t="s">
        <v>68</v>
      </c>
      <c r="D790" s="401" t="s">
        <v>3900</v>
      </c>
      <c r="E790" s="161" t="s">
        <v>3901</v>
      </c>
      <c r="F790" s="708" t="s">
        <v>3902</v>
      </c>
      <c r="G790" s="286"/>
      <c r="H790" s="119" t="s">
        <v>328</v>
      </c>
      <c r="I790" s="25" t="s">
        <v>329</v>
      </c>
      <c r="J790" s="287"/>
      <c r="K790" s="25">
        <v>1.0</v>
      </c>
      <c r="L790" s="25">
        <v>2020.0</v>
      </c>
      <c r="M790" s="123"/>
      <c r="N790" s="123"/>
      <c r="O790" s="27" t="str">
        <f t="shared" si="3"/>
        <v>#N/A</v>
      </c>
      <c r="P790" s="55"/>
      <c r="Q790" s="55"/>
      <c r="R790" s="55"/>
      <c r="S790" s="55"/>
      <c r="T790" s="55"/>
      <c r="U790" s="55"/>
      <c r="V790" s="30">
        <f t="shared" si="425"/>
        <v>6200000</v>
      </c>
      <c r="W790" s="30"/>
      <c r="X790" s="403"/>
      <c r="Y790" s="403"/>
      <c r="Z790" s="692"/>
      <c r="AA790" s="665"/>
      <c r="AB790" s="123"/>
      <c r="AC790" s="123"/>
      <c r="AD790" s="404">
        <v>44489.0</v>
      </c>
      <c r="AE790" s="335">
        <v>1400000.0</v>
      </c>
      <c r="AF790" s="62">
        <v>44872.0</v>
      </c>
      <c r="AG790" s="1342">
        <v>4800000.0</v>
      </c>
      <c r="AH790" s="123"/>
      <c r="AI790" s="123"/>
      <c r="AJ790" s="123"/>
      <c r="AK790" s="123"/>
      <c r="AL790" s="123"/>
      <c r="AM790" s="123"/>
      <c r="AN790" s="123"/>
      <c r="AO790" s="123"/>
      <c r="AP790" s="123"/>
      <c r="AQ790" s="123"/>
      <c r="AR790" s="123"/>
      <c r="AS790" s="123"/>
      <c r="AT790" s="123"/>
      <c r="AU790" s="137"/>
      <c r="AV790" s="123"/>
      <c r="AW790" s="38"/>
      <c r="AX790" s="123"/>
      <c r="AY790" s="38"/>
      <c r="AZ790" s="123"/>
      <c r="BA790" s="137"/>
      <c r="BB790" s="123"/>
      <c r="BC790" s="137"/>
      <c r="BD790" s="123"/>
      <c r="BE790" s="38"/>
      <c r="BF790" s="123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</row>
    <row r="791" ht="15.75" customHeight="1">
      <c r="A791" s="245" t="s">
        <v>3903</v>
      </c>
      <c r="B791" s="68"/>
      <c r="C791" s="69" t="s">
        <v>513</v>
      </c>
      <c r="D791" s="138"/>
      <c r="E791" s="236" t="s">
        <v>3904</v>
      </c>
      <c r="F791" s="20" t="s">
        <v>3905</v>
      </c>
      <c r="G791" s="861"/>
      <c r="H791" s="71" t="s">
        <v>365</v>
      </c>
      <c r="I791" s="26" t="s">
        <v>65</v>
      </c>
      <c r="J791" s="72" t="s">
        <v>3906</v>
      </c>
      <c r="K791" s="26">
        <v>2.0</v>
      </c>
      <c r="L791" s="26">
        <v>2018.0</v>
      </c>
      <c r="M791" s="25">
        <f t="shared" ref="M791:M793" si="608">year(now()) -L791</f>
        <v>7</v>
      </c>
      <c r="N791" s="26">
        <f t="shared" ref="N791:N793" si="609">counta(AE791,AG791,AI791,AK791,AM791,AO791,AQ791,AS791,AU791,AW791,AY791,BA791,BC791)</f>
        <v>2</v>
      </c>
      <c r="O791" s="27" t="str">
        <f t="shared" si="3"/>
        <v>#N/A</v>
      </c>
      <c r="P791" s="28"/>
      <c r="Q791" s="28"/>
      <c r="R791" s="28"/>
      <c r="S791" s="28"/>
      <c r="T791" s="29">
        <f t="shared" ref="T791:T793" si="610">V791/M791</f>
        <v>878571.4286</v>
      </c>
      <c r="U791" s="28"/>
      <c r="V791" s="30">
        <f t="shared" si="425"/>
        <v>6150000</v>
      </c>
      <c r="W791" s="30"/>
      <c r="X791" s="73"/>
      <c r="Y791" s="33">
        <f t="shared" ref="Y791:Y793" si="611">(max(AE791,AG791,AI791,AK791,AM791,AO791,AQ791,AS791,AU791,AW791,AY791,BA791,BC791)/min(AE791,AG791,AI791,AK791))^(1/M791)-1</f>
        <v>0.6938139801</v>
      </c>
      <c r="Z791" s="692"/>
      <c r="AA791" s="665"/>
      <c r="AB791" s="74"/>
      <c r="AC791" s="74"/>
      <c r="AD791" s="43" t="str">
        <f>HYPERLINK("https://www.crunchbase.com/funding_round/curri-pre-seed--8e0aba78","Aug 19, 2019")</f>
        <v>Aug 19, 2019</v>
      </c>
      <c r="AE791" s="38">
        <v>150000.0</v>
      </c>
      <c r="AF791" s="158" t="str">
        <f>HYPERLINK("https://www.crunchbase.com/funding_round/curri-seed--87109c37","May 15, 2020")</f>
        <v>May 15, 2020</v>
      </c>
      <c r="AG791" s="38"/>
      <c r="AH791" s="36"/>
      <c r="AI791" s="159"/>
      <c r="AJ791" s="862" t="str">
        <f>HYPERLINK("https://www.crunchbase.com/funding_round/curri-series-a--762223b9","Apr 2, 2021")</f>
        <v>Apr 2, 2021</v>
      </c>
      <c r="AK791" s="715">
        <v>6000000.0</v>
      </c>
      <c r="AL791" s="44"/>
      <c r="AM791" s="46"/>
      <c r="AN791" s="44"/>
      <c r="AO791" s="46"/>
      <c r="AP791" s="44"/>
      <c r="AQ791" s="46"/>
      <c r="AR791" s="44"/>
      <c r="AS791" s="44"/>
      <c r="AT791" s="44"/>
      <c r="AU791" s="45"/>
      <c r="AV791" s="44"/>
      <c r="AW791" s="38"/>
      <c r="AX791" s="44"/>
      <c r="AY791" s="38"/>
      <c r="AZ791" s="44"/>
      <c r="BA791" s="45"/>
      <c r="BB791" s="44"/>
      <c r="BC791" s="45"/>
      <c r="BD791" s="44"/>
      <c r="BE791" s="38"/>
      <c r="BF791" s="3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</row>
    <row r="792" ht="15.75" customHeight="1">
      <c r="A792" s="21" t="s">
        <v>3907</v>
      </c>
      <c r="B792" s="68"/>
      <c r="C792" s="69" t="s">
        <v>59</v>
      </c>
      <c r="D792" s="200" t="s">
        <v>3908</v>
      </c>
      <c r="E792" s="138" t="s">
        <v>3909</v>
      </c>
      <c r="F792" s="192" t="s">
        <v>3910</v>
      </c>
      <c r="G792" s="54" t="s">
        <v>3911</v>
      </c>
      <c r="H792" s="71" t="s">
        <v>1272</v>
      </c>
      <c r="I792" s="26" t="s">
        <v>65</v>
      </c>
      <c r="J792" s="72" t="s">
        <v>3912</v>
      </c>
      <c r="K792" s="26">
        <v>1.0</v>
      </c>
      <c r="L792" s="26">
        <v>2015.0</v>
      </c>
      <c r="M792" s="25">
        <f t="shared" si="608"/>
        <v>10</v>
      </c>
      <c r="N792" s="26">
        <f t="shared" si="609"/>
        <v>2</v>
      </c>
      <c r="O792" s="27" t="str">
        <f t="shared" si="3"/>
        <v>#N/A</v>
      </c>
      <c r="P792" s="28"/>
      <c r="Q792" s="28"/>
      <c r="R792" s="28"/>
      <c r="S792" s="28"/>
      <c r="T792" s="29">
        <f t="shared" si="610"/>
        <v>612500</v>
      </c>
      <c r="U792" s="28"/>
      <c r="V792" s="30">
        <f t="shared" si="425"/>
        <v>6125000</v>
      </c>
      <c r="W792" s="30"/>
      <c r="X792" s="73"/>
      <c r="Y792" s="33">
        <f t="shared" si="611"/>
        <v>0.02918600896</v>
      </c>
      <c r="Z792" s="692"/>
      <c r="AA792" s="665"/>
      <c r="AB792" s="74"/>
      <c r="AC792" s="74"/>
      <c r="AD792" s="79"/>
      <c r="AE792" s="76"/>
      <c r="AF792" s="175" t="str">
        <f>HYPERLINK("https://www.crunchbase.com/funding_round/traceair-seed--3143db01","May 21, 2018")</f>
        <v>May 21, 2018</v>
      </c>
      <c r="AG792" s="76">
        <v>2625000.0</v>
      </c>
      <c r="AH792" s="74"/>
      <c r="AI792" s="78"/>
      <c r="AJ792" s="181" t="str">
        <f>HYPERLINK("https://www.crunchbase.com/funding_round/traceair-series-a--62840c99","Jan 20, 2021")</f>
        <v>Jan 20, 2021</v>
      </c>
      <c r="AK792" s="76">
        <v>3500000.0</v>
      </c>
      <c r="AL792" s="79"/>
      <c r="AM792" s="84"/>
      <c r="AN792" s="79"/>
      <c r="AO792" s="84"/>
      <c r="AP792" s="79"/>
      <c r="AQ792" s="84"/>
      <c r="AR792" s="79"/>
      <c r="AS792" s="79"/>
      <c r="AT792" s="79"/>
      <c r="AU792" s="80"/>
      <c r="AV792" s="79"/>
      <c r="AW792" s="38"/>
      <c r="AX792" s="79"/>
      <c r="AY792" s="38"/>
      <c r="AZ792" s="79"/>
      <c r="BA792" s="80"/>
      <c r="BB792" s="79"/>
      <c r="BC792" s="80"/>
      <c r="BD792" s="79"/>
      <c r="BE792" s="38"/>
      <c r="BF792" s="74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</row>
    <row r="793" ht="15.75" customHeight="1">
      <c r="A793" s="442" t="s">
        <v>3913</v>
      </c>
      <c r="B793" s="68" t="s">
        <v>3914</v>
      </c>
      <c r="C793" s="69" t="s">
        <v>84</v>
      </c>
      <c r="D793" s="184" t="s">
        <v>3915</v>
      </c>
      <c r="E793" s="184" t="s">
        <v>3916</v>
      </c>
      <c r="F793" s="184" t="s">
        <v>3917</v>
      </c>
      <c r="G793" s="186"/>
      <c r="H793" s="186" t="s">
        <v>128</v>
      </c>
      <c r="I793" s="74" t="s">
        <v>129</v>
      </c>
      <c r="J793" s="155"/>
      <c r="K793" s="74">
        <v>3.0</v>
      </c>
      <c r="L793" s="26">
        <v>2010.0</v>
      </c>
      <c r="M793" s="25">
        <f t="shared" si="608"/>
        <v>15</v>
      </c>
      <c r="N793" s="26">
        <f t="shared" si="609"/>
        <v>2</v>
      </c>
      <c r="O793" s="27" t="str">
        <f t="shared" si="3"/>
        <v>#N/A</v>
      </c>
      <c r="P793" s="28"/>
      <c r="Q793" s="28"/>
      <c r="R793" s="28"/>
      <c r="S793" s="28"/>
      <c r="T793" s="29">
        <f t="shared" si="610"/>
        <v>406666.6667</v>
      </c>
      <c r="U793" s="28"/>
      <c r="V793" s="30">
        <f t="shared" si="425"/>
        <v>6100000</v>
      </c>
      <c r="W793" s="30"/>
      <c r="X793" s="32"/>
      <c r="Y793" s="33">
        <f t="shared" si="611"/>
        <v>0.07137005126</v>
      </c>
      <c r="Z793" s="692"/>
      <c r="AA793" s="665"/>
      <c r="AB793" s="74"/>
      <c r="AC793" s="74"/>
      <c r="AD793" s="79"/>
      <c r="AE793" s="84"/>
      <c r="AF793" s="856" t="str">
        <f>HYPERLINK("https://www.crunchbase.com/funding_round/nestio-seed--c16998ab"," 12/3/2014")</f>
        <v> 12/3/2014</v>
      </c>
      <c r="AG793" s="76">
        <v>1600000.0</v>
      </c>
      <c r="AH793" s="74"/>
      <c r="AI793" s="78"/>
      <c r="AJ793" s="426" t="str">
        <f>HYPERLINK("https://www.crunchbase.com/funding_round/nestio-series-a--4efbbd0b"," 7/11/2018")</f>
        <v> 7/11/2018</v>
      </c>
      <c r="AK793" s="76">
        <v>4500000.0</v>
      </c>
      <c r="AL793" s="79"/>
      <c r="AM793" s="84"/>
      <c r="AN793" s="79"/>
      <c r="AO793" s="84"/>
      <c r="AP793" s="79"/>
      <c r="AQ793" s="84"/>
      <c r="AR793" s="79"/>
      <c r="AS793" s="79"/>
      <c r="AT793" s="79"/>
      <c r="AU793" s="80"/>
      <c r="AV793" s="79"/>
      <c r="AW793" s="38"/>
      <c r="AX793" s="79"/>
      <c r="AY793" s="38"/>
      <c r="AZ793" s="79"/>
      <c r="BA793" s="80"/>
      <c r="BB793" s="79"/>
      <c r="BC793" s="80"/>
      <c r="BD793" s="79"/>
      <c r="BE793" s="38"/>
      <c r="BF793" s="74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68"/>
      <c r="CA793" s="68"/>
      <c r="CB793" s="68"/>
      <c r="CC793" s="68"/>
      <c r="CD793" s="68"/>
      <c r="CE793" s="68"/>
      <c r="CF793" s="68"/>
      <c r="CG793" s="68"/>
      <c r="CH793" s="68"/>
      <c r="CI793" s="68"/>
      <c r="CJ793" s="68"/>
      <c r="CK793" s="68"/>
      <c r="CL793" s="68"/>
      <c r="CM793" s="68"/>
      <c r="CN793" s="68"/>
      <c r="CO793" s="68"/>
      <c r="CP793" s="68"/>
    </row>
    <row r="794" ht="15.75" customHeight="1">
      <c r="A794" s="747" t="s">
        <v>3918</v>
      </c>
      <c r="B794" s="68"/>
      <c r="C794" s="69" t="s">
        <v>132</v>
      </c>
      <c r="D794" s="192" t="s">
        <v>3919</v>
      </c>
      <c r="E794" s="192" t="s">
        <v>3920</v>
      </c>
      <c r="F794" s="118" t="s">
        <v>3921</v>
      </c>
      <c r="G794" s="71"/>
      <c r="H794" s="71" t="s">
        <v>108</v>
      </c>
      <c r="I794" s="26" t="s">
        <v>109</v>
      </c>
      <c r="J794" s="72"/>
      <c r="K794" s="74"/>
      <c r="L794" s="26">
        <v>2021.0</v>
      </c>
      <c r="M794" s="123"/>
      <c r="N794" s="74"/>
      <c r="O794" s="27" t="str">
        <f t="shared" si="3"/>
        <v>#N/A</v>
      </c>
      <c r="P794" s="273"/>
      <c r="Q794" s="273"/>
      <c r="R794" s="273"/>
      <c r="S794" s="273"/>
      <c r="T794" s="273"/>
      <c r="U794" s="273"/>
      <c r="V794" s="30">
        <f t="shared" si="425"/>
        <v>6100000</v>
      </c>
      <c r="W794" s="30"/>
      <c r="X794" s="32"/>
      <c r="Y794" s="32"/>
      <c r="Z794" s="692"/>
      <c r="AA794" s="665"/>
      <c r="AB794" s="74"/>
      <c r="AC794" s="74"/>
      <c r="AD794" s="79"/>
      <c r="AE794" s="84"/>
      <c r="AF794" s="726">
        <v>44804.0</v>
      </c>
      <c r="AG794" s="76">
        <v>6100000.0</v>
      </c>
      <c r="AH794" s="74"/>
      <c r="AI794" s="78"/>
      <c r="AJ794" s="79"/>
      <c r="AK794" s="84"/>
      <c r="AL794" s="79"/>
      <c r="AM794" s="84"/>
      <c r="AN794" s="79"/>
      <c r="AO794" s="84"/>
      <c r="AP794" s="79"/>
      <c r="AQ794" s="84"/>
      <c r="AR794" s="79"/>
      <c r="AS794" s="79"/>
      <c r="AT794" s="79"/>
      <c r="AU794" s="80"/>
      <c r="AV794" s="79"/>
      <c r="AW794" s="38"/>
      <c r="AX794" s="79"/>
      <c r="AY794" s="38"/>
      <c r="AZ794" s="79"/>
      <c r="BA794" s="80"/>
      <c r="BB794" s="79"/>
      <c r="BC794" s="80"/>
      <c r="BD794" s="79"/>
      <c r="BE794" s="38"/>
      <c r="BF794" s="74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  <c r="CO794" s="68"/>
      <c r="CP794" s="68"/>
    </row>
    <row r="795" ht="15.75" customHeight="1">
      <c r="A795" s="442" t="s">
        <v>3922</v>
      </c>
      <c r="B795" s="68"/>
      <c r="C795" s="69" t="s">
        <v>123</v>
      </c>
      <c r="D795" s="184"/>
      <c r="E795" s="200" t="s">
        <v>3923</v>
      </c>
      <c r="F795" s="185" t="s">
        <v>3924</v>
      </c>
      <c r="G795" s="186"/>
      <c r="H795" s="71" t="s">
        <v>3925</v>
      </c>
      <c r="I795" s="74" t="s">
        <v>748</v>
      </c>
      <c r="J795" s="155"/>
      <c r="K795" s="26">
        <v>3.0</v>
      </c>
      <c r="L795" s="26">
        <v>2013.0</v>
      </c>
      <c r="M795" s="25">
        <f t="shared" ref="M795:M800" si="612">year(now()) -L795</f>
        <v>12</v>
      </c>
      <c r="N795" s="26">
        <f t="shared" ref="N795:N800" si="613">counta(AE795,AG795,AI795,AK795,AM795,AO795,AQ795,AS795,AU795,AW795,AY795,BA795,BC795)</f>
        <v>1</v>
      </c>
      <c r="O795" s="27" t="str">
        <f t="shared" si="3"/>
        <v>#N/A</v>
      </c>
      <c r="P795" s="28"/>
      <c r="Q795" s="28"/>
      <c r="R795" s="28"/>
      <c r="S795" s="28"/>
      <c r="T795" s="29">
        <f t="shared" ref="T795:T800" si="614">V795/M795</f>
        <v>500000</v>
      </c>
      <c r="U795" s="28"/>
      <c r="V795" s="30">
        <f t="shared" si="425"/>
        <v>6000000</v>
      </c>
      <c r="W795" s="30"/>
      <c r="X795" s="73"/>
      <c r="Y795" s="33">
        <f t="shared" ref="Y795:Y800" si="615">(max(AE795,AG795,AI795,AK795,AM795,AO795,AQ795,AS795,AU795,AW795,AY795,BA795,BC795)/min(AE795,AG795,AI795,AK795))^(1/M795)-1</f>
        <v>0</v>
      </c>
      <c r="Z795" s="692"/>
      <c r="AA795" s="665"/>
      <c r="AB795" s="74"/>
      <c r="AC795" s="74"/>
      <c r="AD795" s="228" t="str">
        <f>HYPERLINK("https://www.crunchbase.com/organization/disruptive-technologies-2#section-funding-rounds"," Apr 26, 2016")</f>
        <v> Apr 26, 2016</v>
      </c>
      <c r="AE795" s="38">
        <v>6000000.0</v>
      </c>
      <c r="AF795" s="39"/>
      <c r="AG795" s="46"/>
      <c r="AH795" s="36"/>
      <c r="AI795" s="159"/>
      <c r="AJ795" s="44"/>
      <c r="AK795" s="46"/>
      <c r="AL795" s="44"/>
      <c r="AM795" s="46"/>
      <c r="AN795" s="44"/>
      <c r="AO795" s="46"/>
      <c r="AP795" s="44"/>
      <c r="AQ795" s="46"/>
      <c r="AR795" s="44"/>
      <c r="AS795" s="44"/>
      <c r="AT795" s="44"/>
      <c r="AU795" s="45"/>
      <c r="AV795" s="44"/>
      <c r="AW795" s="38"/>
      <c r="AX795" s="44"/>
      <c r="AY795" s="38"/>
      <c r="AZ795" s="44"/>
      <c r="BA795" s="45"/>
      <c r="BB795" s="44"/>
      <c r="BC795" s="45"/>
      <c r="BD795" s="44"/>
      <c r="BE795" s="38"/>
      <c r="BF795" s="36"/>
      <c r="BG795" s="115"/>
      <c r="BH795" s="115"/>
      <c r="BI795" s="115"/>
      <c r="BJ795" s="115"/>
      <c r="BK795" s="115"/>
      <c r="BL795" s="115"/>
      <c r="BM795" s="115"/>
      <c r="BN795" s="115"/>
      <c r="BO795" s="115"/>
      <c r="BP795" s="115"/>
      <c r="BQ795" s="115"/>
      <c r="BR795" s="115"/>
      <c r="BS795" s="115"/>
      <c r="BT795" s="115"/>
      <c r="BU795" s="115"/>
      <c r="BV795" s="115"/>
      <c r="BW795" s="115"/>
      <c r="BX795" s="115"/>
      <c r="BY795" s="115"/>
      <c r="BZ795" s="115"/>
      <c r="CA795" s="115"/>
      <c r="CB795" s="115"/>
      <c r="CC795" s="115"/>
      <c r="CD795" s="115"/>
      <c r="CE795" s="115"/>
      <c r="CF795" s="115"/>
      <c r="CG795" s="115"/>
      <c r="CH795" s="115"/>
      <c r="CI795" s="115"/>
      <c r="CJ795" s="115"/>
      <c r="CK795" s="115"/>
      <c r="CL795" s="115"/>
      <c r="CM795" s="115"/>
      <c r="CN795" s="115"/>
      <c r="CO795" s="115"/>
      <c r="CP795" s="115"/>
    </row>
    <row r="796" ht="15.75" customHeight="1">
      <c r="A796" s="1366" t="s">
        <v>3926</v>
      </c>
      <c r="B796" s="16"/>
      <c r="C796" s="17" t="s">
        <v>132</v>
      </c>
      <c r="D796" s="18" t="s">
        <v>3927</v>
      </c>
      <c r="E796" s="18" t="s">
        <v>3928</v>
      </c>
      <c r="F796" s="20" t="s">
        <v>3929</v>
      </c>
      <c r="G796" s="22"/>
      <c r="H796" s="22" t="s">
        <v>3247</v>
      </c>
      <c r="I796" s="23" t="s">
        <v>792</v>
      </c>
      <c r="J796" s="24"/>
      <c r="K796" s="23"/>
      <c r="L796" s="23">
        <v>2014.0</v>
      </c>
      <c r="M796" s="25">
        <f t="shared" si="612"/>
        <v>11</v>
      </c>
      <c r="N796" s="26">
        <f t="shared" si="613"/>
        <v>2</v>
      </c>
      <c r="O796" s="27" t="str">
        <f t="shared" si="3"/>
        <v>#N/A</v>
      </c>
      <c r="P796" s="28"/>
      <c r="Q796" s="28"/>
      <c r="R796" s="28"/>
      <c r="S796" s="28"/>
      <c r="T796" s="29">
        <f t="shared" si="614"/>
        <v>545454.5455</v>
      </c>
      <c r="U796" s="28"/>
      <c r="V796" s="30">
        <f t="shared" si="425"/>
        <v>6000000</v>
      </c>
      <c r="W796" s="30"/>
      <c r="X796" s="33"/>
      <c r="Y796" s="33">
        <f t="shared" si="615"/>
        <v>0.1050315034</v>
      </c>
      <c r="Z796" s="692"/>
      <c r="AA796" s="665"/>
      <c r="AB796" s="36"/>
      <c r="AC796" s="36"/>
      <c r="AD796" s="37"/>
      <c r="AE796" s="38"/>
      <c r="AF796" s="225">
        <v>42220.0</v>
      </c>
      <c r="AG796" s="38">
        <v>1500000.0</v>
      </c>
      <c r="AH796" s="226"/>
      <c r="AI796" s="38"/>
      <c r="AJ796" s="227">
        <v>42735.0</v>
      </c>
      <c r="AK796" s="38">
        <v>4500000.0</v>
      </c>
      <c r="AL796" s="37"/>
      <c r="AM796" s="38"/>
      <c r="AN796" s="44"/>
      <c r="AO796" s="46"/>
      <c r="AP796" s="44"/>
      <c r="AQ796" s="46"/>
      <c r="AR796" s="44"/>
      <c r="AS796" s="44"/>
      <c r="AT796" s="44"/>
      <c r="AU796" s="45"/>
      <c r="AV796" s="44"/>
      <c r="AW796" s="38"/>
      <c r="AX796" s="44"/>
      <c r="AY796" s="38"/>
      <c r="AZ796" s="44"/>
      <c r="BA796" s="45"/>
      <c r="BB796" s="44"/>
      <c r="BC796" s="45"/>
      <c r="BD796" s="44"/>
      <c r="BE796" s="38"/>
      <c r="BF796" s="36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</row>
    <row r="797" ht="15.75" customHeight="1">
      <c r="A797" s="442" t="s">
        <v>3930</v>
      </c>
      <c r="B797" s="68" t="s">
        <v>2105</v>
      </c>
      <c r="C797" s="69" t="s">
        <v>132</v>
      </c>
      <c r="D797" s="173" t="s">
        <v>3931</v>
      </c>
      <c r="E797" s="184" t="s">
        <v>3932</v>
      </c>
      <c r="F797" s="184" t="s">
        <v>3933</v>
      </c>
      <c r="G797" s="174" t="s">
        <v>3934</v>
      </c>
      <c r="H797" s="186" t="s">
        <v>937</v>
      </c>
      <c r="I797" s="74" t="s">
        <v>65</v>
      </c>
      <c r="J797" s="155" t="s">
        <v>3935</v>
      </c>
      <c r="K797" s="74">
        <v>1.0</v>
      </c>
      <c r="L797" s="26">
        <v>2006.0</v>
      </c>
      <c r="M797" s="25">
        <f t="shared" si="612"/>
        <v>19</v>
      </c>
      <c r="N797" s="26">
        <f t="shared" si="613"/>
        <v>2</v>
      </c>
      <c r="O797" s="27" t="str">
        <f t="shared" si="3"/>
        <v>#N/A</v>
      </c>
      <c r="P797" s="28"/>
      <c r="Q797" s="28"/>
      <c r="R797" s="28"/>
      <c r="S797" s="28"/>
      <c r="T797" s="29">
        <f t="shared" si="614"/>
        <v>315789.4737</v>
      </c>
      <c r="U797" s="28"/>
      <c r="V797" s="30">
        <f t="shared" si="425"/>
        <v>6000000</v>
      </c>
      <c r="W797" s="30"/>
      <c r="X797" s="32"/>
      <c r="Y797" s="33">
        <f t="shared" si="615"/>
        <v>0</v>
      </c>
      <c r="Z797" s="692"/>
      <c r="AA797" s="665"/>
      <c r="AB797" s="74"/>
      <c r="AC797" s="74"/>
      <c r="AD797" s="44"/>
      <c r="AE797" s="46"/>
      <c r="AF797" s="39"/>
      <c r="AG797" s="38"/>
      <c r="AH797" s="36"/>
      <c r="AI797" s="159"/>
      <c r="AJ797" s="228" t="str">
        <f>HYPERLINK("https://www.crunchbase.com/funding_round/genea-energy-series-a--871f4b81"," 4/11/2008")</f>
        <v> 4/11/2008</v>
      </c>
      <c r="AK797" s="38">
        <v>3000000.0</v>
      </c>
      <c r="AL797" s="44"/>
      <c r="AM797" s="46"/>
      <c r="AN797" s="1116"/>
      <c r="AO797" s="1367"/>
      <c r="AP797" s="228" t="str">
        <f>HYPERLINK("https://www.crunchbase.com/funding_round/genea-energy-series-d--d437aab6"," 6/26/2018")</f>
        <v> 6/26/2018</v>
      </c>
      <c r="AQ797" s="38">
        <v>3000000.0</v>
      </c>
      <c r="AR797" s="44"/>
      <c r="AS797" s="44"/>
      <c r="AT797" s="44"/>
      <c r="AU797" s="45"/>
      <c r="AV797" s="44"/>
      <c r="AW797" s="38"/>
      <c r="AX797" s="44"/>
      <c r="AY797" s="38"/>
      <c r="AZ797" s="44"/>
      <c r="BA797" s="45"/>
      <c r="BB797" s="44"/>
      <c r="BC797" s="45"/>
      <c r="BD797" s="44"/>
      <c r="BE797" s="38"/>
      <c r="BF797" s="36"/>
      <c r="BG797" s="115"/>
      <c r="BH797" s="115"/>
      <c r="BI797" s="115"/>
      <c r="BJ797" s="115"/>
      <c r="BK797" s="115"/>
      <c r="BL797" s="115"/>
      <c r="BM797" s="115"/>
      <c r="BN797" s="115"/>
      <c r="BO797" s="115"/>
      <c r="BP797" s="115"/>
      <c r="BQ797" s="115"/>
      <c r="BR797" s="115"/>
      <c r="BS797" s="115"/>
      <c r="BT797" s="115"/>
      <c r="BU797" s="115"/>
      <c r="BV797" s="115"/>
      <c r="BW797" s="115"/>
      <c r="BX797" s="115"/>
      <c r="BY797" s="115"/>
      <c r="BZ797" s="115"/>
      <c r="CA797" s="115"/>
      <c r="CB797" s="115"/>
      <c r="CC797" s="115"/>
      <c r="CD797" s="115"/>
      <c r="CE797" s="115"/>
      <c r="CF797" s="115"/>
      <c r="CG797" s="115"/>
      <c r="CH797" s="115"/>
      <c r="CI797" s="115"/>
      <c r="CJ797" s="115"/>
      <c r="CK797" s="115"/>
      <c r="CL797" s="115"/>
      <c r="CM797" s="115"/>
      <c r="CN797" s="115"/>
      <c r="CO797" s="115"/>
      <c r="CP797" s="115"/>
    </row>
    <row r="798" ht="15.75" customHeight="1">
      <c r="A798" s="860" t="s">
        <v>3936</v>
      </c>
      <c r="B798" s="68"/>
      <c r="C798" s="69" t="s">
        <v>123</v>
      </c>
      <c r="D798" s="192" t="s">
        <v>3937</v>
      </c>
      <c r="E798" s="192" t="s">
        <v>3938</v>
      </c>
      <c r="F798" s="192" t="s">
        <v>3939</v>
      </c>
      <c r="G798" s="174"/>
      <c r="H798" s="71" t="s">
        <v>114</v>
      </c>
      <c r="I798" s="26" t="s">
        <v>115</v>
      </c>
      <c r="J798" s="155"/>
      <c r="K798" s="74"/>
      <c r="L798" s="26">
        <v>2015.0</v>
      </c>
      <c r="M798" s="25">
        <f t="shared" si="612"/>
        <v>10</v>
      </c>
      <c r="N798" s="26">
        <f t="shared" si="613"/>
        <v>1</v>
      </c>
      <c r="O798" s="27" t="str">
        <f t="shared" si="3"/>
        <v>#N/A</v>
      </c>
      <c r="P798" s="28"/>
      <c r="Q798" s="28"/>
      <c r="R798" s="28"/>
      <c r="S798" s="28"/>
      <c r="T798" s="29">
        <f t="shared" si="614"/>
        <v>600000</v>
      </c>
      <c r="U798" s="28"/>
      <c r="V798" s="30">
        <f t="shared" si="425"/>
        <v>6000000</v>
      </c>
      <c r="W798" s="30"/>
      <c r="X798" s="32"/>
      <c r="Y798" s="33">
        <f t="shared" si="615"/>
        <v>0</v>
      </c>
      <c r="Z798" s="692"/>
      <c r="AA798" s="665"/>
      <c r="AB798" s="74"/>
      <c r="AC798" s="74"/>
      <c r="AD798" s="79"/>
      <c r="AE798" s="84"/>
      <c r="AF798" s="320">
        <v>42095.0</v>
      </c>
      <c r="AG798" s="84"/>
      <c r="AH798" s="74"/>
      <c r="AI798" s="78"/>
      <c r="AJ798" s="42">
        <v>43718.0</v>
      </c>
      <c r="AK798" s="76">
        <v>6000000.0</v>
      </c>
      <c r="AL798" s="79"/>
      <c r="AM798" s="84"/>
      <c r="AN798" s="79"/>
      <c r="AO798" s="84"/>
      <c r="AP798" s="79"/>
      <c r="AQ798" s="84"/>
      <c r="AR798" s="79"/>
      <c r="AS798" s="79"/>
      <c r="AT798" s="79"/>
      <c r="AU798" s="80"/>
      <c r="AV798" s="79"/>
      <c r="AW798" s="38"/>
      <c r="AX798" s="79"/>
      <c r="AY798" s="38"/>
      <c r="AZ798" s="79"/>
      <c r="BA798" s="80"/>
      <c r="BB798" s="79"/>
      <c r="BC798" s="80"/>
      <c r="BD798" s="79"/>
      <c r="BE798" s="38"/>
      <c r="BF798" s="74"/>
      <c r="BG798" s="115"/>
      <c r="BH798" s="115"/>
      <c r="BI798" s="115"/>
      <c r="BJ798" s="115"/>
      <c r="BK798" s="115"/>
      <c r="BL798" s="115"/>
      <c r="BM798" s="115"/>
      <c r="BN798" s="115"/>
      <c r="BO798" s="115"/>
      <c r="BP798" s="115"/>
      <c r="BQ798" s="115"/>
      <c r="BR798" s="115"/>
      <c r="BS798" s="115"/>
      <c r="BT798" s="115"/>
      <c r="BU798" s="115"/>
      <c r="BV798" s="115"/>
      <c r="BW798" s="115"/>
      <c r="BX798" s="115"/>
      <c r="BY798" s="115"/>
      <c r="BZ798" s="115"/>
      <c r="CA798" s="115"/>
      <c r="CB798" s="115"/>
      <c r="CC798" s="115"/>
      <c r="CD798" s="115"/>
      <c r="CE798" s="115"/>
      <c r="CF798" s="115"/>
      <c r="CG798" s="115"/>
      <c r="CH798" s="115"/>
      <c r="CI798" s="115"/>
      <c r="CJ798" s="115"/>
      <c r="CK798" s="115"/>
      <c r="CL798" s="115"/>
      <c r="CM798" s="115"/>
      <c r="CN798" s="115"/>
      <c r="CO798" s="115"/>
      <c r="CP798" s="115"/>
    </row>
    <row r="799" ht="15.75" customHeight="1">
      <c r="A799" s="47" t="s">
        <v>3940</v>
      </c>
      <c r="B799" s="69"/>
      <c r="C799" s="69" t="s">
        <v>59</v>
      </c>
      <c r="D799" s="138"/>
      <c r="E799" s="192" t="s">
        <v>3941</v>
      </c>
      <c r="F799" s="118" t="s">
        <v>3942</v>
      </c>
      <c r="G799" s="54"/>
      <c r="H799" s="71" t="s">
        <v>3943</v>
      </c>
      <c r="I799" s="26" t="s">
        <v>372</v>
      </c>
      <c r="J799" s="178"/>
      <c r="K799" s="74"/>
      <c r="L799" s="26">
        <v>2013.0</v>
      </c>
      <c r="M799" s="25">
        <f t="shared" si="612"/>
        <v>12</v>
      </c>
      <c r="N799" s="26">
        <f t="shared" si="613"/>
        <v>1</v>
      </c>
      <c r="O799" s="27" t="str">
        <f t="shared" si="3"/>
        <v>#N/A</v>
      </c>
      <c r="P799" s="28"/>
      <c r="Q799" s="28"/>
      <c r="R799" s="28"/>
      <c r="S799" s="28"/>
      <c r="T799" s="29">
        <f t="shared" si="614"/>
        <v>500000</v>
      </c>
      <c r="U799" s="28"/>
      <c r="V799" s="30">
        <f t="shared" si="425"/>
        <v>6000000</v>
      </c>
      <c r="W799" s="30"/>
      <c r="X799" s="32"/>
      <c r="Y799" s="33">
        <f t="shared" si="615"/>
        <v>0</v>
      </c>
      <c r="Z799" s="692"/>
      <c r="AA799" s="665"/>
      <c r="AB799" s="74"/>
      <c r="AC799" s="74"/>
      <c r="AD799" s="44"/>
      <c r="AE799" s="46"/>
      <c r="AF799" s="39"/>
      <c r="AG799" s="46"/>
      <c r="AH799" s="36"/>
      <c r="AI799" s="159"/>
      <c r="AJ799" s="228" t="str">
        <f>HYPERLINK("https://www.crunchbase.com/funding_round/rod-radar-series-a--3c9b37d5","Sep 30. 2021")</f>
        <v>Sep 30. 2021</v>
      </c>
      <c r="AK799" s="38">
        <v>6000000.0</v>
      </c>
      <c r="AL799" s="44"/>
      <c r="AM799" s="84"/>
      <c r="AN799" s="79"/>
      <c r="AO799" s="84"/>
      <c r="AP799" s="79"/>
      <c r="AQ799" s="84"/>
      <c r="AR799" s="79"/>
      <c r="AS799" s="79"/>
      <c r="AT799" s="79"/>
      <c r="AU799" s="80"/>
      <c r="AV799" s="79"/>
      <c r="AW799" s="38"/>
      <c r="AX799" s="79"/>
      <c r="AY799" s="38"/>
      <c r="AZ799" s="79"/>
      <c r="BA799" s="80"/>
      <c r="BB799" s="79"/>
      <c r="BC799" s="80"/>
      <c r="BD799" s="79"/>
      <c r="BE799" s="38"/>
      <c r="BF799" s="74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</row>
    <row r="800" ht="15.75" customHeight="1">
      <c r="A800" s="21" t="s">
        <v>3944</v>
      </c>
      <c r="B800" s="68"/>
      <c r="C800" s="69" t="s">
        <v>1972</v>
      </c>
      <c r="D800" s="192" t="s">
        <v>3945</v>
      </c>
      <c r="E800" s="192" t="s">
        <v>3946</v>
      </c>
      <c r="F800" s="118" t="s">
        <v>3947</v>
      </c>
      <c r="G800" s="71"/>
      <c r="H800" s="71"/>
      <c r="I800" s="969" t="s">
        <v>100</v>
      </c>
      <c r="J800" s="718"/>
      <c r="K800" s="26"/>
      <c r="L800" s="26">
        <v>2014.0</v>
      </c>
      <c r="M800" s="25">
        <f t="shared" si="612"/>
        <v>11</v>
      </c>
      <c r="N800" s="26">
        <f t="shared" si="613"/>
        <v>1</v>
      </c>
      <c r="O800" s="27" t="str">
        <f t="shared" si="3"/>
        <v>#N/A</v>
      </c>
      <c r="P800" s="28"/>
      <c r="Q800" s="28"/>
      <c r="R800" s="28"/>
      <c r="S800" s="28"/>
      <c r="T800" s="29">
        <f t="shared" si="614"/>
        <v>545454.5455</v>
      </c>
      <c r="U800" s="28"/>
      <c r="V800" s="30">
        <f t="shared" si="425"/>
        <v>6000000</v>
      </c>
      <c r="W800" s="30"/>
      <c r="X800" s="73"/>
      <c r="Y800" s="33">
        <f t="shared" si="615"/>
        <v>0</v>
      </c>
      <c r="Z800" s="692"/>
      <c r="AA800" s="665"/>
      <c r="AB800" s="74"/>
      <c r="AC800" s="74"/>
      <c r="AD800" s="79"/>
      <c r="AE800" s="84"/>
      <c r="AF800" s="338"/>
      <c r="AG800" s="84"/>
      <c r="AH800" s="77"/>
      <c r="AI800" s="435"/>
      <c r="AJ800" s="42">
        <v>42649.0</v>
      </c>
      <c r="AK800" s="76">
        <v>6000000.0</v>
      </c>
      <c r="AL800" s="79"/>
      <c r="AM800" s="76"/>
      <c r="AN800" s="79"/>
      <c r="AO800" s="76"/>
      <c r="AP800" s="79"/>
      <c r="AQ800" s="84"/>
      <c r="AR800" s="79"/>
      <c r="AS800" s="79"/>
      <c r="AT800" s="79"/>
      <c r="AU800" s="80"/>
      <c r="AV800" s="79"/>
      <c r="AW800" s="38"/>
      <c r="AX800" s="79"/>
      <c r="AY800" s="38"/>
      <c r="AZ800" s="79"/>
      <c r="BA800" s="80"/>
      <c r="BB800" s="79"/>
      <c r="BC800" s="80"/>
      <c r="BD800" s="79"/>
      <c r="BE800" s="38"/>
      <c r="BF800" s="74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</row>
    <row r="801" ht="15.75" customHeight="1">
      <c r="A801" s="245" t="s">
        <v>3948</v>
      </c>
      <c r="B801" s="17"/>
      <c r="C801" s="17" t="s">
        <v>76</v>
      </c>
      <c r="D801" s="337"/>
      <c r="E801" s="18" t="s">
        <v>3949</v>
      </c>
      <c r="F801" s="20" t="s">
        <v>3950</v>
      </c>
      <c r="G801" s="317"/>
      <c r="H801" s="22" t="s">
        <v>128</v>
      </c>
      <c r="I801" s="23" t="s">
        <v>129</v>
      </c>
      <c r="J801" s="237"/>
      <c r="K801" s="26">
        <v>1.0</v>
      </c>
      <c r="L801" s="23">
        <v>2021.0</v>
      </c>
      <c r="M801" s="25"/>
      <c r="N801" s="26"/>
      <c r="O801" s="27" t="str">
        <f t="shared" si="3"/>
        <v>#N/A</v>
      </c>
      <c r="P801" s="28"/>
      <c r="Q801" s="28"/>
      <c r="R801" s="28"/>
      <c r="S801" s="28"/>
      <c r="T801" s="28"/>
      <c r="U801" s="28"/>
      <c r="V801" s="30">
        <f t="shared" si="425"/>
        <v>6000000</v>
      </c>
      <c r="W801" s="30"/>
      <c r="X801" s="73"/>
      <c r="Y801" s="73"/>
      <c r="Z801" s="692"/>
      <c r="AA801" s="665"/>
      <c r="AB801" s="36"/>
      <c r="AC801" s="36"/>
      <c r="AD801" s="44"/>
      <c r="AE801" s="46"/>
      <c r="AF801" s="158" t="str">
        <f>HYPERLINK("https://www.crunchbase.com/funding_round/courted-seed--ebd791f8","May 3, 2022")</f>
        <v>May 3, 2022</v>
      </c>
      <c r="AG801" s="38">
        <v>6000000.0</v>
      </c>
      <c r="AH801" s="36"/>
      <c r="AI801" s="159"/>
      <c r="AJ801" s="44"/>
      <c r="AK801" s="46"/>
      <c r="AL801" s="44"/>
      <c r="AM801" s="46"/>
      <c r="AN801" s="44"/>
      <c r="AO801" s="46"/>
      <c r="AP801" s="44"/>
      <c r="AQ801" s="46"/>
      <c r="AR801" s="44"/>
      <c r="AS801" s="44"/>
      <c r="AT801" s="44"/>
      <c r="AU801" s="45"/>
      <c r="AV801" s="44"/>
      <c r="AW801" s="38"/>
      <c r="AX801" s="44"/>
      <c r="AY801" s="38"/>
      <c r="AZ801" s="44"/>
      <c r="BA801" s="45"/>
      <c r="BB801" s="44"/>
      <c r="BC801" s="45"/>
      <c r="BD801" s="44"/>
      <c r="BE801" s="38"/>
      <c r="BF801" s="3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</row>
    <row r="802" ht="15.75" customHeight="1">
      <c r="A802" s="48" t="s">
        <v>3951</v>
      </c>
      <c r="B802" s="68"/>
      <c r="C802" s="69" t="s">
        <v>207</v>
      </c>
      <c r="D802" s="48"/>
      <c r="E802" s="192" t="s">
        <v>3952</v>
      </c>
      <c r="F802" s="118" t="s">
        <v>3953</v>
      </c>
      <c r="G802" s="140"/>
      <c r="H802" s="71" t="s">
        <v>64</v>
      </c>
      <c r="I802" s="26" t="s">
        <v>65</v>
      </c>
      <c r="J802" s="155"/>
      <c r="K802" s="26">
        <v>1.0</v>
      </c>
      <c r="L802" s="26">
        <v>2020.0</v>
      </c>
      <c r="M802" s="25"/>
      <c r="N802" s="26"/>
      <c r="O802" s="27" t="str">
        <f t="shared" si="3"/>
        <v>#N/A</v>
      </c>
      <c r="P802" s="28"/>
      <c r="Q802" s="28"/>
      <c r="R802" s="28"/>
      <c r="S802" s="28"/>
      <c r="T802" s="28"/>
      <c r="U802" s="28"/>
      <c r="V802" s="30">
        <f t="shared" si="425"/>
        <v>6000000</v>
      </c>
      <c r="W802" s="30"/>
      <c r="X802" s="73"/>
      <c r="Y802" s="73"/>
      <c r="Z802" s="692"/>
      <c r="AA802" s="665"/>
      <c r="AB802" s="74"/>
      <c r="AC802" s="74"/>
      <c r="AD802" s="44"/>
      <c r="AE802" s="46"/>
      <c r="AF802" s="158" t="str">
        <f>HYPERLINK("https://www.crunchbase.com/funding_round/flexspace-technologies-inc-seed--4d72405d","Dec 18, 2021")</f>
        <v>Dec 18, 2021</v>
      </c>
      <c r="AG802" s="38">
        <v>6000000.0</v>
      </c>
      <c r="AH802" s="36"/>
      <c r="AI802" s="159"/>
      <c r="AJ802" s="37"/>
      <c r="AK802" s="38"/>
      <c r="AL802" s="44"/>
      <c r="AM802" s="46"/>
      <c r="AN802" s="44"/>
      <c r="AO802" s="46"/>
      <c r="AP802" s="44"/>
      <c r="AQ802" s="46"/>
      <c r="AR802" s="44"/>
      <c r="AS802" s="44"/>
      <c r="AT802" s="44"/>
      <c r="AU802" s="45"/>
      <c r="AV802" s="44"/>
      <c r="AW802" s="38"/>
      <c r="AX802" s="44"/>
      <c r="AY802" s="38"/>
      <c r="AZ802" s="44"/>
      <c r="BA802" s="45"/>
      <c r="BB802" s="44"/>
      <c r="BC802" s="45"/>
      <c r="BD802" s="44"/>
      <c r="BE802" s="38"/>
      <c r="BF802" s="36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  <c r="CO802" s="68"/>
      <c r="CP802" s="68"/>
    </row>
    <row r="803" ht="15.75" customHeight="1">
      <c r="A803" s="48" t="s">
        <v>3954</v>
      </c>
      <c r="B803" s="68"/>
      <c r="C803" s="69" t="s">
        <v>84</v>
      </c>
      <c r="D803" s="337"/>
      <c r="E803" s="50" t="s">
        <v>3955</v>
      </c>
      <c r="F803" s="70" t="s">
        <v>3956</v>
      </c>
      <c r="G803" s="186"/>
      <c r="H803" s="71" t="s">
        <v>64</v>
      </c>
      <c r="I803" s="26" t="s">
        <v>65</v>
      </c>
      <c r="J803" s="155"/>
      <c r="K803" s="26">
        <v>2.0</v>
      </c>
      <c r="L803" s="26">
        <v>2021.0</v>
      </c>
      <c r="M803" s="25"/>
      <c r="N803" s="26"/>
      <c r="O803" s="27" t="str">
        <f t="shared" si="3"/>
        <v>#N/A</v>
      </c>
      <c r="P803" s="273"/>
      <c r="Q803" s="273"/>
      <c r="R803" s="273"/>
      <c r="S803" s="273"/>
      <c r="T803" s="273"/>
      <c r="U803" s="273"/>
      <c r="V803" s="30">
        <f t="shared" si="425"/>
        <v>6000000</v>
      </c>
      <c r="W803" s="30"/>
      <c r="X803" s="73"/>
      <c r="Y803" s="73"/>
      <c r="Z803" s="692"/>
      <c r="AA803" s="665"/>
      <c r="AB803" s="74"/>
      <c r="AC803" s="74"/>
      <c r="AD803" s="79"/>
      <c r="AE803" s="84"/>
      <c r="AF803" s="726">
        <v>44805.0</v>
      </c>
      <c r="AG803" s="76">
        <v>6000000.0</v>
      </c>
      <c r="AH803" s="74"/>
      <c r="AI803" s="435"/>
      <c r="AJ803" s="79"/>
      <c r="AK803" s="84"/>
      <c r="AL803" s="79"/>
      <c r="AM803" s="84"/>
      <c r="AN803" s="79"/>
      <c r="AO803" s="84"/>
      <c r="AP803" s="79"/>
      <c r="AQ803" s="84"/>
      <c r="AR803" s="79"/>
      <c r="AS803" s="79"/>
      <c r="AT803" s="79"/>
      <c r="AU803" s="80"/>
      <c r="AV803" s="79"/>
      <c r="AW803" s="38"/>
      <c r="AX803" s="79"/>
      <c r="AY803" s="38"/>
      <c r="AZ803" s="79"/>
      <c r="BA803" s="80"/>
      <c r="BB803" s="79"/>
      <c r="BC803" s="80"/>
      <c r="BD803" s="79"/>
      <c r="BE803" s="38"/>
      <c r="BF803" s="74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</row>
    <row r="804" ht="15.75" customHeight="1">
      <c r="A804" s="400" t="s">
        <v>3957</v>
      </c>
      <c r="B804" s="115"/>
      <c r="C804" s="116" t="s">
        <v>84</v>
      </c>
      <c r="D804" s="401" t="s">
        <v>3958</v>
      </c>
      <c r="E804" s="161" t="s">
        <v>3959</v>
      </c>
      <c r="F804" s="402" t="s">
        <v>3960</v>
      </c>
      <c r="G804" s="286"/>
      <c r="H804" s="119" t="s">
        <v>1165</v>
      </c>
      <c r="I804" s="25" t="s">
        <v>65</v>
      </c>
      <c r="J804" s="287"/>
      <c r="K804" s="25">
        <v>2.0</v>
      </c>
      <c r="L804" s="25">
        <v>2020.0</v>
      </c>
      <c r="M804" s="123"/>
      <c r="N804" s="123"/>
      <c r="O804" s="27" t="str">
        <f t="shared" si="3"/>
        <v>#N/A</v>
      </c>
      <c r="P804" s="55"/>
      <c r="Q804" s="55"/>
      <c r="R804" s="55"/>
      <c r="S804" s="55"/>
      <c r="T804" s="55"/>
      <c r="U804" s="55"/>
      <c r="V804" s="30">
        <f t="shared" si="425"/>
        <v>6000000</v>
      </c>
      <c r="W804" s="30"/>
      <c r="X804" s="403"/>
      <c r="Y804" s="403"/>
      <c r="Z804" s="692"/>
      <c r="AA804" s="665"/>
      <c r="AB804" s="123"/>
      <c r="AC804" s="123"/>
      <c r="AD804" s="452"/>
      <c r="AE804" s="123"/>
      <c r="AF804" s="62">
        <v>44860.0</v>
      </c>
      <c r="AG804" s="335">
        <v>6000000.0</v>
      </c>
      <c r="AH804" s="123"/>
      <c r="AI804" s="123"/>
      <c r="AJ804" s="123"/>
      <c r="AK804" s="123"/>
      <c r="AL804" s="123"/>
      <c r="AM804" s="123"/>
      <c r="AN804" s="123"/>
      <c r="AO804" s="123"/>
      <c r="AP804" s="123"/>
      <c r="AQ804" s="123"/>
      <c r="AR804" s="123"/>
      <c r="AS804" s="123"/>
      <c r="AT804" s="123"/>
      <c r="AU804" s="137"/>
      <c r="AV804" s="123"/>
      <c r="AW804" s="38"/>
      <c r="AX804" s="123"/>
      <c r="AY804" s="38"/>
      <c r="AZ804" s="123"/>
      <c r="BA804" s="137"/>
      <c r="BB804" s="123"/>
      <c r="BC804" s="137"/>
      <c r="BD804" s="123"/>
      <c r="BE804" s="38"/>
      <c r="BF804" s="123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68"/>
      <c r="CA804" s="68"/>
      <c r="CB804" s="68"/>
      <c r="CC804" s="68"/>
      <c r="CD804" s="68"/>
      <c r="CE804" s="68"/>
      <c r="CF804" s="68"/>
      <c r="CG804" s="68"/>
      <c r="CH804" s="68"/>
      <c r="CI804" s="68"/>
      <c r="CJ804" s="68"/>
      <c r="CK804" s="68"/>
      <c r="CL804" s="68"/>
      <c r="CM804" s="68"/>
      <c r="CN804" s="68"/>
      <c r="CO804" s="68"/>
      <c r="CP804" s="68"/>
    </row>
    <row r="805" ht="15.75" customHeight="1">
      <c r="A805" s="47" t="s">
        <v>3961</v>
      </c>
      <c r="C805" s="48" t="s">
        <v>76</v>
      </c>
      <c r="D805" s="49" t="s">
        <v>3962</v>
      </c>
      <c r="E805" s="49" t="s">
        <v>3963</v>
      </c>
      <c r="F805" s="352" t="s">
        <v>3964</v>
      </c>
      <c r="G805" s="353"/>
      <c r="H805" s="53" t="s">
        <v>3103</v>
      </c>
      <c r="I805" s="54" t="s">
        <v>65</v>
      </c>
      <c r="J805" s="55"/>
      <c r="K805" s="54">
        <v>1.0</v>
      </c>
      <c r="L805" s="56">
        <v>2021.0</v>
      </c>
      <c r="M805" s="55"/>
      <c r="N805" s="55"/>
      <c r="O805" s="27" t="str">
        <f t="shared" si="3"/>
        <v>#N/A</v>
      </c>
      <c r="P805" s="55"/>
      <c r="Q805" s="55"/>
      <c r="R805" s="55"/>
      <c r="S805" s="55"/>
      <c r="T805" s="55"/>
      <c r="U805" s="55"/>
      <c r="V805" s="30">
        <f t="shared" si="425"/>
        <v>6000000</v>
      </c>
      <c r="W805" s="30"/>
      <c r="X805" s="58"/>
      <c r="Y805" s="58"/>
      <c r="Z805" s="692"/>
      <c r="AA805" s="665"/>
      <c r="AB805" s="55"/>
      <c r="AC805" s="55"/>
      <c r="AD805" s="880">
        <v>44544.0</v>
      </c>
      <c r="AE805" s="38">
        <v>1500000.0</v>
      </c>
      <c r="AF805" s="62">
        <v>44895.0</v>
      </c>
      <c r="AG805" s="38">
        <v>4500000.0</v>
      </c>
      <c r="AH805" s="55"/>
      <c r="AI805" s="55"/>
      <c r="AJ805" s="55"/>
      <c r="AK805" s="55"/>
      <c r="AL805" s="55"/>
      <c r="AM805" s="55"/>
      <c r="AN805" s="55"/>
      <c r="AO805" s="55"/>
      <c r="AP805" s="356"/>
      <c r="AQ805" s="38"/>
      <c r="AR805" s="55"/>
      <c r="AS805" s="38"/>
      <c r="AT805" s="55"/>
      <c r="AU805" s="38"/>
      <c r="AV805" s="55"/>
      <c r="AW805" s="38"/>
      <c r="AX805" s="55"/>
      <c r="AY805" s="38"/>
      <c r="AZ805" s="55"/>
      <c r="BA805" s="722"/>
      <c r="BB805" s="55"/>
      <c r="BC805" s="38"/>
      <c r="BD805" s="55"/>
      <c r="BE805" s="38"/>
      <c r="BF805" s="55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</row>
    <row r="806" ht="15.75" customHeight="1">
      <c r="A806" s="400" t="s">
        <v>3965</v>
      </c>
      <c r="B806" s="115"/>
      <c r="C806" s="116" t="s">
        <v>84</v>
      </c>
      <c r="D806" s="449"/>
      <c r="E806" s="161" t="s">
        <v>3966</v>
      </c>
      <c r="F806" s="402" t="s">
        <v>3967</v>
      </c>
      <c r="G806" s="286"/>
      <c r="H806" s="119" t="s">
        <v>619</v>
      </c>
      <c r="I806" s="25" t="s">
        <v>257</v>
      </c>
      <c r="J806" s="287"/>
      <c r="K806" s="26">
        <v>2.0</v>
      </c>
      <c r="L806" s="25">
        <v>2021.0</v>
      </c>
      <c r="M806" s="25"/>
      <c r="N806" s="26"/>
      <c r="O806" s="27" t="str">
        <f t="shared" si="3"/>
        <v>#N/A</v>
      </c>
      <c r="P806" s="55"/>
      <c r="Q806" s="55"/>
      <c r="R806" s="55"/>
      <c r="S806" s="55"/>
      <c r="T806" s="55"/>
      <c r="U806" s="55"/>
      <c r="V806" s="30">
        <f t="shared" si="425"/>
        <v>5800000</v>
      </c>
      <c r="W806" s="30"/>
      <c r="X806" s="73"/>
      <c r="Y806" s="73"/>
      <c r="Z806" s="692"/>
      <c r="AA806" s="665"/>
      <c r="AB806" s="123"/>
      <c r="AC806" s="123"/>
      <c r="AD806" s="1368"/>
      <c r="AE806" s="1369"/>
      <c r="AF806" s="126" t="str">
        <f>HYPERLINK("https://www.crunchbase.com/funding_round/ivy-homes-seed--2605bfe3","Jun 6, 2022")</f>
        <v>Jun 6, 2022</v>
      </c>
      <c r="AG806" s="127">
        <v>5800000.0</v>
      </c>
      <c r="AH806" s="123"/>
      <c r="AI806" s="128"/>
      <c r="AJ806" s="124"/>
      <c r="AK806" s="125"/>
      <c r="AL806" s="124"/>
      <c r="AM806" s="125"/>
      <c r="AN806" s="124"/>
      <c r="AO806" s="125"/>
      <c r="AP806" s="124"/>
      <c r="AQ806" s="125"/>
      <c r="AR806" s="124"/>
      <c r="AS806" s="124"/>
      <c r="AT806" s="124"/>
      <c r="AU806" s="137"/>
      <c r="AV806" s="124"/>
      <c r="AW806" s="38"/>
      <c r="AX806" s="124"/>
      <c r="AY806" s="38"/>
      <c r="AZ806" s="124"/>
      <c r="BA806" s="137"/>
      <c r="BB806" s="124"/>
      <c r="BC806" s="137"/>
      <c r="BD806" s="124"/>
      <c r="BE806" s="38"/>
      <c r="BF806" s="123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68"/>
      <c r="CA806" s="68"/>
      <c r="CB806" s="68"/>
      <c r="CC806" s="68"/>
      <c r="CD806" s="68"/>
      <c r="CE806" s="68"/>
      <c r="CF806" s="68"/>
      <c r="CG806" s="68"/>
      <c r="CH806" s="68"/>
      <c r="CI806" s="68"/>
      <c r="CJ806" s="68"/>
      <c r="CK806" s="68"/>
      <c r="CL806" s="68"/>
      <c r="CM806" s="68"/>
      <c r="CN806" s="68"/>
      <c r="CO806" s="68"/>
      <c r="CP806" s="68"/>
    </row>
    <row r="807" ht="15.75" customHeight="1">
      <c r="A807" s="21" t="s">
        <v>3968</v>
      </c>
      <c r="B807" s="68"/>
      <c r="C807" s="69" t="s">
        <v>3969</v>
      </c>
      <c r="D807" s="138" t="s">
        <v>3970</v>
      </c>
      <c r="E807" s="138" t="s">
        <v>3971</v>
      </c>
      <c r="F807" s="173" t="s">
        <v>3972</v>
      </c>
      <c r="G807" s="186"/>
      <c r="H807" s="71" t="s">
        <v>64</v>
      </c>
      <c r="I807" s="26" t="s">
        <v>65</v>
      </c>
      <c r="J807" s="155"/>
      <c r="K807" s="74"/>
      <c r="L807" s="26">
        <v>2019.0</v>
      </c>
      <c r="M807" s="123"/>
      <c r="N807" s="74"/>
      <c r="O807" s="27" t="str">
        <f t="shared" si="3"/>
        <v>#N/A</v>
      </c>
      <c r="P807" s="273"/>
      <c r="Q807" s="273"/>
      <c r="R807" s="273"/>
      <c r="S807" s="273"/>
      <c r="T807" s="273"/>
      <c r="U807" s="273"/>
      <c r="V807" s="30">
        <f t="shared" si="425"/>
        <v>5800000</v>
      </c>
      <c r="W807" s="30"/>
      <c r="X807" s="32"/>
      <c r="Y807" s="32"/>
      <c r="Z807" s="692"/>
      <c r="AA807" s="665"/>
      <c r="AB807" s="74"/>
      <c r="AC807" s="74"/>
      <c r="AD807" s="79"/>
      <c r="AE807" s="84"/>
      <c r="AF807" s="175" t="str">
        <f>HYPERLINK("https://www.crunchbase.com/funding_round/myplace-seed--76fcfaed","Mar 3, 2022")</f>
        <v>Mar 3, 2022</v>
      </c>
      <c r="AG807" s="76">
        <v>5800000.0</v>
      </c>
      <c r="AH807" s="74"/>
      <c r="AI807" s="78"/>
      <c r="AJ807" s="279"/>
      <c r="AK807" s="76"/>
      <c r="AL807" s="79"/>
      <c r="AM807" s="76"/>
      <c r="AN807" s="279"/>
      <c r="AO807" s="877"/>
      <c r="AP807" s="55"/>
      <c r="AQ807" s="84"/>
      <c r="AR807" s="79"/>
      <c r="AS807" s="79"/>
      <c r="AT807" s="79"/>
      <c r="AU807" s="80"/>
      <c r="AV807" s="79"/>
      <c r="AW807" s="38"/>
      <c r="AX807" s="79"/>
      <c r="AY807" s="38"/>
      <c r="AZ807" s="79"/>
      <c r="BA807" s="80"/>
      <c r="BB807" s="79"/>
      <c r="BC807" s="80"/>
      <c r="BD807" s="79"/>
      <c r="BE807" s="38"/>
      <c r="BF807" s="74"/>
      <c r="BG807" s="534"/>
      <c r="BH807" s="534"/>
      <c r="BI807" s="534"/>
      <c r="BJ807" s="534"/>
      <c r="BK807" s="534"/>
      <c r="BL807" s="534"/>
      <c r="BM807" s="534"/>
      <c r="BN807" s="534"/>
      <c r="BO807" s="534"/>
      <c r="BP807" s="534"/>
      <c r="BQ807" s="534"/>
      <c r="BR807" s="534"/>
      <c r="BS807" s="534"/>
      <c r="BT807" s="534"/>
      <c r="BU807" s="534"/>
      <c r="BV807" s="534"/>
      <c r="BW807" s="534"/>
      <c r="BX807" s="534"/>
      <c r="BY807" s="534"/>
      <c r="BZ807" s="534"/>
      <c r="CA807" s="534"/>
      <c r="CB807" s="534"/>
      <c r="CC807" s="534"/>
      <c r="CD807" s="534"/>
      <c r="CE807" s="534"/>
      <c r="CF807" s="534"/>
      <c r="CG807" s="534"/>
      <c r="CH807" s="534"/>
      <c r="CI807" s="534"/>
      <c r="CJ807" s="534"/>
      <c r="CK807" s="534"/>
      <c r="CL807" s="534"/>
      <c r="CM807" s="534"/>
      <c r="CN807" s="534"/>
      <c r="CO807" s="534"/>
      <c r="CP807" s="534"/>
    </row>
    <row r="808" ht="15.75" customHeight="1">
      <c r="A808" s="21" t="s">
        <v>3973</v>
      </c>
      <c r="B808" s="68"/>
      <c r="C808" s="69" t="s">
        <v>76</v>
      </c>
      <c r="D808" s="138" t="s">
        <v>3974</v>
      </c>
      <c r="E808" s="200" t="s">
        <v>3975</v>
      </c>
      <c r="F808" s="177" t="s">
        <v>3976</v>
      </c>
      <c r="G808" s="54"/>
      <c r="H808" s="71" t="s">
        <v>114</v>
      </c>
      <c r="I808" s="26" t="s">
        <v>115</v>
      </c>
      <c r="J808" s="72"/>
      <c r="K808" s="26">
        <v>3.0</v>
      </c>
      <c r="L808" s="26">
        <v>2020.0</v>
      </c>
      <c r="M808" s="25"/>
      <c r="N808" s="26"/>
      <c r="O808" s="27" t="str">
        <f t="shared" si="3"/>
        <v>#N/A</v>
      </c>
      <c r="P808" s="273"/>
      <c r="Q808" s="273"/>
      <c r="R808" s="273"/>
      <c r="S808" s="273"/>
      <c r="T808" s="273"/>
      <c r="U808" s="273"/>
      <c r="V808" s="30">
        <f t="shared" si="425"/>
        <v>5800000</v>
      </c>
      <c r="W808" s="30"/>
      <c r="X808" s="73"/>
      <c r="Y808" s="73"/>
      <c r="Z808" s="692"/>
      <c r="AA808" s="665"/>
      <c r="AB808" s="74"/>
      <c r="AC808" s="74"/>
      <c r="AD808" s="79"/>
      <c r="AE808" s="84"/>
      <c r="AF808" s="175" t="str">
        <f>HYPERLINK("https://www.crunchbase.com/funding_round/ownwell-seed--311dcb4a","May 2, 2022")</f>
        <v>May 2, 2022</v>
      </c>
      <c r="AG808" s="76">
        <v>5800000.0</v>
      </c>
      <c r="AH808" s="74"/>
      <c r="AI808" s="78"/>
      <c r="AJ808" s="79"/>
      <c r="AK808" s="76"/>
      <c r="AL808" s="79"/>
      <c r="AM808" s="76"/>
      <c r="AN808" s="79"/>
      <c r="AO808" s="84"/>
      <c r="AP808" s="79"/>
      <c r="AQ808" s="84"/>
      <c r="AR808" s="79"/>
      <c r="AS808" s="79"/>
      <c r="AT808" s="79"/>
      <c r="AU808" s="80"/>
      <c r="AV808" s="79"/>
      <c r="AW808" s="38"/>
      <c r="AX808" s="79"/>
      <c r="AY808" s="38"/>
      <c r="AZ808" s="79"/>
      <c r="BA808" s="80"/>
      <c r="BB808" s="79"/>
      <c r="BC808" s="80"/>
      <c r="BD808" s="79"/>
      <c r="BE808" s="38"/>
      <c r="BF808" s="74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68"/>
      <c r="CA808" s="68"/>
      <c r="CB808" s="68"/>
      <c r="CC808" s="68"/>
      <c r="CD808" s="68"/>
      <c r="CE808" s="68"/>
      <c r="CF808" s="68"/>
      <c r="CG808" s="68"/>
      <c r="CH808" s="68"/>
      <c r="CI808" s="68"/>
      <c r="CJ808" s="68"/>
      <c r="CK808" s="68"/>
      <c r="CL808" s="68"/>
      <c r="CM808" s="68"/>
      <c r="CN808" s="68"/>
      <c r="CO808" s="68"/>
      <c r="CP808" s="68"/>
    </row>
    <row r="809" ht="15.75" customHeight="1">
      <c r="A809" s="400" t="s">
        <v>3977</v>
      </c>
      <c r="B809" s="115"/>
      <c r="C809" s="116" t="s">
        <v>190</v>
      </c>
      <c r="D809" s="50" t="s">
        <v>3978</v>
      </c>
      <c r="E809" s="50" t="s">
        <v>3979</v>
      </c>
      <c r="F809" s="756" t="s">
        <v>3980</v>
      </c>
      <c r="G809" s="604"/>
      <c r="H809" s="119" t="s">
        <v>128</v>
      </c>
      <c r="I809" s="25" t="s">
        <v>129</v>
      </c>
      <c r="J809" s="287"/>
      <c r="K809" s="25">
        <v>3.0</v>
      </c>
      <c r="L809" s="25">
        <v>2020.0</v>
      </c>
      <c r="M809" s="25"/>
      <c r="N809" s="25"/>
      <c r="O809" s="27" t="str">
        <f t="shared" si="3"/>
        <v>#N/A</v>
      </c>
      <c r="P809" s="55"/>
      <c r="Q809" s="55"/>
      <c r="R809" s="55"/>
      <c r="S809" s="55"/>
      <c r="T809" s="55"/>
      <c r="U809" s="55"/>
      <c r="V809" s="30">
        <f t="shared" si="425"/>
        <v>5800000</v>
      </c>
      <c r="W809" s="30"/>
      <c r="X809" s="597"/>
      <c r="Y809" s="597"/>
      <c r="Z809" s="692"/>
      <c r="AA809" s="665"/>
      <c r="AB809" s="123"/>
      <c r="AC809" s="123"/>
      <c r="AD809" s="227"/>
      <c r="AE809" s="1370"/>
      <c r="AF809" s="1046">
        <v>44785.0</v>
      </c>
      <c r="AG809" s="127">
        <v>5800000.0</v>
      </c>
      <c r="AH809" s="123"/>
      <c r="AI809" s="128"/>
      <c r="AJ809" s="124"/>
      <c r="AK809" s="127"/>
      <c r="AL809" s="169"/>
      <c r="AM809" s="127"/>
      <c r="AN809" s="124"/>
      <c r="AO809" s="127"/>
      <c r="AP809" s="124"/>
      <c r="AQ809" s="127"/>
      <c r="AR809" s="124"/>
      <c r="AS809" s="889"/>
      <c r="AT809" s="124"/>
      <c r="AU809" s="137"/>
      <c r="AV809" s="124"/>
      <c r="AW809" s="38"/>
      <c r="AX809" s="124"/>
      <c r="AY809" s="38"/>
      <c r="AZ809" s="124"/>
      <c r="BA809" s="137"/>
      <c r="BB809" s="124"/>
      <c r="BC809" s="137"/>
      <c r="BD809" s="124"/>
      <c r="BE809" s="38"/>
      <c r="BF809" s="123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</row>
    <row r="810" ht="15.75" customHeight="1">
      <c r="A810" s="400" t="s">
        <v>3981</v>
      </c>
      <c r="B810" s="115"/>
      <c r="C810" s="116" t="s">
        <v>84</v>
      </c>
      <c r="D810" s="449"/>
      <c r="E810" s="162" t="s">
        <v>3982</v>
      </c>
      <c r="F810" s="708" t="s">
        <v>3983</v>
      </c>
      <c r="G810" s="286"/>
      <c r="H810" s="119" t="s">
        <v>328</v>
      </c>
      <c r="I810" s="25" t="s">
        <v>329</v>
      </c>
      <c r="J810" s="287"/>
      <c r="K810" s="25">
        <v>4.0</v>
      </c>
      <c r="L810" s="25">
        <v>2021.0</v>
      </c>
      <c r="M810" s="123"/>
      <c r="N810" s="25"/>
      <c r="O810" s="27" t="str">
        <f t="shared" si="3"/>
        <v>#N/A</v>
      </c>
      <c r="P810" s="55"/>
      <c r="Q810" s="55"/>
      <c r="R810" s="55"/>
      <c r="S810" s="55"/>
      <c r="T810" s="55"/>
      <c r="U810" s="55"/>
      <c r="V810" s="30">
        <f t="shared" si="425"/>
        <v>5750000</v>
      </c>
      <c r="W810" s="30"/>
      <c r="X810" s="403"/>
      <c r="Y810" s="403"/>
      <c r="Z810" s="692"/>
      <c r="AA810" s="665"/>
      <c r="AB810" s="123"/>
      <c r="AC810" s="123"/>
      <c r="AD810" s="452"/>
      <c r="AE810" s="123"/>
      <c r="AF810" s="880">
        <v>44859.0</v>
      </c>
      <c r="AG810" s="170">
        <f>5000000*1.15</f>
        <v>5750000</v>
      </c>
      <c r="AH810" s="123"/>
      <c r="AI810" s="123"/>
      <c r="AJ810" s="123"/>
      <c r="AK810" s="123"/>
      <c r="AL810" s="123"/>
      <c r="AM810" s="123"/>
      <c r="AN810" s="123"/>
      <c r="AO810" s="123"/>
      <c r="AP810" s="123"/>
      <c r="AQ810" s="123"/>
      <c r="AR810" s="123"/>
      <c r="AS810" s="123"/>
      <c r="AT810" s="123"/>
      <c r="AU810" s="137"/>
      <c r="AV810" s="123"/>
      <c r="AW810" s="38"/>
      <c r="AX810" s="123"/>
      <c r="AY810" s="38"/>
      <c r="AZ810" s="123"/>
      <c r="BA810" s="137"/>
      <c r="BB810" s="123"/>
      <c r="BC810" s="137"/>
      <c r="BD810" s="123"/>
      <c r="BE810" s="38"/>
      <c r="BF810" s="123"/>
      <c r="BG810" s="115"/>
      <c r="BH810" s="115"/>
      <c r="BI810" s="115"/>
      <c r="BJ810" s="115"/>
      <c r="BK810" s="115"/>
      <c r="BL810" s="115"/>
      <c r="BM810" s="115"/>
      <c r="BN810" s="115"/>
      <c r="BO810" s="115"/>
      <c r="BP810" s="115"/>
      <c r="BQ810" s="115"/>
      <c r="BR810" s="115"/>
      <c r="BS810" s="115"/>
      <c r="BT810" s="115"/>
      <c r="BU810" s="115"/>
      <c r="BV810" s="115"/>
      <c r="BW810" s="115"/>
      <c r="BX810" s="115"/>
      <c r="BY810" s="115"/>
      <c r="BZ810" s="115"/>
      <c r="CA810" s="115"/>
      <c r="CB810" s="115"/>
      <c r="CC810" s="115"/>
      <c r="CD810" s="115"/>
      <c r="CE810" s="115"/>
      <c r="CF810" s="115"/>
      <c r="CG810" s="115"/>
      <c r="CH810" s="115"/>
      <c r="CI810" s="115"/>
      <c r="CJ810" s="115"/>
      <c r="CK810" s="115"/>
      <c r="CL810" s="115"/>
      <c r="CM810" s="115"/>
      <c r="CN810" s="115"/>
      <c r="CO810" s="115"/>
      <c r="CP810" s="115"/>
    </row>
    <row r="811" ht="15.75" customHeight="1">
      <c r="A811" s="21" t="s">
        <v>3984</v>
      </c>
      <c r="B811" s="69"/>
      <c r="C811" s="69" t="s">
        <v>84</v>
      </c>
      <c r="D811" s="200" t="s">
        <v>3985</v>
      </c>
      <c r="E811" s="200" t="s">
        <v>3986</v>
      </c>
      <c r="F811" s="154" t="s">
        <v>3987</v>
      </c>
      <c r="G811" s="54" t="s">
        <v>3988</v>
      </c>
      <c r="H811" s="71" t="s">
        <v>99</v>
      </c>
      <c r="I811" s="26" t="s">
        <v>100</v>
      </c>
      <c r="J811" s="72"/>
      <c r="K811" s="26">
        <v>1.0</v>
      </c>
      <c r="L811" s="26">
        <v>2017.0</v>
      </c>
      <c r="M811" s="25">
        <f t="shared" ref="M811:M812" si="616">year(now()) -L811</f>
        <v>8</v>
      </c>
      <c r="N811" s="26">
        <f t="shared" ref="N811:N812" si="617">counta(AE811,AG811,AI811,AK811,AM811,AO811,AQ811,AS811,AU811,AW811,AY811,BA811,BC811)</f>
        <v>2</v>
      </c>
      <c r="O811" s="27" t="str">
        <f t="shared" si="3"/>
        <v>#N/A</v>
      </c>
      <c r="P811" s="28"/>
      <c r="Q811" s="28"/>
      <c r="R811" s="28"/>
      <c r="S811" s="28"/>
      <c r="T811" s="29">
        <f t="shared" ref="T811:T812" si="618">V811/M811</f>
        <v>715375</v>
      </c>
      <c r="U811" s="28"/>
      <c r="V811" s="30">
        <f t="shared" si="425"/>
        <v>5723000</v>
      </c>
      <c r="W811" s="30"/>
      <c r="X811" s="73"/>
      <c r="Y811" s="33">
        <f t="shared" ref="Y811:Y812" si="619">(max(AE811,AG811,AI811,AK811,AM811,AO811,AQ811,AS811,AU811,AW811,AY811,BA811,BC811)/min(AE811,AG811,AI811,AK811))^(1/M811)-1</f>
        <v>0.3760780223</v>
      </c>
      <c r="Z811" s="692"/>
      <c r="AA811" s="665"/>
      <c r="AB811" s="74"/>
      <c r="AC811" s="74"/>
      <c r="AD811" s="79"/>
      <c r="AE811" s="76"/>
      <c r="AF811" s="175" t="str">
        <f>HYPERLINK("https://www.crunchbase.com/funding_round/projects-seed--c30140a3","Oct 19, 2017")</f>
        <v>Oct 19, 2017</v>
      </c>
      <c r="AG811" s="427">
        <v>413000.0</v>
      </c>
      <c r="AH811" s="74"/>
      <c r="AI811" s="78"/>
      <c r="AJ811" s="181" t="str">
        <f>HYPERLINK("https://www.crunchbase.com/funding_round/projects-series-a--9098d044","Jul 22, 2020")</f>
        <v>Jul 22, 2020</v>
      </c>
      <c r="AK811" s="76">
        <v>5310000.0</v>
      </c>
      <c r="AL811" s="79"/>
      <c r="AM811" s="84"/>
      <c r="AN811" s="79"/>
      <c r="AO811" s="84"/>
      <c r="AP811" s="79"/>
      <c r="AQ811" s="84"/>
      <c r="AR811" s="79"/>
      <c r="AS811" s="79"/>
      <c r="AT811" s="79"/>
      <c r="AU811" s="80"/>
      <c r="AV811" s="79"/>
      <c r="AW811" s="38"/>
      <c r="AX811" s="79"/>
      <c r="AY811" s="38"/>
      <c r="AZ811" s="79"/>
      <c r="BA811" s="80"/>
      <c r="BB811" s="79"/>
      <c r="BC811" s="80"/>
      <c r="BD811" s="79"/>
      <c r="BE811" s="38"/>
      <c r="BF811" s="74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</row>
    <row r="812" ht="15.75" customHeight="1">
      <c r="A812" s="21" t="s">
        <v>3989</v>
      </c>
      <c r="B812" s="69"/>
      <c r="C812" s="69" t="s">
        <v>132</v>
      </c>
      <c r="D812" s="192" t="s">
        <v>3990</v>
      </c>
      <c r="E812" s="231" t="s">
        <v>3991</v>
      </c>
      <c r="F812" s="173" t="s">
        <v>3992</v>
      </c>
      <c r="G812" s="71"/>
      <c r="H812" s="286" t="s">
        <v>128</v>
      </c>
      <c r="I812" s="123" t="s">
        <v>129</v>
      </c>
      <c r="J812" s="155"/>
      <c r="K812" s="26">
        <v>2.0</v>
      </c>
      <c r="L812" s="26">
        <v>2017.0</v>
      </c>
      <c r="M812" s="25">
        <f t="shared" si="616"/>
        <v>8</v>
      </c>
      <c r="N812" s="26">
        <f t="shared" si="617"/>
        <v>1</v>
      </c>
      <c r="O812" s="27" t="str">
        <f t="shared" si="3"/>
        <v>#N/A</v>
      </c>
      <c r="P812" s="28"/>
      <c r="Q812" s="28"/>
      <c r="R812" s="28"/>
      <c r="S812" s="28"/>
      <c r="T812" s="29">
        <f t="shared" si="618"/>
        <v>712500</v>
      </c>
      <c r="U812" s="28"/>
      <c r="V812" s="30">
        <f t="shared" si="425"/>
        <v>5700000</v>
      </c>
      <c r="W812" s="30"/>
      <c r="X812" s="73"/>
      <c r="Y812" s="33">
        <f t="shared" si="619"/>
        <v>0</v>
      </c>
      <c r="Z812" s="692"/>
      <c r="AA812" s="665"/>
      <c r="AB812" s="74"/>
      <c r="AC812" s="74"/>
      <c r="AD812" s="37"/>
      <c r="AE812" s="38"/>
      <c r="AF812" s="918" t="str">
        <f>HYPERLINK("https://www.crunchbase.com/funding_round/doorkee-seed--124a3387"," 6/25/2020")</f>
        <v> 6/25/2020</v>
      </c>
      <c r="AG812" s="1002">
        <v>5700000.0</v>
      </c>
      <c r="AH812" s="36"/>
      <c r="AI812" s="159"/>
      <c r="AJ812" s="44"/>
      <c r="AK812" s="46"/>
      <c r="AL812" s="44"/>
      <c r="AM812" s="46"/>
      <c r="AN812" s="44"/>
      <c r="AO812" s="46"/>
      <c r="AP812" s="44"/>
      <c r="AQ812" s="46"/>
      <c r="AR812" s="44"/>
      <c r="AS812" s="44"/>
      <c r="AT812" s="44"/>
      <c r="AU812" s="45"/>
      <c r="AV812" s="44"/>
      <c r="AW812" s="38"/>
      <c r="AX812" s="44"/>
      <c r="AY812" s="38"/>
      <c r="AZ812" s="44"/>
      <c r="BA812" s="45"/>
      <c r="BB812" s="44"/>
      <c r="BC812" s="45"/>
      <c r="BD812" s="44"/>
      <c r="BE812" s="38"/>
      <c r="BF812" s="3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</row>
    <row r="813" ht="15.75" customHeight="1">
      <c r="A813" s="400" t="s">
        <v>3993</v>
      </c>
      <c r="B813" s="115"/>
      <c r="C813" s="116" t="s">
        <v>132</v>
      </c>
      <c r="D813" s="449"/>
      <c r="E813" s="401" t="s">
        <v>3994</v>
      </c>
      <c r="F813" s="708" t="s">
        <v>3995</v>
      </c>
      <c r="G813" s="286"/>
      <c r="H813" s="119" t="s">
        <v>3996</v>
      </c>
      <c r="I813" s="25" t="s">
        <v>257</v>
      </c>
      <c r="J813" s="1326"/>
      <c r="K813" s="26">
        <v>2.0</v>
      </c>
      <c r="L813" s="116">
        <v>2017.0</v>
      </c>
      <c r="M813" s="25"/>
      <c r="N813" s="26"/>
      <c r="O813" s="27" t="str">
        <f t="shared" si="3"/>
        <v>#N/A</v>
      </c>
      <c r="P813" s="55"/>
      <c r="Q813" s="55"/>
      <c r="R813" s="55"/>
      <c r="S813" s="55"/>
      <c r="T813" s="55"/>
      <c r="U813" s="55"/>
      <c r="V813" s="30">
        <f t="shared" si="425"/>
        <v>5700000</v>
      </c>
      <c r="W813" s="30"/>
      <c r="X813" s="73"/>
      <c r="Y813" s="73"/>
      <c r="Z813" s="692"/>
      <c r="AA813" s="665"/>
      <c r="AB813" s="123"/>
      <c r="AC813" s="123"/>
      <c r="AD813" s="1368"/>
      <c r="AE813" s="1369"/>
      <c r="AF813" s="166"/>
      <c r="AG813" s="127"/>
      <c r="AH813" s="123"/>
      <c r="AI813" s="128"/>
      <c r="AJ813" s="171">
        <v>43642.0</v>
      </c>
      <c r="AK813" s="127">
        <v>5700000.0</v>
      </c>
      <c r="AL813" s="124"/>
      <c r="AM813" s="125"/>
      <c r="AN813" s="124"/>
      <c r="AO813" s="125"/>
      <c r="AP813" s="124"/>
      <c r="AQ813" s="125"/>
      <c r="AR813" s="124"/>
      <c r="AS813" s="124"/>
      <c r="AT813" s="124"/>
      <c r="AU813" s="137"/>
      <c r="AV813" s="124"/>
      <c r="AW813" s="38"/>
      <c r="AX813" s="124"/>
      <c r="AY813" s="38"/>
      <c r="AZ813" s="124"/>
      <c r="BA813" s="137"/>
      <c r="BB813" s="124"/>
      <c r="BC813" s="137"/>
      <c r="BD813" s="124"/>
      <c r="BE813" s="38"/>
      <c r="BF813" s="123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</row>
    <row r="814" ht="15.75" customHeight="1">
      <c r="A814" s="47" t="s">
        <v>3997</v>
      </c>
      <c r="B814" s="69"/>
      <c r="C814" s="69" t="s">
        <v>68</v>
      </c>
      <c r="D814" s="48"/>
      <c r="E814" s="192" t="s">
        <v>3998</v>
      </c>
      <c r="F814" s="118" t="s">
        <v>3999</v>
      </c>
      <c r="G814" s="71"/>
      <c r="H814" s="71" t="s">
        <v>88</v>
      </c>
      <c r="I814" s="26" t="s">
        <v>89</v>
      </c>
      <c r="J814" s="72"/>
      <c r="K814" s="26"/>
      <c r="L814" s="26">
        <v>2021.0</v>
      </c>
      <c r="M814" s="25"/>
      <c r="N814" s="26"/>
      <c r="O814" s="27" t="str">
        <f t="shared" si="3"/>
        <v>#N/A</v>
      </c>
      <c r="P814" s="273"/>
      <c r="Q814" s="273"/>
      <c r="R814" s="273"/>
      <c r="S814" s="273"/>
      <c r="T814" s="273"/>
      <c r="U814" s="273"/>
      <c r="V814" s="30">
        <f t="shared" si="425"/>
        <v>5700000</v>
      </c>
      <c r="W814" s="30"/>
      <c r="X814" s="73"/>
      <c r="Y814" s="73"/>
      <c r="Z814" s="692"/>
      <c r="AA814" s="665"/>
      <c r="AB814" s="74"/>
      <c r="AC814" s="74"/>
      <c r="AD814" s="79"/>
      <c r="AE814" s="84"/>
      <c r="AF814" s="175" t="str">
        <f>HYPERLINK("https://www.bloomberglinea.com/2022/01/26/kaszek-and-canary-lead-57m-round-in-sooper-a-brazilian-b2b-marketplace-for-construction/","Jan 26, 2022")</f>
        <v>Jan 26, 2022</v>
      </c>
      <c r="AG814" s="76">
        <v>5700000.0</v>
      </c>
      <c r="AH814" s="74"/>
      <c r="AI814" s="78"/>
      <c r="AJ814" s="279"/>
      <c r="AK814" s="76"/>
      <c r="AL814" s="279"/>
      <c r="AM814" s="76"/>
      <c r="AN814" s="279"/>
      <c r="AO814" s="76"/>
      <c r="AP814" s="279"/>
      <c r="AQ814" s="76"/>
      <c r="AR814" s="79"/>
      <c r="AS814" s="79"/>
      <c r="AT814" s="79"/>
      <c r="AU814" s="80"/>
      <c r="AV814" s="79"/>
      <c r="AW814" s="38"/>
      <c r="AX814" s="79"/>
      <c r="AY814" s="38"/>
      <c r="AZ814" s="79"/>
      <c r="BA814" s="80"/>
      <c r="BB814" s="79"/>
      <c r="BC814" s="80"/>
      <c r="BD814" s="79"/>
      <c r="BE814" s="38"/>
      <c r="BF814" s="74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68"/>
      <c r="CA814" s="68"/>
      <c r="CB814" s="68"/>
      <c r="CC814" s="68"/>
      <c r="CD814" s="68"/>
      <c r="CE814" s="68"/>
      <c r="CF814" s="68"/>
      <c r="CG814" s="68"/>
      <c r="CH814" s="68"/>
      <c r="CI814" s="68"/>
      <c r="CJ814" s="68"/>
      <c r="CK814" s="68"/>
      <c r="CL814" s="68"/>
      <c r="CM814" s="68"/>
      <c r="CN814" s="68"/>
      <c r="CO814" s="68"/>
      <c r="CP814" s="68"/>
    </row>
    <row r="815" ht="15.75" customHeight="1">
      <c r="A815" s="666" t="s">
        <v>4000</v>
      </c>
      <c r="B815" s="115" t="s">
        <v>122</v>
      </c>
      <c r="C815" s="116" t="s">
        <v>123</v>
      </c>
      <c r="D815" s="667" t="s">
        <v>4001</v>
      </c>
      <c r="E815" s="667" t="s">
        <v>4002</v>
      </c>
      <c r="F815" s="668" t="s">
        <v>4003</v>
      </c>
      <c r="G815" s="119" t="s">
        <v>4004</v>
      </c>
      <c r="H815" s="119" t="s">
        <v>128</v>
      </c>
      <c r="I815" s="25" t="s">
        <v>156</v>
      </c>
      <c r="J815" s="120" t="s">
        <v>466</v>
      </c>
      <c r="K815" s="25">
        <v>3.0</v>
      </c>
      <c r="L815" s="25">
        <v>2012.0</v>
      </c>
      <c r="M815" s="25">
        <f t="shared" ref="M815:M816" si="620">year(now()) -L815</f>
        <v>13</v>
      </c>
      <c r="N815" s="26">
        <f t="shared" ref="N815:N816" si="621">counta(AE815,AG815,AI815,AK815,AM815,AO815,AQ815,AS815,AU815,AW815,AY815,BA815,BC815)</f>
        <v>1</v>
      </c>
      <c r="O815" s="27" t="str">
        <f t="shared" si="3"/>
        <v>#N/A</v>
      </c>
      <c r="P815" s="28"/>
      <c r="Q815" s="28"/>
      <c r="R815" s="28"/>
      <c r="S815" s="28"/>
      <c r="T815" s="29">
        <f t="shared" ref="T815:T816" si="622">V815/M815</f>
        <v>435921.1538</v>
      </c>
      <c r="U815" s="28"/>
      <c r="V815" s="30">
        <f t="shared" si="425"/>
        <v>5666975</v>
      </c>
      <c r="W815" s="30"/>
      <c r="X815" s="597"/>
      <c r="Y815" s="33">
        <f t="shared" ref="Y815:Y816" si="623">(max(AE815,AG815,AI815,AK815,AM815,AO815,AQ815,AS815,AU815,AW815,AY815,BA815,BC815)/min(AE815,AG815,AI815,AK815))^(1/M815)-1</f>
        <v>0</v>
      </c>
      <c r="Z815" s="692"/>
      <c r="AA815" s="665"/>
      <c r="AB815" s="123"/>
      <c r="AC815" s="123"/>
      <c r="AD815" s="124"/>
      <c r="AE815" s="125"/>
      <c r="AF815" s="166" t="s">
        <v>1839</v>
      </c>
      <c r="AG815" s="125"/>
      <c r="AH815" s="123"/>
      <c r="AI815" s="128"/>
      <c r="AJ815" s="167" t="str">
        <f>HYPERLINK("https://www.crunchbase.com/organization/leverton#section-funding-rounds"," 06/29/2015")</f>
        <v> 06/29/2015</v>
      </c>
      <c r="AK815" s="168">
        <v>5666975.0</v>
      </c>
      <c r="AL815" s="169"/>
      <c r="AM815" s="127"/>
      <c r="AN815" s="124"/>
      <c r="AO815" s="125"/>
      <c r="AP815" s="124"/>
      <c r="AQ815" s="125"/>
      <c r="AR815" s="169"/>
      <c r="AS815" s="169"/>
      <c r="AT815" s="169"/>
      <c r="AU815" s="170"/>
      <c r="AV815" s="169"/>
      <c r="AW815" s="38"/>
      <c r="AX815" s="169"/>
      <c r="AY815" s="38"/>
      <c r="AZ815" s="169"/>
      <c r="BA815" s="170"/>
      <c r="BB815" s="169"/>
      <c r="BC815" s="170"/>
      <c r="BD815" s="169">
        <v>43629.0</v>
      </c>
      <c r="BE815" s="38"/>
      <c r="BF815" s="1371" t="str">
        <f>HYPERLINK("https://www.cretech.com/news/mri-software-acquires-ai-real-estate-pioneer-leverton-to-turn-unstructured-data-into-business-insights/","MRI Software")</f>
        <v>MRI Software</v>
      </c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  <c r="CO815" s="68"/>
      <c r="CP815" s="68"/>
    </row>
    <row r="816" ht="15.75" customHeight="1">
      <c r="A816" s="866" t="s">
        <v>4005</v>
      </c>
      <c r="B816" s="16"/>
      <c r="C816" s="21" t="s">
        <v>123</v>
      </c>
      <c r="D816" s="18" t="s">
        <v>4006</v>
      </c>
      <c r="E816" s="18" t="s">
        <v>4007</v>
      </c>
      <c r="F816" s="20" t="s">
        <v>4008</v>
      </c>
      <c r="G816" s="1372"/>
      <c r="H816" s="22" t="s">
        <v>114</v>
      </c>
      <c r="I816" s="23" t="s">
        <v>115</v>
      </c>
      <c r="J816" s="237"/>
      <c r="K816" s="36"/>
      <c r="L816" s="23">
        <v>2018.0</v>
      </c>
      <c r="M816" s="25">
        <f t="shared" si="620"/>
        <v>7</v>
      </c>
      <c r="N816" s="26">
        <f t="shared" si="621"/>
        <v>2</v>
      </c>
      <c r="O816" s="27" t="str">
        <f t="shared" si="3"/>
        <v>#N/A</v>
      </c>
      <c r="P816" s="28"/>
      <c r="Q816" s="28"/>
      <c r="R816" s="28"/>
      <c r="S816" s="28"/>
      <c r="T816" s="29">
        <f t="shared" si="622"/>
        <v>800000</v>
      </c>
      <c r="U816" s="28"/>
      <c r="V816" s="30">
        <f t="shared" si="425"/>
        <v>5600000</v>
      </c>
      <c r="W816" s="30"/>
      <c r="X816" s="847"/>
      <c r="Y816" s="33">
        <f t="shared" si="623"/>
        <v>0.7726510055</v>
      </c>
      <c r="Z816" s="692"/>
      <c r="AA816" s="665"/>
      <c r="AB816" s="36"/>
      <c r="AC816" s="36"/>
      <c r="AD816" s="882">
        <v>43311.0</v>
      </c>
      <c r="AE816" s="38">
        <v>100000.0</v>
      </c>
      <c r="AF816" s="320">
        <v>43629.0</v>
      </c>
      <c r="AG816" s="38">
        <v>5500000.0</v>
      </c>
      <c r="AH816" s="36"/>
      <c r="AI816" s="159"/>
      <c r="AJ816" s="44"/>
      <c r="AK816" s="46"/>
      <c r="AL816" s="44"/>
      <c r="AM816" s="46"/>
      <c r="AN816" s="44"/>
      <c r="AO816" s="46"/>
      <c r="AP816" s="44"/>
      <c r="AQ816" s="46"/>
      <c r="AR816" s="44"/>
      <c r="AS816" s="44"/>
      <c r="AT816" s="44"/>
      <c r="AU816" s="45"/>
      <c r="AV816" s="44"/>
      <c r="AW816" s="38"/>
      <c r="AX816" s="44"/>
      <c r="AY816" s="38"/>
      <c r="AZ816" s="44"/>
      <c r="BA816" s="45"/>
      <c r="BB816" s="44"/>
      <c r="BC816" s="45"/>
      <c r="BD816" s="44"/>
      <c r="BE816" s="38"/>
      <c r="BF816" s="36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  <c r="CO816" s="68"/>
      <c r="CP816" s="68"/>
    </row>
    <row r="817" ht="15.75" customHeight="1">
      <c r="A817" s="400" t="s">
        <v>4009</v>
      </c>
      <c r="B817" s="115"/>
      <c r="C817" s="116" t="s">
        <v>190</v>
      </c>
      <c r="D817" s="192" t="s">
        <v>4010</v>
      </c>
      <c r="E817" s="401" t="s">
        <v>4011</v>
      </c>
      <c r="F817" s="402" t="s">
        <v>4012</v>
      </c>
      <c r="G817" s="48"/>
      <c r="H817" s="119" t="s">
        <v>2169</v>
      </c>
      <c r="I817" s="25" t="s">
        <v>2171</v>
      </c>
      <c r="J817" s="178"/>
      <c r="K817" s="25">
        <v>3.0</v>
      </c>
      <c r="L817" s="25">
        <v>2022.0</v>
      </c>
      <c r="M817" s="25"/>
      <c r="N817" s="25"/>
      <c r="O817" s="27" t="str">
        <f t="shared" si="3"/>
        <v>#N/A</v>
      </c>
      <c r="P817" s="356"/>
      <c r="Q817" s="356"/>
      <c r="R817" s="356"/>
      <c r="S817" s="356"/>
      <c r="T817" s="356"/>
      <c r="U817" s="356"/>
      <c r="V817" s="30">
        <f t="shared" si="425"/>
        <v>5600000</v>
      </c>
      <c r="W817" s="30"/>
      <c r="X817" s="597"/>
      <c r="Y817" s="597"/>
      <c r="Z817" s="692"/>
      <c r="AA817" s="665"/>
      <c r="AB817" s="123"/>
      <c r="AC817" s="123"/>
      <c r="AD817" s="171">
        <v>44593.0</v>
      </c>
      <c r="AE817" s="127">
        <v>600000.0</v>
      </c>
      <c r="AF817" s="728">
        <v>44818.0</v>
      </c>
      <c r="AG817" s="127">
        <v>5000000.0</v>
      </c>
      <c r="AH817" s="123"/>
      <c r="AI817" s="128"/>
      <c r="AJ817" s="124"/>
      <c r="AK817" s="125"/>
      <c r="AL817" s="124"/>
      <c r="AM817" s="125"/>
      <c r="AN817" s="124"/>
      <c r="AO817" s="125"/>
      <c r="AP817" s="124"/>
      <c r="AQ817" s="125"/>
      <c r="AR817" s="124"/>
      <c r="AS817" s="124"/>
      <c r="AT817" s="124"/>
      <c r="AU817" s="137"/>
      <c r="AV817" s="124"/>
      <c r="AW817" s="38"/>
      <c r="AX817" s="124"/>
      <c r="AY817" s="38"/>
      <c r="AZ817" s="124"/>
      <c r="BA817" s="137"/>
      <c r="BB817" s="124"/>
      <c r="BC817" s="137"/>
      <c r="BD817" s="124"/>
      <c r="BE817" s="38"/>
      <c r="BF817" s="123"/>
      <c r="BG817" s="534"/>
      <c r="BH817" s="534"/>
      <c r="BI817" s="534"/>
      <c r="BJ817" s="534"/>
      <c r="BK817" s="534"/>
      <c r="BL817" s="534"/>
      <c r="BM817" s="534"/>
      <c r="BN817" s="534"/>
      <c r="BO817" s="534"/>
      <c r="BP817" s="534"/>
      <c r="BQ817" s="534"/>
      <c r="BR817" s="534"/>
      <c r="BS817" s="534"/>
      <c r="BT817" s="534"/>
      <c r="BU817" s="534"/>
      <c r="BV817" s="534"/>
      <c r="BW817" s="534"/>
      <c r="BX817" s="534"/>
      <c r="BY817" s="534"/>
      <c r="BZ817" s="534"/>
      <c r="CA817" s="534"/>
      <c r="CB817" s="534"/>
      <c r="CC817" s="534"/>
      <c r="CD817" s="534"/>
      <c r="CE817" s="534"/>
      <c r="CF817" s="534"/>
      <c r="CG817" s="534"/>
      <c r="CH817" s="534"/>
      <c r="CI817" s="534"/>
      <c r="CJ817" s="534"/>
      <c r="CK817" s="534"/>
      <c r="CL817" s="534"/>
      <c r="CM817" s="534"/>
      <c r="CN817" s="534"/>
      <c r="CO817" s="534"/>
      <c r="CP817" s="534"/>
    </row>
    <row r="818" ht="15.75" customHeight="1">
      <c r="A818" s="935" t="s">
        <v>4013</v>
      </c>
      <c r="B818" s="69"/>
      <c r="C818" s="69" t="s">
        <v>132</v>
      </c>
      <c r="D818" s="192" t="s">
        <v>4014</v>
      </c>
      <c r="E818" s="192" t="s">
        <v>4015</v>
      </c>
      <c r="F818" s="118" t="s">
        <v>4016</v>
      </c>
      <c r="G818" s="140"/>
      <c r="H818" s="71" t="s">
        <v>64</v>
      </c>
      <c r="I818" s="26" t="s">
        <v>65</v>
      </c>
      <c r="J818" s="72"/>
      <c r="K818" s="74"/>
      <c r="L818" s="26">
        <v>2021.0</v>
      </c>
      <c r="M818" s="25">
        <f t="shared" ref="M818:M821" si="624">year(now()) -L818</f>
        <v>4</v>
      </c>
      <c r="N818" s="26">
        <f t="shared" ref="N818:N821" si="625">counta(AE818,AG818,AI818,AK818,AM818,AO818,AQ818,AS818,AU818,AW818,AY818,BA818,BC818)</f>
        <v>1</v>
      </c>
      <c r="O818" s="27" t="str">
        <f t="shared" si="3"/>
        <v>#N/A</v>
      </c>
      <c r="P818" s="28"/>
      <c r="Q818" s="28"/>
      <c r="R818" s="28"/>
      <c r="S818" s="28"/>
      <c r="T818" s="29">
        <f t="shared" ref="T818:T821" si="626">V818/M818</f>
        <v>1375000</v>
      </c>
      <c r="U818" s="28"/>
      <c r="V818" s="30">
        <f t="shared" si="425"/>
        <v>5500000</v>
      </c>
      <c r="W818" s="30"/>
      <c r="X818" s="32"/>
      <c r="Y818" s="33">
        <f t="shared" ref="Y818:Y821" si="627">(max(AE818,AG818,AI818,AK818,AM818,AO818,AQ818,AS818,AU818,AW818,AY818,BA818,BC818)/min(AE818,AG818,AI818,AK818))^(1/M818)-1</f>
        <v>0</v>
      </c>
      <c r="Z818" s="692"/>
      <c r="AA818" s="665"/>
      <c r="AB818" s="74"/>
      <c r="AC818" s="74"/>
      <c r="AD818" s="37"/>
      <c r="AE818" s="38"/>
      <c r="AF818" s="869" t="str">
        <f>HYPERLINK("https://www.crunchbase.com/funding_round/fractional-seed--12801b09","Nov 22, 2021")</f>
        <v>Nov 22, 2021</v>
      </c>
      <c r="AG818" s="38">
        <v>5500000.0</v>
      </c>
      <c r="AH818" s="36"/>
      <c r="AI818" s="159"/>
      <c r="AJ818" s="44"/>
      <c r="AK818" s="46"/>
      <c r="AL818" s="44"/>
      <c r="AM818" s="46"/>
      <c r="AN818" s="44"/>
      <c r="AO818" s="46"/>
      <c r="AP818" s="44"/>
      <c r="AQ818" s="46"/>
      <c r="AR818" s="44"/>
      <c r="AS818" s="44"/>
      <c r="AT818" s="44"/>
      <c r="AU818" s="45"/>
      <c r="AV818" s="44"/>
      <c r="AW818" s="38"/>
      <c r="AX818" s="44"/>
      <c r="AY818" s="38"/>
      <c r="AZ818" s="44"/>
      <c r="BA818" s="45"/>
      <c r="BB818" s="44"/>
      <c r="BC818" s="45"/>
      <c r="BD818" s="44"/>
      <c r="BE818" s="38"/>
      <c r="BF818" s="36"/>
      <c r="BG818" s="115"/>
      <c r="BH818" s="115"/>
      <c r="BI818" s="115"/>
      <c r="BJ818" s="115"/>
      <c r="BK818" s="115"/>
      <c r="BL818" s="115"/>
      <c r="BM818" s="115"/>
      <c r="BN818" s="115"/>
      <c r="BO818" s="115"/>
      <c r="BP818" s="115"/>
      <c r="BQ818" s="115"/>
      <c r="BR818" s="115"/>
      <c r="BS818" s="115"/>
      <c r="BT818" s="115"/>
      <c r="BU818" s="115"/>
      <c r="BV818" s="115"/>
      <c r="BW818" s="115"/>
      <c r="BX818" s="115"/>
      <c r="BY818" s="115"/>
      <c r="BZ818" s="115"/>
      <c r="CA818" s="115"/>
      <c r="CB818" s="115"/>
      <c r="CC818" s="115"/>
      <c r="CD818" s="115"/>
      <c r="CE818" s="115"/>
      <c r="CF818" s="115"/>
      <c r="CG818" s="115"/>
      <c r="CH818" s="115"/>
      <c r="CI818" s="115"/>
      <c r="CJ818" s="115"/>
      <c r="CK818" s="115"/>
      <c r="CL818" s="115"/>
      <c r="CM818" s="115"/>
      <c r="CN818" s="115"/>
      <c r="CO818" s="115"/>
      <c r="CP818" s="115"/>
    </row>
    <row r="819" ht="15.75" customHeight="1">
      <c r="A819" s="1373" t="s">
        <v>4017</v>
      </c>
      <c r="B819" s="116"/>
      <c r="C819" s="116" t="s">
        <v>84</v>
      </c>
      <c r="D819" s="1374" t="s">
        <v>4018</v>
      </c>
      <c r="E819" s="1374" t="s">
        <v>4019</v>
      </c>
      <c r="F819" s="1375" t="s">
        <v>4020</v>
      </c>
      <c r="G819" s="119" t="s">
        <v>4021</v>
      </c>
      <c r="H819" s="119" t="s">
        <v>4022</v>
      </c>
      <c r="I819" s="25" t="s">
        <v>959</v>
      </c>
      <c r="J819" s="120" t="s">
        <v>4023</v>
      </c>
      <c r="K819" s="25">
        <v>1.0</v>
      </c>
      <c r="L819" s="25">
        <v>2018.0</v>
      </c>
      <c r="M819" s="25">
        <f t="shared" si="624"/>
        <v>7</v>
      </c>
      <c r="N819" s="26">
        <f t="shared" si="625"/>
        <v>1</v>
      </c>
      <c r="O819" s="27" t="str">
        <f t="shared" si="3"/>
        <v>#N/A</v>
      </c>
      <c r="P819" s="28"/>
      <c r="Q819" s="28"/>
      <c r="R819" s="28"/>
      <c r="S819" s="28"/>
      <c r="T819" s="29">
        <f t="shared" si="626"/>
        <v>785714.2857</v>
      </c>
      <c r="U819" s="28"/>
      <c r="V819" s="30">
        <f t="shared" si="425"/>
        <v>5500000</v>
      </c>
      <c r="W819" s="30"/>
      <c r="X819" s="597"/>
      <c r="Y819" s="33">
        <f t="shared" si="627"/>
        <v>0</v>
      </c>
      <c r="Z819" s="692"/>
      <c r="AA819" s="665"/>
      <c r="AB819" s="1376"/>
      <c r="AC819" s="1376"/>
      <c r="AD819" s="1377"/>
      <c r="AE819" s="1378"/>
      <c r="AF819" s="1379" t="str">
        <f>HYPERLINK("https://www.crunchbase.com/funding_round/instashowing-seed--54003f6f","May 27, 2021")</f>
        <v>May 27, 2021</v>
      </c>
      <c r="AG819" s="1380">
        <v>5500000.0</v>
      </c>
      <c r="AH819" s="1376"/>
      <c r="AI819" s="1381"/>
      <c r="AJ819" s="1382"/>
      <c r="AK819" s="1383"/>
      <c r="AL819" s="1382"/>
      <c r="AM819" s="1380"/>
      <c r="AN819" s="1377"/>
      <c r="AO819" s="1378"/>
      <c r="AP819" s="1377"/>
      <c r="AQ819" s="1378"/>
      <c r="AR819" s="1377"/>
      <c r="AS819" s="1377"/>
      <c r="AT819" s="1377"/>
      <c r="AU819" s="1384"/>
      <c r="AV819" s="1377"/>
      <c r="AW819" s="38"/>
      <c r="AX819" s="1377"/>
      <c r="AY819" s="38"/>
      <c r="AZ819" s="1377"/>
      <c r="BA819" s="1384"/>
      <c r="BB819" s="1377"/>
      <c r="BC819" s="1384"/>
      <c r="BD819" s="1377"/>
      <c r="BE819" s="38"/>
      <c r="BF819" s="137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</row>
    <row r="820" ht="15.75" customHeight="1">
      <c r="A820" s="21" t="s">
        <v>4024</v>
      </c>
      <c r="B820" s="69" t="s">
        <v>468</v>
      </c>
      <c r="C820" s="69" t="s">
        <v>132</v>
      </c>
      <c r="D820" s="184"/>
      <c r="E820" s="200" t="s">
        <v>4025</v>
      </c>
      <c r="F820" s="154" t="s">
        <v>4026</v>
      </c>
      <c r="G820" s="71" t="s">
        <v>4027</v>
      </c>
      <c r="H820" s="186"/>
      <c r="I820" s="74"/>
      <c r="J820" s="155"/>
      <c r="K820" s="26">
        <v>1.0</v>
      </c>
      <c r="L820" s="142">
        <v>2017.0</v>
      </c>
      <c r="M820" s="25">
        <f t="shared" si="624"/>
        <v>8</v>
      </c>
      <c r="N820" s="26">
        <f t="shared" si="625"/>
        <v>1</v>
      </c>
      <c r="O820" s="27" t="str">
        <f t="shared" si="3"/>
        <v>#N/A</v>
      </c>
      <c r="P820" s="28"/>
      <c r="Q820" s="28"/>
      <c r="R820" s="28"/>
      <c r="S820" s="28"/>
      <c r="T820" s="29">
        <f t="shared" si="626"/>
        <v>687500</v>
      </c>
      <c r="U820" s="28"/>
      <c r="V820" s="30">
        <f t="shared" si="425"/>
        <v>5500000</v>
      </c>
      <c r="W820" s="30"/>
      <c r="X820" s="73"/>
      <c r="Y820" s="33">
        <f t="shared" si="627"/>
        <v>0</v>
      </c>
      <c r="Z820" s="692"/>
      <c r="AA820" s="665"/>
      <c r="AB820" s="74"/>
      <c r="AC820" s="74"/>
      <c r="AD820" s="79"/>
      <c r="AE820" s="84"/>
      <c r="AF820" s="1385" t="str">
        <f>HYPERLINK("https://www.crunchbase.com/funding_round/keyo-ai-seed--e78cfa07"," 5/11/2018")</f>
        <v> 5/11/2018</v>
      </c>
      <c r="AG820" s="76">
        <v>5500000.0</v>
      </c>
      <c r="AH820" s="929"/>
      <c r="AI820" s="435"/>
      <c r="AJ820" s="79"/>
      <c r="AK820" s="84"/>
      <c r="AL820" s="79"/>
      <c r="AM820" s="84"/>
      <c r="AN820" s="79"/>
      <c r="AO820" s="84"/>
      <c r="AP820" s="79"/>
      <c r="AQ820" s="84"/>
      <c r="AR820" s="79"/>
      <c r="AS820" s="79"/>
      <c r="AT820" s="79"/>
      <c r="AU820" s="80"/>
      <c r="AV820" s="79"/>
      <c r="AW820" s="38"/>
      <c r="AX820" s="79"/>
      <c r="AY820" s="38"/>
      <c r="AZ820" s="79"/>
      <c r="BA820" s="80"/>
      <c r="BB820" s="79"/>
      <c r="BC820" s="80"/>
      <c r="BD820" s="79"/>
      <c r="BE820" s="38"/>
      <c r="BF820" s="74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</row>
    <row r="821" ht="15.75" customHeight="1">
      <c r="A821" s="21" t="s">
        <v>4028</v>
      </c>
      <c r="B821" s="68"/>
      <c r="C821" s="69" t="s">
        <v>59</v>
      </c>
      <c r="D821" s="138" t="s">
        <v>4029</v>
      </c>
      <c r="E821" s="138" t="s">
        <v>4030</v>
      </c>
      <c r="F821" s="173" t="s">
        <v>4031</v>
      </c>
      <c r="G821" s="54"/>
      <c r="H821" s="71" t="s">
        <v>4032</v>
      </c>
      <c r="I821" s="26" t="s">
        <v>73</v>
      </c>
      <c r="J821" s="72"/>
      <c r="K821" s="26">
        <v>1.0</v>
      </c>
      <c r="L821" s="26">
        <v>2018.0</v>
      </c>
      <c r="M821" s="25">
        <f t="shared" si="624"/>
        <v>7</v>
      </c>
      <c r="N821" s="26">
        <f t="shared" si="625"/>
        <v>2</v>
      </c>
      <c r="O821" s="27" t="str">
        <f t="shared" si="3"/>
        <v>#N/A</v>
      </c>
      <c r="P821" s="28"/>
      <c r="Q821" s="28"/>
      <c r="R821" s="28"/>
      <c r="S821" s="28"/>
      <c r="T821" s="29">
        <f t="shared" si="626"/>
        <v>785714.2857</v>
      </c>
      <c r="U821" s="28"/>
      <c r="V821" s="30">
        <f t="shared" si="425"/>
        <v>5500000</v>
      </c>
      <c r="W821" s="30"/>
      <c r="X821" s="73"/>
      <c r="Y821" s="33">
        <f t="shared" si="627"/>
        <v>0.1504100738</v>
      </c>
      <c r="Z821" s="692"/>
      <c r="AA821" s="665"/>
      <c r="AB821" s="74"/>
      <c r="AC821" s="74"/>
      <c r="AD821" s="181" t="str">
        <f>HYPERLINK("https://www.crunchbase.com/funding_round/transactly-pre-seed--bbb4c729","Jan 31, 2018")</f>
        <v>Jan 31, 2018</v>
      </c>
      <c r="AE821" s="76">
        <v>1500000.0</v>
      </c>
      <c r="AF821" s="338"/>
      <c r="AG821" s="84"/>
      <c r="AH821" s="74"/>
      <c r="AI821" s="78"/>
      <c r="AJ821" s="181" t="str">
        <f>HYPERLINK("https://www.crunchbase.com/funding_round/transactly-series-a--99cdc969","Oct 8, 2021")</f>
        <v>Oct 8, 2021</v>
      </c>
      <c r="AK821" s="76">
        <v>4000000.0</v>
      </c>
      <c r="AL821" s="79"/>
      <c r="AM821" s="84"/>
      <c r="AN821" s="79"/>
      <c r="AO821" s="84"/>
      <c r="AP821" s="79"/>
      <c r="AQ821" s="84"/>
      <c r="AR821" s="79"/>
      <c r="AS821" s="79"/>
      <c r="AT821" s="79"/>
      <c r="AU821" s="80"/>
      <c r="AV821" s="79"/>
      <c r="AW821" s="38"/>
      <c r="AX821" s="79"/>
      <c r="AY821" s="38"/>
      <c r="AZ821" s="79"/>
      <c r="BA821" s="80"/>
      <c r="BB821" s="79"/>
      <c r="BC821" s="80"/>
      <c r="BD821" s="79"/>
      <c r="BE821" s="38"/>
      <c r="BF821" s="74"/>
      <c r="BG821" s="115"/>
      <c r="BH821" s="115"/>
      <c r="BI821" s="115"/>
      <c r="BJ821" s="115"/>
      <c r="BK821" s="115"/>
      <c r="BL821" s="115"/>
      <c r="BM821" s="115"/>
      <c r="BN821" s="115"/>
      <c r="BO821" s="115"/>
      <c r="BP821" s="115"/>
      <c r="BQ821" s="115"/>
      <c r="BR821" s="115"/>
      <c r="BS821" s="115"/>
      <c r="BT821" s="115"/>
      <c r="BU821" s="115"/>
      <c r="BV821" s="115"/>
      <c r="BW821" s="115"/>
      <c r="BX821" s="115"/>
      <c r="BY821" s="115"/>
      <c r="BZ821" s="115"/>
      <c r="CA821" s="115"/>
      <c r="CB821" s="115"/>
      <c r="CC821" s="115"/>
      <c r="CD821" s="115"/>
      <c r="CE821" s="115"/>
      <c r="CF821" s="115"/>
      <c r="CG821" s="115"/>
      <c r="CH821" s="115"/>
      <c r="CI821" s="115"/>
      <c r="CJ821" s="115"/>
      <c r="CK821" s="115"/>
      <c r="CL821" s="115"/>
      <c r="CM821" s="115"/>
      <c r="CN821" s="115"/>
      <c r="CO821" s="115"/>
      <c r="CP821" s="115"/>
    </row>
    <row r="822" ht="15.75" customHeight="1">
      <c r="A822" s="21" t="s">
        <v>4033</v>
      </c>
      <c r="B822" s="16"/>
      <c r="C822" s="17"/>
      <c r="D822" s="236" t="s">
        <v>4034</v>
      </c>
      <c r="E822" s="18" t="s">
        <v>4035</v>
      </c>
      <c r="F822" s="173" t="s">
        <v>4036</v>
      </c>
      <c r="G822" s="317"/>
      <c r="H822" s="22" t="s">
        <v>114</v>
      </c>
      <c r="I822" s="23" t="s">
        <v>115</v>
      </c>
      <c r="J822" s="1142"/>
      <c r="K822" s="23">
        <v>3.0</v>
      </c>
      <c r="L822" s="23">
        <v>2020.0</v>
      </c>
      <c r="M822" s="222"/>
      <c r="N822" s="23"/>
      <c r="O822" s="27" t="str">
        <f t="shared" si="3"/>
        <v>#N/A</v>
      </c>
      <c r="P822" s="464"/>
      <c r="Q822" s="464"/>
      <c r="R822" s="464"/>
      <c r="S822" s="464"/>
      <c r="T822" s="464"/>
      <c r="U822" s="464"/>
      <c r="V822" s="30">
        <f t="shared" si="425"/>
        <v>5500000</v>
      </c>
      <c r="W822" s="30"/>
      <c r="X822" s="33"/>
      <c r="Y822" s="33"/>
      <c r="Z822" s="692"/>
      <c r="AA822" s="665"/>
      <c r="AB822" s="36"/>
      <c r="AC822" s="36"/>
      <c r="AD822" s="37"/>
      <c r="AE822" s="38"/>
      <c r="AF822" s="158" t="str">
        <f>HYPERLINK("https://www.crunchbase.com/funding_round/boom-and-bucket-seed--572b7e3e","Mar 23, 2022")</f>
        <v>Mar 23, 2022</v>
      </c>
      <c r="AG822" s="38">
        <v>5500000.0</v>
      </c>
      <c r="AH822" s="36"/>
      <c r="AI822" s="159"/>
      <c r="AJ822" s="227"/>
      <c r="AK822" s="38"/>
      <c r="AL822" s="44"/>
      <c r="AM822" s="46"/>
      <c r="AN822" s="44"/>
      <c r="AO822" s="46"/>
      <c r="AP822" s="44"/>
      <c r="AQ822" s="46"/>
      <c r="AR822" s="44"/>
      <c r="AS822" s="44"/>
      <c r="AT822" s="44"/>
      <c r="AU822" s="45"/>
      <c r="AV822" s="44"/>
      <c r="AW822" s="38"/>
      <c r="AX822" s="44"/>
      <c r="AY822" s="38"/>
      <c r="AZ822" s="44"/>
      <c r="BA822" s="45"/>
      <c r="BB822" s="44"/>
      <c r="BC822" s="45"/>
      <c r="BD822" s="44"/>
      <c r="BE822" s="38"/>
      <c r="BF822" s="36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68"/>
      <c r="CA822" s="68"/>
      <c r="CB822" s="68"/>
      <c r="CC822" s="68"/>
      <c r="CD822" s="68"/>
      <c r="CE822" s="68"/>
      <c r="CF822" s="68"/>
      <c r="CG822" s="68"/>
      <c r="CH822" s="68"/>
      <c r="CI822" s="68"/>
      <c r="CJ822" s="68"/>
      <c r="CK822" s="68"/>
      <c r="CL822" s="68"/>
      <c r="CM822" s="68"/>
      <c r="CN822" s="68"/>
      <c r="CO822" s="68"/>
      <c r="CP822" s="68"/>
    </row>
    <row r="823" ht="15.75" customHeight="1">
      <c r="A823" s="47" t="s">
        <v>4037</v>
      </c>
      <c r="C823" s="48" t="s">
        <v>76</v>
      </c>
      <c r="D823" s="49" t="s">
        <v>4038</v>
      </c>
      <c r="E823" s="49" t="s">
        <v>4039</v>
      </c>
      <c r="F823" s="352" t="s">
        <v>4040</v>
      </c>
      <c r="G823" s="353"/>
      <c r="H823" s="53" t="s">
        <v>4041</v>
      </c>
      <c r="I823" s="54" t="s">
        <v>329</v>
      </c>
      <c r="J823" s="55"/>
      <c r="K823" s="54">
        <v>2.0</v>
      </c>
      <c r="L823" s="56">
        <v>2018.0</v>
      </c>
      <c r="M823" s="55"/>
      <c r="N823" s="55"/>
      <c r="O823" s="27" t="str">
        <f t="shared" si="3"/>
        <v>#N/A</v>
      </c>
      <c r="P823" s="55"/>
      <c r="Q823" s="55"/>
      <c r="R823" s="55"/>
      <c r="S823" s="55"/>
      <c r="T823" s="55"/>
      <c r="U823" s="55"/>
      <c r="V823" s="30">
        <f t="shared" si="425"/>
        <v>5500000</v>
      </c>
      <c r="W823" s="30"/>
      <c r="X823" s="58"/>
      <c r="Y823" s="58"/>
      <c r="Z823" s="692"/>
      <c r="AA823" s="665"/>
      <c r="AB823" s="55"/>
      <c r="AC823" s="55"/>
      <c r="AD823" s="453"/>
      <c r="AE823" s="55"/>
      <c r="AF823" s="355"/>
      <c r="AG823" s="55"/>
      <c r="AH823" s="55"/>
      <c r="AI823" s="55"/>
      <c r="AJ823" s="62">
        <v>44935.0</v>
      </c>
      <c r="AK823" s="38">
        <v>5500000.0</v>
      </c>
      <c r="AL823" s="55"/>
      <c r="AM823" s="55"/>
      <c r="AN823" s="55"/>
      <c r="AO823" s="55"/>
      <c r="AP823" s="356"/>
      <c r="AQ823" s="356"/>
      <c r="AR823" s="55"/>
      <c r="AS823" s="55"/>
      <c r="AT823" s="55"/>
      <c r="AU823" s="722"/>
      <c r="AV823" s="55"/>
      <c r="AW823" s="38"/>
      <c r="AX823" s="55"/>
      <c r="AY823" s="38"/>
      <c r="AZ823" s="55"/>
      <c r="BA823" s="722"/>
      <c r="BB823" s="55"/>
      <c r="BC823" s="722"/>
      <c r="BD823" s="55"/>
      <c r="BE823" s="38"/>
      <c r="BF823" s="55"/>
      <c r="BG823" s="115"/>
      <c r="BH823" s="115"/>
      <c r="BI823" s="115"/>
      <c r="BJ823" s="115"/>
      <c r="BK823" s="115"/>
      <c r="BL823" s="115"/>
      <c r="BM823" s="115"/>
      <c r="BN823" s="115"/>
      <c r="BO823" s="115"/>
      <c r="BP823" s="115"/>
      <c r="BQ823" s="115"/>
      <c r="BR823" s="115"/>
      <c r="BS823" s="115"/>
      <c r="BT823" s="115"/>
      <c r="BU823" s="115"/>
      <c r="BV823" s="115"/>
      <c r="BW823" s="115"/>
      <c r="BX823" s="115"/>
      <c r="BY823" s="115"/>
      <c r="BZ823" s="115"/>
      <c r="CA823" s="115"/>
      <c r="CB823" s="115"/>
      <c r="CC823" s="115"/>
      <c r="CD823" s="115"/>
      <c r="CE823" s="115"/>
      <c r="CF823" s="115"/>
      <c r="CG823" s="115"/>
      <c r="CH823" s="115"/>
      <c r="CI823" s="115"/>
      <c r="CJ823" s="115"/>
      <c r="CK823" s="115"/>
      <c r="CL823" s="115"/>
      <c r="CM823" s="115"/>
      <c r="CN823" s="115"/>
      <c r="CO823" s="115"/>
      <c r="CP823" s="115"/>
    </row>
    <row r="824" ht="15.75" customHeight="1">
      <c r="A824" s="47" t="s">
        <v>4042</v>
      </c>
      <c r="C824" s="48" t="s">
        <v>68</v>
      </c>
      <c r="D824" s="351"/>
      <c r="E824" s="617" t="s">
        <v>4043</v>
      </c>
      <c r="F824" s="352" t="s">
        <v>4044</v>
      </c>
      <c r="G824" s="353"/>
      <c r="H824" s="53" t="s">
        <v>4045</v>
      </c>
      <c r="I824" s="54" t="s">
        <v>4046</v>
      </c>
      <c r="J824" s="55"/>
      <c r="K824" s="55"/>
      <c r="L824" s="56">
        <v>2022.0</v>
      </c>
      <c r="M824" s="55"/>
      <c r="N824" s="55"/>
      <c r="O824" s="27" t="str">
        <f t="shared" si="3"/>
        <v>#N/A</v>
      </c>
      <c r="P824" s="55"/>
      <c r="Q824" s="55"/>
      <c r="R824" s="55"/>
      <c r="S824" s="55"/>
      <c r="T824" s="55"/>
      <c r="U824" s="55"/>
      <c r="V824" s="30">
        <f t="shared" si="425"/>
        <v>5500000</v>
      </c>
      <c r="W824" s="30"/>
      <c r="X824" s="58"/>
      <c r="Y824" s="58"/>
      <c r="Z824" s="692"/>
      <c r="AA824" s="665"/>
      <c r="AB824" s="55"/>
      <c r="AC824" s="55"/>
      <c r="AD824" s="880">
        <v>44726.0</v>
      </c>
      <c r="AE824" s="38">
        <v>1000000.0</v>
      </c>
      <c r="AF824" s="62">
        <v>44977.0</v>
      </c>
      <c r="AG824" s="38">
        <v>4500000.0</v>
      </c>
      <c r="AH824" s="55"/>
      <c r="AI824" s="38"/>
      <c r="AJ824" s="55"/>
      <c r="AK824" s="38"/>
      <c r="AL824" s="55"/>
      <c r="AM824" s="38"/>
      <c r="AN824" s="55"/>
      <c r="AO824" s="38"/>
      <c r="AP824" s="356"/>
      <c r="AQ824" s="38"/>
      <c r="AR824" s="55"/>
      <c r="AS824" s="38"/>
      <c r="AT824" s="55"/>
      <c r="AU824" s="38"/>
      <c r="AV824" s="55"/>
      <c r="AW824" s="38"/>
      <c r="AX824" s="55"/>
      <c r="AY824" s="38"/>
      <c r="AZ824" s="55"/>
      <c r="BA824" s="38"/>
      <c r="BB824" s="55"/>
      <c r="BC824" s="38"/>
      <c r="BD824" s="55"/>
      <c r="BE824" s="38"/>
      <c r="BF824" s="55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</row>
    <row r="825" ht="15.75" customHeight="1">
      <c r="A825" s="860" t="s">
        <v>4047</v>
      </c>
      <c r="B825" s="68"/>
      <c r="C825" s="69" t="s">
        <v>513</v>
      </c>
      <c r="D825" s="192" t="s">
        <v>4048</v>
      </c>
      <c r="E825" s="192" t="s">
        <v>4049</v>
      </c>
      <c r="F825" s="118" t="s">
        <v>4050</v>
      </c>
      <c r="G825" s="71"/>
      <c r="H825" s="71" t="s">
        <v>120</v>
      </c>
      <c r="I825" s="26" t="s">
        <v>65</v>
      </c>
      <c r="J825" s="155"/>
      <c r="K825" s="26"/>
      <c r="L825" s="26">
        <v>2014.0</v>
      </c>
      <c r="M825" s="25">
        <f t="shared" ref="M825:M826" si="628">year(now()) -L825</f>
        <v>11</v>
      </c>
      <c r="N825" s="26">
        <f t="shared" ref="N825:N826" si="629">counta(AE825,AG825,AI825,AK825,AM825,AO825,AQ825,AS825,AU825,AW825,AY825,BA825,BC825)</f>
        <v>2</v>
      </c>
      <c r="O825" s="27" t="str">
        <f t="shared" si="3"/>
        <v>#N/A</v>
      </c>
      <c r="P825" s="28"/>
      <c r="Q825" s="28"/>
      <c r="R825" s="28"/>
      <c r="S825" s="28"/>
      <c r="T825" s="29">
        <f t="shared" ref="T825:T826" si="630">V825/M825</f>
        <v>490909.0909</v>
      </c>
      <c r="U825" s="28"/>
      <c r="V825" s="30">
        <f t="shared" si="425"/>
        <v>5400000</v>
      </c>
      <c r="W825" s="30"/>
      <c r="X825" s="73"/>
      <c r="Y825" s="33">
        <f t="shared" ref="Y825:Y826" si="631">(max(AE825,AG825,AI825,AK825,AM825,AO825,AQ825,AS825,AU825,AW825,AY825,BA825,BC825)/min(AE825,AG825,AI825,AK825))^(1/M825)-1</f>
        <v>0.05710832946</v>
      </c>
      <c r="Z825" s="692"/>
      <c r="AA825" s="665"/>
      <c r="AB825" s="74"/>
      <c r="AC825" s="74"/>
      <c r="AD825" s="79"/>
      <c r="AE825" s="84"/>
      <c r="AF825" s="320">
        <v>42217.0</v>
      </c>
      <c r="AG825" s="76">
        <v>1900000.0</v>
      </c>
      <c r="AH825" s="74"/>
      <c r="AI825" s="78"/>
      <c r="AJ825" s="42">
        <v>42794.0</v>
      </c>
      <c r="AK825" s="76">
        <v>3500000.0</v>
      </c>
      <c r="AL825" s="79"/>
      <c r="AM825" s="84"/>
      <c r="AN825" s="79"/>
      <c r="AO825" s="84"/>
      <c r="AP825" s="79"/>
      <c r="AQ825" s="84"/>
      <c r="AR825" s="79"/>
      <c r="AS825" s="79"/>
      <c r="AT825" s="79"/>
      <c r="AU825" s="80"/>
      <c r="AV825" s="79"/>
      <c r="AW825" s="38"/>
      <c r="AX825" s="79"/>
      <c r="AY825" s="38"/>
      <c r="AZ825" s="79"/>
      <c r="BA825" s="80"/>
      <c r="BB825" s="79"/>
      <c r="BC825" s="80"/>
      <c r="BD825" s="79"/>
      <c r="BE825" s="38"/>
      <c r="BF825" s="74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</row>
    <row r="826" ht="15.75" customHeight="1">
      <c r="A826" s="860" t="s">
        <v>4051</v>
      </c>
      <c r="B826" s="116"/>
      <c r="C826" s="116" t="s">
        <v>755</v>
      </c>
      <c r="D826" s="192" t="s">
        <v>4052</v>
      </c>
      <c r="E826" s="192" t="s">
        <v>4053</v>
      </c>
      <c r="F826" s="118" t="s">
        <v>4054</v>
      </c>
      <c r="G826" s="54"/>
      <c r="H826" s="119" t="s">
        <v>4055</v>
      </c>
      <c r="I826" s="25" t="s">
        <v>1935</v>
      </c>
      <c r="J826" s="1164"/>
      <c r="K826" s="25"/>
      <c r="L826" s="25">
        <v>2010.0</v>
      </c>
      <c r="M826" s="25">
        <f t="shared" si="628"/>
        <v>15</v>
      </c>
      <c r="N826" s="26">
        <f t="shared" si="629"/>
        <v>2</v>
      </c>
      <c r="O826" s="27" t="str">
        <f t="shared" si="3"/>
        <v>#N/A</v>
      </c>
      <c r="P826" s="28"/>
      <c r="Q826" s="28"/>
      <c r="R826" s="28"/>
      <c r="S826" s="28"/>
      <c r="T826" s="29">
        <f t="shared" si="630"/>
        <v>360000</v>
      </c>
      <c r="U826" s="28"/>
      <c r="V826" s="30">
        <f t="shared" si="425"/>
        <v>5400000</v>
      </c>
      <c r="W826" s="30"/>
      <c r="X826" s="597"/>
      <c r="Y826" s="33">
        <f t="shared" si="631"/>
        <v>0.07249546313</v>
      </c>
      <c r="Z826" s="692"/>
      <c r="AA826" s="665"/>
      <c r="AB826" s="123"/>
      <c r="AC826" s="123"/>
      <c r="AD826" s="164"/>
      <c r="AE826" s="1386"/>
      <c r="AF826" s="320">
        <v>43293.0</v>
      </c>
      <c r="AG826" s="1387">
        <v>1400000.0</v>
      </c>
      <c r="AH826" s="1388"/>
      <c r="AI826" s="1365"/>
      <c r="AJ826" s="227">
        <v>43741.0</v>
      </c>
      <c r="AK826" s="127">
        <v>4000000.0</v>
      </c>
      <c r="AL826" s="124"/>
      <c r="AM826" s="125"/>
      <c r="AN826" s="124"/>
      <c r="AO826" s="125"/>
      <c r="AP826" s="124"/>
      <c r="AQ826" s="125"/>
      <c r="AR826" s="124"/>
      <c r="AS826" s="124"/>
      <c r="AT826" s="124"/>
      <c r="AU826" s="137"/>
      <c r="AV826" s="124"/>
      <c r="AW826" s="38"/>
      <c r="AX826" s="124"/>
      <c r="AY826" s="38"/>
      <c r="AZ826" s="124"/>
      <c r="BA826" s="137"/>
      <c r="BB826" s="124"/>
      <c r="BC826" s="137"/>
      <c r="BD826" s="124"/>
      <c r="BE826" s="38"/>
      <c r="BF826" s="123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68"/>
      <c r="CA826" s="68"/>
      <c r="CB826" s="68"/>
      <c r="CC826" s="68"/>
      <c r="CD826" s="68"/>
      <c r="CE826" s="68"/>
      <c r="CF826" s="68"/>
      <c r="CG826" s="68"/>
      <c r="CH826" s="68"/>
      <c r="CI826" s="68"/>
      <c r="CJ826" s="68"/>
      <c r="CK826" s="68"/>
      <c r="CL826" s="68"/>
      <c r="CM826" s="68"/>
      <c r="CN826" s="68"/>
      <c r="CO826" s="68"/>
      <c r="CP826" s="68"/>
    </row>
    <row r="827" ht="15.75" customHeight="1">
      <c r="A827" s="47" t="s">
        <v>4056</v>
      </c>
      <c r="C827" s="48" t="s">
        <v>84</v>
      </c>
      <c r="D827" s="351"/>
      <c r="E827" s="49" t="s">
        <v>4057</v>
      </c>
      <c r="F827" s="352" t="s">
        <v>4058</v>
      </c>
      <c r="G827" s="353"/>
      <c r="H827" s="53" t="s">
        <v>1984</v>
      </c>
      <c r="I827" s="54" t="s">
        <v>772</v>
      </c>
      <c r="J827" s="55"/>
      <c r="K827" s="54">
        <v>2.0</v>
      </c>
      <c r="L827" s="56">
        <v>2015.0</v>
      </c>
      <c r="M827" s="55"/>
      <c r="N827" s="55"/>
      <c r="O827" s="27" t="str">
        <f t="shared" si="3"/>
        <v>#N/A</v>
      </c>
      <c r="P827" s="55"/>
      <c r="Q827" s="55"/>
      <c r="R827" s="55"/>
      <c r="S827" s="55"/>
      <c r="T827" s="55"/>
      <c r="U827" s="55"/>
      <c r="V827" s="30">
        <f t="shared" si="425"/>
        <v>5400000</v>
      </c>
      <c r="W827" s="30"/>
      <c r="X827" s="58"/>
      <c r="Y827" s="58"/>
      <c r="Z827" s="692"/>
      <c r="AA827" s="665"/>
      <c r="AB827" s="55"/>
      <c r="AC827" s="55"/>
      <c r="AD827" s="453"/>
      <c r="AE827" s="55"/>
      <c r="AF827" s="62">
        <v>43221.0</v>
      </c>
      <c r="AG827" s="55"/>
      <c r="AH827" s="55"/>
      <c r="AI827" s="55"/>
      <c r="AJ827" s="55"/>
      <c r="AK827" s="55"/>
      <c r="AL827" s="55"/>
      <c r="AM827" s="55"/>
      <c r="AN827" s="55"/>
      <c r="AO827" s="55"/>
      <c r="AP827" s="356"/>
      <c r="AQ827" s="356"/>
      <c r="AR827" s="55"/>
      <c r="AS827" s="55"/>
      <c r="AT827" s="55"/>
      <c r="AU827" s="722"/>
      <c r="AV827" s="55"/>
      <c r="AW827" s="38"/>
      <c r="AX827" s="55"/>
      <c r="AY827" s="38"/>
      <c r="AZ827" s="62">
        <v>44937.0</v>
      </c>
      <c r="BA827" s="743">
        <v>5400000.0</v>
      </c>
      <c r="BB827" s="55"/>
      <c r="BC827" s="722"/>
      <c r="BD827" s="55"/>
      <c r="BE827" s="38"/>
      <c r="BF827" s="55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68"/>
      <c r="CA827" s="68"/>
      <c r="CB827" s="68"/>
      <c r="CC827" s="68"/>
      <c r="CD827" s="68"/>
      <c r="CE827" s="68"/>
      <c r="CF827" s="68"/>
      <c r="CG827" s="68"/>
      <c r="CH827" s="68"/>
      <c r="CI827" s="68"/>
      <c r="CJ827" s="68"/>
      <c r="CK827" s="68"/>
      <c r="CL827" s="68"/>
      <c r="CM827" s="68"/>
      <c r="CN827" s="68"/>
      <c r="CO827" s="68"/>
      <c r="CP827" s="68"/>
    </row>
    <row r="828" ht="15.75" customHeight="1">
      <c r="A828" s="21" t="s">
        <v>4059</v>
      </c>
      <c r="B828" s="68"/>
      <c r="C828" s="69" t="s">
        <v>4060</v>
      </c>
      <c r="D828" s="48"/>
      <c r="E828" s="192" t="s">
        <v>4061</v>
      </c>
      <c r="F828" s="154" t="s">
        <v>4062</v>
      </c>
      <c r="G828" s="71"/>
      <c r="H828" s="71" t="s">
        <v>4063</v>
      </c>
      <c r="I828" s="26" t="s">
        <v>329</v>
      </c>
      <c r="J828" s="72"/>
      <c r="K828" s="26">
        <v>4.0</v>
      </c>
      <c r="L828" s="26">
        <v>2017.0</v>
      </c>
      <c r="M828" s="25"/>
      <c r="N828" s="26"/>
      <c r="O828" s="27" t="str">
        <f t="shared" si="3"/>
        <v>#N/A</v>
      </c>
      <c r="P828" s="28"/>
      <c r="Q828" s="28"/>
      <c r="R828" s="28"/>
      <c r="S828" s="28"/>
      <c r="T828" s="28"/>
      <c r="U828" s="28"/>
      <c r="V828" s="30">
        <f t="shared" si="425"/>
        <v>5310000</v>
      </c>
      <c r="W828" s="30"/>
      <c r="X828" s="73"/>
      <c r="Y828" s="73"/>
      <c r="Z828" s="692"/>
      <c r="AA828" s="665"/>
      <c r="AB828" s="74"/>
      <c r="AC828" s="74"/>
      <c r="AD828" s="181" t="str">
        <f>HYPERLINK("https://www.crunchbase.com/funding_round/weaver-tech-pre-seed--a9e772f6","Sep 24, 2020")</f>
        <v>Sep 24, 2020</v>
      </c>
      <c r="AE828" s="76">
        <v>1310000.0</v>
      </c>
      <c r="AF828" s="175" t="str">
        <f>HYPERLINK("https://www.crunchbase.com/funding_round/weaver-tech-seed--63660432","Mar 28, 2022")</f>
        <v>Mar 28, 2022</v>
      </c>
      <c r="AG828" s="76">
        <v>4000000.0</v>
      </c>
      <c r="AH828" s="74"/>
      <c r="AI828" s="78"/>
      <c r="AJ828" s="227"/>
      <c r="AK828" s="76"/>
      <c r="AL828" s="79"/>
      <c r="AM828" s="84"/>
      <c r="AN828" s="79"/>
      <c r="AO828" s="84"/>
      <c r="AP828" s="79"/>
      <c r="AQ828" s="84"/>
      <c r="AR828" s="79"/>
      <c r="AS828" s="79"/>
      <c r="AT828" s="79"/>
      <c r="AU828" s="80"/>
      <c r="AV828" s="79"/>
      <c r="AW828" s="38"/>
      <c r="AX828" s="79"/>
      <c r="AY828" s="38"/>
      <c r="AZ828" s="79"/>
      <c r="BA828" s="80"/>
      <c r="BB828" s="79"/>
      <c r="BC828" s="80"/>
      <c r="BD828" s="79"/>
      <c r="BE828" s="38"/>
      <c r="BF828" s="74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</row>
    <row r="829" ht="15.75" customHeight="1">
      <c r="A829" s="1389" t="s">
        <v>4064</v>
      </c>
      <c r="B829" s="66"/>
      <c r="C829" s="1390" t="s">
        <v>68</v>
      </c>
      <c r="D829" s="1391"/>
      <c r="E829" s="1392" t="s">
        <v>4065</v>
      </c>
      <c r="F829" s="1393" t="s">
        <v>4066</v>
      </c>
      <c r="G829" s="1394"/>
      <c r="H829" s="1395" t="s">
        <v>1065</v>
      </c>
      <c r="I829" s="1284" t="s">
        <v>639</v>
      </c>
      <c r="J829" s="1396"/>
      <c r="K829" s="1284">
        <v>2.0</v>
      </c>
      <c r="L829" s="1284">
        <v>2017.0</v>
      </c>
      <c r="M829" s="222"/>
      <c r="N829" s="1284"/>
      <c r="O829" s="27" t="str">
        <f t="shared" si="3"/>
        <v>#N/A</v>
      </c>
      <c r="P829" s="1397"/>
      <c r="Q829" s="1397"/>
      <c r="R829" s="1397"/>
      <c r="S829" s="1397"/>
      <c r="T829" s="1397"/>
      <c r="U829" s="1397"/>
      <c r="V829" s="30">
        <f t="shared" si="425"/>
        <v>5300000</v>
      </c>
      <c r="W829" s="30"/>
      <c r="X829" s="1286"/>
      <c r="Y829" s="1286"/>
      <c r="Z829" s="692"/>
      <c r="AA829" s="665"/>
      <c r="AB829" s="1161"/>
      <c r="AC829" s="1161"/>
      <c r="AD829" s="1289"/>
      <c r="AE829" s="1288"/>
      <c r="AF829" s="1398">
        <v>44733.0</v>
      </c>
      <c r="AG829" s="1288">
        <v>5300000.0</v>
      </c>
      <c r="AH829" s="1399"/>
      <c r="AI829" s="1400"/>
      <c r="AJ829" s="1289"/>
      <c r="AK829" s="1288"/>
      <c r="AL829" s="1158"/>
      <c r="AM829" s="1159"/>
      <c r="AN829" s="1158"/>
      <c r="AO829" s="1159"/>
      <c r="AP829" s="1158"/>
      <c r="AQ829" s="1159"/>
      <c r="AR829" s="1158"/>
      <c r="AS829" s="1158"/>
      <c r="AT829" s="1158"/>
      <c r="AU829" s="1160"/>
      <c r="AV829" s="1158"/>
      <c r="AW829" s="38"/>
      <c r="AX829" s="1158"/>
      <c r="AY829" s="38"/>
      <c r="AZ829" s="1158"/>
      <c r="BA829" s="1160"/>
      <c r="BB829" s="1158"/>
      <c r="BC829" s="1160"/>
      <c r="BD829" s="1158"/>
      <c r="BE829" s="38"/>
      <c r="BF829" s="1161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</row>
    <row r="830" ht="15.75" customHeight="1">
      <c r="A830" s="21" t="s">
        <v>4067</v>
      </c>
      <c r="B830" s="68"/>
      <c r="C830" s="69" t="s">
        <v>59</v>
      </c>
      <c r="D830" s="337"/>
      <c r="E830" s="138" t="s">
        <v>4068</v>
      </c>
      <c r="F830" s="173" t="s">
        <v>4069</v>
      </c>
      <c r="G830" s="174"/>
      <c r="H830" s="71" t="s">
        <v>1546</v>
      </c>
      <c r="I830" s="26" t="s">
        <v>1547</v>
      </c>
      <c r="J830" s="514"/>
      <c r="K830" s="26">
        <v>2.0</v>
      </c>
      <c r="L830" s="26">
        <v>2018.0</v>
      </c>
      <c r="M830" s="25"/>
      <c r="N830" s="26"/>
      <c r="O830" s="27" t="str">
        <f t="shared" si="3"/>
        <v>#N/A</v>
      </c>
      <c r="P830" s="273"/>
      <c r="Q830" s="273"/>
      <c r="R830" s="273"/>
      <c r="S830" s="273"/>
      <c r="T830" s="273"/>
      <c r="U830" s="273"/>
      <c r="V830" s="30">
        <f t="shared" si="425"/>
        <v>5300000</v>
      </c>
      <c r="W830" s="30"/>
      <c r="X830" s="73"/>
      <c r="Y830" s="73"/>
      <c r="Z830" s="692"/>
      <c r="AA830" s="665"/>
      <c r="AB830" s="74"/>
      <c r="AC830" s="74"/>
      <c r="AD830" s="79"/>
      <c r="AE830" s="84"/>
      <c r="AF830" s="175" t="str">
        <f>HYPERLINK("https://www.crunchbase.com/funding_round/managed-app-seed--23b4a298","May 30, 2022")</f>
        <v>May 30, 2022</v>
      </c>
      <c r="AG830" s="76">
        <v>5300000.0</v>
      </c>
      <c r="AH830" s="74"/>
      <c r="AI830" s="78"/>
      <c r="AJ830" s="79"/>
      <c r="AK830" s="84"/>
      <c r="AL830" s="279"/>
      <c r="AM830" s="84"/>
      <c r="AN830" s="79"/>
      <c r="AO830" s="84"/>
      <c r="AP830" s="79"/>
      <c r="AQ830" s="84"/>
      <c r="AR830" s="79"/>
      <c r="AS830" s="79"/>
      <c r="AT830" s="79"/>
      <c r="AU830" s="80"/>
      <c r="AV830" s="79"/>
      <c r="AW830" s="38"/>
      <c r="AX830" s="79"/>
      <c r="AY830" s="38"/>
      <c r="AZ830" s="79"/>
      <c r="BA830" s="80"/>
      <c r="BB830" s="79"/>
      <c r="BC830" s="80"/>
      <c r="BD830" s="79"/>
      <c r="BE830" s="38"/>
      <c r="BF830" s="74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</row>
    <row r="831" ht="15.75" customHeight="1">
      <c r="A831" s="21" t="s">
        <v>4070</v>
      </c>
      <c r="B831" s="69" t="s">
        <v>4071</v>
      </c>
      <c r="C831" s="858" t="s">
        <v>1007</v>
      </c>
      <c r="D831" s="200" t="s">
        <v>4072</v>
      </c>
      <c r="E831" s="492" t="s">
        <v>4073</v>
      </c>
      <c r="F831" s="154" t="s">
        <v>4074</v>
      </c>
      <c r="G831" s="140" t="s">
        <v>4075</v>
      </c>
      <c r="H831" s="140" t="s">
        <v>4076</v>
      </c>
      <c r="I831" s="1401" t="s">
        <v>4077</v>
      </c>
      <c r="J831" s="72" t="s">
        <v>4078</v>
      </c>
      <c r="K831" s="26">
        <v>1.0</v>
      </c>
      <c r="L831" s="26">
        <v>2015.0</v>
      </c>
      <c r="M831" s="25">
        <f t="shared" ref="M831:M833" si="632">year(now()) -L831</f>
        <v>10</v>
      </c>
      <c r="N831" s="26">
        <f t="shared" ref="N831:N833" si="633">counta(AE831,AG831,AI831,AK831,AM831,AO831,AQ831,AS831,AU831,AW831,AY831,BA831,BC831)</f>
        <v>2</v>
      </c>
      <c r="O831" s="27" t="str">
        <f t="shared" si="3"/>
        <v>#N/A</v>
      </c>
      <c r="P831" s="28"/>
      <c r="Q831" s="28"/>
      <c r="R831" s="28"/>
      <c r="S831" s="28"/>
      <c r="T831" s="29">
        <f t="shared" ref="T831:T833" si="634">V831/M831</f>
        <v>520000</v>
      </c>
      <c r="U831" s="28"/>
      <c r="V831" s="30">
        <f t="shared" si="425"/>
        <v>5200000</v>
      </c>
      <c r="W831" s="30"/>
      <c r="X831" s="73"/>
      <c r="Y831" s="33">
        <f t="shared" ref="Y831:Y833" si="635">(max(AE831,AG831,AI831,AK831,AM831,AO831,AQ831,AS831,AU831,AW831,AY831,BA831,BC831)/min(AE831,AG831,AI831,AK831))^(1/M831)-1</f>
        <v>0.1543165677</v>
      </c>
      <c r="Z831" s="692"/>
      <c r="AA831" s="665"/>
      <c r="AB831" s="74"/>
      <c r="AC831" s="74"/>
      <c r="AD831" s="37"/>
      <c r="AE831" s="38"/>
      <c r="AF831" s="158" t="str">
        <f>HYPERLINK("https://www.crunchbase.com/funding_round/foyr-seed--4714c0c2"," Mar 27, 2015        ")
</f>
        <v> Mar 27, 2015        </v>
      </c>
      <c r="AG831" s="38">
        <v>1000000.0</v>
      </c>
      <c r="AH831" s="36"/>
      <c r="AI831" s="159"/>
      <c r="AJ831" s="228" t="str">
        <f>HYPERLINK("https://www.crunchbase.com/funding_round/foyr-series-a--26e36926"," 7/17/2018")</f>
        <v> 7/17/2018</v>
      </c>
      <c r="AK831" s="38">
        <v>4200000.0</v>
      </c>
      <c r="AL831" s="37"/>
      <c r="AM831" s="38"/>
      <c r="AN831" s="44"/>
      <c r="AO831" s="46"/>
      <c r="AP831" s="44"/>
      <c r="AQ831" s="46"/>
      <c r="AR831" s="44"/>
      <c r="AS831" s="44"/>
      <c r="AT831" s="44"/>
      <c r="AU831" s="45"/>
      <c r="AV831" s="44"/>
      <c r="AW831" s="38"/>
      <c r="AX831" s="44"/>
      <c r="AY831" s="38"/>
      <c r="AZ831" s="44"/>
      <c r="BA831" s="45"/>
      <c r="BB831" s="44"/>
      <c r="BC831" s="45"/>
      <c r="BD831" s="44"/>
      <c r="BE831" s="38"/>
      <c r="BF831" s="36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</row>
    <row r="832" ht="15.75" customHeight="1">
      <c r="A832" s="21" t="s">
        <v>4079</v>
      </c>
      <c r="B832" s="69" t="s">
        <v>4080</v>
      </c>
      <c r="C832" s="69" t="s">
        <v>4081</v>
      </c>
      <c r="D832" s="200" t="s">
        <v>4082</v>
      </c>
      <c r="E832" s="200" t="s">
        <v>4083</v>
      </c>
      <c r="F832" s="154" t="s">
        <v>4084</v>
      </c>
      <c r="G832" s="71" t="s">
        <v>1300</v>
      </c>
      <c r="H832" s="71" t="s">
        <v>128</v>
      </c>
      <c r="I832" s="26" t="s">
        <v>129</v>
      </c>
      <c r="J832" s="26">
        <v>10014.0</v>
      </c>
      <c r="K832" s="26">
        <v>2.0</v>
      </c>
      <c r="L832" s="26">
        <v>2017.0</v>
      </c>
      <c r="M832" s="25">
        <f t="shared" si="632"/>
        <v>8</v>
      </c>
      <c r="N832" s="26">
        <f t="shared" si="633"/>
        <v>2</v>
      </c>
      <c r="O832" s="27" t="str">
        <f t="shared" si="3"/>
        <v>#N/A</v>
      </c>
      <c r="P832" s="28"/>
      <c r="Q832" s="28"/>
      <c r="R832" s="28"/>
      <c r="S832" s="28"/>
      <c r="T832" s="29">
        <f t="shared" si="634"/>
        <v>650000</v>
      </c>
      <c r="U832" s="28"/>
      <c r="V832" s="30">
        <f t="shared" si="425"/>
        <v>5200000</v>
      </c>
      <c r="W832" s="30"/>
      <c r="X832" s="73"/>
      <c r="Y832" s="33">
        <f t="shared" si="635"/>
        <v>0.2899587497</v>
      </c>
      <c r="Z832" s="692"/>
      <c r="AA832" s="665"/>
      <c r="AB832" s="74"/>
      <c r="AC832" s="74"/>
      <c r="AD832" s="1027" t="str">
        <f>HYPERLINK("https://www.crunchbase.com/organization/get-jones#section-funding-rounds"," Aug 15, 2017")</f>
        <v> Aug 15, 2017</v>
      </c>
      <c r="AE832" s="1402">
        <v>600000.0</v>
      </c>
      <c r="AF832" s="1403" t="str">
        <f>HYPERLINK("https://www.crunchbase.com/funding_round/get-jones-seed--01bb8ad9"," Oct 10, 2019")</f>
        <v> Oct 10, 2019</v>
      </c>
      <c r="AG832" s="1404">
        <v>4600000.0</v>
      </c>
      <c r="AH832" s="1388"/>
      <c r="AI832" s="1405"/>
      <c r="AJ832" s="79"/>
      <c r="AK832" s="84"/>
      <c r="AL832" s="79"/>
      <c r="AM832" s="84"/>
      <c r="AN832" s="79"/>
      <c r="AO832" s="84"/>
      <c r="AP832" s="79"/>
      <c r="AQ832" s="84"/>
      <c r="AR832" s="79"/>
      <c r="AS832" s="79"/>
      <c r="AT832" s="79"/>
      <c r="AU832" s="80"/>
      <c r="AV832" s="79"/>
      <c r="AW832" s="38"/>
      <c r="AX832" s="79"/>
      <c r="AY832" s="38"/>
      <c r="AZ832" s="79"/>
      <c r="BA832" s="80"/>
      <c r="BB832" s="79"/>
      <c r="BC832" s="80"/>
      <c r="BD832" s="79"/>
      <c r="BE832" s="38"/>
      <c r="BF832" s="74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</row>
    <row r="833" ht="15.75" customHeight="1">
      <c r="A833" s="21" t="s">
        <v>4085</v>
      </c>
      <c r="B833" s="68"/>
      <c r="C833" s="69" t="s">
        <v>132</v>
      </c>
      <c r="D833" s="200" t="s">
        <v>4086</v>
      </c>
      <c r="E833" s="200" t="s">
        <v>4087</v>
      </c>
      <c r="F833" s="173" t="s">
        <v>4088</v>
      </c>
      <c r="G833" s="71" t="s">
        <v>4089</v>
      </c>
      <c r="H833" s="71" t="s">
        <v>328</v>
      </c>
      <c r="I833" s="26" t="s">
        <v>1788</v>
      </c>
      <c r="J833" s="72" t="s">
        <v>4090</v>
      </c>
      <c r="K833" s="26">
        <v>2.0</v>
      </c>
      <c r="L833" s="26">
        <v>2013.0</v>
      </c>
      <c r="M833" s="25">
        <f t="shared" si="632"/>
        <v>12</v>
      </c>
      <c r="N833" s="26">
        <f t="shared" si="633"/>
        <v>1</v>
      </c>
      <c r="O833" s="27" t="str">
        <f t="shared" si="3"/>
        <v>#N/A</v>
      </c>
      <c r="P833" s="28"/>
      <c r="Q833" s="28"/>
      <c r="R833" s="28"/>
      <c r="S833" s="28"/>
      <c r="T833" s="29">
        <f t="shared" si="634"/>
        <v>433333.3333</v>
      </c>
      <c r="U833" s="28"/>
      <c r="V833" s="30">
        <f t="shared" si="425"/>
        <v>5200000</v>
      </c>
      <c r="W833" s="30"/>
      <c r="X833" s="73"/>
      <c r="Y833" s="33">
        <f t="shared" si="635"/>
        <v>0</v>
      </c>
      <c r="Z833" s="692"/>
      <c r="AA833" s="665"/>
      <c r="AB833" s="74"/>
      <c r="AC833" s="74"/>
      <c r="AD833" s="279"/>
      <c r="AE833" s="76"/>
      <c r="AF833" s="726">
        <v>44866.0</v>
      </c>
      <c r="AG833" s="76">
        <v>5200000.0</v>
      </c>
      <c r="AH833" s="74"/>
      <c r="AI833" s="78"/>
      <c r="AJ833" s="79"/>
      <c r="AK833" s="84"/>
      <c r="AL833" s="79"/>
      <c r="AM833" s="84"/>
      <c r="AN833" s="79"/>
      <c r="AO833" s="84"/>
      <c r="AP833" s="79"/>
      <c r="AQ833" s="84"/>
      <c r="AR833" s="79"/>
      <c r="AS833" s="79"/>
      <c r="AT833" s="79"/>
      <c r="AU833" s="80"/>
      <c r="AV833" s="79"/>
      <c r="AW833" s="38"/>
      <c r="AX833" s="79"/>
      <c r="AY833" s="38"/>
      <c r="AZ833" s="79"/>
      <c r="BA833" s="80"/>
      <c r="BB833" s="79"/>
      <c r="BC833" s="80"/>
      <c r="BD833" s="79"/>
      <c r="BE833" s="38"/>
      <c r="BF833" s="74"/>
      <c r="BG833" s="115"/>
      <c r="BH833" s="115"/>
      <c r="BI833" s="115"/>
      <c r="BJ833" s="115"/>
      <c r="BK833" s="115"/>
      <c r="BL833" s="115"/>
      <c r="BM833" s="115"/>
      <c r="BN833" s="115"/>
      <c r="BO833" s="115"/>
      <c r="BP833" s="115"/>
      <c r="BQ833" s="115"/>
      <c r="BR833" s="115"/>
      <c r="BS833" s="115"/>
      <c r="BT833" s="115"/>
      <c r="BU833" s="115"/>
      <c r="BV833" s="115"/>
      <c r="BW833" s="115"/>
      <c r="BX833" s="115"/>
      <c r="BY833" s="115"/>
      <c r="BZ833" s="115"/>
      <c r="CA833" s="115"/>
      <c r="CB833" s="115"/>
      <c r="CC833" s="115"/>
      <c r="CD833" s="115"/>
      <c r="CE833" s="115"/>
      <c r="CF833" s="115"/>
      <c r="CG833" s="115"/>
      <c r="CH833" s="115"/>
      <c r="CI833" s="115"/>
      <c r="CJ833" s="115"/>
      <c r="CK833" s="115"/>
      <c r="CL833" s="115"/>
      <c r="CM833" s="115"/>
      <c r="CN833" s="115"/>
      <c r="CO833" s="115"/>
      <c r="CP833" s="115"/>
    </row>
    <row r="834" ht="15.75" customHeight="1">
      <c r="A834" s="1406" t="s">
        <v>4091</v>
      </c>
      <c r="B834" s="534"/>
      <c r="C834" s="849" t="s">
        <v>59</v>
      </c>
      <c r="D834" s="161" t="s">
        <v>4092</v>
      </c>
      <c r="E834" s="161" t="s">
        <v>4093</v>
      </c>
      <c r="F834" s="402" t="s">
        <v>4094</v>
      </c>
      <c r="G834" s="850"/>
      <c r="H834" s="54" t="s">
        <v>4095</v>
      </c>
      <c r="I834" s="222" t="s">
        <v>4096</v>
      </c>
      <c r="J834" s="953"/>
      <c r="K834" s="222"/>
      <c r="L834" s="222">
        <v>2022.0</v>
      </c>
      <c r="M834" s="222"/>
      <c r="N834" s="222"/>
      <c r="O834" s="27" t="str">
        <f t="shared" si="3"/>
        <v>#N/A</v>
      </c>
      <c r="P834" s="356"/>
      <c r="Q834" s="356"/>
      <c r="R834" s="356"/>
      <c r="S834" s="356"/>
      <c r="T834" s="356"/>
      <c r="U834" s="356"/>
      <c r="V834" s="30">
        <f t="shared" si="425"/>
        <v>5100000</v>
      </c>
      <c r="W834" s="30"/>
      <c r="X834" s="852"/>
      <c r="Y834" s="852"/>
      <c r="Z834" s="692"/>
      <c r="AA834" s="665"/>
      <c r="AB834" s="326"/>
      <c r="AC834" s="326"/>
      <c r="AD834" s="732" t="str">
        <f>HYPERLINK("https://www.crunchbase.com/funding_round/arcol-7292-pre-seed--ce883d33","Dec 31, 2021")</f>
        <v>Dec 31, 2021</v>
      </c>
      <c r="AE834" s="325">
        <v>1500000.0</v>
      </c>
      <c r="AF834" s="324" t="str">
        <f>HYPERLINK("https://www.crunchbase.com/funding_round/arcol-7292-seed--862a0829","Mar 17, 2022")</f>
        <v>Mar 17, 2022</v>
      </c>
      <c r="AG834" s="325">
        <v>3600000.0</v>
      </c>
      <c r="AH834" s="1359"/>
      <c r="AI834" s="325"/>
      <c r="AJ834" s="1134"/>
      <c r="AK834" s="325"/>
      <c r="AL834" s="1134"/>
      <c r="AM834" s="325"/>
      <c r="AN834" s="322"/>
      <c r="AO834" s="323"/>
      <c r="AP834" s="322"/>
      <c r="AQ834" s="323"/>
      <c r="AR834" s="322"/>
      <c r="AS834" s="322"/>
      <c r="AT834" s="322"/>
      <c r="AU834" s="335"/>
      <c r="AV834" s="322"/>
      <c r="AW834" s="38"/>
      <c r="AX834" s="322"/>
      <c r="AY834" s="38"/>
      <c r="AZ834" s="322"/>
      <c r="BA834" s="335"/>
      <c r="BB834" s="322"/>
      <c r="BC834" s="335"/>
      <c r="BD834" s="322"/>
      <c r="BE834" s="38"/>
      <c r="BF834" s="32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</row>
    <row r="835" ht="15.75" customHeight="1">
      <c r="A835" s="47" t="s">
        <v>4097</v>
      </c>
      <c r="C835" s="48" t="s">
        <v>68</v>
      </c>
      <c r="D835" s="49" t="s">
        <v>4098</v>
      </c>
      <c r="E835" s="49" t="s">
        <v>4099</v>
      </c>
      <c r="F835" s="352" t="s">
        <v>4100</v>
      </c>
      <c r="G835" s="353"/>
      <c r="H835" s="53" t="s">
        <v>128</v>
      </c>
      <c r="I835" s="54" t="s">
        <v>129</v>
      </c>
      <c r="J835" s="55"/>
      <c r="K835" s="54">
        <v>1.0</v>
      </c>
      <c r="L835" s="56">
        <v>2021.0</v>
      </c>
      <c r="M835" s="55"/>
      <c r="N835" s="55"/>
      <c r="O835" s="27" t="str">
        <f t="shared" si="3"/>
        <v>#N/A</v>
      </c>
      <c r="P835" s="55"/>
      <c r="Q835" s="55"/>
      <c r="R835" s="55"/>
      <c r="S835" s="55"/>
      <c r="T835" s="55"/>
      <c r="U835" s="55"/>
      <c r="V835" s="30">
        <f t="shared" si="425"/>
        <v>5100000</v>
      </c>
      <c r="W835" s="30"/>
      <c r="X835" s="58"/>
      <c r="Y835" s="58"/>
      <c r="Z835" s="692"/>
      <c r="AA835" s="665"/>
      <c r="AB835" s="55"/>
      <c r="AC835" s="55"/>
      <c r="AD835" s="453"/>
      <c r="AE835" s="55"/>
      <c r="AF835" s="62">
        <v>44946.0</v>
      </c>
      <c r="AG835" s="38">
        <v>5100000.0</v>
      </c>
      <c r="AH835" s="55"/>
      <c r="AI835" s="55"/>
      <c r="AJ835" s="55"/>
      <c r="AK835" s="55"/>
      <c r="AL835" s="55"/>
      <c r="AM835" s="55"/>
      <c r="AN835" s="55"/>
      <c r="AO835" s="55"/>
      <c r="AP835" s="356"/>
      <c r="AQ835" s="38"/>
      <c r="AR835" s="55"/>
      <c r="AS835" s="38"/>
      <c r="AT835" s="55"/>
      <c r="AU835" s="38"/>
      <c r="AV835" s="55"/>
      <c r="AW835" s="38"/>
      <c r="AX835" s="55"/>
      <c r="AY835" s="38"/>
      <c r="AZ835" s="55"/>
      <c r="BA835" s="722"/>
      <c r="BB835" s="55"/>
      <c r="BC835" s="38"/>
      <c r="BD835" s="55"/>
      <c r="BE835" s="38"/>
      <c r="BF835" s="55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</row>
    <row r="836" ht="15.75" customHeight="1">
      <c r="A836" s="47" t="s">
        <v>4101</v>
      </c>
      <c r="B836" s="68"/>
      <c r="C836" s="69" t="s">
        <v>132</v>
      </c>
      <c r="D836" s="48"/>
      <c r="E836" s="192" t="s">
        <v>4102</v>
      </c>
      <c r="F836" s="118" t="s">
        <v>4103</v>
      </c>
      <c r="G836" s="54" t="s">
        <v>4104</v>
      </c>
      <c r="H836" s="71" t="s">
        <v>1472</v>
      </c>
      <c r="I836" s="26" t="s">
        <v>639</v>
      </c>
      <c r="J836" s="72" t="s">
        <v>4105</v>
      </c>
      <c r="K836" s="26">
        <v>1.0</v>
      </c>
      <c r="L836" s="26">
        <v>2012.0</v>
      </c>
      <c r="M836" s="25">
        <f>year(now()) -L836</f>
        <v>13</v>
      </c>
      <c r="N836" s="26">
        <f>counta(AE836,AG836,AI836,AK836,AM836,AO836,AQ836,AS836,AU836,AW836,AY836,BA836,BC836)</f>
        <v>2</v>
      </c>
      <c r="O836" s="27" t="str">
        <f t="shared" si="3"/>
        <v>#N/A</v>
      </c>
      <c r="P836" s="28"/>
      <c r="Q836" s="28"/>
      <c r="R836" s="28"/>
      <c r="S836" s="28"/>
      <c r="T836" s="29">
        <f>V836/M836</f>
        <v>390096.1538</v>
      </c>
      <c r="U836" s="28"/>
      <c r="V836" s="30">
        <f t="shared" si="425"/>
        <v>5071250</v>
      </c>
      <c r="W836" s="30"/>
      <c r="X836" s="73"/>
      <c r="Y836" s="33">
        <f>(max(AE836,AG836,AI836,AK836,AM836,AO836,AQ836,AS836,AU836,AW836,AY836,BA836,BC836)/min(AE836,AG836,AI836,AK836))^(1/M836)-1</f>
        <v>0.3080193443</v>
      </c>
      <c r="Z836" s="692"/>
      <c r="AA836" s="665"/>
      <c r="AB836" s="74"/>
      <c r="AC836" s="74"/>
      <c r="AD836" s="79"/>
      <c r="AE836" s="76"/>
      <c r="AF836" s="175" t="str">
        <f>HYPERLINK("https://www.crunchbase.com/funding_round/spark-crm-seed--b66697fb","Jun 25, 2014")</f>
        <v>Jun 25, 2014</v>
      </c>
      <c r="AG836" s="76">
        <v>150000.0</v>
      </c>
      <c r="AH836" s="74"/>
      <c r="AI836" s="78"/>
      <c r="AJ836" s="426" t="str">
        <f>HYPERLINK("https://www.crunchbase.com/funding_round/spark-crm-series-a--5a7f6492","Jul 28, 2021")</f>
        <v>Jul 28, 2021</v>
      </c>
      <c r="AK836" s="76">
        <v>4921250.0</v>
      </c>
      <c r="AL836" s="79"/>
      <c r="AM836" s="84"/>
      <c r="AN836" s="79"/>
      <c r="AO836" s="84"/>
      <c r="AP836" s="79"/>
      <c r="AQ836" s="84"/>
      <c r="AR836" s="79"/>
      <c r="AS836" s="79"/>
      <c r="AT836" s="79"/>
      <c r="AU836" s="80"/>
      <c r="AV836" s="79"/>
      <c r="AW836" s="38"/>
      <c r="AX836" s="79"/>
      <c r="AY836" s="38"/>
      <c r="AZ836" s="79"/>
      <c r="BA836" s="80"/>
      <c r="BB836" s="79"/>
      <c r="BC836" s="80"/>
      <c r="BD836" s="79"/>
      <c r="BE836" s="38"/>
      <c r="BF836" s="74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  <c r="CO836" s="68"/>
      <c r="CP836" s="68"/>
    </row>
    <row r="837" ht="15.75" customHeight="1">
      <c r="A837" s="400" t="s">
        <v>4106</v>
      </c>
      <c r="B837" s="115"/>
      <c r="C837" s="116" t="s">
        <v>68</v>
      </c>
      <c r="D837" s="161" t="s">
        <v>4107</v>
      </c>
      <c r="E837" s="161" t="s">
        <v>4108</v>
      </c>
      <c r="F837" s="402" t="s">
        <v>4109</v>
      </c>
      <c r="G837" s="286"/>
      <c r="H837" s="119" t="s">
        <v>64</v>
      </c>
      <c r="I837" s="25" t="s">
        <v>65</v>
      </c>
      <c r="J837" s="287"/>
      <c r="K837" s="25">
        <v>2.0</v>
      </c>
      <c r="L837" s="25">
        <v>2018.0</v>
      </c>
      <c r="M837" s="123"/>
      <c r="N837" s="123"/>
      <c r="O837" s="27" t="str">
        <f t="shared" si="3"/>
        <v>#N/A</v>
      </c>
      <c r="P837" s="55"/>
      <c r="Q837" s="55"/>
      <c r="R837" s="55"/>
      <c r="S837" s="55"/>
      <c r="T837" s="55"/>
      <c r="U837" s="55"/>
      <c r="V837" s="30">
        <f t="shared" si="425"/>
        <v>5010900</v>
      </c>
      <c r="W837" s="31">
        <v>1000000.0</v>
      </c>
      <c r="X837" s="403"/>
      <c r="Y837" s="403"/>
      <c r="Z837" s="692"/>
      <c r="AA837" s="665"/>
      <c r="AB837" s="123"/>
      <c r="AC837" s="123"/>
      <c r="AD837" s="404">
        <v>43966.0</v>
      </c>
      <c r="AE837" s="335">
        <v>354300.0</v>
      </c>
      <c r="AF837" s="62">
        <v>44286.0</v>
      </c>
      <c r="AG837" s="1342">
        <v>656600.0</v>
      </c>
      <c r="AH837" s="123"/>
      <c r="AI837" s="123"/>
      <c r="AJ837" s="123"/>
      <c r="AK837" s="123"/>
      <c r="AL837" s="123"/>
      <c r="AM837" s="123"/>
      <c r="AN837" s="123"/>
      <c r="AO837" s="123"/>
      <c r="AP837" s="123"/>
      <c r="AQ837" s="123"/>
      <c r="AR837" s="123"/>
      <c r="AS837" s="123"/>
      <c r="AT837" s="123"/>
      <c r="AU837" s="137"/>
      <c r="AV837" s="123"/>
      <c r="AW837" s="38"/>
      <c r="AX837" s="123"/>
      <c r="AY837" s="38"/>
      <c r="AZ837" s="404">
        <v>44868.0</v>
      </c>
      <c r="BA837" s="170">
        <v>4000000.0</v>
      </c>
      <c r="BB837" s="123"/>
      <c r="BC837" s="137"/>
      <c r="BD837" s="123"/>
      <c r="BE837" s="38"/>
      <c r="BF837" s="123"/>
      <c r="BG837" s="1407"/>
      <c r="BH837" s="1407"/>
      <c r="BI837" s="1407"/>
      <c r="BJ837" s="1407"/>
      <c r="BK837" s="1407"/>
      <c r="BL837" s="1407"/>
      <c r="BM837" s="1407"/>
      <c r="BN837" s="1407"/>
      <c r="BO837" s="1407"/>
      <c r="BP837" s="1407"/>
      <c r="BQ837" s="1407"/>
      <c r="BR837" s="1407"/>
      <c r="BS837" s="1407"/>
      <c r="BT837" s="1407"/>
      <c r="BU837" s="1407"/>
      <c r="BV837" s="1407"/>
      <c r="BW837" s="1407"/>
      <c r="BX837" s="1407"/>
      <c r="BY837" s="1407"/>
      <c r="BZ837" s="1407"/>
      <c r="CA837" s="1407"/>
      <c r="CB837" s="1407"/>
      <c r="CC837" s="1407"/>
      <c r="CD837" s="1407"/>
      <c r="CE837" s="1407"/>
      <c r="CF837" s="1407"/>
      <c r="CG837" s="1407"/>
      <c r="CH837" s="1407"/>
      <c r="CI837" s="1407"/>
      <c r="CJ837" s="1407"/>
      <c r="CK837" s="1407"/>
      <c r="CL837" s="1407"/>
      <c r="CM837" s="1407"/>
      <c r="CN837" s="1407"/>
      <c r="CO837" s="1407"/>
      <c r="CP837" s="1407"/>
    </row>
    <row r="838" ht="15.75" customHeight="1">
      <c r="A838" s="866" t="s">
        <v>4110</v>
      </c>
      <c r="B838" s="16"/>
      <c r="C838" s="17" t="s">
        <v>123</v>
      </c>
      <c r="D838" s="236" t="s">
        <v>4111</v>
      </c>
      <c r="E838" s="236" t="s">
        <v>4112</v>
      </c>
      <c r="F838" s="20" t="s">
        <v>4113</v>
      </c>
      <c r="G838" s="317"/>
      <c r="H838" s="22" t="s">
        <v>455</v>
      </c>
      <c r="I838" s="23" t="s">
        <v>100</v>
      </c>
      <c r="J838" s="237"/>
      <c r="K838" s="36"/>
      <c r="L838" s="23">
        <v>2014.0</v>
      </c>
      <c r="M838" s="25">
        <f t="shared" ref="M838:M848" si="636">year(now()) -L838</f>
        <v>11</v>
      </c>
      <c r="N838" s="26">
        <f t="shared" ref="N838:N848" si="637">counta(AE838,AG838,AI838,AK838,AM838,AO838,AQ838,AS838,AU838,AW838,AY838,BA838,BC838)</f>
        <v>1</v>
      </c>
      <c r="O838" s="27" t="str">
        <f t="shared" si="3"/>
        <v>#N/A</v>
      </c>
      <c r="P838" s="28"/>
      <c r="Q838" s="28"/>
      <c r="R838" s="28"/>
      <c r="S838" s="28"/>
      <c r="T838" s="29">
        <f t="shared" ref="T838:T848" si="638">V838/M838</f>
        <v>454545.4545</v>
      </c>
      <c r="U838" s="28"/>
      <c r="V838" s="30">
        <f t="shared" si="425"/>
        <v>5000000</v>
      </c>
      <c r="W838" s="30"/>
      <c r="X838" s="847"/>
      <c r="Y838" s="33">
        <f t="shared" ref="Y838:Y848" si="639">(max(AE838,AG838,AI838,AK838,AM838,AO838,AQ838,AS838,AU838,AW838,AY838,BA838,BC838)/min(AE838,AG838,AI838,AK838))^(1/M838)-1</f>
        <v>0</v>
      </c>
      <c r="Z838" s="692"/>
      <c r="AA838" s="665"/>
      <c r="AB838" s="36"/>
      <c r="AC838" s="36"/>
      <c r="AD838" s="898"/>
      <c r="AE838" s="1174"/>
      <c r="AF838" s="39"/>
      <c r="AG838" s="46"/>
      <c r="AH838" s="36"/>
      <c r="AI838" s="159"/>
      <c r="AJ838" s="227">
        <v>43734.0</v>
      </c>
      <c r="AK838" s="38">
        <v>5000000.0</v>
      </c>
      <c r="AL838" s="44"/>
      <c r="AM838" s="46"/>
      <c r="AN838" s="44"/>
      <c r="AO838" s="46"/>
      <c r="AP838" s="44"/>
      <c r="AQ838" s="46"/>
      <c r="AR838" s="44"/>
      <c r="AS838" s="44"/>
      <c r="AT838" s="44"/>
      <c r="AU838" s="45"/>
      <c r="AV838" s="44"/>
      <c r="AW838" s="38"/>
      <c r="AX838" s="44"/>
      <c r="AY838" s="38"/>
      <c r="AZ838" s="44"/>
      <c r="BA838" s="45"/>
      <c r="BB838" s="44"/>
      <c r="BC838" s="45"/>
      <c r="BD838" s="44"/>
      <c r="BE838" s="38"/>
      <c r="BF838" s="3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</row>
    <row r="839" ht="15.75" customHeight="1">
      <c r="A839" s="442" t="s">
        <v>4114</v>
      </c>
      <c r="B839" s="68" t="s">
        <v>2105</v>
      </c>
      <c r="C839" s="69" t="s">
        <v>4115</v>
      </c>
      <c r="D839" s="184"/>
      <c r="E839" s="200" t="s">
        <v>4116</v>
      </c>
      <c r="F839" s="185" t="s">
        <v>4117</v>
      </c>
      <c r="G839" s="140" t="s">
        <v>4118</v>
      </c>
      <c r="H839" s="140" t="s">
        <v>4119</v>
      </c>
      <c r="I839" s="1401" t="s">
        <v>826</v>
      </c>
      <c r="J839" s="72" t="s">
        <v>4120</v>
      </c>
      <c r="K839" s="26">
        <v>2.0</v>
      </c>
      <c r="L839" s="26">
        <v>2005.0</v>
      </c>
      <c r="M839" s="25">
        <f t="shared" si="636"/>
        <v>20</v>
      </c>
      <c r="N839" s="26">
        <f t="shared" si="637"/>
        <v>1</v>
      </c>
      <c r="O839" s="27" t="str">
        <f t="shared" si="3"/>
        <v>#N/A</v>
      </c>
      <c r="P839" s="28"/>
      <c r="Q839" s="28"/>
      <c r="R839" s="28"/>
      <c r="S839" s="28"/>
      <c r="T839" s="29">
        <f t="shared" si="638"/>
        <v>250000</v>
      </c>
      <c r="U839" s="28"/>
      <c r="V839" s="30">
        <f t="shared" si="425"/>
        <v>5000000</v>
      </c>
      <c r="W839" s="30"/>
      <c r="X839" s="73"/>
      <c r="Y839" s="33" t="str">
        <f t="shared" si="639"/>
        <v>#DIV/0!</v>
      </c>
      <c r="Z839" s="692"/>
      <c r="AA839" s="665"/>
      <c r="AB839" s="74"/>
      <c r="AC839" s="74"/>
      <c r="AD839" s="37"/>
      <c r="AE839" s="23"/>
      <c r="AF839" s="39"/>
      <c r="AG839" s="1230"/>
      <c r="AH839" s="886"/>
      <c r="AI839" s="886"/>
      <c r="AJ839" s="37"/>
      <c r="AK839" s="38"/>
      <c r="AL839" s="228" t="str">
        <f>HYPERLINK("https://www.crunchbase.com/funding_round/regen-energy-series-b--69638922"," Oct 7, 2014")
</f>
        <v> Oct 7, 2014</v>
      </c>
      <c r="AM839" s="38">
        <v>5000000.0</v>
      </c>
      <c r="AN839" s="37"/>
      <c r="AO839" s="38"/>
      <c r="AP839" s="37"/>
      <c r="AQ839" s="38"/>
      <c r="AR839" s="44"/>
      <c r="AS839" s="44"/>
      <c r="AT839" s="44"/>
      <c r="AU839" s="45"/>
      <c r="AV839" s="44"/>
      <c r="AW839" s="38"/>
      <c r="AX839" s="44"/>
      <c r="AY839" s="38"/>
      <c r="AZ839" s="44"/>
      <c r="BA839" s="45"/>
      <c r="BB839" s="44"/>
      <c r="BC839" s="45"/>
      <c r="BD839" s="44"/>
      <c r="BE839" s="38"/>
      <c r="BF839" s="36"/>
      <c r="BG839" s="115"/>
      <c r="BH839" s="115"/>
      <c r="BI839" s="115"/>
      <c r="BJ839" s="115"/>
      <c r="BK839" s="115"/>
      <c r="BL839" s="115"/>
      <c r="BM839" s="115"/>
      <c r="BN839" s="115"/>
      <c r="BO839" s="115"/>
      <c r="BP839" s="115"/>
      <c r="BQ839" s="115"/>
      <c r="BR839" s="115"/>
      <c r="BS839" s="115"/>
      <c r="BT839" s="115"/>
      <c r="BU839" s="115"/>
      <c r="BV839" s="115"/>
      <c r="BW839" s="115"/>
      <c r="BX839" s="115"/>
      <c r="BY839" s="115"/>
      <c r="BZ839" s="115"/>
      <c r="CA839" s="115"/>
      <c r="CB839" s="115"/>
      <c r="CC839" s="115"/>
      <c r="CD839" s="115"/>
      <c r="CE839" s="115"/>
      <c r="CF839" s="115"/>
      <c r="CG839" s="115"/>
      <c r="CH839" s="115"/>
      <c r="CI839" s="115"/>
      <c r="CJ839" s="115"/>
      <c r="CK839" s="115"/>
      <c r="CL839" s="115"/>
      <c r="CM839" s="115"/>
      <c r="CN839" s="115"/>
      <c r="CO839" s="115"/>
      <c r="CP839" s="115"/>
    </row>
    <row r="840" ht="15.75" customHeight="1">
      <c r="A840" s="21" t="s">
        <v>4121</v>
      </c>
      <c r="B840" s="68"/>
      <c r="C840" s="69" t="s">
        <v>59</v>
      </c>
      <c r="D840" s="138"/>
      <c r="E840" s="138" t="s">
        <v>4122</v>
      </c>
      <c r="F840" s="173" t="s">
        <v>4123</v>
      </c>
      <c r="G840" s="273"/>
      <c r="H840" s="810" t="s">
        <v>128</v>
      </c>
      <c r="I840" s="810" t="s">
        <v>129</v>
      </c>
      <c r="J840" s="273"/>
      <c r="K840" s="26">
        <v>2.0</v>
      </c>
      <c r="L840" s="26">
        <v>2021.0</v>
      </c>
      <c r="M840" s="25">
        <f t="shared" si="636"/>
        <v>4</v>
      </c>
      <c r="N840" s="26">
        <f t="shared" si="637"/>
        <v>1</v>
      </c>
      <c r="O840" s="27" t="str">
        <f t="shared" si="3"/>
        <v>#N/A</v>
      </c>
      <c r="P840" s="28"/>
      <c r="Q840" s="28"/>
      <c r="R840" s="28"/>
      <c r="S840" s="28"/>
      <c r="T840" s="29">
        <f t="shared" si="638"/>
        <v>1250000</v>
      </c>
      <c r="U840" s="28"/>
      <c r="V840" s="30">
        <f t="shared" si="425"/>
        <v>5000000</v>
      </c>
      <c r="W840" s="30"/>
      <c r="X840" s="73"/>
      <c r="Y840" s="33">
        <f t="shared" si="639"/>
        <v>0</v>
      </c>
      <c r="Z840" s="692"/>
      <c r="AA840" s="665"/>
      <c r="AB840" s="74"/>
      <c r="AC840" s="74"/>
      <c r="AD840" s="79"/>
      <c r="AE840" s="84"/>
      <c r="AF840" s="856" t="str">
        <f>HYPERLINK("https://www.crunchbase.com/funding_round/realpha-5f31-seed--0d3ce3ad","Dec 16, 2021")</f>
        <v>Dec 16, 2021</v>
      </c>
      <c r="AG840" s="76">
        <v>5000000.0</v>
      </c>
      <c r="AH840" s="74"/>
      <c r="AI840" s="78"/>
      <c r="AJ840" s="79"/>
      <c r="AK840" s="84"/>
      <c r="AL840" s="79"/>
      <c r="AM840" s="76"/>
      <c r="AN840" s="79"/>
      <c r="AO840" s="84"/>
      <c r="AP840" s="79"/>
      <c r="AQ840" s="84"/>
      <c r="AR840" s="79"/>
      <c r="AS840" s="79"/>
      <c r="AT840" s="79"/>
      <c r="AU840" s="80"/>
      <c r="AV840" s="79"/>
      <c r="AW840" s="38"/>
      <c r="AX840" s="79"/>
      <c r="AY840" s="38"/>
      <c r="AZ840" s="79"/>
      <c r="BA840" s="80"/>
      <c r="BB840" s="79"/>
      <c r="BC840" s="80"/>
      <c r="BD840" s="79"/>
      <c r="BE840" s="38"/>
      <c r="BF840" s="74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68"/>
      <c r="CA840" s="68"/>
      <c r="CB840" s="68"/>
      <c r="CC840" s="68"/>
      <c r="CD840" s="68"/>
      <c r="CE840" s="68"/>
      <c r="CF840" s="68"/>
      <c r="CG840" s="68"/>
      <c r="CH840" s="68"/>
      <c r="CI840" s="68"/>
      <c r="CJ840" s="68"/>
      <c r="CK840" s="68"/>
      <c r="CL840" s="68"/>
      <c r="CM840" s="68"/>
      <c r="CN840" s="68"/>
      <c r="CO840" s="68"/>
      <c r="CP840" s="68"/>
    </row>
    <row r="841" ht="15.75" customHeight="1">
      <c r="A841" s="666" t="s">
        <v>4124</v>
      </c>
      <c r="B841" s="115" t="s">
        <v>4125</v>
      </c>
      <c r="C841" s="116" t="s">
        <v>132</v>
      </c>
      <c r="D841" s="667" t="s">
        <v>4126</v>
      </c>
      <c r="E841" s="667" t="s">
        <v>4127</v>
      </c>
      <c r="F841" s="668" t="s">
        <v>4128</v>
      </c>
      <c r="G841" s="286" t="s">
        <v>4129</v>
      </c>
      <c r="H841" s="286" t="s">
        <v>394</v>
      </c>
      <c r="I841" s="123" t="s">
        <v>1395</v>
      </c>
      <c r="J841" s="287" t="s">
        <v>4130</v>
      </c>
      <c r="K841" s="123">
        <v>2.0</v>
      </c>
      <c r="L841" s="25">
        <v>2011.0</v>
      </c>
      <c r="M841" s="25">
        <f t="shared" si="636"/>
        <v>14</v>
      </c>
      <c r="N841" s="26">
        <f t="shared" si="637"/>
        <v>1</v>
      </c>
      <c r="O841" s="27" t="str">
        <f t="shared" si="3"/>
        <v>#N/A</v>
      </c>
      <c r="P841" s="28"/>
      <c r="Q841" s="28"/>
      <c r="R841" s="28"/>
      <c r="S841" s="28"/>
      <c r="T841" s="29">
        <f t="shared" si="638"/>
        <v>357142.8571</v>
      </c>
      <c r="U841" s="28"/>
      <c r="V841" s="30">
        <f t="shared" si="425"/>
        <v>5000000</v>
      </c>
      <c r="W841" s="30"/>
      <c r="X841" s="403"/>
      <c r="Y841" s="33">
        <f t="shared" si="639"/>
        <v>0</v>
      </c>
      <c r="Z841" s="692"/>
      <c r="AA841" s="665"/>
      <c r="AB841" s="123"/>
      <c r="AC841" s="123"/>
      <c r="AD841" s="124"/>
      <c r="AE841" s="807"/>
      <c r="AF841" s="126" t="str">
        <f>HYPERLINK("https://www.crunchbase.com/organization/infotycoon#section-funding-rounds"," Apr 24, 2019")</f>
        <v> Apr 24, 2019</v>
      </c>
      <c r="AG841" s="127">
        <v>5000000.0</v>
      </c>
      <c r="AH841" s="123"/>
      <c r="AI841" s="128"/>
      <c r="AJ841" s="124"/>
      <c r="AK841" s="125"/>
      <c r="AL841" s="124"/>
      <c r="AM841" s="125"/>
      <c r="AN841" s="124"/>
      <c r="AO841" s="125"/>
      <c r="AP841" s="124"/>
      <c r="AQ841" s="807"/>
      <c r="AR841" s="808"/>
      <c r="AS841" s="808"/>
      <c r="AT841" s="808"/>
      <c r="AU841" s="809"/>
      <c r="AV841" s="808"/>
      <c r="AW841" s="38"/>
      <c r="AX841" s="808"/>
      <c r="AY841" s="38"/>
      <c r="AZ841" s="808"/>
      <c r="BA841" s="809"/>
      <c r="BB841" s="808"/>
      <c r="BC841" s="809"/>
      <c r="BD841" s="808"/>
      <c r="BE841" s="38"/>
      <c r="BF841" s="123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68"/>
      <c r="CA841" s="68"/>
      <c r="CB841" s="68"/>
      <c r="CC841" s="68"/>
      <c r="CD841" s="68"/>
      <c r="CE841" s="68"/>
      <c r="CF841" s="68"/>
      <c r="CG841" s="68"/>
      <c r="CH841" s="68"/>
      <c r="CI841" s="68"/>
      <c r="CJ841" s="68"/>
      <c r="CK841" s="68"/>
      <c r="CL841" s="68"/>
      <c r="CM841" s="68"/>
      <c r="CN841" s="68"/>
      <c r="CO841" s="68"/>
      <c r="CP841" s="68"/>
    </row>
    <row r="842" ht="15.75" customHeight="1">
      <c r="A842" s="21" t="s">
        <v>4131</v>
      </c>
      <c r="B842" s="69" t="s">
        <v>4132</v>
      </c>
      <c r="C842" s="69" t="s">
        <v>1007</v>
      </c>
      <c r="D842" s="200" t="s">
        <v>4133</v>
      </c>
      <c r="E842" s="200" t="s">
        <v>4134</v>
      </c>
      <c r="F842" s="154" t="s">
        <v>4135</v>
      </c>
      <c r="G842" s="71" t="s">
        <v>4136</v>
      </c>
      <c r="H842" s="71" t="s">
        <v>262</v>
      </c>
      <c r="I842" s="1401" t="s">
        <v>263</v>
      </c>
      <c r="J842" s="72" t="s">
        <v>4137</v>
      </c>
      <c r="K842" s="26">
        <v>3.0</v>
      </c>
      <c r="L842" s="26">
        <v>2005.0</v>
      </c>
      <c r="M842" s="25">
        <f t="shared" si="636"/>
        <v>20</v>
      </c>
      <c r="N842" s="26">
        <f t="shared" si="637"/>
        <v>3</v>
      </c>
      <c r="O842" s="27" t="str">
        <f t="shared" si="3"/>
        <v>#N/A</v>
      </c>
      <c r="P842" s="28"/>
      <c r="Q842" s="28"/>
      <c r="R842" s="28"/>
      <c r="S842" s="28"/>
      <c r="T842" s="29">
        <f t="shared" si="638"/>
        <v>250000</v>
      </c>
      <c r="U842" s="28"/>
      <c r="V842" s="30">
        <f t="shared" si="425"/>
        <v>5000000</v>
      </c>
      <c r="W842" s="30"/>
      <c r="X842" s="73"/>
      <c r="Y842" s="33">
        <f t="shared" si="639"/>
        <v>0.01448805265</v>
      </c>
      <c r="Z842" s="692"/>
      <c r="AA842" s="665"/>
      <c r="AB842" s="74"/>
      <c r="AC842" s="74"/>
      <c r="AD842" s="79"/>
      <c r="AE842" s="84"/>
      <c r="AF842" s="338"/>
      <c r="AG842" s="84"/>
      <c r="AH842" s="74"/>
      <c r="AI842" s="78"/>
      <c r="AJ842" s="426" t="str">
        <f>HYPERLINK("https://www.crunchbase.com/organization/kaboodle#section-funding-rounds2,"," 3/1/2005")</f>
        <v> 3/1/2005</v>
      </c>
      <c r="AK842" s="76">
        <v>1500000.0</v>
      </c>
      <c r="AL842" s="426" t="str">
        <f>HYPERLINK("https://www.crunchbase.com/funding_round/kaboodle-series-b--c3bd5cfe"," 3/1/2006")</f>
        <v> 3/1/2006</v>
      </c>
      <c r="AM842" s="887">
        <v>2000000.0</v>
      </c>
      <c r="AN842" s="426" t="str">
        <f>HYPERLINK("https://www.crunchbase.com/funding_round/kaboodle-series-c--88e4ece3"," 3/1/2007")</f>
        <v> 3/1/2007</v>
      </c>
      <c r="AO842" s="76">
        <v>1500000.0</v>
      </c>
      <c r="AP842" s="79"/>
      <c r="AQ842" s="84"/>
      <c r="AR842" s="79"/>
      <c r="AS842" s="79"/>
      <c r="AT842" s="79"/>
      <c r="AU842" s="80"/>
      <c r="AV842" s="79"/>
      <c r="AW842" s="38"/>
      <c r="AX842" s="79"/>
      <c r="AY842" s="38"/>
      <c r="AZ842" s="79"/>
      <c r="BA842" s="80"/>
      <c r="BB842" s="79"/>
      <c r="BC842" s="80"/>
      <c r="BD842" s="79"/>
      <c r="BE842" s="38"/>
      <c r="BF842" s="74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68"/>
      <c r="CA842" s="68"/>
      <c r="CB842" s="68"/>
      <c r="CC842" s="68"/>
      <c r="CD842" s="68"/>
      <c r="CE842" s="68"/>
      <c r="CF842" s="68"/>
      <c r="CG842" s="68"/>
      <c r="CH842" s="68"/>
      <c r="CI842" s="68"/>
      <c r="CJ842" s="68"/>
      <c r="CK842" s="68"/>
      <c r="CL842" s="68"/>
      <c r="CM842" s="68"/>
      <c r="CN842" s="68"/>
      <c r="CO842" s="68"/>
      <c r="CP842" s="68"/>
    </row>
    <row r="843" ht="15.75" customHeight="1">
      <c r="A843" s="21" t="s">
        <v>4138</v>
      </c>
      <c r="B843" s="69"/>
      <c r="C843" s="69" t="s">
        <v>132</v>
      </c>
      <c r="D843" s="192" t="s">
        <v>4139</v>
      </c>
      <c r="E843" s="192" t="s">
        <v>4140</v>
      </c>
      <c r="F843" s="138" t="s">
        <v>4141</v>
      </c>
      <c r="G843" s="186"/>
      <c r="H843" s="71" t="s">
        <v>128</v>
      </c>
      <c r="I843" s="26" t="s">
        <v>156</v>
      </c>
      <c r="J843" s="155"/>
      <c r="K843" s="26"/>
      <c r="L843" s="26">
        <v>2018.0</v>
      </c>
      <c r="M843" s="25">
        <f t="shared" si="636"/>
        <v>7</v>
      </c>
      <c r="N843" s="26">
        <f t="shared" si="637"/>
        <v>1</v>
      </c>
      <c r="O843" s="27" t="str">
        <f t="shared" si="3"/>
        <v>#N/A</v>
      </c>
      <c r="P843" s="28"/>
      <c r="Q843" s="28"/>
      <c r="R843" s="28"/>
      <c r="S843" s="28"/>
      <c r="T843" s="29">
        <f t="shared" si="638"/>
        <v>714285.7143</v>
      </c>
      <c r="U843" s="28"/>
      <c r="V843" s="30">
        <f t="shared" si="425"/>
        <v>5000000</v>
      </c>
      <c r="W843" s="30"/>
      <c r="X843" s="73"/>
      <c r="Y843" s="33">
        <f t="shared" si="639"/>
        <v>0</v>
      </c>
      <c r="Z843" s="692"/>
      <c r="AA843" s="665"/>
      <c r="AB843" s="74"/>
      <c r="AC843" s="74"/>
      <c r="AD843" s="79"/>
      <c r="AE843" s="84"/>
      <c r="AF843" s="320" t="str">
        <f>HYPERLINK("https://www.crunchbase.com/funding_round/knockapp-co-seed--265e4a6d","Aug 24, 2021")</f>
        <v>Aug 24, 2021</v>
      </c>
      <c r="AG843" s="76">
        <v>5000000.0</v>
      </c>
      <c r="AH843" s="74"/>
      <c r="AI843" s="78"/>
      <c r="AJ843" s="227"/>
      <c r="AK843" s="76"/>
      <c r="AL843" s="227"/>
      <c r="AM843" s="76"/>
      <c r="AN843" s="279"/>
      <c r="AO843" s="928"/>
      <c r="AP843" s="279"/>
      <c r="AQ843" s="928"/>
      <c r="AR843" s="79"/>
      <c r="AS843" s="79"/>
      <c r="AT843" s="79"/>
      <c r="AU843" s="80"/>
      <c r="AV843" s="79"/>
      <c r="AW843" s="38"/>
      <c r="AX843" s="79"/>
      <c r="AY843" s="38"/>
      <c r="AZ843" s="79"/>
      <c r="BA843" s="80"/>
      <c r="BB843" s="79"/>
      <c r="BC843" s="80"/>
      <c r="BD843" s="79"/>
      <c r="BE843" s="38"/>
      <c r="BF843" s="74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</row>
    <row r="844" ht="15.75" customHeight="1">
      <c r="A844" s="442" t="s">
        <v>4142</v>
      </c>
      <c r="B844" s="68" t="s">
        <v>2105</v>
      </c>
      <c r="C844" s="69" t="s">
        <v>132</v>
      </c>
      <c r="D844" s="138" t="s">
        <v>4143</v>
      </c>
      <c r="E844" s="138" t="s">
        <v>4144</v>
      </c>
      <c r="F844" s="1408" t="s">
        <v>4145</v>
      </c>
      <c r="G844" s="71" t="s">
        <v>4146</v>
      </c>
      <c r="H844" s="186" t="s">
        <v>1065</v>
      </c>
      <c r="I844" s="26" t="s">
        <v>639</v>
      </c>
      <c r="J844" s="72" t="s">
        <v>4147</v>
      </c>
      <c r="K844" s="26">
        <v>1.0</v>
      </c>
      <c r="L844" s="26">
        <v>2016.0</v>
      </c>
      <c r="M844" s="25">
        <f t="shared" si="636"/>
        <v>9</v>
      </c>
      <c r="N844" s="26">
        <f t="shared" si="637"/>
        <v>1</v>
      </c>
      <c r="O844" s="27" t="str">
        <f t="shared" si="3"/>
        <v>#N/A</v>
      </c>
      <c r="P844" s="28"/>
      <c r="Q844" s="28"/>
      <c r="R844" s="28"/>
      <c r="S844" s="28"/>
      <c r="T844" s="29">
        <f t="shared" si="638"/>
        <v>555555.5556</v>
      </c>
      <c r="U844" s="28"/>
      <c r="V844" s="30">
        <f t="shared" si="425"/>
        <v>5000000</v>
      </c>
      <c r="W844" s="30"/>
      <c r="X844" s="73"/>
      <c r="Y844" s="33">
        <f t="shared" si="639"/>
        <v>0</v>
      </c>
      <c r="Z844" s="692"/>
      <c r="AA844" s="665"/>
      <c r="AB844" s="74"/>
      <c r="AC844" s="74"/>
      <c r="AD844" s="79"/>
      <c r="AE844" s="84"/>
      <c r="AF844" s="338"/>
      <c r="AG844" s="84"/>
      <c r="AH844" s="74"/>
      <c r="AI844" s="78"/>
      <c r="AJ844" s="181" t="str">
        <f>HYPERLINK("https://www.crunchbase.com/funding_round/parity-3249-series-a--2baf1285","May 2, 2019")</f>
        <v>May 2, 2019</v>
      </c>
      <c r="AK844" s="84">
        <v>5000000.0</v>
      </c>
      <c r="AL844" s="79"/>
      <c r="AM844" s="84"/>
      <c r="AN844" s="79"/>
      <c r="AO844" s="84"/>
      <c r="AP844" s="79"/>
      <c r="AQ844" s="84"/>
      <c r="AR844" s="79"/>
      <c r="AS844" s="79"/>
      <c r="AT844" s="79"/>
      <c r="AU844" s="80"/>
      <c r="AV844" s="79"/>
      <c r="AW844" s="38"/>
      <c r="AX844" s="79"/>
      <c r="AY844" s="38"/>
      <c r="AZ844" s="79"/>
      <c r="BA844" s="80"/>
      <c r="BB844" s="79"/>
      <c r="BC844" s="80"/>
      <c r="BD844" s="79"/>
      <c r="BE844" s="38"/>
      <c r="BF844" s="74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</row>
    <row r="845" ht="15.75" customHeight="1">
      <c r="A845" s="892" t="s">
        <v>4148</v>
      </c>
      <c r="B845" s="68"/>
      <c r="C845" s="69" t="s">
        <v>123</v>
      </c>
      <c r="D845" s="192" t="s">
        <v>4149</v>
      </c>
      <c r="E845" s="192" t="s">
        <v>4150</v>
      </c>
      <c r="F845" s="118" t="s">
        <v>4151</v>
      </c>
      <c r="G845" s="186"/>
      <c r="H845" s="71" t="s">
        <v>114</v>
      </c>
      <c r="I845" s="26" t="s">
        <v>115</v>
      </c>
      <c r="J845" s="155"/>
      <c r="K845" s="74"/>
      <c r="L845" s="26">
        <v>2013.0</v>
      </c>
      <c r="M845" s="25">
        <f t="shared" si="636"/>
        <v>12</v>
      </c>
      <c r="N845" s="26">
        <f t="shared" si="637"/>
        <v>1</v>
      </c>
      <c r="O845" s="27" t="str">
        <f t="shared" si="3"/>
        <v>#N/A</v>
      </c>
      <c r="P845" s="28"/>
      <c r="Q845" s="28"/>
      <c r="R845" s="28"/>
      <c r="S845" s="28"/>
      <c r="T845" s="29">
        <f t="shared" si="638"/>
        <v>416666.6667</v>
      </c>
      <c r="U845" s="28"/>
      <c r="V845" s="30">
        <f t="shared" si="425"/>
        <v>5000000</v>
      </c>
      <c r="W845" s="30"/>
      <c r="X845" s="32"/>
      <c r="Y845" s="33">
        <f t="shared" si="639"/>
        <v>0</v>
      </c>
      <c r="Z845" s="692"/>
      <c r="AA845" s="665"/>
      <c r="AB845" s="74"/>
      <c r="AC845" s="74"/>
      <c r="AD845" s="79"/>
      <c r="AE845" s="84"/>
      <c r="AF845" s="338"/>
      <c r="AG845" s="84"/>
      <c r="AH845" s="74"/>
      <c r="AI845" s="78"/>
      <c r="AJ845" s="227">
        <v>42138.0</v>
      </c>
      <c r="AK845" s="76">
        <v>5000000.0</v>
      </c>
      <c r="AL845" s="79"/>
      <c r="AM845" s="84"/>
      <c r="AN845" s="79"/>
      <c r="AO845" s="84"/>
      <c r="AP845" s="79"/>
      <c r="AQ845" s="84"/>
      <c r="AR845" s="79"/>
      <c r="AS845" s="79"/>
      <c r="AT845" s="79"/>
      <c r="AU845" s="80"/>
      <c r="AV845" s="79"/>
      <c r="AW845" s="38"/>
      <c r="AX845" s="79"/>
      <c r="AY845" s="38"/>
      <c r="AZ845" s="79"/>
      <c r="BA845" s="80"/>
      <c r="BB845" s="79"/>
      <c r="BC845" s="80"/>
      <c r="BD845" s="79"/>
      <c r="BE845" s="38"/>
      <c r="BF845" s="74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</row>
    <row r="846" ht="15.75" customHeight="1">
      <c r="A846" s="666" t="s">
        <v>4152</v>
      </c>
      <c r="B846" s="115" t="s">
        <v>1056</v>
      </c>
      <c r="C846" s="116" t="s">
        <v>59</v>
      </c>
      <c r="D846" s="667" t="s">
        <v>4153</v>
      </c>
      <c r="E846" s="667" t="s">
        <v>4154</v>
      </c>
      <c r="F846" s="1227" t="s">
        <v>4155</v>
      </c>
      <c r="G846" s="286" t="s">
        <v>4156</v>
      </c>
      <c r="H846" s="286" t="s">
        <v>3446</v>
      </c>
      <c r="I846" s="123" t="s">
        <v>4157</v>
      </c>
      <c r="J846" s="287">
        <v>64106.0</v>
      </c>
      <c r="K846" s="123">
        <v>2.0</v>
      </c>
      <c r="L846" s="25">
        <v>2016.0</v>
      </c>
      <c r="M846" s="25">
        <f t="shared" si="636"/>
        <v>9</v>
      </c>
      <c r="N846" s="26">
        <f t="shared" si="637"/>
        <v>1</v>
      </c>
      <c r="O846" s="27" t="str">
        <f t="shared" si="3"/>
        <v>#N/A</v>
      </c>
      <c r="P846" s="28"/>
      <c r="Q846" s="28"/>
      <c r="R846" s="28"/>
      <c r="S846" s="28"/>
      <c r="T846" s="29">
        <f t="shared" si="638"/>
        <v>555555.5556</v>
      </c>
      <c r="U846" s="28"/>
      <c r="V846" s="30">
        <f t="shared" si="425"/>
        <v>5000000</v>
      </c>
      <c r="W846" s="30"/>
      <c r="X846" s="403"/>
      <c r="Y846" s="33">
        <f t="shared" si="639"/>
        <v>0</v>
      </c>
      <c r="Z846" s="692"/>
      <c r="AA846" s="665"/>
      <c r="AB846" s="123"/>
      <c r="AC846" s="123"/>
      <c r="AD846" s="124"/>
      <c r="AE846" s="125"/>
      <c r="AF846" s="166"/>
      <c r="AG846" s="125"/>
      <c r="AH846" s="123"/>
      <c r="AI846" s="128"/>
      <c r="AJ846" s="167" t="str">
        <f>HYPERLINK("https://www.crunchbase.com/organization/site-1001-inc#section-funding-rounds"," Sep 22, 2016")</f>
        <v> Sep 22, 2016</v>
      </c>
      <c r="AK846" s="127">
        <v>5000000.0</v>
      </c>
      <c r="AL846" s="169"/>
      <c r="AM846" s="127"/>
      <c r="AN846" s="124"/>
      <c r="AO846" s="125"/>
      <c r="AP846" s="124"/>
      <c r="AQ846" s="125"/>
      <c r="AR846" s="124"/>
      <c r="AS846" s="124"/>
      <c r="AT846" s="124"/>
      <c r="AU846" s="137"/>
      <c r="AV846" s="124"/>
      <c r="AW846" s="38"/>
      <c r="AX846" s="124"/>
      <c r="AY846" s="38"/>
      <c r="AZ846" s="124"/>
      <c r="BA846" s="137"/>
      <c r="BB846" s="124"/>
      <c r="BC846" s="137"/>
      <c r="BD846" s="124"/>
      <c r="BE846" s="38"/>
      <c r="BF846" s="123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</row>
    <row r="847" ht="15.75" customHeight="1">
      <c r="A847" s="442" t="s">
        <v>4158</v>
      </c>
      <c r="B847" s="68" t="s">
        <v>4159</v>
      </c>
      <c r="C847" s="69" t="s">
        <v>59</v>
      </c>
      <c r="D847" s="200" t="s">
        <v>4160</v>
      </c>
      <c r="E847" s="184" t="s">
        <v>4161</v>
      </c>
      <c r="F847" s="185" t="s">
        <v>4162</v>
      </c>
      <c r="G847" s="186" t="s">
        <v>3078</v>
      </c>
      <c r="H847" s="186" t="s">
        <v>587</v>
      </c>
      <c r="I847" s="74" t="s">
        <v>65</v>
      </c>
      <c r="J847" s="155" t="s">
        <v>3279</v>
      </c>
      <c r="K847" s="74">
        <v>2.0</v>
      </c>
      <c r="L847" s="26">
        <v>2014.0</v>
      </c>
      <c r="M847" s="25">
        <f t="shared" si="636"/>
        <v>11</v>
      </c>
      <c r="N847" s="26">
        <f t="shared" si="637"/>
        <v>2</v>
      </c>
      <c r="O847" s="27" t="str">
        <f t="shared" si="3"/>
        <v>#N/A</v>
      </c>
      <c r="P847" s="28"/>
      <c r="Q847" s="28"/>
      <c r="R847" s="28"/>
      <c r="S847" s="28"/>
      <c r="T847" s="29">
        <f t="shared" si="638"/>
        <v>454545.4545</v>
      </c>
      <c r="U847" s="28"/>
      <c r="V847" s="30">
        <f t="shared" si="425"/>
        <v>5000000</v>
      </c>
      <c r="W847" s="30"/>
      <c r="X847" s="32"/>
      <c r="Y847" s="33">
        <f t="shared" si="639"/>
        <v>0.09975568487</v>
      </c>
      <c r="Z847" s="692"/>
      <c r="AA847" s="665"/>
      <c r="AB847" s="74"/>
      <c r="AC847" s="26"/>
      <c r="AD847" s="79"/>
      <c r="AE847" s="84"/>
      <c r="AF847" s="175" t="str">
        <f>HYPERLINK("https://www.crunchbase.com/organization/trueface-ai"," Aug 7, 2018")</f>
        <v> Aug 7, 2018</v>
      </c>
      <c r="AG847" s="76">
        <v>1300000.0</v>
      </c>
      <c r="AH847" s="74"/>
      <c r="AI847" s="78"/>
      <c r="AJ847" s="181" t="str">
        <f>HYPERLINK("https://www.crunchbase.com/funding_round/trueface-ai-series-a--d7482c89","Jul 31, 2019")</f>
        <v>Jul 31, 2019</v>
      </c>
      <c r="AK847" s="76">
        <v>3700000.0</v>
      </c>
      <c r="AL847" s="79"/>
      <c r="AM847" s="84"/>
      <c r="AN847" s="79"/>
      <c r="AO847" s="84"/>
      <c r="AP847" s="79"/>
      <c r="AQ847" s="84"/>
      <c r="AR847" s="79"/>
      <c r="AS847" s="79"/>
      <c r="AT847" s="79"/>
      <c r="AU847" s="80"/>
      <c r="AV847" s="79"/>
      <c r="AW847" s="38"/>
      <c r="AX847" s="79"/>
      <c r="AY847" s="38"/>
      <c r="AZ847" s="79"/>
      <c r="BA847" s="80"/>
      <c r="BB847" s="79"/>
      <c r="BC847" s="80"/>
      <c r="BD847" s="79"/>
      <c r="BE847" s="38"/>
      <c r="BF847" s="74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</row>
    <row r="848" ht="15.75" customHeight="1">
      <c r="A848" s="442" t="s">
        <v>4163</v>
      </c>
      <c r="B848" s="68" t="s">
        <v>4164</v>
      </c>
      <c r="C848" s="69" t="s">
        <v>207</v>
      </c>
      <c r="D848" s="184" t="s">
        <v>4165</v>
      </c>
      <c r="E848" s="138" t="s">
        <v>4166</v>
      </c>
      <c r="F848" s="185" t="s">
        <v>4167</v>
      </c>
      <c r="G848" s="186" t="s">
        <v>4168</v>
      </c>
      <c r="H848" s="186" t="s">
        <v>4169</v>
      </c>
      <c r="I848" s="74" t="s">
        <v>4170</v>
      </c>
      <c r="J848" s="155" t="s">
        <v>4171</v>
      </c>
      <c r="K848" s="74">
        <v>7.0</v>
      </c>
      <c r="L848" s="26">
        <v>2016.0</v>
      </c>
      <c r="M848" s="25">
        <f t="shared" si="636"/>
        <v>9</v>
      </c>
      <c r="N848" s="26">
        <f t="shared" si="637"/>
        <v>2</v>
      </c>
      <c r="O848" s="27" t="str">
        <f t="shared" si="3"/>
        <v>#N/A</v>
      </c>
      <c r="P848" s="28"/>
      <c r="Q848" s="28"/>
      <c r="R848" s="28"/>
      <c r="S848" s="28"/>
      <c r="T848" s="29">
        <f t="shared" si="638"/>
        <v>555555.5556</v>
      </c>
      <c r="U848" s="28"/>
      <c r="V848" s="30">
        <f t="shared" si="425"/>
        <v>5000000</v>
      </c>
      <c r="W848" s="30"/>
      <c r="X848" s="32"/>
      <c r="Y848" s="33">
        <f t="shared" si="639"/>
        <v>0.1366388169</v>
      </c>
      <c r="Z848" s="692"/>
      <c r="AA848" s="665"/>
      <c r="AB848" s="74"/>
      <c r="AC848" s="74"/>
      <c r="AD848" s="181" t="str">
        <f>HYPERLINK("https://www.crunchbase.com/organization/spaceti","May 1, 2017")</f>
        <v>May 1, 2017</v>
      </c>
      <c r="AE848" s="76">
        <v>1200000.0</v>
      </c>
      <c r="AF848" s="175" t="str">
        <f>HYPERLINK("https://www.crunchbase.com/funding_round/spaceti-seed--8bb8f889","May 14, 2020")</f>
        <v>May 14, 2020</v>
      </c>
      <c r="AG848" s="76">
        <v>3800000.0</v>
      </c>
      <c r="AH848" s="74"/>
      <c r="AI848" s="78"/>
      <c r="AJ848" s="279"/>
      <c r="AK848" s="76"/>
      <c r="AL848" s="79"/>
      <c r="AM848" s="84"/>
      <c r="AN848" s="79"/>
      <c r="AO848" s="84"/>
      <c r="AP848" s="79"/>
      <c r="AQ848" s="84"/>
      <c r="AR848" s="79"/>
      <c r="AS848" s="79"/>
      <c r="AT848" s="79"/>
      <c r="AU848" s="80"/>
      <c r="AV848" s="79"/>
      <c r="AW848" s="38"/>
      <c r="AX848" s="79"/>
      <c r="AY848" s="38"/>
      <c r="AZ848" s="79"/>
      <c r="BA848" s="80"/>
      <c r="BB848" s="79"/>
      <c r="BC848" s="80"/>
      <c r="BD848" s="79"/>
      <c r="BE848" s="38"/>
      <c r="BF848" s="74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</row>
    <row r="849" ht="15.75" customHeight="1">
      <c r="A849" s="47" t="s">
        <v>4172</v>
      </c>
      <c r="B849" s="115"/>
      <c r="C849" s="116" t="s">
        <v>513</v>
      </c>
      <c r="D849" s="449"/>
      <c r="E849" s="50" t="s">
        <v>4173</v>
      </c>
      <c r="F849" s="70" t="s">
        <v>4174</v>
      </c>
      <c r="G849" s="119" t="s">
        <v>4175</v>
      </c>
      <c r="H849" s="119" t="s">
        <v>80</v>
      </c>
      <c r="I849" s="25" t="s">
        <v>65</v>
      </c>
      <c r="J849" s="120" t="s">
        <v>3508</v>
      </c>
      <c r="K849" s="25">
        <v>3.0</v>
      </c>
      <c r="L849" s="25">
        <v>2020.0</v>
      </c>
      <c r="M849" s="25"/>
      <c r="N849" s="25"/>
      <c r="O849" s="27" t="str">
        <f t="shared" si="3"/>
        <v>#N/A</v>
      </c>
      <c r="P849" s="55"/>
      <c r="Q849" s="55"/>
      <c r="R849" s="55"/>
      <c r="S849" s="55"/>
      <c r="T849" s="55"/>
      <c r="U849" s="55"/>
      <c r="V849" s="30">
        <f t="shared" si="425"/>
        <v>5000000</v>
      </c>
      <c r="W849" s="30"/>
      <c r="X849" s="597"/>
      <c r="Y849" s="597"/>
      <c r="Z849" s="692"/>
      <c r="AA849" s="665"/>
      <c r="AB849" s="123"/>
      <c r="AC849" s="123"/>
      <c r="AD849" s="124"/>
      <c r="AE849" s="807"/>
      <c r="AF849" s="728">
        <v>44775.0</v>
      </c>
      <c r="AG849" s="127">
        <v>5000000.0</v>
      </c>
      <c r="AH849" s="123"/>
      <c r="AI849" s="128"/>
      <c r="AJ849" s="124"/>
      <c r="AK849" s="125"/>
      <c r="AL849" s="124"/>
      <c r="AM849" s="125"/>
      <c r="AN849" s="124"/>
      <c r="AO849" s="125"/>
      <c r="AP849" s="124"/>
      <c r="AQ849" s="807"/>
      <c r="AR849" s="808"/>
      <c r="AS849" s="808"/>
      <c r="AT849" s="808"/>
      <c r="AU849" s="809"/>
      <c r="AV849" s="808"/>
      <c r="AW849" s="38"/>
      <c r="AX849" s="808"/>
      <c r="AY849" s="38"/>
      <c r="AZ849" s="808"/>
      <c r="BA849" s="809"/>
      <c r="BB849" s="808"/>
      <c r="BC849" s="809"/>
      <c r="BD849" s="808"/>
      <c r="BE849" s="38"/>
      <c r="BF849" s="123"/>
      <c r="BG849" s="115"/>
      <c r="BH849" s="115"/>
      <c r="BI849" s="115"/>
      <c r="BJ849" s="115"/>
      <c r="BK849" s="115"/>
      <c r="BL849" s="115"/>
      <c r="BM849" s="115"/>
      <c r="BN849" s="115"/>
      <c r="BO849" s="115"/>
      <c r="BP849" s="115"/>
      <c r="BQ849" s="115"/>
      <c r="BR849" s="115"/>
      <c r="BS849" s="115"/>
      <c r="BT849" s="115"/>
      <c r="BU849" s="115"/>
      <c r="BV849" s="115"/>
      <c r="BW849" s="115"/>
      <c r="BX849" s="115"/>
      <c r="BY849" s="115"/>
      <c r="BZ849" s="115"/>
      <c r="CA849" s="115"/>
      <c r="CB849" s="115"/>
      <c r="CC849" s="115"/>
      <c r="CD849" s="115"/>
      <c r="CE849" s="115"/>
      <c r="CF849" s="115"/>
      <c r="CG849" s="115"/>
      <c r="CH849" s="115"/>
      <c r="CI849" s="115"/>
      <c r="CJ849" s="115"/>
      <c r="CK849" s="115"/>
      <c r="CL849" s="115"/>
      <c r="CM849" s="115"/>
      <c r="CN849" s="115"/>
      <c r="CO849" s="115"/>
      <c r="CP849" s="115"/>
    </row>
    <row r="850" ht="15.75" customHeight="1">
      <c r="A850" s="21" t="s">
        <v>4176</v>
      </c>
      <c r="B850" s="69"/>
      <c r="C850" s="69" t="s">
        <v>697</v>
      </c>
      <c r="D850" s="337"/>
      <c r="E850" s="192" t="s">
        <v>4177</v>
      </c>
      <c r="F850" s="118" t="s">
        <v>4178</v>
      </c>
      <c r="G850" s="71"/>
      <c r="H850" s="1409" t="s">
        <v>163</v>
      </c>
      <c r="I850" s="26" t="s">
        <v>164</v>
      </c>
      <c r="J850" s="72"/>
      <c r="K850" s="26">
        <v>2.0</v>
      </c>
      <c r="L850" s="26">
        <v>2018.0</v>
      </c>
      <c r="M850" s="25"/>
      <c r="N850" s="26"/>
      <c r="O850" s="27" t="str">
        <f t="shared" si="3"/>
        <v>#N/A</v>
      </c>
      <c r="P850" s="28"/>
      <c r="Q850" s="28"/>
      <c r="R850" s="28"/>
      <c r="S850" s="28"/>
      <c r="T850" s="28"/>
      <c r="U850" s="28"/>
      <c r="V850" s="30">
        <f t="shared" si="425"/>
        <v>5000000</v>
      </c>
      <c r="W850" s="30"/>
      <c r="X850" s="73"/>
      <c r="Y850" s="73"/>
      <c r="Z850" s="692"/>
      <c r="AA850" s="665"/>
      <c r="AB850" s="74"/>
      <c r="AC850" s="74"/>
      <c r="AD850" s="79"/>
      <c r="AE850" s="84"/>
      <c r="AF850" s="175" t="str">
        <f>HYPERLINK("https://www.crunchbase.com/funding_round/jia-finance-seed--7af196ca","Mar 31, 2022")</f>
        <v>Mar 31, 2022</v>
      </c>
      <c r="AG850" s="76">
        <v>5000000.0</v>
      </c>
      <c r="AH850" s="77"/>
      <c r="AI850" s="78"/>
      <c r="AJ850" s="79"/>
      <c r="AK850" s="84"/>
      <c r="AL850" s="79"/>
      <c r="AM850" s="84"/>
      <c r="AN850" s="79"/>
      <c r="AO850" s="84"/>
      <c r="AP850" s="79"/>
      <c r="AQ850" s="84"/>
      <c r="AR850" s="79"/>
      <c r="AS850" s="79"/>
      <c r="AT850" s="79"/>
      <c r="AU850" s="80"/>
      <c r="AV850" s="79"/>
      <c r="AW850" s="38"/>
      <c r="AX850" s="79"/>
      <c r="AY850" s="38"/>
      <c r="AZ850" s="79"/>
      <c r="BA850" s="80"/>
      <c r="BB850" s="79"/>
      <c r="BC850" s="80"/>
      <c r="BD850" s="79"/>
      <c r="BE850" s="38"/>
      <c r="BF850" s="74"/>
      <c r="BG850" s="115"/>
      <c r="BH850" s="115"/>
      <c r="BI850" s="115"/>
      <c r="BJ850" s="115"/>
      <c r="BK850" s="115"/>
      <c r="BL850" s="115"/>
      <c r="BM850" s="115"/>
      <c r="BN850" s="115"/>
      <c r="BO850" s="115"/>
      <c r="BP850" s="115"/>
      <c r="BQ850" s="115"/>
      <c r="BR850" s="115"/>
      <c r="BS850" s="115"/>
      <c r="BT850" s="115"/>
      <c r="BU850" s="115"/>
      <c r="BV850" s="115"/>
      <c r="BW850" s="115"/>
      <c r="BX850" s="115"/>
      <c r="BY850" s="115"/>
      <c r="BZ850" s="115"/>
      <c r="CA850" s="115"/>
      <c r="CB850" s="115"/>
      <c r="CC850" s="115"/>
      <c r="CD850" s="115"/>
      <c r="CE850" s="115"/>
      <c r="CF850" s="115"/>
      <c r="CG850" s="115"/>
      <c r="CH850" s="115"/>
      <c r="CI850" s="115"/>
      <c r="CJ850" s="115"/>
      <c r="CK850" s="115"/>
      <c r="CL850" s="115"/>
      <c r="CM850" s="115"/>
      <c r="CN850" s="115"/>
      <c r="CO850" s="115"/>
      <c r="CP850" s="115"/>
    </row>
    <row r="851" ht="15.75" customHeight="1">
      <c r="A851" s="21" t="s">
        <v>4179</v>
      </c>
      <c r="B851" s="68"/>
      <c r="C851" s="69" t="s">
        <v>84</v>
      </c>
      <c r="D851" s="138" t="s">
        <v>4180</v>
      </c>
      <c r="E851" s="138" t="s">
        <v>4181</v>
      </c>
      <c r="F851" s="565" t="s">
        <v>4182</v>
      </c>
      <c r="G851" s="186"/>
      <c r="H851" s="71" t="s">
        <v>271</v>
      </c>
      <c r="I851" s="26" t="s">
        <v>272</v>
      </c>
      <c r="J851" s="155"/>
      <c r="K851" s="26">
        <v>2.0</v>
      </c>
      <c r="L851" s="26">
        <v>2021.0</v>
      </c>
      <c r="M851" s="25"/>
      <c r="N851" s="26"/>
      <c r="O851" s="27" t="str">
        <f t="shared" si="3"/>
        <v>#N/A</v>
      </c>
      <c r="P851" s="273"/>
      <c r="Q851" s="273"/>
      <c r="R851" s="273"/>
      <c r="S851" s="273"/>
      <c r="T851" s="273"/>
      <c r="U851" s="273"/>
      <c r="V851" s="30">
        <f t="shared" si="425"/>
        <v>5000000</v>
      </c>
      <c r="W851" s="30"/>
      <c r="X851" s="73"/>
      <c r="Y851" s="73"/>
      <c r="Z851" s="692"/>
      <c r="AA851" s="665"/>
      <c r="AB851" s="74"/>
      <c r="AC851" s="74"/>
      <c r="AD851" s="79"/>
      <c r="AE851" s="84"/>
      <c r="AF851" s="726">
        <v>44832.0</v>
      </c>
      <c r="AG851" s="76">
        <v>5000000.0</v>
      </c>
      <c r="AH851" s="74"/>
      <c r="AI851" s="78"/>
      <c r="AJ851" s="79"/>
      <c r="AK851" s="84"/>
      <c r="AL851" s="79"/>
      <c r="AM851" s="84"/>
      <c r="AN851" s="79"/>
      <c r="AO851" s="84"/>
      <c r="AP851" s="79"/>
      <c r="AQ851" s="84"/>
      <c r="AR851" s="79"/>
      <c r="AS851" s="79"/>
      <c r="AT851" s="79"/>
      <c r="AU851" s="80"/>
      <c r="AV851" s="79"/>
      <c r="AW851" s="38"/>
      <c r="AX851" s="79"/>
      <c r="AY851" s="38"/>
      <c r="AZ851" s="79"/>
      <c r="BA851" s="80"/>
      <c r="BB851" s="79"/>
      <c r="BC851" s="80"/>
      <c r="BD851" s="79"/>
      <c r="BE851" s="38"/>
      <c r="BF851" s="74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68"/>
      <c r="CA851" s="68"/>
      <c r="CB851" s="68"/>
      <c r="CC851" s="68"/>
      <c r="CD851" s="68"/>
      <c r="CE851" s="68"/>
      <c r="CF851" s="68"/>
      <c r="CG851" s="68"/>
      <c r="CH851" s="68"/>
      <c r="CI851" s="68"/>
      <c r="CJ851" s="68"/>
      <c r="CK851" s="68"/>
      <c r="CL851" s="68"/>
      <c r="CM851" s="68"/>
      <c r="CN851" s="68"/>
      <c r="CO851" s="68"/>
      <c r="CP851" s="68"/>
    </row>
    <row r="852" ht="15.75" customHeight="1">
      <c r="A852" s="47" t="s">
        <v>4183</v>
      </c>
      <c r="B852" s="68"/>
      <c r="C852" s="69" t="s">
        <v>59</v>
      </c>
      <c r="D852" s="192" t="s">
        <v>4184</v>
      </c>
      <c r="E852" s="192" t="s">
        <v>4185</v>
      </c>
      <c r="F852" s="118" t="s">
        <v>4186</v>
      </c>
      <c r="G852" s="186"/>
      <c r="H852" s="71" t="s">
        <v>128</v>
      </c>
      <c r="I852" s="26" t="s">
        <v>129</v>
      </c>
      <c r="J852" s="155"/>
      <c r="K852" s="74"/>
      <c r="L852" s="26">
        <v>2020.0</v>
      </c>
      <c r="M852" s="123"/>
      <c r="N852" s="74"/>
      <c r="O852" s="27" t="str">
        <f t="shared" si="3"/>
        <v>#N/A</v>
      </c>
      <c r="P852" s="273"/>
      <c r="Q852" s="273"/>
      <c r="R852" s="273"/>
      <c r="S852" s="273"/>
      <c r="T852" s="273"/>
      <c r="U852" s="273"/>
      <c r="V852" s="30">
        <f t="shared" si="425"/>
        <v>5000000</v>
      </c>
      <c r="W852" s="30"/>
      <c r="X852" s="32"/>
      <c r="Y852" s="32"/>
      <c r="Z852" s="692"/>
      <c r="AA852" s="665"/>
      <c r="AB852" s="74"/>
      <c r="AC852" s="74"/>
      <c r="AD852" s="79"/>
      <c r="AE852" s="84"/>
      <c r="AF852" s="158" t="str">
        <f>HYPERLINK("https://commercialobserver.com/2022/02/capital-markets-platform-revere/","Feb 8, 2022")</f>
        <v>Feb 8, 2022</v>
      </c>
      <c r="AG852" s="76">
        <v>5000000.0</v>
      </c>
      <c r="AH852" s="74"/>
      <c r="AI852" s="435"/>
      <c r="AJ852" s="79"/>
      <c r="AK852" s="84"/>
      <c r="AL852" s="79"/>
      <c r="AM852" s="84"/>
      <c r="AN852" s="79"/>
      <c r="AO852" s="84"/>
      <c r="AP852" s="79"/>
      <c r="AQ852" s="84"/>
      <c r="AR852" s="79"/>
      <c r="AS852" s="79"/>
      <c r="AT852" s="79"/>
      <c r="AU852" s="80"/>
      <c r="AV852" s="79"/>
      <c r="AW852" s="38"/>
      <c r="AX852" s="79"/>
      <c r="AY852" s="38"/>
      <c r="AZ852" s="79"/>
      <c r="BA852" s="80"/>
      <c r="BB852" s="79"/>
      <c r="BC852" s="80"/>
      <c r="BD852" s="79"/>
      <c r="BE852" s="38"/>
      <c r="BF852" s="74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</row>
    <row r="853" ht="15.75" customHeight="1">
      <c r="A853" s="400" t="s">
        <v>4187</v>
      </c>
      <c r="B853" s="115"/>
      <c r="C853" s="116" t="s">
        <v>84</v>
      </c>
      <c r="D853" s="449"/>
      <c r="E853" s="401" t="s">
        <v>4188</v>
      </c>
      <c r="F853" s="402" t="s">
        <v>4189</v>
      </c>
      <c r="G853" s="286"/>
      <c r="H853" s="119" t="s">
        <v>128</v>
      </c>
      <c r="I853" s="25" t="s">
        <v>129</v>
      </c>
      <c r="J853" s="287"/>
      <c r="K853" s="25">
        <v>3.0</v>
      </c>
      <c r="L853" s="25">
        <v>2021.0</v>
      </c>
      <c r="M853" s="123"/>
      <c r="N853" s="123"/>
      <c r="O853" s="27" t="str">
        <f t="shared" si="3"/>
        <v>#N/A</v>
      </c>
      <c r="P853" s="55"/>
      <c r="Q853" s="55"/>
      <c r="R853" s="55"/>
      <c r="S853" s="55"/>
      <c r="T853" s="55"/>
      <c r="U853" s="55"/>
      <c r="V853" s="30">
        <f t="shared" si="425"/>
        <v>5000000</v>
      </c>
      <c r="W853" s="30"/>
      <c r="X853" s="403"/>
      <c r="Y853" s="403"/>
      <c r="Z853" s="692"/>
      <c r="AA853" s="665"/>
      <c r="AB853" s="123"/>
      <c r="AC853" s="123"/>
      <c r="AD853" s="452"/>
      <c r="AE853" s="123"/>
      <c r="AF853" s="62">
        <v>44781.0</v>
      </c>
      <c r="AG853" s="335">
        <v>5000000.0</v>
      </c>
      <c r="AH853" s="123"/>
      <c r="AI853" s="123"/>
      <c r="AJ853" s="123"/>
      <c r="AK853" s="123"/>
      <c r="AL853" s="123"/>
      <c r="AM853" s="123"/>
      <c r="AN853" s="123"/>
      <c r="AO853" s="123"/>
      <c r="AP853" s="123"/>
      <c r="AQ853" s="123"/>
      <c r="AR853" s="123"/>
      <c r="AS853" s="123"/>
      <c r="AT853" s="123"/>
      <c r="AU853" s="137"/>
      <c r="AV853" s="123"/>
      <c r="AW853" s="38"/>
      <c r="AX853" s="123"/>
      <c r="AY853" s="38"/>
      <c r="AZ853" s="123"/>
      <c r="BA853" s="137"/>
      <c r="BB853" s="123"/>
      <c r="BC853" s="137"/>
      <c r="BD853" s="123"/>
      <c r="BE853" s="38"/>
      <c r="BF853" s="123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</row>
    <row r="854" ht="15.75" customHeight="1">
      <c r="A854" s="401" t="s">
        <v>4190</v>
      </c>
      <c r="B854" s="115"/>
      <c r="C854" s="116" t="s">
        <v>84</v>
      </c>
      <c r="D854" s="449"/>
      <c r="E854" s="401" t="s">
        <v>4191</v>
      </c>
      <c r="F854" s="402" t="s">
        <v>4192</v>
      </c>
      <c r="G854" s="119" t="s">
        <v>4193</v>
      </c>
      <c r="H854" s="119" t="s">
        <v>1039</v>
      </c>
      <c r="I854" s="25" t="s">
        <v>1040</v>
      </c>
      <c r="J854" s="287"/>
      <c r="K854" s="25">
        <v>2.0</v>
      </c>
      <c r="L854" s="25">
        <v>2020.0</v>
      </c>
      <c r="M854" s="123"/>
      <c r="N854" s="123"/>
      <c r="O854" s="27" t="str">
        <f t="shared" si="3"/>
        <v>#N/A</v>
      </c>
      <c r="P854" s="55"/>
      <c r="Q854" s="55"/>
      <c r="R854" s="55"/>
      <c r="S854" s="55"/>
      <c r="T854" s="55"/>
      <c r="U854" s="55"/>
      <c r="V854" s="30">
        <f t="shared" si="425"/>
        <v>5000000</v>
      </c>
      <c r="W854" s="30"/>
      <c r="X854" s="403"/>
      <c r="Y854" s="403"/>
      <c r="Z854" s="692"/>
      <c r="AA854" s="665"/>
      <c r="AB854" s="123"/>
      <c r="AC854" s="123"/>
      <c r="AD854" s="717"/>
      <c r="AE854" s="123"/>
      <c r="AF854" s="355"/>
      <c r="AG854" s="38"/>
      <c r="AH854" s="123"/>
      <c r="AI854" s="123"/>
      <c r="AJ854" s="123"/>
      <c r="AK854" s="38"/>
      <c r="AL854" s="404">
        <v>44882.0</v>
      </c>
      <c r="AM854" s="38">
        <v>5000000.0</v>
      </c>
      <c r="AN854" s="123"/>
      <c r="AO854" s="123"/>
      <c r="AP854" s="123"/>
      <c r="AQ854" s="123"/>
      <c r="AR854" s="123"/>
      <c r="AS854" s="123"/>
      <c r="AT854" s="123"/>
      <c r="AU854" s="137"/>
      <c r="AV854" s="123"/>
      <c r="AW854" s="38"/>
      <c r="AX854" s="123"/>
      <c r="AY854" s="38"/>
      <c r="AZ854" s="123"/>
      <c r="BA854" s="137"/>
      <c r="BB854" s="404">
        <v>44774.0</v>
      </c>
      <c r="BC854" s="137"/>
      <c r="BD854" s="123"/>
      <c r="BE854" s="38"/>
      <c r="BF854" s="123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</row>
    <row r="855" ht="15.75" customHeight="1">
      <c r="A855" s="400" t="s">
        <v>4194</v>
      </c>
      <c r="B855" s="115"/>
      <c r="C855" s="116" t="s">
        <v>84</v>
      </c>
      <c r="D855" s="449"/>
      <c r="E855" s="161" t="s">
        <v>4195</v>
      </c>
      <c r="F855" s="708" t="s">
        <v>4196</v>
      </c>
      <c r="G855" s="286"/>
      <c r="H855" s="119" t="s">
        <v>695</v>
      </c>
      <c r="I855" s="25" t="s">
        <v>639</v>
      </c>
      <c r="J855" s="287"/>
      <c r="K855" s="123"/>
      <c r="L855" s="25">
        <v>2021.0</v>
      </c>
      <c r="M855" s="123"/>
      <c r="N855" s="123"/>
      <c r="O855" s="27" t="str">
        <f t="shared" si="3"/>
        <v>#N/A</v>
      </c>
      <c r="P855" s="55"/>
      <c r="Q855" s="55"/>
      <c r="R855" s="55"/>
      <c r="S855" s="55"/>
      <c r="T855" s="55"/>
      <c r="U855" s="55"/>
      <c r="V855" s="30">
        <f t="shared" si="425"/>
        <v>5000000</v>
      </c>
      <c r="W855" s="30"/>
      <c r="X855" s="403"/>
      <c r="Y855" s="403"/>
      <c r="Z855" s="692"/>
      <c r="AA855" s="665"/>
      <c r="AB855" s="123"/>
      <c r="AC855" s="123"/>
      <c r="AD855" s="355"/>
      <c r="AE855" s="38"/>
      <c r="AF855" s="62">
        <v>44888.0</v>
      </c>
      <c r="AG855" s="38">
        <v>5000000.0</v>
      </c>
      <c r="AH855" s="123"/>
      <c r="AI855" s="123"/>
      <c r="AJ855" s="123"/>
      <c r="AK855" s="123"/>
      <c r="AL855" s="123"/>
      <c r="AM855" s="123"/>
      <c r="AN855" s="123"/>
      <c r="AO855" s="123"/>
      <c r="AP855" s="123"/>
      <c r="AQ855" s="123"/>
      <c r="AR855" s="123"/>
      <c r="AS855" s="123"/>
      <c r="AT855" s="123"/>
      <c r="AU855" s="137"/>
      <c r="AV855" s="123"/>
      <c r="AW855" s="38"/>
      <c r="AX855" s="123"/>
      <c r="AY855" s="38"/>
      <c r="AZ855" s="123"/>
      <c r="BA855" s="137"/>
      <c r="BB855" s="123"/>
      <c r="BC855" s="137"/>
      <c r="BD855" s="123"/>
      <c r="BE855" s="38"/>
      <c r="BF855" s="123"/>
      <c r="BG855" s="115"/>
      <c r="BH855" s="115"/>
      <c r="BI855" s="115"/>
      <c r="BJ855" s="115"/>
      <c r="BK855" s="115"/>
      <c r="BL855" s="115"/>
      <c r="BM855" s="115"/>
      <c r="BN855" s="115"/>
      <c r="BO855" s="115"/>
      <c r="BP855" s="115"/>
      <c r="BQ855" s="115"/>
      <c r="BR855" s="115"/>
      <c r="BS855" s="115"/>
      <c r="BT855" s="115"/>
      <c r="BU855" s="115"/>
      <c r="BV855" s="115"/>
      <c r="BW855" s="115"/>
      <c r="BX855" s="115"/>
      <c r="BY855" s="115"/>
      <c r="BZ855" s="115"/>
      <c r="CA855" s="115"/>
      <c r="CB855" s="115"/>
      <c r="CC855" s="115"/>
      <c r="CD855" s="115"/>
      <c r="CE855" s="115"/>
      <c r="CF855" s="115"/>
      <c r="CG855" s="115"/>
      <c r="CH855" s="115"/>
      <c r="CI855" s="115"/>
      <c r="CJ855" s="115"/>
      <c r="CK855" s="115"/>
      <c r="CL855" s="115"/>
      <c r="CM855" s="115"/>
      <c r="CN855" s="115"/>
      <c r="CO855" s="115"/>
      <c r="CP855" s="115"/>
    </row>
    <row r="856" ht="15.75" customHeight="1">
      <c r="A856" s="47" t="s">
        <v>4197</v>
      </c>
      <c r="C856" s="48" t="s">
        <v>84</v>
      </c>
      <c r="D856" s="351"/>
      <c r="E856" s="49" t="s">
        <v>4198</v>
      </c>
      <c r="F856" s="749" t="s">
        <v>4199</v>
      </c>
      <c r="G856" s="353"/>
      <c r="H856" s="53" t="s">
        <v>4200</v>
      </c>
      <c r="I856" s="54" t="s">
        <v>2171</v>
      </c>
      <c r="J856" s="55"/>
      <c r="K856" s="54">
        <v>2.0</v>
      </c>
      <c r="L856" s="56">
        <v>2022.0</v>
      </c>
      <c r="M856" s="55"/>
      <c r="N856" s="55"/>
      <c r="O856" s="27" t="str">
        <f t="shared" si="3"/>
        <v>#N/A</v>
      </c>
      <c r="P856" s="55"/>
      <c r="Q856" s="55"/>
      <c r="R856" s="55"/>
      <c r="S856" s="55"/>
      <c r="T856" s="55"/>
      <c r="U856" s="55"/>
      <c r="V856" s="30">
        <f t="shared" si="425"/>
        <v>5000000</v>
      </c>
      <c r="W856" s="30"/>
      <c r="X856" s="58"/>
      <c r="Y856" s="58"/>
      <c r="Z856" s="692"/>
      <c r="AA856" s="665"/>
      <c r="AB856" s="55"/>
      <c r="AC856" s="55"/>
      <c r="AD856" s="355"/>
      <c r="AE856" s="55"/>
      <c r="AF856" s="62">
        <v>44935.0</v>
      </c>
      <c r="AG856" s="38">
        <v>5000000.0</v>
      </c>
      <c r="AH856" s="55"/>
      <c r="AI856" s="55"/>
      <c r="AJ856" s="55"/>
      <c r="AK856" s="55"/>
      <c r="AL856" s="55"/>
      <c r="AM856" s="55"/>
      <c r="AN856" s="55"/>
      <c r="AO856" s="55"/>
      <c r="AP856" s="356"/>
      <c r="AQ856" s="356"/>
      <c r="AR856" s="55"/>
      <c r="AS856" s="55"/>
      <c r="AT856" s="55"/>
      <c r="AU856" s="722"/>
      <c r="AV856" s="55"/>
      <c r="AW856" s="38"/>
      <c r="AX856" s="55"/>
      <c r="AY856" s="38"/>
      <c r="AZ856" s="55"/>
      <c r="BA856" s="722"/>
      <c r="BB856" s="55"/>
      <c r="BC856" s="722"/>
      <c r="BD856" s="55"/>
      <c r="BE856" s="38"/>
      <c r="BF856" s="55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</row>
    <row r="857" ht="15.75" customHeight="1">
      <c r="A857" s="1410" t="s">
        <v>4201</v>
      </c>
      <c r="C857" s="48" t="s">
        <v>68</v>
      </c>
      <c r="D857" s="49" t="s">
        <v>4202</v>
      </c>
      <c r="E857" s="49" t="s">
        <v>4203</v>
      </c>
      <c r="F857" s="749" t="s">
        <v>4204</v>
      </c>
      <c r="G857" s="52"/>
      <c r="H857" s="53" t="s">
        <v>1918</v>
      </c>
      <c r="I857" s="54" t="s">
        <v>1384</v>
      </c>
      <c r="J857" s="55"/>
      <c r="K857" s="54">
        <v>1.0</v>
      </c>
      <c r="L857" s="56">
        <v>2019.0</v>
      </c>
      <c r="M857" s="55"/>
      <c r="N857" s="55"/>
      <c r="O857" s="27" t="str">
        <f t="shared" si="3"/>
        <v>#N/A</v>
      </c>
      <c r="P857" s="55"/>
      <c r="Q857" s="55"/>
      <c r="R857" s="55"/>
      <c r="S857" s="55"/>
      <c r="T857" s="55"/>
      <c r="U857" s="55"/>
      <c r="V857" s="30">
        <f t="shared" si="425"/>
        <v>5000000</v>
      </c>
      <c r="W857" s="30"/>
      <c r="X857" s="58"/>
      <c r="Y857" s="58"/>
      <c r="Z857" s="692"/>
      <c r="AA857" s="665"/>
      <c r="AB857" s="55"/>
      <c r="AC857" s="55"/>
      <c r="AD857" s="355"/>
      <c r="AE857" s="38"/>
      <c r="AF857" s="62">
        <v>45006.0</v>
      </c>
      <c r="AG857" s="38">
        <v>5000000.0</v>
      </c>
      <c r="AH857" s="55"/>
      <c r="AI857" s="38"/>
      <c r="AJ857" s="55"/>
      <c r="AK857" s="38"/>
      <c r="AL857" s="55"/>
      <c r="AM857" s="38"/>
      <c r="AN857" s="55"/>
      <c r="AO857" s="38"/>
      <c r="AP857" s="356"/>
      <c r="AQ857" s="38"/>
      <c r="AR857" s="55"/>
      <c r="AS857" s="38"/>
      <c r="AT857" s="55"/>
      <c r="AU857" s="38"/>
      <c r="AV857" s="55"/>
      <c r="AW857" s="38"/>
      <c r="AX857" s="55"/>
      <c r="AY857" s="38"/>
      <c r="AZ857" s="55"/>
      <c r="BA857" s="38"/>
      <c r="BB857" s="55"/>
      <c r="BC857" s="38"/>
      <c r="BD857" s="55"/>
      <c r="BE857" s="38"/>
      <c r="BF857" s="55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</row>
    <row r="858" ht="15.75" customHeight="1">
      <c r="A858" s="47" t="s">
        <v>4205</v>
      </c>
      <c r="C858" s="48" t="s">
        <v>84</v>
      </c>
      <c r="D858" s="351"/>
      <c r="E858" s="49" t="s">
        <v>4206</v>
      </c>
      <c r="F858" s="352" t="s">
        <v>4207</v>
      </c>
      <c r="G858" s="353"/>
      <c r="H858" s="53" t="s">
        <v>4208</v>
      </c>
      <c r="I858" s="54" t="s">
        <v>4209</v>
      </c>
      <c r="J858" s="55"/>
      <c r="K858" s="55"/>
      <c r="L858" s="56">
        <v>2009.0</v>
      </c>
      <c r="M858" s="55"/>
      <c r="N858" s="55"/>
      <c r="O858" s="27" t="str">
        <f t="shared" si="3"/>
        <v>#N/A</v>
      </c>
      <c r="P858" s="55"/>
      <c r="Q858" s="55"/>
      <c r="R858" s="55"/>
      <c r="S858" s="55"/>
      <c r="T858" s="55"/>
      <c r="U858" s="55"/>
      <c r="V858" s="30">
        <f t="shared" si="425"/>
        <v>5000000</v>
      </c>
      <c r="W858" s="30"/>
      <c r="X858" s="58"/>
      <c r="Y858" s="58"/>
      <c r="Z858" s="692"/>
      <c r="AA858" s="665"/>
      <c r="AB858" s="55"/>
      <c r="AC858" s="55"/>
      <c r="AD858" s="355"/>
      <c r="AE858" s="38"/>
      <c r="AF858" s="355"/>
      <c r="AG858" s="38"/>
      <c r="AH858" s="55"/>
      <c r="AI858" s="38"/>
      <c r="AJ858" s="62">
        <v>45007.0</v>
      </c>
      <c r="AK858" s="38">
        <v>5000000.0</v>
      </c>
      <c r="AL858" s="55"/>
      <c r="AM858" s="38"/>
      <c r="AN858" s="55"/>
      <c r="AO858" s="38"/>
      <c r="AP858" s="356"/>
      <c r="AQ858" s="38"/>
      <c r="AR858" s="55"/>
      <c r="AS858" s="38"/>
      <c r="AT858" s="55"/>
      <c r="AU858" s="38"/>
      <c r="AV858" s="55"/>
      <c r="AW858" s="38"/>
      <c r="AX858" s="55"/>
      <c r="AY858" s="38"/>
      <c r="AZ858" s="55"/>
      <c r="BA858" s="38"/>
      <c r="BB858" s="55"/>
      <c r="BC858" s="38"/>
      <c r="BD858" s="55"/>
      <c r="BE858" s="38"/>
      <c r="BF858" s="55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  <c r="CO858" s="68"/>
      <c r="CP858" s="68"/>
    </row>
    <row r="859" ht="15.75" customHeight="1">
      <c r="A859" s="860" t="s">
        <v>4210</v>
      </c>
      <c r="B859" s="68"/>
      <c r="C859" s="69" t="s">
        <v>123</v>
      </c>
      <c r="D859" s="192" t="s">
        <v>4211</v>
      </c>
      <c r="E859" s="192" t="s">
        <v>4212</v>
      </c>
      <c r="F859" s="118" t="s">
        <v>4213</v>
      </c>
      <c r="G859" s="186"/>
      <c r="H859" s="71" t="s">
        <v>129</v>
      </c>
      <c r="I859" s="26" t="s">
        <v>156</v>
      </c>
      <c r="J859" s="155"/>
      <c r="K859" s="74"/>
      <c r="L859" s="26">
        <v>2012.0</v>
      </c>
      <c r="M859" s="25">
        <f>year(now()) -L859</f>
        <v>13</v>
      </c>
      <c r="N859" s="26">
        <f>counta(AE859,AG859,AI859,AK859,AM859,AO859,AQ859,AS859,AU859,AW859,AY859,BA859,BC859)</f>
        <v>2</v>
      </c>
      <c r="O859" s="27" t="str">
        <f t="shared" si="3"/>
        <v>#N/A</v>
      </c>
      <c r="P859" s="28"/>
      <c r="Q859" s="28"/>
      <c r="R859" s="28"/>
      <c r="S859" s="28"/>
      <c r="T859" s="29">
        <f>V859/M859</f>
        <v>376923.0769</v>
      </c>
      <c r="U859" s="28"/>
      <c r="V859" s="30">
        <f t="shared" si="425"/>
        <v>4900000</v>
      </c>
      <c r="W859" s="30"/>
      <c r="X859" s="32"/>
      <c r="Y859" s="33">
        <f>(max(AE859,AG859,AI859,AK859,AM859,AO859,AQ859,AS859,AU859,AW859,AY859,BA859,BC859)/min(AE859,AG859,AI859,AK859))^(1/M859)-1</f>
        <v>0.07302729618</v>
      </c>
      <c r="Z859" s="692"/>
      <c r="AA859" s="665"/>
      <c r="AB859" s="74"/>
      <c r="AC859" s="74"/>
      <c r="AD859" s="79"/>
      <c r="AE859" s="84"/>
      <c r="AF859" s="1175">
        <v>41803.0</v>
      </c>
      <c r="AG859" s="76">
        <v>1400000.0</v>
      </c>
      <c r="AH859" s="74"/>
      <c r="AI859" s="78"/>
      <c r="AJ859" s="227">
        <v>41991.0</v>
      </c>
      <c r="AK859" s="76">
        <v>3500000.0</v>
      </c>
      <c r="AL859" s="79"/>
      <c r="AM859" s="84"/>
      <c r="AN859" s="79"/>
      <c r="AO859" s="84"/>
      <c r="AP859" s="79"/>
      <c r="AQ859" s="84"/>
      <c r="AR859" s="79"/>
      <c r="AS859" s="79"/>
      <c r="AT859" s="79"/>
      <c r="AU859" s="80"/>
      <c r="AV859" s="79"/>
      <c r="AW859" s="38"/>
      <c r="AX859" s="79"/>
      <c r="AY859" s="38"/>
      <c r="AZ859" s="79"/>
      <c r="BA859" s="80"/>
      <c r="BB859" s="79"/>
      <c r="BC859" s="80"/>
      <c r="BD859" s="79"/>
      <c r="BE859" s="38"/>
      <c r="BF859" s="74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  <c r="CO859" s="68"/>
      <c r="CP859" s="68"/>
    </row>
    <row r="860" ht="15.75" customHeight="1">
      <c r="A860" s="400" t="s">
        <v>4214</v>
      </c>
      <c r="B860" s="68"/>
      <c r="C860" s="69" t="s">
        <v>513</v>
      </c>
      <c r="D860" s="337"/>
      <c r="E860" s="231" t="s">
        <v>4215</v>
      </c>
      <c r="F860" s="173" t="s">
        <v>4216</v>
      </c>
      <c r="G860" s="186"/>
      <c r="H860" s="71" t="s">
        <v>2927</v>
      </c>
      <c r="I860" s="26" t="s">
        <v>257</v>
      </c>
      <c r="J860" s="155"/>
      <c r="K860" s="26">
        <v>1.0</v>
      </c>
      <c r="L860" s="26"/>
      <c r="M860" s="25"/>
      <c r="N860" s="26"/>
      <c r="O860" s="27" t="str">
        <f t="shared" si="3"/>
        <v>#N/A</v>
      </c>
      <c r="P860" s="273"/>
      <c r="Q860" s="273"/>
      <c r="R860" s="273"/>
      <c r="S860" s="273"/>
      <c r="T860" s="273"/>
      <c r="U860" s="273"/>
      <c r="V860" s="30">
        <f t="shared" si="425"/>
        <v>4860000</v>
      </c>
      <c r="W860" s="1411"/>
      <c r="X860" s="73"/>
      <c r="Y860" s="73"/>
      <c r="Z860" s="1412"/>
      <c r="AA860" s="1413"/>
      <c r="AB860" s="74"/>
      <c r="AC860" s="74"/>
      <c r="AD860" s="79"/>
      <c r="AE860" s="84"/>
      <c r="AF860" s="885">
        <v>44721.0</v>
      </c>
      <c r="AG860" s="76">
        <v>4860000.0</v>
      </c>
      <c r="AH860" s="74"/>
      <c r="AI860" s="78"/>
      <c r="AJ860" s="79"/>
      <c r="AK860" s="84"/>
      <c r="AL860" s="79"/>
      <c r="AM860" s="84"/>
      <c r="AN860" s="79"/>
      <c r="AO860" s="84"/>
      <c r="AP860" s="79"/>
      <c r="AQ860" s="84"/>
      <c r="AR860" s="79"/>
      <c r="AS860" s="79"/>
      <c r="AT860" s="79"/>
      <c r="AU860" s="80"/>
      <c r="AV860" s="79"/>
      <c r="AW860" s="38"/>
      <c r="AX860" s="79"/>
      <c r="AY860" s="38"/>
      <c r="AZ860" s="79"/>
      <c r="BA860" s="80"/>
      <c r="BB860" s="79"/>
      <c r="BC860" s="80"/>
      <c r="BD860" s="79"/>
      <c r="BE860" s="38"/>
      <c r="BF860" s="74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</row>
    <row r="861" ht="15.75" customHeight="1">
      <c r="A861" s="21" t="s">
        <v>4217</v>
      </c>
      <c r="B861" s="68"/>
      <c r="C861" s="69" t="s">
        <v>4218</v>
      </c>
      <c r="D861" s="200" t="s">
        <v>4219</v>
      </c>
      <c r="E861" s="138" t="s">
        <v>4220</v>
      </c>
      <c r="F861" s="173" t="s">
        <v>4221</v>
      </c>
      <c r="G861" s="71" t="s">
        <v>4222</v>
      </c>
      <c r="H861" s="71" t="s">
        <v>1065</v>
      </c>
      <c r="I861" s="26" t="s">
        <v>4223</v>
      </c>
      <c r="J861" s="72" t="s">
        <v>4222</v>
      </c>
      <c r="K861" s="26">
        <v>3.0</v>
      </c>
      <c r="L861" s="26">
        <v>2006.0</v>
      </c>
      <c r="M861" s="25">
        <f t="shared" ref="M861:M863" si="640">year(now()) -L861</f>
        <v>19</v>
      </c>
      <c r="N861" s="26">
        <f t="shared" ref="N861:N863" si="641">counta(AE861,AG861,AI861,AK861,AM861,AO861,AQ861,AS861,AU861,AW861,AY861,BA861,BC861)</f>
        <v>1</v>
      </c>
      <c r="O861" s="27" t="str">
        <f t="shared" si="3"/>
        <v>#N/A</v>
      </c>
      <c r="P861" s="28"/>
      <c r="Q861" s="28"/>
      <c r="R861" s="28"/>
      <c r="S861" s="28"/>
      <c r="T861" s="28"/>
      <c r="U861" s="28"/>
      <c r="V861" s="30">
        <f t="shared" si="425"/>
        <v>4800000</v>
      </c>
      <c r="W861" s="30"/>
      <c r="X861" s="73"/>
      <c r="Y861" s="33">
        <f t="shared" ref="Y861:Y863" si="642">(max(AE861,AG861,AI861,AK861,AM861,AO861,AQ861,AS861,AU861,AW861,AY861,BA861,BC861)/min(AE861,AG861,AI861,AK861))^(1/M861)-1</f>
        <v>0</v>
      </c>
      <c r="Z861" s="692"/>
      <c r="AA861" s="665"/>
      <c r="AB861" s="74"/>
      <c r="AC861" s="74"/>
      <c r="AD861" s="426" t="str">
        <f>HYPERLINK("https://www.crunchbase.com/organization/versapay#section-funding-rounds"," May 7, 2015")</f>
        <v> May 7, 2015</v>
      </c>
      <c r="AE861" s="76">
        <v>4800000.0</v>
      </c>
      <c r="AF861" s="338"/>
      <c r="AG861" s="76"/>
      <c r="AH861" s="77"/>
      <c r="AI861" s="78"/>
      <c r="AJ861" s="79"/>
      <c r="AK861" s="84"/>
      <c r="AL861" s="79"/>
      <c r="AM861" s="84"/>
      <c r="AN861" s="79"/>
      <c r="AO861" s="84"/>
      <c r="AP861" s="79"/>
      <c r="AQ861" s="84"/>
      <c r="AR861" s="79"/>
      <c r="AS861" s="79"/>
      <c r="AT861" s="79"/>
      <c r="AU861" s="80"/>
      <c r="AV861" s="79"/>
      <c r="AW861" s="38"/>
      <c r="AX861" s="79"/>
      <c r="AY861" s="38"/>
      <c r="AZ861" s="79"/>
      <c r="BA861" s="80"/>
      <c r="BB861" s="79"/>
      <c r="BC861" s="80"/>
      <c r="BD861" s="79"/>
      <c r="BE861" s="38"/>
      <c r="BF861" s="74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68"/>
      <c r="CA861" s="68"/>
      <c r="CB861" s="68"/>
      <c r="CC861" s="68"/>
      <c r="CD861" s="68"/>
      <c r="CE861" s="68"/>
      <c r="CF861" s="68"/>
      <c r="CG861" s="68"/>
      <c r="CH861" s="68"/>
      <c r="CI861" s="68"/>
      <c r="CJ861" s="68"/>
      <c r="CK861" s="68"/>
      <c r="CL861" s="68"/>
      <c r="CM861" s="68"/>
      <c r="CN861" s="68"/>
      <c r="CO861" s="68"/>
      <c r="CP861" s="68"/>
    </row>
    <row r="862" ht="15.75" customHeight="1">
      <c r="A862" s="21" t="s">
        <v>4224</v>
      </c>
      <c r="B862" s="68"/>
      <c r="C862" s="69" t="s">
        <v>123</v>
      </c>
      <c r="D862" s="867"/>
      <c r="E862" s="192" t="s">
        <v>4225</v>
      </c>
      <c r="F862" s="177" t="s">
        <v>4226</v>
      </c>
      <c r="G862" s="71"/>
      <c r="H862" s="119" t="s">
        <v>64</v>
      </c>
      <c r="I862" s="123" t="s">
        <v>65</v>
      </c>
      <c r="J862" s="72"/>
      <c r="K862" s="26"/>
      <c r="L862" s="26">
        <v>2017.0</v>
      </c>
      <c r="M862" s="25">
        <f t="shared" si="640"/>
        <v>8</v>
      </c>
      <c r="N862" s="26">
        <f t="shared" si="641"/>
        <v>1</v>
      </c>
      <c r="O862" s="27" t="str">
        <f t="shared" si="3"/>
        <v>#N/A</v>
      </c>
      <c r="P862" s="28"/>
      <c r="Q862" s="28"/>
      <c r="R862" s="28"/>
      <c r="S862" s="28"/>
      <c r="T862" s="29">
        <f t="shared" ref="T862:T863" si="643">V862/M862</f>
        <v>600000</v>
      </c>
      <c r="U862" s="28"/>
      <c r="V862" s="30">
        <f t="shared" si="425"/>
        <v>4800000</v>
      </c>
      <c r="W862" s="30"/>
      <c r="X862" s="73"/>
      <c r="Y862" s="33">
        <f t="shared" si="642"/>
        <v>0</v>
      </c>
      <c r="Z862" s="692"/>
      <c r="AA862" s="665"/>
      <c r="AB862" s="74"/>
      <c r="AC862" s="74"/>
      <c r="AD862" s="79"/>
      <c r="AE862" s="84"/>
      <c r="AF862" s="1414">
        <v>43966.0</v>
      </c>
      <c r="AG862" s="76">
        <v>4800000.0</v>
      </c>
      <c r="AH862" s="74"/>
      <c r="AI862" s="78"/>
      <c r="AJ862" s="79"/>
      <c r="AK862" s="76"/>
      <c r="AL862" s="79"/>
      <c r="AM862" s="84"/>
      <c r="AN862" s="79"/>
      <c r="AO862" s="84"/>
      <c r="AP862" s="79"/>
      <c r="AQ862" s="84"/>
      <c r="AR862" s="79"/>
      <c r="AS862" s="79"/>
      <c r="AT862" s="79"/>
      <c r="AU862" s="80"/>
      <c r="AV862" s="79"/>
      <c r="AW862" s="38"/>
      <c r="AX862" s="79"/>
      <c r="AY862" s="38"/>
      <c r="AZ862" s="79"/>
      <c r="BA862" s="80"/>
      <c r="BB862" s="79"/>
      <c r="BC862" s="80"/>
      <c r="BD862" s="79"/>
      <c r="BE862" s="38"/>
      <c r="BF862" s="74"/>
      <c r="BG862" s="115"/>
      <c r="BH862" s="115"/>
      <c r="BI862" s="115"/>
      <c r="BJ862" s="115"/>
      <c r="BK862" s="115"/>
      <c r="BL862" s="115"/>
      <c r="BM862" s="115"/>
      <c r="BN862" s="115"/>
      <c r="BO862" s="115"/>
      <c r="BP862" s="115"/>
      <c r="BQ862" s="115"/>
      <c r="BR862" s="115"/>
      <c r="BS862" s="115"/>
      <c r="BT862" s="115"/>
      <c r="BU862" s="115"/>
      <c r="BV862" s="115"/>
      <c r="BW862" s="115"/>
      <c r="BX862" s="115"/>
      <c r="BY862" s="115"/>
      <c r="BZ862" s="115"/>
      <c r="CA862" s="115"/>
      <c r="CB862" s="115"/>
      <c r="CC862" s="115"/>
      <c r="CD862" s="115"/>
      <c r="CE862" s="115"/>
      <c r="CF862" s="115"/>
      <c r="CG862" s="115"/>
      <c r="CH862" s="115"/>
      <c r="CI862" s="115"/>
      <c r="CJ862" s="115"/>
      <c r="CK862" s="115"/>
      <c r="CL862" s="115"/>
      <c r="CM862" s="115"/>
      <c r="CN862" s="115"/>
      <c r="CO862" s="115"/>
      <c r="CP862" s="115"/>
    </row>
    <row r="863" ht="15.75" customHeight="1">
      <c r="A863" s="21" t="s">
        <v>4227</v>
      </c>
      <c r="B863" s="68"/>
      <c r="C863" s="69" t="s">
        <v>1007</v>
      </c>
      <c r="D863" s="138" t="s">
        <v>4228</v>
      </c>
      <c r="E863" s="138" t="s">
        <v>4229</v>
      </c>
      <c r="F863" s="173" t="s">
        <v>4230</v>
      </c>
      <c r="G863" s="54" t="s">
        <v>4231</v>
      </c>
      <c r="H863" s="71" t="s">
        <v>4232</v>
      </c>
      <c r="I863" s="26" t="s">
        <v>227</v>
      </c>
      <c r="J863" s="178" t="s">
        <v>4233</v>
      </c>
      <c r="K863" s="26">
        <v>1.0</v>
      </c>
      <c r="L863" s="26">
        <v>2016.0</v>
      </c>
      <c r="M863" s="25">
        <f t="shared" si="640"/>
        <v>9</v>
      </c>
      <c r="N863" s="26">
        <f t="shared" si="641"/>
        <v>1</v>
      </c>
      <c r="O863" s="27" t="str">
        <f t="shared" si="3"/>
        <v>#N/A</v>
      </c>
      <c r="P863" s="28"/>
      <c r="Q863" s="28"/>
      <c r="R863" s="28"/>
      <c r="S863" s="28"/>
      <c r="T863" s="29">
        <f t="shared" si="643"/>
        <v>533333.3333</v>
      </c>
      <c r="U863" s="28"/>
      <c r="V863" s="30">
        <f t="shared" si="425"/>
        <v>4800000</v>
      </c>
      <c r="W863" s="30"/>
      <c r="X863" s="73"/>
      <c r="Y863" s="33">
        <f t="shared" si="642"/>
        <v>0</v>
      </c>
      <c r="Z863" s="692"/>
      <c r="AA863" s="665"/>
      <c r="AB863" s="74"/>
      <c r="AC863" s="74"/>
      <c r="AD863" s="79"/>
      <c r="AE863" s="84"/>
      <c r="AF863" s="856" t="str">
        <f>HYPERLINK("https://www.crunchbase.com/funding_round/tfliving-seed--4c6af2e6","Mar 9, 2020")</f>
        <v>Mar 9, 2020</v>
      </c>
      <c r="AG863" s="76">
        <v>4800000.0</v>
      </c>
      <c r="AH863" s="74"/>
      <c r="AI863" s="78"/>
      <c r="AJ863" s="79"/>
      <c r="AK863" s="84"/>
      <c r="AL863" s="79"/>
      <c r="AM863" s="84"/>
      <c r="AN863" s="79"/>
      <c r="AO863" s="84"/>
      <c r="AP863" s="79"/>
      <c r="AQ863" s="84"/>
      <c r="AR863" s="79"/>
      <c r="AS863" s="79"/>
      <c r="AT863" s="79"/>
      <c r="AU863" s="80"/>
      <c r="AV863" s="79"/>
      <c r="AW863" s="38"/>
      <c r="AX863" s="79"/>
      <c r="AY863" s="38"/>
      <c r="AZ863" s="79"/>
      <c r="BA863" s="80"/>
      <c r="BB863" s="79"/>
      <c r="BC863" s="80"/>
      <c r="BD863" s="79"/>
      <c r="BE863" s="38"/>
      <c r="BF863" s="74"/>
      <c r="BG863" s="115"/>
      <c r="BH863" s="115"/>
      <c r="BI863" s="115"/>
      <c r="BJ863" s="115"/>
      <c r="BK863" s="115"/>
      <c r="BL863" s="115"/>
      <c r="BM863" s="115"/>
      <c r="BN863" s="115"/>
      <c r="BO863" s="115"/>
      <c r="BP863" s="115"/>
      <c r="BQ863" s="115"/>
      <c r="BR863" s="115"/>
      <c r="BS863" s="115"/>
      <c r="BT863" s="115"/>
      <c r="BU863" s="115"/>
      <c r="BV863" s="115"/>
      <c r="BW863" s="115"/>
      <c r="BX863" s="115"/>
      <c r="BY863" s="115"/>
      <c r="BZ863" s="115"/>
      <c r="CA863" s="115"/>
      <c r="CB863" s="115"/>
      <c r="CC863" s="115"/>
      <c r="CD863" s="115"/>
      <c r="CE863" s="115"/>
      <c r="CF863" s="115"/>
      <c r="CG863" s="115"/>
      <c r="CH863" s="115"/>
      <c r="CI863" s="115"/>
      <c r="CJ863" s="115"/>
      <c r="CK863" s="115"/>
      <c r="CL863" s="115"/>
      <c r="CM863" s="115"/>
      <c r="CN863" s="115"/>
      <c r="CO863" s="115"/>
      <c r="CP863" s="115"/>
    </row>
    <row r="864" ht="15.75" customHeight="1">
      <c r="A864" s="47" t="s">
        <v>4234</v>
      </c>
      <c r="C864" s="48" t="s">
        <v>76</v>
      </c>
      <c r="D864" s="617" t="s">
        <v>4235</v>
      </c>
      <c r="E864" s="49" t="s">
        <v>4236</v>
      </c>
      <c r="F864" s="352" t="s">
        <v>4237</v>
      </c>
      <c r="G864" s="353"/>
      <c r="H864" s="53" t="s">
        <v>1065</v>
      </c>
      <c r="I864" s="54" t="s">
        <v>639</v>
      </c>
      <c r="J864" s="55"/>
      <c r="K864" s="54">
        <v>2.0</v>
      </c>
      <c r="L864" s="56">
        <v>2017.0</v>
      </c>
      <c r="M864" s="55"/>
      <c r="N864" s="55"/>
      <c r="O864" s="27" t="str">
        <f t="shared" si="3"/>
        <v>#N/A</v>
      </c>
      <c r="P864" s="55"/>
      <c r="Q864" s="55"/>
      <c r="R864" s="55"/>
      <c r="S864" s="55"/>
      <c r="T864" s="55"/>
      <c r="U864" s="55"/>
      <c r="V864" s="30">
        <f t="shared" si="425"/>
        <v>4800000</v>
      </c>
      <c r="W864" s="30"/>
      <c r="X864" s="58"/>
      <c r="Y864" s="58"/>
      <c r="Z864" s="692"/>
      <c r="AA864" s="665"/>
      <c r="AB864" s="55"/>
      <c r="AC864" s="55"/>
      <c r="AD864" s="880">
        <v>43872.0</v>
      </c>
      <c r="AE864" s="38">
        <v>800000.0</v>
      </c>
      <c r="AF864" s="62">
        <v>44418.0</v>
      </c>
      <c r="AG864" s="38">
        <v>2500000.0</v>
      </c>
      <c r="AH864" s="55"/>
      <c r="AI864" s="55"/>
      <c r="AJ864" s="55"/>
      <c r="AK864" s="55"/>
      <c r="AL864" s="55"/>
      <c r="AM864" s="55"/>
      <c r="AN864" s="55"/>
      <c r="AO864" s="55"/>
      <c r="AP864" s="356"/>
      <c r="AQ864" s="356"/>
      <c r="AR864" s="55"/>
      <c r="AS864" s="55"/>
      <c r="AT864" s="55"/>
      <c r="AU864" s="722"/>
      <c r="AV864" s="55"/>
      <c r="AW864" s="38"/>
      <c r="AX864" s="55"/>
      <c r="AY864" s="38"/>
      <c r="AZ864" s="55"/>
      <c r="BA864" s="722"/>
      <c r="BB864" s="62">
        <v>44936.0</v>
      </c>
      <c r="BC864" s="743">
        <v>1500000.0</v>
      </c>
      <c r="BD864" s="55"/>
      <c r="BE864" s="38"/>
      <c r="BF864" s="55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</row>
    <row r="865" ht="15.75" customHeight="1">
      <c r="A865" s="860" t="s">
        <v>4238</v>
      </c>
      <c r="B865" s="68"/>
      <c r="C865" s="69" t="s">
        <v>123</v>
      </c>
      <c r="D865" s="337"/>
      <c r="E865" s="192" t="s">
        <v>4239</v>
      </c>
      <c r="F865" s="118" t="s">
        <v>4240</v>
      </c>
      <c r="G865" s="186"/>
      <c r="H865" s="71" t="s">
        <v>1833</v>
      </c>
      <c r="I865" s="26" t="s">
        <v>651</v>
      </c>
      <c r="J865" s="155"/>
      <c r="K865" s="74"/>
      <c r="L865" s="26">
        <v>2013.0</v>
      </c>
      <c r="M865" s="25">
        <f t="shared" ref="M865:M868" si="644">year(now()) -L865</f>
        <v>12</v>
      </c>
      <c r="N865" s="26">
        <f t="shared" ref="N865:N868" si="645">counta(AE865,AG865,AI865,AK865,AM865,AO865,AQ865,AS865,AU865,AW865,AY865,BA865,BC865)</f>
        <v>2</v>
      </c>
      <c r="O865" s="27" t="str">
        <f t="shared" si="3"/>
        <v>#N/A</v>
      </c>
      <c r="P865" s="28"/>
      <c r="Q865" s="28"/>
      <c r="R865" s="28"/>
      <c r="S865" s="28"/>
      <c r="T865" s="29">
        <f t="shared" ref="T865:T868" si="646">V865/M865</f>
        <v>395833.3333</v>
      </c>
      <c r="U865" s="28"/>
      <c r="V865" s="30">
        <f t="shared" si="425"/>
        <v>4750000</v>
      </c>
      <c r="W865" s="30"/>
      <c r="X865" s="32"/>
      <c r="Y865" s="33">
        <f t="shared" ref="Y865:Y868" si="647">(max(AE865,AG865,AI865,AK865,AM865,AO865,AQ865,AS865,AU865,AW865,AY865,BA865,BC865)/min(AE865,AG865,AI865,AK865))^(1/M865)-1</f>
        <v>0.1496965479</v>
      </c>
      <c r="Z865" s="692"/>
      <c r="AA865" s="665"/>
      <c r="AB865" s="74"/>
      <c r="AC865" s="74"/>
      <c r="AD865" s="79"/>
      <c r="AE865" s="84"/>
      <c r="AF865" s="320">
        <v>41600.0</v>
      </c>
      <c r="AG865" s="76">
        <v>750000.0</v>
      </c>
      <c r="AH865" s="74"/>
      <c r="AI865" s="78"/>
      <c r="AJ865" s="1368"/>
      <c r="AK865" s="1028"/>
      <c r="AL865" s="42">
        <v>42102.0</v>
      </c>
      <c r="AM865" s="1028">
        <v>4000000.0</v>
      </c>
      <c r="AN865" s="79"/>
      <c r="AO865" s="84"/>
      <c r="AP865" s="79"/>
      <c r="AQ865" s="84"/>
      <c r="AR865" s="79"/>
      <c r="AS865" s="79"/>
      <c r="AT865" s="79"/>
      <c r="AU865" s="80"/>
      <c r="AV865" s="79"/>
      <c r="AW865" s="38"/>
      <c r="AX865" s="79"/>
      <c r="AY865" s="38"/>
      <c r="AZ865" s="79"/>
      <c r="BA865" s="80"/>
      <c r="BB865" s="79"/>
      <c r="BC865" s="80"/>
      <c r="BD865" s="79"/>
      <c r="BE865" s="38"/>
      <c r="BF865" s="74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</row>
    <row r="866" ht="15.75" customHeight="1">
      <c r="A866" s="442" t="s">
        <v>4241</v>
      </c>
      <c r="B866" s="68" t="s">
        <v>4242</v>
      </c>
      <c r="C866" s="69" t="s">
        <v>84</v>
      </c>
      <c r="D866" s="184" t="s">
        <v>4243</v>
      </c>
      <c r="E866" s="184" t="s">
        <v>4244</v>
      </c>
      <c r="F866" s="185" t="s">
        <v>4245</v>
      </c>
      <c r="G866" s="186"/>
      <c r="H866" s="186" t="s">
        <v>64</v>
      </c>
      <c r="I866" s="74" t="s">
        <v>287</v>
      </c>
      <c r="J866" s="155"/>
      <c r="K866" s="74">
        <v>1.0</v>
      </c>
      <c r="L866" s="26">
        <v>2016.0</v>
      </c>
      <c r="M866" s="25">
        <f t="shared" si="644"/>
        <v>9</v>
      </c>
      <c r="N866" s="26">
        <f t="shared" si="645"/>
        <v>1</v>
      </c>
      <c r="O866" s="27" t="str">
        <f t="shared" si="3"/>
        <v>#N/A</v>
      </c>
      <c r="P866" s="28"/>
      <c r="Q866" s="28"/>
      <c r="R866" s="28"/>
      <c r="S866" s="28"/>
      <c r="T866" s="29">
        <f t="shared" si="646"/>
        <v>522222.2222</v>
      </c>
      <c r="U866" s="28"/>
      <c r="V866" s="30">
        <f t="shared" si="425"/>
        <v>4700000</v>
      </c>
      <c r="W866" s="30"/>
      <c r="X866" s="32"/>
      <c r="Y866" s="33">
        <f t="shared" si="647"/>
        <v>0</v>
      </c>
      <c r="Z866" s="692"/>
      <c r="AA866" s="665"/>
      <c r="AB866" s="74"/>
      <c r="AC866" s="74"/>
      <c r="AD866" s="79"/>
      <c r="AE866" s="84"/>
      <c r="AF866" s="175" t="str">
        <f>HYPERLINK("https://www.crunchbase.com/organization/homeshare#section-funding-rounds2"," Jan 24, 2018")</f>
        <v> Jan 24, 2018</v>
      </c>
      <c r="AG866" s="76">
        <v>4700000.0</v>
      </c>
      <c r="AH866" s="74"/>
      <c r="AI866" s="78"/>
      <c r="AJ866" s="79"/>
      <c r="AK866" s="84"/>
      <c r="AL866" s="79"/>
      <c r="AM866" s="84"/>
      <c r="AN866" s="79"/>
      <c r="AO866" s="84"/>
      <c r="AP866" s="79"/>
      <c r="AQ866" s="84"/>
      <c r="AR866" s="79"/>
      <c r="AS866" s="79"/>
      <c r="AT866" s="79"/>
      <c r="AU866" s="80"/>
      <c r="AV866" s="79"/>
      <c r="AW866" s="38"/>
      <c r="AX866" s="79"/>
      <c r="AY866" s="38"/>
      <c r="AZ866" s="79"/>
      <c r="BA866" s="80"/>
      <c r="BB866" s="79"/>
      <c r="BC866" s="80"/>
      <c r="BD866" s="79"/>
      <c r="BE866" s="38"/>
      <c r="BF866" s="74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</row>
    <row r="867" ht="15.75" customHeight="1">
      <c r="A867" s="442" t="s">
        <v>4246</v>
      </c>
      <c r="B867" s="68" t="s">
        <v>2541</v>
      </c>
      <c r="C867" s="68" t="s">
        <v>384</v>
      </c>
      <c r="D867" s="184" t="s">
        <v>4247</v>
      </c>
      <c r="E867" s="184" t="s">
        <v>4248</v>
      </c>
      <c r="F867" s="185" t="s">
        <v>4249</v>
      </c>
      <c r="G867" s="186"/>
      <c r="H867" s="186" t="s">
        <v>328</v>
      </c>
      <c r="I867" s="74"/>
      <c r="J867" s="155"/>
      <c r="K867" s="74">
        <v>1.0</v>
      </c>
      <c r="L867" s="26">
        <v>2017.0</v>
      </c>
      <c r="M867" s="25">
        <f t="shared" si="644"/>
        <v>8</v>
      </c>
      <c r="N867" s="26">
        <f t="shared" si="645"/>
        <v>1</v>
      </c>
      <c r="O867" s="27" t="str">
        <f t="shared" si="3"/>
        <v>#N/A</v>
      </c>
      <c r="P867" s="28"/>
      <c r="Q867" s="28"/>
      <c r="R867" s="28"/>
      <c r="S867" s="28"/>
      <c r="T867" s="29">
        <f t="shared" si="646"/>
        <v>575000</v>
      </c>
      <c r="U867" s="28"/>
      <c r="V867" s="30">
        <f t="shared" si="425"/>
        <v>4600000</v>
      </c>
      <c r="W867" s="30"/>
      <c r="X867" s="32"/>
      <c r="Y867" s="33">
        <f t="shared" si="647"/>
        <v>0</v>
      </c>
      <c r="Z867" s="692"/>
      <c r="AA867" s="665"/>
      <c r="AB867" s="74"/>
      <c r="AC867" s="74"/>
      <c r="AD867" s="79"/>
      <c r="AE867" s="84"/>
      <c r="AF867" s="338"/>
      <c r="AG867" s="84"/>
      <c r="AH867" s="74"/>
      <c r="AI867" s="78"/>
      <c r="AJ867" s="181" t="str">
        <f>HYPERLINK("https://www.crunchbase.com/organization/lyvly-d458#section-funding-rounds"," 8/9/2018")</f>
        <v> 8/9/2018</v>
      </c>
      <c r="AK867" s="84">
        <v>4600000.0</v>
      </c>
      <c r="AL867" s="79"/>
      <c r="AM867" s="84"/>
      <c r="AN867" s="79"/>
      <c r="AO867" s="84"/>
      <c r="AP867" s="79"/>
      <c r="AQ867" s="84"/>
      <c r="AR867" s="79"/>
      <c r="AS867" s="79"/>
      <c r="AT867" s="79"/>
      <c r="AU867" s="80"/>
      <c r="AV867" s="79"/>
      <c r="AW867" s="38"/>
      <c r="AX867" s="79"/>
      <c r="AY867" s="38"/>
      <c r="AZ867" s="79"/>
      <c r="BA867" s="80"/>
      <c r="BB867" s="79"/>
      <c r="BC867" s="80"/>
      <c r="BD867" s="79"/>
      <c r="BE867" s="38"/>
      <c r="BF867" s="74"/>
      <c r="BG867" s="115"/>
      <c r="BH867" s="115"/>
      <c r="BI867" s="115"/>
      <c r="BJ867" s="115"/>
      <c r="BK867" s="115"/>
      <c r="BL867" s="115"/>
      <c r="BM867" s="115"/>
      <c r="BN867" s="115"/>
      <c r="BO867" s="115"/>
      <c r="BP867" s="115"/>
      <c r="BQ867" s="115"/>
      <c r="BR867" s="115"/>
      <c r="BS867" s="115"/>
      <c r="BT867" s="115"/>
      <c r="BU867" s="115"/>
      <c r="BV867" s="115"/>
      <c r="BW867" s="115"/>
      <c r="BX867" s="115"/>
      <c r="BY867" s="115"/>
      <c r="BZ867" s="115"/>
      <c r="CA867" s="115"/>
      <c r="CB867" s="115"/>
      <c r="CC867" s="115"/>
      <c r="CD867" s="115"/>
      <c r="CE867" s="115"/>
      <c r="CF867" s="115"/>
      <c r="CG867" s="115"/>
      <c r="CH867" s="115"/>
      <c r="CI867" s="115"/>
      <c r="CJ867" s="115"/>
      <c r="CK867" s="115"/>
      <c r="CL867" s="115"/>
      <c r="CM867" s="115"/>
      <c r="CN867" s="115"/>
      <c r="CO867" s="115"/>
      <c r="CP867" s="115"/>
    </row>
    <row r="868" ht="15.75" customHeight="1">
      <c r="A868" s="21" t="s">
        <v>4250</v>
      </c>
      <c r="B868" s="68"/>
      <c r="C868" s="69" t="s">
        <v>123</v>
      </c>
      <c r="D868" s="192" t="s">
        <v>4251</v>
      </c>
      <c r="E868" s="192" t="s">
        <v>4252</v>
      </c>
      <c r="F868" s="173" t="s">
        <v>4253</v>
      </c>
      <c r="G868" s="140"/>
      <c r="H868" s="71" t="s">
        <v>2270</v>
      </c>
      <c r="I868" s="74" t="s">
        <v>156</v>
      </c>
      <c r="J868" s="155"/>
      <c r="K868" s="74"/>
      <c r="L868" s="26">
        <v>2017.0</v>
      </c>
      <c r="M868" s="25">
        <f t="shared" si="644"/>
        <v>8</v>
      </c>
      <c r="N868" s="26">
        <f t="shared" si="645"/>
        <v>1</v>
      </c>
      <c r="O868" s="27" t="str">
        <f t="shared" si="3"/>
        <v>#N/A</v>
      </c>
      <c r="P868" s="28"/>
      <c r="Q868" s="28"/>
      <c r="R868" s="28"/>
      <c r="S868" s="28"/>
      <c r="T868" s="29">
        <f t="shared" si="646"/>
        <v>575000</v>
      </c>
      <c r="U868" s="28"/>
      <c r="V868" s="30">
        <f t="shared" si="425"/>
        <v>4600000</v>
      </c>
      <c r="W868" s="30"/>
      <c r="X868" s="32"/>
      <c r="Y868" s="33">
        <f t="shared" si="647"/>
        <v>0</v>
      </c>
      <c r="Z868" s="692"/>
      <c r="AA868" s="665"/>
      <c r="AB868" s="74"/>
      <c r="AC868" s="74"/>
      <c r="AD868" s="79"/>
      <c r="AE868" s="76"/>
      <c r="AF868" s="320">
        <v>43509.0</v>
      </c>
      <c r="AG868" s="76">
        <v>4600000.0</v>
      </c>
      <c r="AH868" s="74"/>
      <c r="AI868" s="78"/>
      <c r="AJ868" s="79"/>
      <c r="AK868" s="84"/>
      <c r="AL868" s="79"/>
      <c r="AM868" s="84"/>
      <c r="AN868" s="79"/>
      <c r="AO868" s="84"/>
      <c r="AP868" s="79"/>
      <c r="AQ868" s="84"/>
      <c r="AR868" s="79"/>
      <c r="AS868" s="79"/>
      <c r="AT868" s="79"/>
      <c r="AU868" s="80"/>
      <c r="AV868" s="79"/>
      <c r="AW868" s="38"/>
      <c r="AX868" s="79"/>
      <c r="AY868" s="38"/>
      <c r="AZ868" s="79"/>
      <c r="BA868" s="80"/>
      <c r="BB868" s="79"/>
      <c r="BC868" s="80"/>
      <c r="BD868" s="79"/>
      <c r="BE868" s="38"/>
      <c r="BF868" s="74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  <c r="CO868" s="68"/>
      <c r="CP868" s="68"/>
    </row>
    <row r="869" ht="15.75" customHeight="1">
      <c r="A869" s="47" t="s">
        <v>4254</v>
      </c>
      <c r="C869" s="48" t="s">
        <v>68</v>
      </c>
      <c r="D869" s="49" t="s">
        <v>4255</v>
      </c>
      <c r="E869" s="49" t="s">
        <v>4256</v>
      </c>
      <c r="F869" s="352" t="s">
        <v>4257</v>
      </c>
      <c r="G869" s="353"/>
      <c r="H869" s="53" t="s">
        <v>1994</v>
      </c>
      <c r="I869" s="54" t="s">
        <v>639</v>
      </c>
      <c r="J869" s="55"/>
      <c r="K869" s="54">
        <v>2.0</v>
      </c>
      <c r="L869" s="56">
        <v>2021.0</v>
      </c>
      <c r="M869" s="55"/>
      <c r="N869" s="55"/>
      <c r="O869" s="27" t="str">
        <f t="shared" si="3"/>
        <v>#N/A</v>
      </c>
      <c r="P869" s="55"/>
      <c r="Q869" s="55"/>
      <c r="R869" s="55"/>
      <c r="S869" s="55"/>
      <c r="T869" s="55"/>
      <c r="U869" s="55"/>
      <c r="V869" s="30">
        <f t="shared" si="425"/>
        <v>4598500</v>
      </c>
      <c r="W869" s="30"/>
      <c r="X869" s="58"/>
      <c r="Y869" s="58"/>
      <c r="Z869" s="692"/>
      <c r="AA869" s="665"/>
      <c r="AB869" s="55"/>
      <c r="AC869" s="55"/>
      <c r="AD869" s="62">
        <v>44652.0</v>
      </c>
      <c r="AE869" s="38">
        <v>798500.0</v>
      </c>
      <c r="AF869" s="62">
        <v>45006.0</v>
      </c>
      <c r="AG869" s="38">
        <v>3800000.0</v>
      </c>
      <c r="AH869" s="55"/>
      <c r="AI869" s="38"/>
      <c r="AJ869" s="55"/>
      <c r="AK869" s="38"/>
      <c r="AL869" s="55"/>
      <c r="AM869" s="38"/>
      <c r="AN869" s="55"/>
      <c r="AO869" s="38"/>
      <c r="AP869" s="356"/>
      <c r="AQ869" s="38"/>
      <c r="AR869" s="55"/>
      <c r="AS869" s="38"/>
      <c r="AT869" s="55"/>
      <c r="AU869" s="38"/>
      <c r="AV869" s="55"/>
      <c r="AW869" s="38"/>
      <c r="AX869" s="55"/>
      <c r="AY869" s="38"/>
      <c r="AZ869" s="55"/>
      <c r="BA869" s="38"/>
      <c r="BB869" s="55"/>
      <c r="BC869" s="38"/>
      <c r="BD869" s="55"/>
      <c r="BE869" s="38"/>
      <c r="BF869" s="55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68"/>
      <c r="CA869" s="68"/>
      <c r="CB869" s="68"/>
      <c r="CC869" s="68"/>
      <c r="CD869" s="68"/>
      <c r="CE869" s="68"/>
      <c r="CF869" s="68"/>
      <c r="CG869" s="68"/>
      <c r="CH869" s="68"/>
      <c r="CI869" s="68"/>
      <c r="CJ869" s="68"/>
      <c r="CK869" s="68"/>
      <c r="CL869" s="68"/>
      <c r="CM869" s="68"/>
      <c r="CN869" s="68"/>
      <c r="CO869" s="68"/>
      <c r="CP869" s="68"/>
    </row>
    <row r="870" ht="15.75" customHeight="1">
      <c r="A870" s="442" t="s">
        <v>4258</v>
      </c>
      <c r="B870" s="68" t="s">
        <v>719</v>
      </c>
      <c r="C870" s="68" t="s">
        <v>207</v>
      </c>
      <c r="D870" s="184"/>
      <c r="E870" s="184" t="s">
        <v>4259</v>
      </c>
      <c r="F870" s="185" t="s">
        <v>4260</v>
      </c>
      <c r="G870" s="186"/>
      <c r="H870" s="186" t="s">
        <v>4261</v>
      </c>
      <c r="I870" s="74"/>
      <c r="J870" s="155"/>
      <c r="K870" s="74">
        <v>3.0</v>
      </c>
      <c r="L870" s="26">
        <v>2013.0</v>
      </c>
      <c r="M870" s="25">
        <f t="shared" ref="M870:M871" si="648">year(now()) -L870</f>
        <v>12</v>
      </c>
      <c r="N870" s="26">
        <f t="shared" ref="N870:N871" si="649">counta(AE870,AG870,AI870,AK870,AM870,AO870,AQ870,AS870,AU870,AW870,AY870,BA870,BC870)</f>
        <v>2</v>
      </c>
      <c r="O870" s="27" t="str">
        <f t="shared" si="3"/>
        <v>#N/A</v>
      </c>
      <c r="P870" s="28"/>
      <c r="Q870" s="28"/>
      <c r="R870" s="28"/>
      <c r="S870" s="28"/>
      <c r="T870" s="29">
        <f t="shared" ref="T870:T871" si="650">V870/M870</f>
        <v>380860.0433</v>
      </c>
      <c r="U870" s="28"/>
      <c r="V870" s="30">
        <f t="shared" si="425"/>
        <v>4570320.52</v>
      </c>
      <c r="W870" s="30"/>
      <c r="X870" s="32"/>
      <c r="Y870" s="33">
        <f t="shared" ref="Y870:Y871" si="651">(max(AE870,AG870,AI870,AK870,AM870,AO870,AQ870,AS870,AU870,AW870,AY870,BA870,BC870)/min(AE870,AG870,AI870,AK870))^(1/M870)-1</f>
        <v>0</v>
      </c>
      <c r="Z870" s="692"/>
      <c r="AA870" s="665"/>
      <c r="AB870" s="74"/>
      <c r="AC870" s="74"/>
      <c r="AD870" s="79"/>
      <c r="AE870" s="84"/>
      <c r="AF870" s="338"/>
      <c r="AG870" s="84"/>
      <c r="AH870" s="74"/>
      <c r="AI870" s="78"/>
      <c r="AJ870" s="426" t="str">
        <f>HYPERLINK("https://www.crunchbase.com/funding_round/nash-work-series-a--665625b3"," 6/17/2015")</f>
        <v> 6/17/2015</v>
      </c>
      <c r="AK870" s="76">
        <v>4500000.0</v>
      </c>
      <c r="AL870" s="181" t="str">
        <f>HYPERLINK("https://www.crunchbase.com/funding_round/nash-work-series-b--7f9b0707"," Jun 7, 2018        
")</f>
        <v> Jun 7, 2018        
</v>
      </c>
      <c r="AM870" s="76">
        <v>70320.52</v>
      </c>
      <c r="AN870" s="79"/>
      <c r="AO870" s="84"/>
      <c r="AP870" s="79"/>
      <c r="AQ870" s="84"/>
      <c r="AR870" s="79"/>
      <c r="AS870" s="79"/>
      <c r="AT870" s="79"/>
      <c r="AU870" s="80"/>
      <c r="AV870" s="79"/>
      <c r="AW870" s="38"/>
      <c r="AX870" s="79"/>
      <c r="AY870" s="38"/>
      <c r="AZ870" s="79"/>
      <c r="BA870" s="80"/>
      <c r="BB870" s="79"/>
      <c r="BC870" s="80"/>
      <c r="BD870" s="79"/>
      <c r="BE870" s="38"/>
      <c r="BF870" s="74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</row>
    <row r="871" ht="15.75" customHeight="1">
      <c r="A871" s="442" t="s">
        <v>4262</v>
      </c>
      <c r="B871" s="16" t="s">
        <v>4263</v>
      </c>
      <c r="C871" s="16" t="s">
        <v>59</v>
      </c>
      <c r="D871" s="231" t="s">
        <v>4264</v>
      </c>
      <c r="E871" s="337" t="s">
        <v>4265</v>
      </c>
      <c r="F871" s="652" t="s">
        <v>4266</v>
      </c>
      <c r="G871" s="317"/>
      <c r="H871" s="317" t="s">
        <v>271</v>
      </c>
      <c r="I871" s="36" t="s">
        <v>272</v>
      </c>
      <c r="J871" s="237"/>
      <c r="K871" s="36">
        <v>1.0</v>
      </c>
      <c r="L871" s="23">
        <v>2011.0</v>
      </c>
      <c r="M871" s="25">
        <f t="shared" si="648"/>
        <v>14</v>
      </c>
      <c r="N871" s="26">
        <f t="shared" si="649"/>
        <v>1</v>
      </c>
      <c r="O871" s="27" t="str">
        <f t="shared" si="3"/>
        <v>#N/A</v>
      </c>
      <c r="P871" s="28"/>
      <c r="Q871" s="28"/>
      <c r="R871" s="28"/>
      <c r="S871" s="28"/>
      <c r="T871" s="29">
        <f t="shared" si="650"/>
        <v>325000</v>
      </c>
      <c r="U871" s="28"/>
      <c r="V871" s="30">
        <f t="shared" si="425"/>
        <v>4550000</v>
      </c>
      <c r="W871" s="30"/>
      <c r="X871" s="847"/>
      <c r="Y871" s="33">
        <f t="shared" si="651"/>
        <v>0</v>
      </c>
      <c r="Z871" s="692"/>
      <c r="AA871" s="665"/>
      <c r="AB871" s="23" t="s">
        <v>4267</v>
      </c>
      <c r="AC871" s="36"/>
      <c r="AD871" s="43" t="str">
        <f>HYPERLINK("https://www.crunchbase.com/organization/rebls#section-funding-rounds"," Aug 29, 2018        
")</f>
        <v> Aug 29, 2018        
</v>
      </c>
      <c r="AE871" s="38">
        <v>4550000.0</v>
      </c>
      <c r="AF871" s="39"/>
      <c r="AG871" s="46"/>
      <c r="AH871" s="36"/>
      <c r="AI871" s="159"/>
      <c r="AJ871" s="44"/>
      <c r="AK871" s="46"/>
      <c r="AL871" s="44"/>
      <c r="AM871" s="46"/>
      <c r="AN871" s="44"/>
      <c r="AO871" s="46"/>
      <c r="AP871" s="44"/>
      <c r="AQ871" s="46"/>
      <c r="AR871" s="44"/>
      <c r="AS871" s="44"/>
      <c r="AT871" s="44"/>
      <c r="AU871" s="45"/>
      <c r="AV871" s="44"/>
      <c r="AW871" s="38"/>
      <c r="AX871" s="44"/>
      <c r="AY871" s="38"/>
      <c r="AZ871" s="44"/>
      <c r="BA871" s="45"/>
      <c r="BB871" s="44"/>
      <c r="BC871" s="45"/>
      <c r="BD871" s="44"/>
      <c r="BE871" s="38"/>
      <c r="BF871" s="3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</row>
    <row r="872" ht="15.75" customHeight="1">
      <c r="A872" s="21" t="s">
        <v>4268</v>
      </c>
      <c r="B872" s="69"/>
      <c r="C872" s="69" t="s">
        <v>84</v>
      </c>
      <c r="D872" s="337"/>
      <c r="E872" s="192" t="s">
        <v>4269</v>
      </c>
      <c r="F872" s="173" t="s">
        <v>4270</v>
      </c>
      <c r="G872" s="186"/>
      <c r="H872" s="71" t="s">
        <v>450</v>
      </c>
      <c r="I872" s="26" t="s">
        <v>450</v>
      </c>
      <c r="J872" s="155"/>
      <c r="K872" s="26">
        <v>4.0</v>
      </c>
      <c r="L872" s="26">
        <v>2020.0</v>
      </c>
      <c r="M872" s="25"/>
      <c r="N872" s="26"/>
      <c r="O872" s="27" t="str">
        <f t="shared" si="3"/>
        <v>#N/A</v>
      </c>
      <c r="P872" s="273"/>
      <c r="Q872" s="273"/>
      <c r="R872" s="273"/>
      <c r="S872" s="273"/>
      <c r="T872" s="273"/>
      <c r="U872" s="273"/>
      <c r="V872" s="30">
        <f t="shared" si="425"/>
        <v>4550000</v>
      </c>
      <c r="W872" s="30"/>
      <c r="X872" s="73"/>
      <c r="Y872" s="73"/>
      <c r="Z872" s="692"/>
      <c r="AA872" s="665"/>
      <c r="AB872" s="74"/>
      <c r="AC872" s="74"/>
      <c r="AD872" s="181" t="str">
        <f>HYPERLINK("https://www.crunchbase.com/funding_round/kolo-app-pre-seed--9dafcfca","Sep 23, 2021")</f>
        <v>Sep 23, 2021</v>
      </c>
      <c r="AE872" s="76">
        <v>550000.0</v>
      </c>
      <c r="AF872" s="175" t="str">
        <f>HYPERLINK("https://www.crunchbase.com/funding_round/kolo-app-seed--2baa82f6","May 10, 2022")</f>
        <v>May 10, 2022</v>
      </c>
      <c r="AG872" s="76">
        <v>4000000.0</v>
      </c>
      <c r="AH872" s="74"/>
      <c r="AI872" s="78"/>
      <c r="AJ872" s="79"/>
      <c r="AK872" s="84"/>
      <c r="AL872" s="79"/>
      <c r="AM872" s="84"/>
      <c r="AN872" s="79"/>
      <c r="AO872" s="84"/>
      <c r="AP872" s="79"/>
      <c r="AQ872" s="84"/>
      <c r="AR872" s="79"/>
      <c r="AS872" s="79"/>
      <c r="AT872" s="79"/>
      <c r="AU872" s="80"/>
      <c r="AV872" s="79"/>
      <c r="AW872" s="38"/>
      <c r="AX872" s="79"/>
      <c r="AY872" s="38"/>
      <c r="AZ872" s="79"/>
      <c r="BA872" s="80"/>
      <c r="BB872" s="79"/>
      <c r="BC872" s="80"/>
      <c r="BD872" s="79"/>
      <c r="BE872" s="38"/>
      <c r="BF872" s="74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  <c r="CO872" s="68"/>
      <c r="CP872" s="68"/>
    </row>
    <row r="873" ht="15.75" customHeight="1">
      <c r="A873" s="1162" t="s">
        <v>4271</v>
      </c>
      <c r="B873" s="16"/>
      <c r="C873" s="17" t="s">
        <v>123</v>
      </c>
      <c r="D873" s="337"/>
      <c r="E873" s="236" t="s">
        <v>4272</v>
      </c>
      <c r="F873" s="803" t="s">
        <v>4273</v>
      </c>
      <c r="G873" s="71"/>
      <c r="H873" s="71" t="s">
        <v>271</v>
      </c>
      <c r="I873" s="26" t="s">
        <v>272</v>
      </c>
      <c r="J873" s="72"/>
      <c r="K873" s="36"/>
      <c r="L873" s="23">
        <v>2014.0</v>
      </c>
      <c r="M873" s="25">
        <f t="shared" ref="M873:M876" si="652">year(now()) -L873</f>
        <v>11</v>
      </c>
      <c r="N873" s="26">
        <f t="shared" ref="N873:N876" si="653">counta(AE873,AG873,AI873,AK873,AM873,AO873,AQ873,AS873,AU873,AW873,AY873,BA873,BC873)</f>
        <v>1</v>
      </c>
      <c r="O873" s="27" t="str">
        <f t="shared" si="3"/>
        <v>#N/A</v>
      </c>
      <c r="P873" s="28"/>
      <c r="Q873" s="28"/>
      <c r="R873" s="28"/>
      <c r="S873" s="28"/>
      <c r="T873" s="29">
        <f t="shared" ref="T873:T876" si="654">V873/M873</f>
        <v>409090.9091</v>
      </c>
      <c r="U873" s="28"/>
      <c r="V873" s="30">
        <f t="shared" si="425"/>
        <v>4500000</v>
      </c>
      <c r="W873" s="30"/>
      <c r="X873" s="847"/>
      <c r="Y873" s="33">
        <f t="shared" ref="Y873:Y876" si="655">(max(AE873,AG873,AI873,AK873,AM873,AO873,AQ873,AS873,AU873,AW873,AY873,BA873,BC873)/min(AE873,AG873,AI873,AK873))^(1/M873)-1</f>
        <v>0</v>
      </c>
      <c r="Z873" s="692"/>
      <c r="AA873" s="665"/>
      <c r="AB873" s="36"/>
      <c r="AC873" s="36"/>
      <c r="AD873" s="44"/>
      <c r="AE873" s="46"/>
      <c r="AF873" s="39"/>
      <c r="AG873" s="46"/>
      <c r="AH873" s="36"/>
      <c r="AI873" s="159"/>
      <c r="AJ873" s="227">
        <v>43746.0</v>
      </c>
      <c r="AK873" s="38">
        <v>4500000.0</v>
      </c>
      <c r="AL873" s="44"/>
      <c r="AM873" s="46"/>
      <c r="AN873" s="44"/>
      <c r="AO873" s="46"/>
      <c r="AP873" s="44"/>
      <c r="AQ873" s="46"/>
      <c r="AR873" s="44"/>
      <c r="AS873" s="44"/>
      <c r="AT873" s="44"/>
      <c r="AU873" s="45"/>
      <c r="AV873" s="44"/>
      <c r="AW873" s="38"/>
      <c r="AX873" s="44"/>
      <c r="AY873" s="38"/>
      <c r="AZ873" s="44"/>
      <c r="BA873" s="45"/>
      <c r="BB873" s="44"/>
      <c r="BC873" s="45"/>
      <c r="BD873" s="44"/>
      <c r="BE873" s="38"/>
      <c r="BF873" s="36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  <c r="CO873" s="68"/>
      <c r="CP873" s="68"/>
    </row>
    <row r="874" ht="15.75" customHeight="1">
      <c r="A874" s="21" t="s">
        <v>4274</v>
      </c>
      <c r="B874" s="69"/>
      <c r="C874" s="69" t="s">
        <v>132</v>
      </c>
      <c r="D874" s="184"/>
      <c r="E874" s="200" t="s">
        <v>4275</v>
      </c>
      <c r="F874" s="154" t="s">
        <v>4276</v>
      </c>
      <c r="G874" s="140"/>
      <c r="H874" s="71" t="s">
        <v>3019</v>
      </c>
      <c r="I874" s="26" t="s">
        <v>1547</v>
      </c>
      <c r="J874" s="72"/>
      <c r="K874" s="26">
        <v>2.0</v>
      </c>
      <c r="L874" s="26">
        <v>2017.0</v>
      </c>
      <c r="M874" s="25">
        <f t="shared" si="652"/>
        <v>8</v>
      </c>
      <c r="N874" s="26">
        <f t="shared" si="653"/>
        <v>1</v>
      </c>
      <c r="O874" s="27" t="str">
        <f t="shared" si="3"/>
        <v>#N/A</v>
      </c>
      <c r="P874" s="28"/>
      <c r="Q874" s="28"/>
      <c r="R874" s="28"/>
      <c r="S874" s="28"/>
      <c r="T874" s="29">
        <f t="shared" si="654"/>
        <v>562500</v>
      </c>
      <c r="U874" s="28"/>
      <c r="V874" s="30">
        <f t="shared" si="425"/>
        <v>4500000</v>
      </c>
      <c r="W874" s="30"/>
      <c r="X874" s="73"/>
      <c r="Y874" s="33">
        <f t="shared" si="655"/>
        <v>0</v>
      </c>
      <c r="Z874" s="692"/>
      <c r="AA874" s="665"/>
      <c r="AB874" s="74"/>
      <c r="AC874" s="74"/>
      <c r="AD874" s="79"/>
      <c r="AE874" s="84"/>
      <c r="AF874" s="175" t="str">
        <f>HYPERLINK("https://www.crunchbase.com/funding_round/handdii-seed--11f011f0","Jun 16, 2021")</f>
        <v>Jun 16, 2021</v>
      </c>
      <c r="AG874" s="76">
        <v>4500000.0</v>
      </c>
      <c r="AH874" s="74"/>
      <c r="AI874" s="78"/>
      <c r="AJ874" s="79"/>
      <c r="AK874" s="84"/>
      <c r="AL874" s="79"/>
      <c r="AM874" s="84"/>
      <c r="AN874" s="79"/>
      <c r="AO874" s="84"/>
      <c r="AP874" s="79"/>
      <c r="AQ874" s="84"/>
      <c r="AR874" s="79"/>
      <c r="AS874" s="79"/>
      <c r="AT874" s="79"/>
      <c r="AU874" s="80"/>
      <c r="AV874" s="79"/>
      <c r="AW874" s="38"/>
      <c r="AX874" s="79"/>
      <c r="AY874" s="38"/>
      <c r="AZ874" s="79"/>
      <c r="BA874" s="80"/>
      <c r="BB874" s="79"/>
      <c r="BC874" s="80"/>
      <c r="BD874" s="79"/>
      <c r="BE874" s="38"/>
      <c r="BF874" s="74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  <c r="CO874" s="68"/>
      <c r="CP874" s="68"/>
    </row>
    <row r="875" ht="15.75" customHeight="1">
      <c r="A875" s="747" t="s">
        <v>4277</v>
      </c>
      <c r="B875" s="68"/>
      <c r="C875" s="69" t="s">
        <v>84</v>
      </c>
      <c r="D875" s="138" t="s">
        <v>4278</v>
      </c>
      <c r="E875" s="192" t="s">
        <v>4279</v>
      </c>
      <c r="F875" s="386" t="s">
        <v>4280</v>
      </c>
      <c r="G875" s="71"/>
      <c r="H875" s="71" t="s">
        <v>4281</v>
      </c>
      <c r="I875" s="26" t="s">
        <v>4282</v>
      </c>
      <c r="J875" s="72"/>
      <c r="K875" s="26">
        <v>2.0</v>
      </c>
      <c r="L875" s="26">
        <v>2016.0</v>
      </c>
      <c r="M875" s="25">
        <f t="shared" si="652"/>
        <v>9</v>
      </c>
      <c r="N875" s="26">
        <f t="shared" si="653"/>
        <v>1</v>
      </c>
      <c r="O875" s="27" t="str">
        <f t="shared" si="3"/>
        <v>#N/A</v>
      </c>
      <c r="P875" s="28"/>
      <c r="Q875" s="28"/>
      <c r="R875" s="28"/>
      <c r="S875" s="28"/>
      <c r="T875" s="29">
        <f t="shared" si="654"/>
        <v>500000</v>
      </c>
      <c r="U875" s="28"/>
      <c r="V875" s="30">
        <f t="shared" si="425"/>
        <v>4500000</v>
      </c>
      <c r="W875" s="30"/>
      <c r="X875" s="73"/>
      <c r="Y875" s="33">
        <f t="shared" si="655"/>
        <v>0</v>
      </c>
      <c r="Z875" s="692"/>
      <c r="AA875" s="665"/>
      <c r="AB875" s="74"/>
      <c r="AC875" s="74"/>
      <c r="AD875" s="79"/>
      <c r="AE875" s="84"/>
      <c r="AF875" s="338"/>
      <c r="AG875" s="76"/>
      <c r="AH875" s="77"/>
      <c r="AI875" s="78"/>
      <c r="AJ875" s="181" t="str">
        <f>HYPERLINK("https://www.crunchbase.com/funding_round/turnoverbnb-series-a--772baeb2","Aug 16, 2021")</f>
        <v>Aug 16, 2021</v>
      </c>
      <c r="AK875" s="76">
        <v>4500000.0</v>
      </c>
      <c r="AL875" s="79"/>
      <c r="AM875" s="76"/>
      <c r="AN875" s="79"/>
      <c r="AO875" s="84"/>
      <c r="AP875" s="79"/>
      <c r="AQ875" s="84"/>
      <c r="AR875" s="79"/>
      <c r="AS875" s="79"/>
      <c r="AT875" s="79"/>
      <c r="AU875" s="80"/>
      <c r="AV875" s="79"/>
      <c r="AW875" s="38"/>
      <c r="AX875" s="79"/>
      <c r="AY875" s="38"/>
      <c r="AZ875" s="79"/>
      <c r="BA875" s="80"/>
      <c r="BB875" s="79"/>
      <c r="BC875" s="80"/>
      <c r="BD875" s="79"/>
      <c r="BE875" s="38"/>
      <c r="BF875" s="74"/>
      <c r="BG875" s="115"/>
      <c r="BH875" s="115"/>
      <c r="BI875" s="115"/>
      <c r="BJ875" s="115"/>
      <c r="BK875" s="115"/>
      <c r="BL875" s="115"/>
      <c r="BM875" s="115"/>
      <c r="BN875" s="115"/>
      <c r="BO875" s="115"/>
      <c r="BP875" s="115"/>
      <c r="BQ875" s="115"/>
      <c r="BR875" s="115"/>
      <c r="BS875" s="115"/>
      <c r="BT875" s="115"/>
      <c r="BU875" s="115"/>
      <c r="BV875" s="115"/>
      <c r="BW875" s="115"/>
      <c r="BX875" s="115"/>
      <c r="BY875" s="115"/>
      <c r="BZ875" s="115"/>
      <c r="CA875" s="115"/>
      <c r="CB875" s="115"/>
      <c r="CC875" s="115"/>
      <c r="CD875" s="115"/>
      <c r="CE875" s="115"/>
      <c r="CF875" s="115"/>
      <c r="CG875" s="115"/>
      <c r="CH875" s="115"/>
      <c r="CI875" s="115"/>
      <c r="CJ875" s="115"/>
      <c r="CK875" s="115"/>
      <c r="CL875" s="115"/>
      <c r="CM875" s="115"/>
      <c r="CN875" s="115"/>
      <c r="CO875" s="115"/>
      <c r="CP875" s="115"/>
    </row>
    <row r="876" ht="15.75" customHeight="1">
      <c r="A876" s="21" t="s">
        <v>4283</v>
      </c>
      <c r="B876" s="68"/>
      <c r="C876" s="69" t="s">
        <v>59</v>
      </c>
      <c r="D876" s="337"/>
      <c r="E876" s="138" t="s">
        <v>4284</v>
      </c>
      <c r="F876" s="231" t="s">
        <v>4285</v>
      </c>
      <c r="G876" s="71" t="s">
        <v>4286</v>
      </c>
      <c r="H876" s="71" t="s">
        <v>736</v>
      </c>
      <c r="I876" s="26" t="s">
        <v>358</v>
      </c>
      <c r="J876" s="72" t="s">
        <v>4287</v>
      </c>
      <c r="K876" s="26">
        <v>3.0</v>
      </c>
      <c r="L876" s="26">
        <v>2020.0</v>
      </c>
      <c r="M876" s="25">
        <f t="shared" si="652"/>
        <v>5</v>
      </c>
      <c r="N876" s="26">
        <f t="shared" si="653"/>
        <v>1</v>
      </c>
      <c r="O876" s="27" t="str">
        <f t="shared" si="3"/>
        <v>#N/A</v>
      </c>
      <c r="P876" s="28"/>
      <c r="Q876" s="28"/>
      <c r="R876" s="28"/>
      <c r="S876" s="28"/>
      <c r="T876" s="29">
        <f t="shared" si="654"/>
        <v>900000</v>
      </c>
      <c r="U876" s="28"/>
      <c r="V876" s="30">
        <f t="shared" si="425"/>
        <v>4500000</v>
      </c>
      <c r="W876" s="30"/>
      <c r="X876" s="73"/>
      <c r="Y876" s="33">
        <f t="shared" si="655"/>
        <v>0</v>
      </c>
      <c r="Z876" s="692"/>
      <c r="AA876" s="665"/>
      <c r="AB876" s="74"/>
      <c r="AC876" s="74"/>
      <c r="AD876" s="81"/>
      <c r="AE876" s="84"/>
      <c r="AF876" s="175" t="str">
        <f>HYPERLINK("https://www.crunchbase.com/funding_round/woho-seed--603f6676","Oct 22, 2020")</f>
        <v>Oct 22, 2020</v>
      </c>
      <c r="AG876" s="76">
        <v>4500000.0</v>
      </c>
      <c r="AH876" s="74"/>
      <c r="AI876" s="78"/>
      <c r="AJ876" s="79"/>
      <c r="AK876" s="84"/>
      <c r="AL876" s="79"/>
      <c r="AM876" s="84"/>
      <c r="AN876" s="79"/>
      <c r="AO876" s="84"/>
      <c r="AP876" s="79"/>
      <c r="AQ876" s="84"/>
      <c r="AR876" s="79"/>
      <c r="AS876" s="79"/>
      <c r="AT876" s="79"/>
      <c r="AU876" s="80"/>
      <c r="AV876" s="79"/>
      <c r="AW876" s="38"/>
      <c r="AX876" s="79"/>
      <c r="AY876" s="38"/>
      <c r="AZ876" s="79"/>
      <c r="BA876" s="80"/>
      <c r="BB876" s="79"/>
      <c r="BC876" s="80"/>
      <c r="BD876" s="79"/>
      <c r="BE876" s="38"/>
      <c r="BF876" s="74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</row>
    <row r="877" ht="15.75" customHeight="1">
      <c r="A877" s="21" t="s">
        <v>4288</v>
      </c>
      <c r="B877" s="69"/>
      <c r="C877" s="69" t="s">
        <v>68</v>
      </c>
      <c r="D877" s="380"/>
      <c r="E877" s="200" t="s">
        <v>4289</v>
      </c>
      <c r="F877" s="154" t="s">
        <v>4290</v>
      </c>
      <c r="G877" s="23" t="s">
        <v>4291</v>
      </c>
      <c r="H877" s="71" t="s">
        <v>371</v>
      </c>
      <c r="I877" s="26" t="s">
        <v>372</v>
      </c>
      <c r="J877" s="72"/>
      <c r="K877" s="26">
        <v>2.0</v>
      </c>
      <c r="L877" s="142">
        <v>2019.0</v>
      </c>
      <c r="M877" s="25"/>
      <c r="N877" s="26"/>
      <c r="O877" s="27" t="str">
        <f t="shared" si="3"/>
        <v>#N/A</v>
      </c>
      <c r="P877" s="273"/>
      <c r="Q877" s="273"/>
      <c r="R877" s="273"/>
      <c r="S877" s="273"/>
      <c r="T877" s="273"/>
      <c r="U877" s="273"/>
      <c r="V877" s="30">
        <f t="shared" si="425"/>
        <v>4500000</v>
      </c>
      <c r="W877" s="30"/>
      <c r="X877" s="73"/>
      <c r="Y877" s="73"/>
      <c r="Z877" s="692"/>
      <c r="AA877" s="665"/>
      <c r="AB877" s="74"/>
      <c r="AC877" s="74"/>
      <c r="AD877" s="44"/>
      <c r="AE877" s="46"/>
      <c r="AF877" s="158" t="str">
        <f>HYPERLINK("https://www.crunchbase.com/funding_round/firmus-seed--c41e96b6","May 9, 2022")</f>
        <v>May 9, 2022</v>
      </c>
      <c r="AG877" s="38">
        <v>4500000.0</v>
      </c>
      <c r="AH877" s="36"/>
      <c r="AI877" s="159"/>
      <c r="AJ877" s="898"/>
      <c r="AK877" s="715"/>
      <c r="AL877" s="44"/>
      <c r="AM877" s="46"/>
      <c r="AN877" s="44"/>
      <c r="AO877" s="46"/>
      <c r="AP877" s="44"/>
      <c r="AQ877" s="46"/>
      <c r="AR877" s="44"/>
      <c r="AS877" s="44"/>
      <c r="AT877" s="44"/>
      <c r="AU877" s="45"/>
      <c r="AV877" s="44"/>
      <c r="AW877" s="38"/>
      <c r="AX877" s="44"/>
      <c r="AY877" s="38"/>
      <c r="AZ877" s="44"/>
      <c r="BA877" s="45"/>
      <c r="BB877" s="44"/>
      <c r="BC877" s="45"/>
      <c r="BD877" s="44"/>
      <c r="BE877" s="38"/>
      <c r="BF877" s="3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</row>
    <row r="878" ht="15.75" customHeight="1">
      <c r="A878" s="21" t="s">
        <v>4292</v>
      </c>
      <c r="B878" s="68"/>
      <c r="C878" s="69" t="s">
        <v>84</v>
      </c>
      <c r="D878" s="535" t="s">
        <v>4293</v>
      </c>
      <c r="E878" s="535" t="s">
        <v>4294</v>
      </c>
      <c r="F878" s="173" t="s">
        <v>4295</v>
      </c>
      <c r="G878" s="54"/>
      <c r="H878" s="71" t="s">
        <v>1616</v>
      </c>
      <c r="I878" s="26" t="s">
        <v>358</v>
      </c>
      <c r="J878" s="72"/>
      <c r="K878" s="26">
        <v>2.0</v>
      </c>
      <c r="L878" s="26">
        <v>2017.0</v>
      </c>
      <c r="M878" s="25"/>
      <c r="N878" s="26"/>
      <c r="O878" s="27" t="str">
        <f t="shared" si="3"/>
        <v>#N/A</v>
      </c>
      <c r="P878" s="28"/>
      <c r="Q878" s="28"/>
      <c r="R878" s="28"/>
      <c r="S878" s="28"/>
      <c r="T878" s="28"/>
      <c r="U878" s="28"/>
      <c r="V878" s="30">
        <f t="shared" si="425"/>
        <v>4500000</v>
      </c>
      <c r="W878" s="30"/>
      <c r="X878" s="73"/>
      <c r="Y878" s="73"/>
      <c r="Z878" s="692"/>
      <c r="AA878" s="665"/>
      <c r="AB878" s="74"/>
      <c r="AC878" s="74"/>
      <c r="AD878" s="79"/>
      <c r="AE878" s="84"/>
      <c r="AF878" s="726">
        <v>44819.0</v>
      </c>
      <c r="AG878" s="76">
        <v>4500000.0</v>
      </c>
      <c r="AH878" s="74"/>
      <c r="AI878" s="78"/>
      <c r="AJ878" s="79"/>
      <c r="AK878" s="84"/>
      <c r="AL878" s="79"/>
      <c r="AM878" s="84"/>
      <c r="AN878" s="79"/>
      <c r="AO878" s="84"/>
      <c r="AP878" s="79"/>
      <c r="AQ878" s="84"/>
      <c r="AR878" s="79"/>
      <c r="AS878" s="79"/>
      <c r="AT878" s="79"/>
      <c r="AU878" s="80"/>
      <c r="AV878" s="79"/>
      <c r="AW878" s="38"/>
      <c r="AX878" s="79"/>
      <c r="AY878" s="38"/>
      <c r="AZ878" s="79"/>
      <c r="BA878" s="80"/>
      <c r="BB878" s="79"/>
      <c r="BC878" s="80"/>
      <c r="BD878" s="79"/>
      <c r="BE878" s="38"/>
      <c r="BF878" s="74"/>
      <c r="BG878" s="115"/>
      <c r="BH878" s="115"/>
      <c r="BI878" s="115"/>
      <c r="BJ878" s="115"/>
      <c r="BK878" s="115"/>
      <c r="BL878" s="115"/>
      <c r="BM878" s="115"/>
      <c r="BN878" s="115"/>
      <c r="BO878" s="115"/>
      <c r="BP878" s="115"/>
      <c r="BQ878" s="115"/>
      <c r="BR878" s="115"/>
      <c r="BS878" s="115"/>
      <c r="BT878" s="115"/>
      <c r="BU878" s="115"/>
      <c r="BV878" s="115"/>
      <c r="BW878" s="115"/>
      <c r="BX878" s="115"/>
      <c r="BY878" s="115"/>
      <c r="BZ878" s="115"/>
      <c r="CA878" s="115"/>
      <c r="CB878" s="115"/>
      <c r="CC878" s="115"/>
      <c r="CD878" s="115"/>
      <c r="CE878" s="115"/>
      <c r="CF878" s="115"/>
      <c r="CG878" s="115"/>
      <c r="CH878" s="115"/>
      <c r="CI878" s="115"/>
      <c r="CJ878" s="115"/>
      <c r="CK878" s="115"/>
      <c r="CL878" s="115"/>
      <c r="CM878" s="115"/>
      <c r="CN878" s="115"/>
      <c r="CO878" s="115"/>
      <c r="CP878" s="115"/>
    </row>
    <row r="879" ht="15.75" customHeight="1">
      <c r="A879" s="21" t="s">
        <v>4296</v>
      </c>
      <c r="B879" s="68"/>
      <c r="C879" s="69" t="s">
        <v>207</v>
      </c>
      <c r="D879" s="535" t="s">
        <v>4297</v>
      </c>
      <c r="E879" s="200" t="s">
        <v>4298</v>
      </c>
      <c r="F879" s="173" t="s">
        <v>4299</v>
      </c>
      <c r="G879" s="54" t="s">
        <v>4300</v>
      </c>
      <c r="H879" s="26" t="s">
        <v>128</v>
      </c>
      <c r="I879" s="72" t="s">
        <v>129</v>
      </c>
      <c r="J879" s="54">
        <v>10018.0</v>
      </c>
      <c r="K879" s="26"/>
      <c r="L879" s="26">
        <v>2019.0</v>
      </c>
      <c r="M879" s="25"/>
      <c r="N879" s="26"/>
      <c r="O879" s="27" t="str">
        <f t="shared" si="3"/>
        <v>#N/A</v>
      </c>
      <c r="P879" s="28"/>
      <c r="Q879" s="28"/>
      <c r="R879" s="28"/>
      <c r="S879" s="28"/>
      <c r="T879" s="28"/>
      <c r="U879" s="28"/>
      <c r="V879" s="30">
        <f t="shared" si="425"/>
        <v>4500000</v>
      </c>
      <c r="W879" s="30"/>
      <c r="X879" s="73"/>
      <c r="Y879" s="73"/>
      <c r="Z879" s="692"/>
      <c r="AA879" s="665"/>
      <c r="AB879" s="74"/>
      <c r="AC879" s="74"/>
      <c r="AD879" s="79"/>
      <c r="AE879" s="84"/>
      <c r="AF879" s="726">
        <v>44819.0</v>
      </c>
      <c r="AG879" s="76">
        <v>4500000.0</v>
      </c>
      <c r="AH879" s="77"/>
      <c r="AI879" s="78"/>
      <c r="AJ879" s="79"/>
      <c r="AK879" s="84"/>
      <c r="AL879" s="79"/>
      <c r="AM879" s="76"/>
      <c r="AN879" s="79"/>
      <c r="AO879" s="76"/>
      <c r="AP879" s="79"/>
      <c r="AQ879" s="76"/>
      <c r="AR879" s="79"/>
      <c r="AS879" s="79"/>
      <c r="AT879" s="79"/>
      <c r="AU879" s="80"/>
      <c r="AV879" s="79"/>
      <c r="AW879" s="38"/>
      <c r="AX879" s="79"/>
      <c r="AY879" s="38"/>
      <c r="AZ879" s="79"/>
      <c r="BA879" s="80"/>
      <c r="BB879" s="79"/>
      <c r="BC879" s="80"/>
      <c r="BD879" s="79"/>
      <c r="BE879" s="38"/>
      <c r="BF879" s="74"/>
      <c r="BG879" s="115"/>
      <c r="BH879" s="115"/>
      <c r="BI879" s="115"/>
      <c r="BJ879" s="115"/>
      <c r="BK879" s="115"/>
      <c r="BL879" s="115"/>
      <c r="BM879" s="115"/>
      <c r="BN879" s="115"/>
      <c r="BO879" s="115"/>
      <c r="BP879" s="115"/>
      <c r="BQ879" s="115"/>
      <c r="BR879" s="115"/>
      <c r="BS879" s="115"/>
      <c r="BT879" s="115"/>
      <c r="BU879" s="115"/>
      <c r="BV879" s="115"/>
      <c r="BW879" s="115"/>
      <c r="BX879" s="115"/>
      <c r="BY879" s="115"/>
      <c r="BZ879" s="115"/>
      <c r="CA879" s="115"/>
      <c r="CB879" s="115"/>
      <c r="CC879" s="115"/>
      <c r="CD879" s="115"/>
      <c r="CE879" s="115"/>
      <c r="CF879" s="115"/>
      <c r="CG879" s="115"/>
      <c r="CH879" s="115"/>
      <c r="CI879" s="115"/>
      <c r="CJ879" s="115"/>
      <c r="CK879" s="115"/>
      <c r="CL879" s="115"/>
      <c r="CM879" s="115"/>
      <c r="CN879" s="115"/>
      <c r="CO879" s="115"/>
      <c r="CP879" s="115"/>
    </row>
    <row r="880" ht="15.75" customHeight="1">
      <c r="A880" s="400" t="s">
        <v>4301</v>
      </c>
      <c r="B880" s="115"/>
      <c r="C880" s="116" t="s">
        <v>190</v>
      </c>
      <c r="D880" s="161" t="s">
        <v>4302</v>
      </c>
      <c r="E880" s="161" t="s">
        <v>4303</v>
      </c>
      <c r="F880" s="402" t="s">
        <v>4304</v>
      </c>
      <c r="G880" s="930"/>
      <c r="H880" s="119" t="s">
        <v>2169</v>
      </c>
      <c r="I880" s="25" t="s">
        <v>2171</v>
      </c>
      <c r="J880" s="287"/>
      <c r="K880" s="123"/>
      <c r="L880" s="25">
        <v>2021.0</v>
      </c>
      <c r="M880" s="123"/>
      <c r="N880" s="123"/>
      <c r="O880" s="27" t="str">
        <f t="shared" si="3"/>
        <v>#N/A</v>
      </c>
      <c r="P880" s="55"/>
      <c r="Q880" s="55"/>
      <c r="R880" s="55"/>
      <c r="S880" s="55"/>
      <c r="T880" s="55"/>
      <c r="U880" s="55"/>
      <c r="V880" s="30">
        <f t="shared" si="425"/>
        <v>4500000</v>
      </c>
      <c r="W880" s="30"/>
      <c r="X880" s="403"/>
      <c r="Y880" s="403"/>
      <c r="Z880" s="692"/>
      <c r="AA880" s="665"/>
      <c r="AB880" s="123"/>
      <c r="AC880" s="123"/>
      <c r="AD880" s="452"/>
      <c r="AE880" s="123"/>
      <c r="AF880" s="880">
        <v>44851.0</v>
      </c>
      <c r="AG880" s="170">
        <v>4500000.0</v>
      </c>
      <c r="AH880" s="123"/>
      <c r="AI880" s="123"/>
      <c r="AJ880" s="123"/>
      <c r="AK880" s="123"/>
      <c r="AL880" s="123"/>
      <c r="AM880" s="123"/>
      <c r="AN880" s="123"/>
      <c r="AO880" s="123"/>
      <c r="AP880" s="123"/>
      <c r="AQ880" s="123"/>
      <c r="AR880" s="123"/>
      <c r="AS880" s="123"/>
      <c r="AT880" s="123"/>
      <c r="AU880" s="137"/>
      <c r="AV880" s="123"/>
      <c r="AW880" s="38"/>
      <c r="AX880" s="123"/>
      <c r="AY880" s="38"/>
      <c r="AZ880" s="123"/>
      <c r="BA880" s="137"/>
      <c r="BB880" s="123"/>
      <c r="BC880" s="137"/>
      <c r="BD880" s="123"/>
      <c r="BE880" s="38"/>
      <c r="BF880" s="123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  <c r="CO880" s="68"/>
      <c r="CP880" s="68"/>
    </row>
    <row r="881" ht="15.75" customHeight="1">
      <c r="A881" s="21" t="s">
        <v>4305</v>
      </c>
      <c r="B881" s="68"/>
      <c r="C881" s="69" t="s">
        <v>132</v>
      </c>
      <c r="D881" s="138" t="s">
        <v>4306</v>
      </c>
      <c r="E881" s="138" t="s">
        <v>4307</v>
      </c>
      <c r="F881" s="386" t="s">
        <v>4308</v>
      </c>
      <c r="G881" s="54"/>
      <c r="H881" s="71" t="s">
        <v>601</v>
      </c>
      <c r="I881" s="26" t="s">
        <v>129</v>
      </c>
      <c r="J881" s="72"/>
      <c r="K881" s="26">
        <v>3.0</v>
      </c>
      <c r="L881" s="26">
        <v>2020.0</v>
      </c>
      <c r="M881" s="25">
        <f>year(now()) -L881</f>
        <v>5</v>
      </c>
      <c r="N881" s="26">
        <f>counta(AE881,AG881,AI881,AK881,AM881,AO881,AQ881,AS881,AU881,AW881,AY881,BA881,BC881)</f>
        <v>1</v>
      </c>
      <c r="O881" s="27" t="str">
        <f t="shared" si="3"/>
        <v>#N/A</v>
      </c>
      <c r="P881" s="28"/>
      <c r="Q881" s="28"/>
      <c r="R881" s="28"/>
      <c r="S881" s="28"/>
      <c r="T881" s="29">
        <f>V881/M881</f>
        <v>900000</v>
      </c>
      <c r="U881" s="28"/>
      <c r="V881" s="30">
        <f t="shared" si="425"/>
        <v>4500000</v>
      </c>
      <c r="W881" s="30"/>
      <c r="X881" s="73"/>
      <c r="Y881" s="33">
        <f>(max(AE881,AG881,AI881,AK881,AM881,AO881,AQ881,AS881,AU881,AW881,AY881,BA881,BC881)/min(AE881,AG881,AI881,AK881))^(1/M881)-1</f>
        <v>0</v>
      </c>
      <c r="Z881" s="692"/>
      <c r="AA881" s="665"/>
      <c r="AB881" s="74"/>
      <c r="AC881" s="74"/>
      <c r="AD881" s="79"/>
      <c r="AE881" s="84"/>
      <c r="AF881" s="726">
        <v>44931.0</v>
      </c>
      <c r="AG881" s="76">
        <v>4500000.0</v>
      </c>
      <c r="AH881" s="74"/>
      <c r="AI881" s="78"/>
      <c r="AJ881" s="79"/>
      <c r="AK881" s="76"/>
      <c r="AL881" s="79"/>
      <c r="AM881" s="76"/>
      <c r="AN881" s="79"/>
      <c r="AO881" s="84"/>
      <c r="AP881" s="79"/>
      <c r="AQ881" s="84"/>
      <c r="AR881" s="79"/>
      <c r="AS881" s="79"/>
      <c r="AT881" s="79"/>
      <c r="AU881" s="80"/>
      <c r="AV881" s="79"/>
      <c r="AW881" s="38"/>
      <c r="AX881" s="79"/>
      <c r="AY881" s="38"/>
      <c r="AZ881" s="79"/>
      <c r="BA881" s="80"/>
      <c r="BB881" s="79"/>
      <c r="BC881" s="80"/>
      <c r="BD881" s="79"/>
      <c r="BE881" s="38"/>
      <c r="BF881" s="74"/>
      <c r="BG881" s="115"/>
      <c r="BH881" s="115"/>
      <c r="BI881" s="115"/>
      <c r="BJ881" s="115"/>
      <c r="BK881" s="115"/>
      <c r="BL881" s="115"/>
      <c r="BM881" s="115"/>
      <c r="BN881" s="115"/>
      <c r="BO881" s="115"/>
      <c r="BP881" s="115"/>
      <c r="BQ881" s="115"/>
      <c r="BR881" s="115"/>
      <c r="BS881" s="115"/>
      <c r="BT881" s="115"/>
      <c r="BU881" s="115"/>
      <c r="BV881" s="115"/>
      <c r="BW881" s="115"/>
      <c r="BX881" s="115"/>
      <c r="BY881" s="115"/>
      <c r="BZ881" s="115"/>
      <c r="CA881" s="115"/>
      <c r="CB881" s="115"/>
      <c r="CC881" s="115"/>
      <c r="CD881" s="115"/>
      <c r="CE881" s="115"/>
      <c r="CF881" s="115"/>
      <c r="CG881" s="115"/>
      <c r="CH881" s="115"/>
      <c r="CI881" s="115"/>
      <c r="CJ881" s="115"/>
      <c r="CK881" s="115"/>
      <c r="CL881" s="115"/>
      <c r="CM881" s="115"/>
      <c r="CN881" s="115"/>
      <c r="CO881" s="115"/>
      <c r="CP881" s="115"/>
    </row>
    <row r="882" ht="15.75" customHeight="1">
      <c r="A882" s="231" t="s">
        <v>4309</v>
      </c>
      <c r="B882" s="69"/>
      <c r="C882" s="69" t="s">
        <v>190</v>
      </c>
      <c r="D882" s="1323"/>
      <c r="E882" s="796" t="s">
        <v>4310</v>
      </c>
      <c r="F882" s="425" t="s">
        <v>4311</v>
      </c>
      <c r="G882" s="71"/>
      <c r="H882" s="71" t="s">
        <v>1918</v>
      </c>
      <c r="I882" s="26" t="s">
        <v>1384</v>
      </c>
      <c r="J882" s="72"/>
      <c r="K882" s="26">
        <v>2.0</v>
      </c>
      <c r="L882" s="26">
        <v>2022.0</v>
      </c>
      <c r="M882" s="25"/>
      <c r="N882" s="26"/>
      <c r="O882" s="27" t="str">
        <f t="shared" si="3"/>
        <v>#N/A</v>
      </c>
      <c r="P882" s="28"/>
      <c r="Q882" s="28"/>
      <c r="R882" s="28"/>
      <c r="S882" s="28"/>
      <c r="T882" s="28"/>
      <c r="U882" s="28"/>
      <c r="V882" s="30">
        <f t="shared" si="425"/>
        <v>4400000</v>
      </c>
      <c r="W882" s="30"/>
      <c r="X882" s="73"/>
      <c r="Y882" s="73"/>
      <c r="Z882" s="692"/>
      <c r="AA882" s="665"/>
      <c r="AB882" s="74"/>
      <c r="AC882" s="74"/>
      <c r="AD882" s="44"/>
      <c r="AE882" s="46"/>
      <c r="AF882" s="726">
        <v>44848.0</v>
      </c>
      <c r="AG882" s="38">
        <v>4400000.0</v>
      </c>
      <c r="AH882" s="36"/>
      <c r="AI882" s="159"/>
      <c r="AJ882" s="44"/>
      <c r="AK882" s="38"/>
      <c r="AL882" s="37"/>
      <c r="AM882" s="715"/>
      <c r="AN882" s="44"/>
      <c r="AO882" s="46"/>
      <c r="AP882" s="44"/>
      <c r="AQ882" s="46"/>
      <c r="AR882" s="44"/>
      <c r="AS882" s="44"/>
      <c r="AT882" s="44"/>
      <c r="AU882" s="45"/>
      <c r="AV882" s="44"/>
      <c r="AW882" s="38"/>
      <c r="AX882" s="44"/>
      <c r="AY882" s="38"/>
      <c r="AZ882" s="44"/>
      <c r="BA882" s="45"/>
      <c r="BB882" s="44"/>
      <c r="BC882" s="45"/>
      <c r="BD882" s="44"/>
      <c r="BE882" s="38"/>
      <c r="BF882" s="36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68"/>
      <c r="CA882" s="68"/>
      <c r="CB882" s="68"/>
      <c r="CC882" s="68"/>
      <c r="CD882" s="68"/>
      <c r="CE882" s="68"/>
      <c r="CF882" s="68"/>
      <c r="CG882" s="68"/>
      <c r="CH882" s="68"/>
      <c r="CI882" s="68"/>
      <c r="CJ882" s="68"/>
      <c r="CK882" s="68"/>
      <c r="CL882" s="68"/>
      <c r="CM882" s="68"/>
      <c r="CN882" s="68"/>
      <c r="CO882" s="68"/>
      <c r="CP882" s="68"/>
    </row>
    <row r="883" ht="15.75" customHeight="1">
      <c r="A883" s="21" t="s">
        <v>4312</v>
      </c>
      <c r="B883" s="68"/>
      <c r="C883" s="69" t="s">
        <v>68</v>
      </c>
      <c r="D883" s="337"/>
      <c r="E883" s="138" t="s">
        <v>4313</v>
      </c>
      <c r="F883" s="177" t="s">
        <v>4314</v>
      </c>
      <c r="G883" s="71"/>
      <c r="H883" s="71" t="s">
        <v>64</v>
      </c>
      <c r="I883" s="26" t="s">
        <v>65</v>
      </c>
      <c r="J883" s="72"/>
      <c r="K883" s="26">
        <v>2.0</v>
      </c>
      <c r="L883" s="26">
        <v>2021.0</v>
      </c>
      <c r="M883" s="25"/>
      <c r="N883" s="26"/>
      <c r="O883" s="27" t="str">
        <f t="shared" si="3"/>
        <v>#N/A</v>
      </c>
      <c r="P883" s="273"/>
      <c r="Q883" s="273"/>
      <c r="R883" s="273"/>
      <c r="S883" s="273"/>
      <c r="T883" s="273"/>
      <c r="U883" s="273"/>
      <c r="V883" s="30">
        <f t="shared" si="425"/>
        <v>4400000</v>
      </c>
      <c r="W883" s="30"/>
      <c r="X883" s="73"/>
      <c r="Y883" s="73"/>
      <c r="Z883" s="692"/>
      <c r="AA883" s="665"/>
      <c r="AB883" s="74"/>
      <c r="AC883" s="74"/>
      <c r="AD883" s="79"/>
      <c r="AE883" s="84"/>
      <c r="AF883" s="1360" t="str">
        <f>HYPERLINK("https://www.crunchbase.com/funding_round/pulley-5b0d-seed--d5133310","Jun 2, 2022")</f>
        <v>Jun 2, 2022</v>
      </c>
      <c r="AG883" s="76">
        <v>4400000.0</v>
      </c>
      <c r="AH883" s="74"/>
      <c r="AI883" s="78"/>
      <c r="AJ883" s="279"/>
      <c r="AK883" s="76"/>
      <c r="AL883" s="79"/>
      <c r="AM883" s="84"/>
      <c r="AN883" s="79"/>
      <c r="AO883" s="84"/>
      <c r="AP883" s="79"/>
      <c r="AQ883" s="84"/>
      <c r="AR883" s="79"/>
      <c r="AS883" s="79"/>
      <c r="AT883" s="79"/>
      <c r="AU883" s="80"/>
      <c r="AV883" s="79"/>
      <c r="AW883" s="38"/>
      <c r="AX883" s="79"/>
      <c r="AY883" s="38"/>
      <c r="AZ883" s="79"/>
      <c r="BA883" s="80"/>
      <c r="BB883" s="79"/>
      <c r="BC883" s="80"/>
      <c r="BD883" s="79"/>
      <c r="BE883" s="38"/>
      <c r="BF883" s="74"/>
      <c r="BG883" s="115"/>
      <c r="BH883" s="115"/>
      <c r="BI883" s="115"/>
      <c r="BJ883" s="115"/>
      <c r="BK883" s="115"/>
      <c r="BL883" s="115"/>
      <c r="BM883" s="115"/>
      <c r="BN883" s="115"/>
      <c r="BO883" s="115"/>
      <c r="BP883" s="115"/>
      <c r="BQ883" s="115"/>
      <c r="BR883" s="115"/>
      <c r="BS883" s="115"/>
      <c r="BT883" s="115"/>
      <c r="BU883" s="115"/>
      <c r="BV883" s="115"/>
      <c r="BW883" s="115"/>
      <c r="BX883" s="115"/>
      <c r="BY883" s="115"/>
      <c r="BZ883" s="115"/>
      <c r="CA883" s="115"/>
      <c r="CB883" s="115"/>
      <c r="CC883" s="115"/>
      <c r="CD883" s="115"/>
      <c r="CE883" s="115"/>
      <c r="CF883" s="115"/>
      <c r="CG883" s="115"/>
      <c r="CH883" s="115"/>
      <c r="CI883" s="115"/>
      <c r="CJ883" s="115"/>
      <c r="CK883" s="115"/>
      <c r="CL883" s="115"/>
      <c r="CM883" s="115"/>
      <c r="CN883" s="115"/>
      <c r="CO883" s="115"/>
      <c r="CP883" s="115"/>
    </row>
    <row r="884" ht="15.75" customHeight="1">
      <c r="A884" s="21" t="s">
        <v>4315</v>
      </c>
      <c r="B884" s="68"/>
      <c r="C884" s="69" t="s">
        <v>76</v>
      </c>
      <c r="D884" s="184"/>
      <c r="E884" s="200" t="s">
        <v>4316</v>
      </c>
      <c r="F884" s="154" t="s">
        <v>4317</v>
      </c>
      <c r="G884" s="71"/>
      <c r="H884" s="71" t="s">
        <v>128</v>
      </c>
      <c r="I884" s="26" t="s">
        <v>129</v>
      </c>
      <c r="J884" s="72"/>
      <c r="K884" s="26">
        <v>3.0</v>
      </c>
      <c r="L884" s="26">
        <v>2020.0</v>
      </c>
      <c r="M884" s="25"/>
      <c r="N884" s="26"/>
      <c r="O884" s="27" t="str">
        <f t="shared" si="3"/>
        <v>#N/A</v>
      </c>
      <c r="P884" s="28"/>
      <c r="Q884" s="28"/>
      <c r="R884" s="28"/>
      <c r="S884" s="28"/>
      <c r="T884" s="28"/>
      <c r="U884" s="28"/>
      <c r="V884" s="30">
        <f t="shared" si="425"/>
        <v>4350000</v>
      </c>
      <c r="W884" s="30"/>
      <c r="X884" s="73"/>
      <c r="Y884" s="73"/>
      <c r="Z884" s="692"/>
      <c r="AA884" s="665"/>
      <c r="AB884" s="74"/>
      <c r="AC884" s="74"/>
      <c r="AD884" s="43" t="str">
        <f>HYPERLINK("https://www.crunchbase.com/funding_round/glimpse-1ee9-pre-seed--3c5d9078","Aug 24, 2020")</f>
        <v>Aug 24, 2020</v>
      </c>
      <c r="AE884" s="38">
        <v>150000.0</v>
      </c>
      <c r="AF884" s="873" t="str">
        <f>HYPERLINK("https://www.crunchbase.com/funding_round/glimpse-1ee9-seed--76e4e1bb","Mar 29, 2022")</f>
        <v>Mar 29, 2022</v>
      </c>
      <c r="AG884" s="38">
        <v>4200000.0</v>
      </c>
      <c r="AH884" s="36"/>
      <c r="AI884" s="159"/>
      <c r="AJ884" s="44"/>
      <c r="AK884" s="46"/>
      <c r="AL884" s="44"/>
      <c r="AM884" s="46"/>
      <c r="AN884" s="44"/>
      <c r="AO884" s="46"/>
      <c r="AP884" s="44"/>
      <c r="AQ884" s="46"/>
      <c r="AR884" s="44"/>
      <c r="AS884" s="44"/>
      <c r="AT884" s="44"/>
      <c r="AU884" s="45"/>
      <c r="AV884" s="44"/>
      <c r="AW884" s="38"/>
      <c r="AX884" s="44"/>
      <c r="AY884" s="38"/>
      <c r="AZ884" s="44"/>
      <c r="BA884" s="45"/>
      <c r="BB884" s="44"/>
      <c r="BC884" s="45"/>
      <c r="BD884" s="44"/>
      <c r="BE884" s="38"/>
      <c r="BF884" s="36"/>
      <c r="BG884" s="115"/>
      <c r="BH884" s="115"/>
      <c r="BI884" s="115"/>
      <c r="BJ884" s="115"/>
      <c r="BK884" s="115"/>
      <c r="BL884" s="115"/>
      <c r="BM884" s="115"/>
      <c r="BN884" s="115"/>
      <c r="BO884" s="115"/>
      <c r="BP884" s="115"/>
      <c r="BQ884" s="115"/>
      <c r="BR884" s="115"/>
      <c r="BS884" s="115"/>
      <c r="BT884" s="115"/>
      <c r="BU884" s="115"/>
      <c r="BV884" s="115"/>
      <c r="BW884" s="115"/>
      <c r="BX884" s="115"/>
      <c r="BY884" s="115"/>
      <c r="BZ884" s="115"/>
      <c r="CA884" s="115"/>
      <c r="CB884" s="115"/>
      <c r="CC884" s="115"/>
      <c r="CD884" s="115"/>
      <c r="CE884" s="115"/>
      <c r="CF884" s="115"/>
      <c r="CG884" s="115"/>
      <c r="CH884" s="115"/>
      <c r="CI884" s="115"/>
      <c r="CJ884" s="115"/>
      <c r="CK884" s="115"/>
      <c r="CL884" s="115"/>
      <c r="CM884" s="115"/>
      <c r="CN884" s="115"/>
      <c r="CO884" s="115"/>
      <c r="CP884" s="115"/>
    </row>
    <row r="885" ht="15.75" customHeight="1">
      <c r="A885" s="47" t="s">
        <v>4318</v>
      </c>
      <c r="B885" s="116"/>
      <c r="C885" s="116" t="s">
        <v>123</v>
      </c>
      <c r="D885" s="161" t="s">
        <v>4319</v>
      </c>
      <c r="E885" s="192" t="s">
        <v>4320</v>
      </c>
      <c r="F885" s="118" t="s">
        <v>4321</v>
      </c>
      <c r="G885" s="286"/>
      <c r="H885" s="119" t="s">
        <v>3400</v>
      </c>
      <c r="I885" s="25" t="s">
        <v>1642</v>
      </c>
      <c r="J885" s="287"/>
      <c r="K885" s="123"/>
      <c r="L885" s="25">
        <v>2016.0</v>
      </c>
      <c r="M885" s="25">
        <f>year(now()) -L885</f>
        <v>9</v>
      </c>
      <c r="N885" s="26">
        <f>counta(AE885,AG885,AI885,AK885,AM885,AO885,AQ885,AS885,AU885,AW885,AY885,BA885,BC885)</f>
        <v>2</v>
      </c>
      <c r="O885" s="27" t="str">
        <f t="shared" si="3"/>
        <v>#N/A</v>
      </c>
      <c r="P885" s="28"/>
      <c r="Q885" s="28"/>
      <c r="R885" s="28"/>
      <c r="S885" s="28"/>
      <c r="T885" s="29">
        <f>V885/M885</f>
        <v>1400000</v>
      </c>
      <c r="U885" s="28"/>
      <c r="V885" s="30">
        <f t="shared" si="425"/>
        <v>12600000</v>
      </c>
      <c r="W885" s="30"/>
      <c r="X885" s="403"/>
      <c r="Y885" s="33">
        <f>(max(AE885,AG885,AI885,AK885,AM885,AO885,AQ885,AS885,AU885,AW885,AY885,BA885,BC885)/min(AE885,AG885,AI885,AK885))^(1/M885)-1</f>
        <v>0.07580709485</v>
      </c>
      <c r="Z885" s="692"/>
      <c r="AA885" s="665"/>
      <c r="AB885" s="123"/>
      <c r="AC885" s="123"/>
      <c r="AD885" s="124"/>
      <c r="AE885" s="125"/>
      <c r="AF885" s="126" t="str">
        <f>HYPERLINK("https://www.crunchbase.com/funding_round/investnext-seed--d3c102b5","Oct 7, 2021")</f>
        <v>Oct 7, 2021</v>
      </c>
      <c r="AG885" s="127">
        <v>4300000.0</v>
      </c>
      <c r="AH885" s="123"/>
      <c r="AI885" s="128"/>
      <c r="AJ885" s="171">
        <v>45016.0</v>
      </c>
      <c r="AK885" s="165">
        <v>8300000.0</v>
      </c>
      <c r="AL885" s="169"/>
      <c r="AM885" s="127"/>
      <c r="AN885" s="124"/>
      <c r="AO885" s="125"/>
      <c r="AP885" s="124"/>
      <c r="AQ885" s="125"/>
      <c r="AR885" s="124"/>
      <c r="AS885" s="124"/>
      <c r="AT885" s="124"/>
      <c r="AU885" s="137"/>
      <c r="AV885" s="124"/>
      <c r="AW885" s="38"/>
      <c r="AX885" s="124"/>
      <c r="AY885" s="38"/>
      <c r="AZ885" s="124"/>
      <c r="BA885" s="137"/>
      <c r="BB885" s="124"/>
      <c r="BC885" s="137"/>
      <c r="BD885" s="124"/>
      <c r="BE885" s="38"/>
      <c r="BF885" s="123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68"/>
      <c r="CA885" s="68"/>
      <c r="CB885" s="68"/>
      <c r="CC885" s="68"/>
      <c r="CD885" s="68"/>
      <c r="CE885" s="68"/>
      <c r="CF885" s="68"/>
      <c r="CG885" s="68"/>
      <c r="CH885" s="68"/>
      <c r="CI885" s="68"/>
      <c r="CJ885" s="68"/>
      <c r="CK885" s="68"/>
      <c r="CL885" s="68"/>
      <c r="CM885" s="68"/>
      <c r="CN885" s="68"/>
      <c r="CO885" s="68"/>
      <c r="CP885" s="68"/>
    </row>
    <row r="886" ht="15.75" customHeight="1">
      <c r="A886" s="47" t="s">
        <v>4322</v>
      </c>
      <c r="C886" s="48" t="s">
        <v>132</v>
      </c>
      <c r="D886" s="351"/>
      <c r="E886" s="49" t="s">
        <v>4323</v>
      </c>
      <c r="F886" s="352" t="s">
        <v>4324</v>
      </c>
      <c r="G886" s="353"/>
      <c r="H886" s="47" t="s">
        <v>4281</v>
      </c>
      <c r="I886" s="54" t="s">
        <v>4282</v>
      </c>
      <c r="J886" s="55"/>
      <c r="K886" s="54">
        <v>1.0</v>
      </c>
      <c r="L886" s="56">
        <v>2016.0</v>
      </c>
      <c r="M886" s="55"/>
      <c r="N886" s="55"/>
      <c r="O886" s="27" t="str">
        <f t="shared" si="3"/>
        <v>#N/A</v>
      </c>
      <c r="P886" s="55"/>
      <c r="Q886" s="55"/>
      <c r="R886" s="55"/>
      <c r="S886" s="55"/>
      <c r="T886" s="55"/>
      <c r="U886" s="55"/>
      <c r="V886" s="30">
        <f t="shared" si="425"/>
        <v>4300000</v>
      </c>
      <c r="W886" s="30"/>
      <c r="X886" s="58"/>
      <c r="Y886" s="58"/>
      <c r="Z886" s="692"/>
      <c r="AA886" s="665"/>
      <c r="AB886" s="55"/>
      <c r="AC886" s="55"/>
      <c r="AD886" s="355"/>
      <c r="AE886" s="38"/>
      <c r="AF886" s="62">
        <v>42278.0</v>
      </c>
      <c r="AG886" s="38"/>
      <c r="AH886" s="55"/>
      <c r="AI886" s="38"/>
      <c r="AJ886" s="62">
        <v>44991.0</v>
      </c>
      <c r="AK886" s="38">
        <v>4300000.0</v>
      </c>
      <c r="AL886" s="55"/>
      <c r="AM886" s="38"/>
      <c r="AN886" s="55"/>
      <c r="AO886" s="38"/>
      <c r="AP886" s="356"/>
      <c r="AQ886" s="38"/>
      <c r="AR886" s="55"/>
      <c r="AS886" s="38"/>
      <c r="AT886" s="55"/>
      <c r="AU886" s="38"/>
      <c r="AV886" s="55"/>
      <c r="AW886" s="38"/>
      <c r="AX886" s="55"/>
      <c r="AY886" s="38"/>
      <c r="AZ886" s="55"/>
      <c r="BA886" s="38"/>
      <c r="BB886" s="62">
        <v>44882.0</v>
      </c>
      <c r="BC886" s="38"/>
      <c r="BD886" s="55"/>
      <c r="BE886" s="38"/>
      <c r="BF886" s="55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  <c r="CO886" s="68"/>
      <c r="CP886" s="68"/>
    </row>
    <row r="887" ht="15.75" customHeight="1">
      <c r="A887" s="400" t="s">
        <v>4325</v>
      </c>
      <c r="B887" s="115"/>
      <c r="C887" s="116" t="s">
        <v>132</v>
      </c>
      <c r="D887" s="161" t="s">
        <v>4326</v>
      </c>
      <c r="E887" s="401" t="s">
        <v>4327</v>
      </c>
      <c r="F887" s="402" t="s">
        <v>4328</v>
      </c>
      <c r="G887" s="119" t="s">
        <v>4329</v>
      </c>
      <c r="H887" s="119" t="s">
        <v>526</v>
      </c>
      <c r="I887" s="25" t="s">
        <v>826</v>
      </c>
      <c r="J887" s="120" t="s">
        <v>2568</v>
      </c>
      <c r="K887" s="25">
        <v>2.0</v>
      </c>
      <c r="L887" s="25">
        <v>2019.0</v>
      </c>
      <c r="M887" s="123"/>
      <c r="N887" s="123"/>
      <c r="O887" s="27" t="str">
        <f t="shared" si="3"/>
        <v>#N/A</v>
      </c>
      <c r="P887" s="55"/>
      <c r="Q887" s="55"/>
      <c r="R887" s="55"/>
      <c r="S887" s="55"/>
      <c r="T887" s="55"/>
      <c r="U887" s="55"/>
      <c r="V887" s="30">
        <f t="shared" si="425"/>
        <v>4265000</v>
      </c>
      <c r="W887" s="31">
        <v>1000000.0</v>
      </c>
      <c r="X887" s="403"/>
      <c r="Y887" s="403"/>
      <c r="Z887" s="692"/>
      <c r="AA887" s="665"/>
      <c r="AB887" s="123"/>
      <c r="AC887" s="123"/>
      <c r="AD887" s="404">
        <v>44224.0</v>
      </c>
      <c r="AE887" s="127">
        <v>265000.0</v>
      </c>
      <c r="AF887" s="453"/>
      <c r="AG887" s="123"/>
      <c r="AH887" s="123"/>
      <c r="AI887" s="128"/>
      <c r="AJ887" s="123"/>
      <c r="AK887" s="123"/>
      <c r="AL887" s="123"/>
      <c r="AM887" s="123"/>
      <c r="AN887" s="123"/>
      <c r="AO887" s="123"/>
      <c r="AP887" s="881"/>
      <c r="AQ887" s="123"/>
      <c r="AR887" s="123"/>
      <c r="AS887" s="123"/>
      <c r="AT887" s="123"/>
      <c r="AU887" s="137"/>
      <c r="AV887" s="123"/>
      <c r="AW887" s="38"/>
      <c r="AX887" s="123"/>
      <c r="AY887" s="38"/>
      <c r="AZ887" s="404">
        <v>44859.0</v>
      </c>
      <c r="BA887" s="170">
        <v>4000000.0</v>
      </c>
      <c r="BB887" s="123"/>
      <c r="BC887" s="137"/>
      <c r="BD887" s="123"/>
      <c r="BE887" s="38"/>
      <c r="BF887" s="123"/>
      <c r="BG887" s="115"/>
      <c r="BH887" s="115"/>
      <c r="BI887" s="115"/>
      <c r="BJ887" s="115"/>
      <c r="BK887" s="115"/>
      <c r="BL887" s="115"/>
      <c r="BM887" s="115"/>
      <c r="BN887" s="115"/>
      <c r="BO887" s="115"/>
      <c r="BP887" s="115"/>
      <c r="BQ887" s="115"/>
      <c r="BR887" s="115"/>
      <c r="BS887" s="115"/>
      <c r="BT887" s="115"/>
      <c r="BU887" s="115"/>
      <c r="BV887" s="115"/>
      <c r="BW887" s="115"/>
      <c r="BX887" s="115"/>
      <c r="BY887" s="115"/>
      <c r="BZ887" s="115"/>
      <c r="CA887" s="115"/>
      <c r="CB887" s="115"/>
      <c r="CC887" s="115"/>
      <c r="CD887" s="115"/>
      <c r="CE887" s="115"/>
      <c r="CF887" s="115"/>
      <c r="CG887" s="115"/>
      <c r="CH887" s="115"/>
      <c r="CI887" s="115"/>
      <c r="CJ887" s="115"/>
      <c r="CK887" s="115"/>
      <c r="CL887" s="115"/>
      <c r="CM887" s="115"/>
      <c r="CN887" s="115"/>
      <c r="CO887" s="115"/>
      <c r="CP887" s="115"/>
    </row>
    <row r="888" ht="15.75" customHeight="1">
      <c r="A888" s="245" t="s">
        <v>4330</v>
      </c>
      <c r="B888" s="16"/>
      <c r="C888" s="17" t="s">
        <v>68</v>
      </c>
      <c r="D888" s="245"/>
      <c r="E888" s="236" t="s">
        <v>4331</v>
      </c>
      <c r="F888" s="803" t="s">
        <v>4332</v>
      </c>
      <c r="G888" s="22"/>
      <c r="H888" s="22" t="s">
        <v>128</v>
      </c>
      <c r="I888" s="23" t="s">
        <v>129</v>
      </c>
      <c r="J888" s="237"/>
      <c r="K888" s="23"/>
      <c r="L888" s="23">
        <v>2020.0</v>
      </c>
      <c r="M888" s="25">
        <f>year(now()) -L888</f>
        <v>5</v>
      </c>
      <c r="N888" s="26">
        <f>counta(AE888,AG888,AI888,AK888,AM888,AO888,AQ888,AS888,AU888,AW888,AY888,BA888,BC888)</f>
        <v>2</v>
      </c>
      <c r="O888" s="27" t="str">
        <f t="shared" si="3"/>
        <v>#N/A</v>
      </c>
      <c r="P888" s="28"/>
      <c r="Q888" s="28"/>
      <c r="R888" s="28"/>
      <c r="S888" s="28"/>
      <c r="T888" s="29">
        <f>V888/M888</f>
        <v>1350000</v>
      </c>
      <c r="U888" s="28"/>
      <c r="V888" s="30">
        <f t="shared" si="425"/>
        <v>6750000</v>
      </c>
      <c r="W888" s="30"/>
      <c r="X888" s="33"/>
      <c r="Y888" s="33">
        <f>(max(AE888,AG888,AI888,AK888,AM888,AO888,AQ888,AS888,AU888,AW888,AY888,BA888,BC888)/min(AE888,AG888,AI888,AK888))^(1/M888)-1</f>
        <v>0.5157165665</v>
      </c>
      <c r="Z888" s="692"/>
      <c r="AA888" s="665"/>
      <c r="AB888" s="36"/>
      <c r="AC888" s="36"/>
      <c r="AD888" s="43" t="str">
        <f>HYPERLINK("https://www.crunchbase.com/funding_round/billy-7023-pre-seed--72d010ab","Mar 1, 2021")</f>
        <v>Mar 1, 2021</v>
      </c>
      <c r="AE888" s="38">
        <v>750000.0</v>
      </c>
      <c r="AF888" s="726">
        <v>45030.0</v>
      </c>
      <c r="AG888" s="38">
        <v>6000000.0</v>
      </c>
      <c r="AH888" s="36"/>
      <c r="AI888" s="159"/>
      <c r="AJ888" s="44"/>
      <c r="AK888" s="46"/>
      <c r="AL888" s="44"/>
      <c r="AM888" s="46"/>
      <c r="AN888" s="44"/>
      <c r="AO888" s="46"/>
      <c r="AP888" s="44"/>
      <c r="AQ888" s="46"/>
      <c r="AR888" s="44"/>
      <c r="AS888" s="44"/>
      <c r="AT888" s="44"/>
      <c r="AU888" s="45"/>
      <c r="AV888" s="44"/>
      <c r="AW888" s="38"/>
      <c r="AX888" s="44"/>
      <c r="AY888" s="38"/>
      <c r="AZ888" s="44"/>
      <c r="BA888" s="45"/>
      <c r="BB888" s="44"/>
      <c r="BC888" s="45"/>
      <c r="BD888" s="44"/>
      <c r="BE888" s="38"/>
      <c r="BF888" s="36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68"/>
      <c r="CA888" s="68"/>
      <c r="CB888" s="68"/>
      <c r="CC888" s="68"/>
      <c r="CD888" s="68"/>
      <c r="CE888" s="68"/>
      <c r="CF888" s="68"/>
      <c r="CG888" s="68"/>
      <c r="CH888" s="68"/>
      <c r="CI888" s="68"/>
      <c r="CJ888" s="68"/>
      <c r="CK888" s="68"/>
      <c r="CL888" s="68"/>
      <c r="CM888" s="68"/>
      <c r="CN888" s="68"/>
      <c r="CO888" s="68"/>
      <c r="CP888" s="68"/>
    </row>
    <row r="889" ht="15.75" customHeight="1">
      <c r="A889" s="47" t="s">
        <v>4333</v>
      </c>
      <c r="B889" s="68"/>
      <c r="C889" s="69" t="s">
        <v>190</v>
      </c>
      <c r="D889" s="1410" t="s">
        <v>4334</v>
      </c>
      <c r="E889" s="424" t="s">
        <v>4335</v>
      </c>
      <c r="F889" s="50" t="s">
        <v>4336</v>
      </c>
      <c r="G889" s="71"/>
      <c r="H889" s="71" t="s">
        <v>839</v>
      </c>
      <c r="I889" s="26" t="s">
        <v>115</v>
      </c>
      <c r="J889" s="155"/>
      <c r="K889" s="26">
        <v>8.0</v>
      </c>
      <c r="L889" s="26">
        <v>2020.0</v>
      </c>
      <c r="M889" s="25"/>
      <c r="N889" s="26"/>
      <c r="O889" s="27" t="str">
        <f t="shared" si="3"/>
        <v>#N/A</v>
      </c>
      <c r="P889" s="28"/>
      <c r="Q889" s="28"/>
      <c r="R889" s="28"/>
      <c r="S889" s="28"/>
      <c r="T889" s="28"/>
      <c r="U889" s="28"/>
      <c r="V889" s="30">
        <f t="shared" si="425"/>
        <v>4215000</v>
      </c>
      <c r="W889" s="31">
        <v>1000000.0</v>
      </c>
      <c r="X889" s="73"/>
      <c r="Y889" s="73"/>
      <c r="Z889" s="692"/>
      <c r="AA889" s="665"/>
      <c r="AB889" s="76"/>
      <c r="AC889" s="74"/>
      <c r="AD889" s="726">
        <v>44201.0</v>
      </c>
      <c r="AE889" s="76">
        <v>415000.0</v>
      </c>
      <c r="AF889" s="623">
        <v>44882.0</v>
      </c>
      <c r="AG889" s="76">
        <v>3800000.0</v>
      </c>
      <c r="AH889" s="77"/>
      <c r="AI889" s="78"/>
      <c r="AJ889" s="1415"/>
      <c r="AK889" s="865"/>
      <c r="AL889" s="79"/>
      <c r="AM889" s="84"/>
      <c r="AN889" s="79"/>
      <c r="AO889" s="84"/>
      <c r="AP889" s="79"/>
      <c r="AQ889" s="84"/>
      <c r="AR889" s="79"/>
      <c r="AS889" s="79"/>
      <c r="AT889" s="79"/>
      <c r="AU889" s="80"/>
      <c r="AV889" s="79"/>
      <c r="AW889" s="38"/>
      <c r="AX889" s="79"/>
      <c r="AY889" s="38"/>
      <c r="AZ889" s="79"/>
      <c r="BA889" s="80"/>
      <c r="BB889" s="79"/>
      <c r="BC889" s="80"/>
      <c r="BD889" s="79"/>
      <c r="BE889" s="38"/>
      <c r="BF889" s="74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</row>
    <row r="890" ht="15.75" customHeight="1">
      <c r="A890" s="400" t="s">
        <v>4337</v>
      </c>
      <c r="B890" s="115"/>
      <c r="C890" s="116" t="s">
        <v>513</v>
      </c>
      <c r="D890" s="401" t="s">
        <v>4338</v>
      </c>
      <c r="E890" s="401" t="s">
        <v>4339</v>
      </c>
      <c r="F890" s="402" t="s">
        <v>4340</v>
      </c>
      <c r="G890" s="119" t="s">
        <v>4341</v>
      </c>
      <c r="H890" s="119" t="s">
        <v>4045</v>
      </c>
      <c r="I890" s="25" t="s">
        <v>4046</v>
      </c>
      <c r="J890" s="120" t="s">
        <v>4342</v>
      </c>
      <c r="K890" s="25">
        <v>4.0</v>
      </c>
      <c r="L890" s="25">
        <v>2014.0</v>
      </c>
      <c r="M890" s="123"/>
      <c r="N890" s="123"/>
      <c r="O890" s="27" t="str">
        <f t="shared" si="3"/>
        <v>#N/A</v>
      </c>
      <c r="P890" s="55"/>
      <c r="Q890" s="55"/>
      <c r="R890" s="55"/>
      <c r="S890" s="55"/>
      <c r="T890" s="55"/>
      <c r="U890" s="55"/>
      <c r="V890" s="30">
        <f t="shared" si="425"/>
        <v>4200000</v>
      </c>
      <c r="W890" s="31">
        <v>3500000.0</v>
      </c>
      <c r="X890" s="403"/>
      <c r="Y890" s="403"/>
      <c r="Z890" s="692"/>
      <c r="AA890" s="665"/>
      <c r="AB890" s="123"/>
      <c r="AC890" s="123"/>
      <c r="AD890" s="452"/>
      <c r="AE890" s="125"/>
      <c r="AF890" s="404">
        <v>41828.0</v>
      </c>
      <c r="AG890" s="127">
        <v>1200000.0</v>
      </c>
      <c r="AH890" s="123"/>
      <c r="AI890" s="128"/>
      <c r="AJ890" s="123"/>
      <c r="AK890" s="123"/>
      <c r="AL890" s="123"/>
      <c r="AM890" s="125"/>
      <c r="AN890" s="123"/>
      <c r="AO890" s="123"/>
      <c r="AP890" s="881"/>
      <c r="AQ890" s="123"/>
      <c r="AR890" s="123"/>
      <c r="AS890" s="123"/>
      <c r="AT890" s="123"/>
      <c r="AU890" s="137"/>
      <c r="AV890" s="123"/>
      <c r="AW890" s="38"/>
      <c r="AX890" s="123"/>
      <c r="AY890" s="38"/>
      <c r="AZ890" s="404">
        <v>42376.0</v>
      </c>
      <c r="BA890" s="170">
        <v>3000000.0</v>
      </c>
      <c r="BB890" s="123"/>
      <c r="BC890" s="137"/>
      <c r="BD890" s="123"/>
      <c r="BE890" s="38"/>
      <c r="BF890" s="123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</row>
    <row r="891" ht="15.75" customHeight="1">
      <c r="A891" s="47" t="s">
        <v>4343</v>
      </c>
      <c r="C891" s="48" t="s">
        <v>68</v>
      </c>
      <c r="D891" s="351"/>
      <c r="E891" s="617" t="s">
        <v>4344</v>
      </c>
      <c r="F891" s="749" t="s">
        <v>4345</v>
      </c>
      <c r="G891" s="353"/>
      <c r="H891" s="53" t="s">
        <v>4346</v>
      </c>
      <c r="I891" s="54" t="s">
        <v>395</v>
      </c>
      <c r="J891" s="55"/>
      <c r="K891" s="55"/>
      <c r="L891" s="56">
        <v>2022.0</v>
      </c>
      <c r="M891" s="55"/>
      <c r="N891" s="55"/>
      <c r="O891" s="27" t="str">
        <f t="shared" si="3"/>
        <v>#N/A</v>
      </c>
      <c r="P891" s="55"/>
      <c r="Q891" s="55"/>
      <c r="R891" s="55"/>
      <c r="S891" s="55"/>
      <c r="T891" s="55"/>
      <c r="U891" s="55"/>
      <c r="V891" s="30">
        <f t="shared" si="425"/>
        <v>4200000</v>
      </c>
      <c r="W891" s="30"/>
      <c r="X891" s="58"/>
      <c r="Y891" s="58"/>
      <c r="Z891" s="692"/>
      <c r="AA891" s="665"/>
      <c r="AB891" s="55"/>
      <c r="AC891" s="55"/>
      <c r="AD891" s="453"/>
      <c r="AE891" s="38"/>
      <c r="AF891" s="62">
        <v>44980.0</v>
      </c>
      <c r="AG891" s="38">
        <v>4200000.0</v>
      </c>
      <c r="AH891" s="55"/>
      <c r="AI891" s="38"/>
      <c r="AJ891" s="55"/>
      <c r="AK891" s="38"/>
      <c r="AL891" s="55"/>
      <c r="AM891" s="38"/>
      <c r="AN891" s="55"/>
      <c r="AO891" s="38"/>
      <c r="AP891" s="356"/>
      <c r="AQ891" s="38"/>
      <c r="AR891" s="55"/>
      <c r="AS891" s="38"/>
      <c r="AT891" s="55"/>
      <c r="AU891" s="38"/>
      <c r="AV891" s="55"/>
      <c r="AW891" s="38"/>
      <c r="AX891" s="55"/>
      <c r="AY891" s="38"/>
      <c r="AZ891" s="55"/>
      <c r="BA891" s="38"/>
      <c r="BB891" s="55"/>
      <c r="BC891" s="38"/>
      <c r="BD891" s="55"/>
      <c r="BE891" s="38"/>
      <c r="BF891" s="55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</row>
    <row r="892" ht="15.75" customHeight="1">
      <c r="A892" s="21" t="s">
        <v>4347</v>
      </c>
      <c r="B892" s="68"/>
      <c r="C892" s="69" t="s">
        <v>68</v>
      </c>
      <c r="D892" s="385"/>
      <c r="E892" s="138" t="s">
        <v>4348</v>
      </c>
      <c r="F892" s="173" t="s">
        <v>4349</v>
      </c>
      <c r="G892" s="71" t="s">
        <v>4350</v>
      </c>
      <c r="H892" s="71" t="s">
        <v>1918</v>
      </c>
      <c r="I892" s="26" t="s">
        <v>1384</v>
      </c>
      <c r="J892" s="72" t="s">
        <v>2641</v>
      </c>
      <c r="K892" s="26">
        <v>3.0</v>
      </c>
      <c r="L892" s="26">
        <v>2017.0</v>
      </c>
      <c r="M892" s="25"/>
      <c r="N892" s="26"/>
      <c r="O892" s="27" t="str">
        <f t="shared" si="3"/>
        <v>#N/A</v>
      </c>
      <c r="P892" s="273"/>
      <c r="Q892" s="273"/>
      <c r="R892" s="273"/>
      <c r="S892" s="273"/>
      <c r="T892" s="273"/>
      <c r="U892" s="273"/>
      <c r="V892" s="30">
        <f t="shared" si="425"/>
        <v>4125000</v>
      </c>
      <c r="W892" s="30"/>
      <c r="X892" s="73"/>
      <c r="Y892" s="73"/>
      <c r="Z892" s="692"/>
      <c r="AA892" s="665"/>
      <c r="AB892" s="74"/>
      <c r="AC892" s="74"/>
      <c r="AD892" s="391">
        <v>44439.0</v>
      </c>
      <c r="AE892" s="38">
        <v>125000.0</v>
      </c>
      <c r="AF892" s="885">
        <v>44767.0</v>
      </c>
      <c r="AG892" s="38">
        <v>4000000.0</v>
      </c>
      <c r="AH892" s="36"/>
      <c r="AI892" s="159"/>
      <c r="AJ892" s="44"/>
      <c r="AK892" s="46"/>
      <c r="AL892" s="44"/>
      <c r="AM892" s="46"/>
      <c r="AN892" s="37"/>
      <c r="AO892" s="38"/>
      <c r="AP892" s="37"/>
      <c r="AQ892" s="38"/>
      <c r="AR892" s="37"/>
      <c r="AS892" s="37"/>
      <c r="AT892" s="37"/>
      <c r="AU892" s="229"/>
      <c r="AV892" s="37"/>
      <c r="AW892" s="38"/>
      <c r="AX892" s="37"/>
      <c r="AY892" s="38"/>
      <c r="AZ892" s="37"/>
      <c r="BA892" s="229"/>
      <c r="BB892" s="37"/>
      <c r="BC892" s="229"/>
      <c r="BD892" s="37"/>
      <c r="BE892" s="38"/>
      <c r="BF892" s="36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68"/>
      <c r="CA892" s="68"/>
      <c r="CB892" s="68"/>
      <c r="CC892" s="68"/>
      <c r="CD892" s="68"/>
      <c r="CE892" s="68"/>
      <c r="CF892" s="68"/>
      <c r="CG892" s="68"/>
      <c r="CH892" s="68"/>
      <c r="CI892" s="68"/>
      <c r="CJ892" s="68"/>
      <c r="CK892" s="68"/>
      <c r="CL892" s="68"/>
      <c r="CM892" s="68"/>
      <c r="CN892" s="68"/>
      <c r="CO892" s="68"/>
      <c r="CP892" s="68"/>
    </row>
    <row r="893" ht="15.75" customHeight="1">
      <c r="A893" s="442" t="s">
        <v>4351</v>
      </c>
      <c r="B893" s="1333" t="s">
        <v>1306</v>
      </c>
      <c r="C893" s="16" t="s">
        <v>59</v>
      </c>
      <c r="D893" s="184" t="s">
        <v>4352</v>
      </c>
      <c r="E893" s="231" t="s">
        <v>4353</v>
      </c>
      <c r="F893" s="185" t="s">
        <v>4354</v>
      </c>
      <c r="G893" s="317"/>
      <c r="H893" s="317" t="s">
        <v>128</v>
      </c>
      <c r="I893" s="36" t="s">
        <v>129</v>
      </c>
      <c r="J893" s="237"/>
      <c r="K893" s="36">
        <v>1.0</v>
      </c>
      <c r="L893" s="23">
        <v>2006.0</v>
      </c>
      <c r="M893" s="25">
        <f t="shared" ref="M893:M895" si="656">year(now()) -L893</f>
        <v>19</v>
      </c>
      <c r="N893" s="26">
        <f t="shared" ref="N893:N895" si="657">counta(AE893,AG893,AI893,AK893,AM893,AO893,AQ893,AS893,AU893,AW893,AY893,BA893,BC893)</f>
        <v>1</v>
      </c>
      <c r="O893" s="27" t="str">
        <f t="shared" si="3"/>
        <v>#N/A</v>
      </c>
      <c r="P893" s="28"/>
      <c r="Q893" s="28"/>
      <c r="R893" s="28"/>
      <c r="S893" s="28"/>
      <c r="T893" s="29">
        <f t="shared" ref="T893:T895" si="658">V893/M893</f>
        <v>215789.4737</v>
      </c>
      <c r="U893" s="28"/>
      <c r="V893" s="30">
        <f t="shared" si="425"/>
        <v>4100000</v>
      </c>
      <c r="W893" s="30"/>
      <c r="X893" s="847"/>
      <c r="Y893" s="33">
        <f t="shared" ref="Y893:Y895" si="659">(max(AE893,AG893,AI893,AK893,AM893,AO893,AQ893,AS893,AU893,AW893,AY893,BA893,BC893)/min(AE893,AG893,AI893,AK893))^(1/M893)-1</f>
        <v>0</v>
      </c>
      <c r="Z893" s="692"/>
      <c r="AA893" s="665"/>
      <c r="AB893" s="36"/>
      <c r="AC893" s="36"/>
      <c r="AD893" s="44"/>
      <c r="AE893" s="46"/>
      <c r="AF893" s="39"/>
      <c r="AG893" s="46"/>
      <c r="AH893" s="46"/>
      <c r="AI893" s="159"/>
      <c r="AJ893" s="43" t="str">
        <f>HYPERLINK("https://www.crunchbase.com/organization/BuildingIntelligence","Apr 1, 2018")</f>
        <v>Apr 1, 2018</v>
      </c>
      <c r="AK893" s="46">
        <v>4100000.0</v>
      </c>
      <c r="AL893" s="44"/>
      <c r="AM893" s="46"/>
      <c r="AN893" s="44"/>
      <c r="AO893" s="46"/>
      <c r="AP893" s="44"/>
      <c r="AQ893" s="46"/>
      <c r="AR893" s="44"/>
      <c r="AS893" s="44"/>
      <c r="AT893" s="44"/>
      <c r="AU893" s="45"/>
      <c r="AV893" s="44"/>
      <c r="AW893" s="38"/>
      <c r="AX893" s="44"/>
      <c r="AY893" s="38"/>
      <c r="AZ893" s="44"/>
      <c r="BA893" s="45"/>
      <c r="BB893" s="44"/>
      <c r="BC893" s="45"/>
      <c r="BD893" s="44"/>
      <c r="BE893" s="38"/>
      <c r="BF893" s="46"/>
      <c r="BG893" s="456"/>
      <c r="BH893" s="456"/>
      <c r="BI893" s="456"/>
      <c r="BJ893" s="456"/>
      <c r="BK893" s="456"/>
      <c r="BL893" s="456"/>
      <c r="BM893" s="456"/>
      <c r="BN893" s="456"/>
      <c r="BO893" s="456"/>
      <c r="BP893" s="456"/>
      <c r="BQ893" s="456"/>
      <c r="BR893" s="456"/>
      <c r="BS893" s="456"/>
      <c r="BT893" s="456"/>
      <c r="BU893" s="456"/>
      <c r="BV893" s="456"/>
      <c r="BW893" s="456"/>
      <c r="BX893" s="456"/>
      <c r="BY893" s="456"/>
      <c r="BZ893" s="456"/>
      <c r="CA893" s="456"/>
      <c r="CB893" s="456"/>
      <c r="CC893" s="456"/>
      <c r="CD893" s="456"/>
      <c r="CE893" s="456"/>
      <c r="CF893" s="456"/>
      <c r="CG893" s="456"/>
      <c r="CH893" s="456"/>
      <c r="CI893" s="456"/>
      <c r="CJ893" s="456"/>
      <c r="CK893" s="456"/>
      <c r="CL893" s="456"/>
      <c r="CM893" s="456"/>
      <c r="CN893" s="456"/>
      <c r="CO893" s="456"/>
      <c r="CP893" s="456"/>
    </row>
    <row r="894" ht="15.75" customHeight="1">
      <c r="A894" s="21" t="s">
        <v>4355</v>
      </c>
      <c r="B894" s="69"/>
      <c r="C894" s="69" t="s">
        <v>132</v>
      </c>
      <c r="D894" s="385"/>
      <c r="E894" s="138" t="s">
        <v>4356</v>
      </c>
      <c r="F894" s="177" t="s">
        <v>4357</v>
      </c>
      <c r="G894" s="71"/>
      <c r="H894" s="71" t="s">
        <v>4358</v>
      </c>
      <c r="I894" s="26" t="s">
        <v>272</v>
      </c>
      <c r="J894" s="72"/>
      <c r="K894" s="26"/>
      <c r="L894" s="26">
        <v>2021.0</v>
      </c>
      <c r="M894" s="25">
        <f t="shared" si="656"/>
        <v>4</v>
      </c>
      <c r="N894" s="26">
        <f t="shared" si="657"/>
        <v>1</v>
      </c>
      <c r="O894" s="27" t="str">
        <f t="shared" si="3"/>
        <v>#N/A</v>
      </c>
      <c r="P894" s="28"/>
      <c r="Q894" s="28"/>
      <c r="R894" s="28"/>
      <c r="S894" s="28"/>
      <c r="T894" s="29">
        <f t="shared" si="658"/>
        <v>1025000</v>
      </c>
      <c r="U894" s="28"/>
      <c r="V894" s="30">
        <f t="shared" si="425"/>
        <v>4100000</v>
      </c>
      <c r="W894" s="30"/>
      <c r="X894" s="73"/>
      <c r="Y894" s="33">
        <f t="shared" si="659"/>
        <v>0</v>
      </c>
      <c r="Z894" s="692"/>
      <c r="AA894" s="665"/>
      <c r="AB894" s="74"/>
      <c r="AC894" s="74"/>
      <c r="AD894" s="37"/>
      <c r="AE894" s="38"/>
      <c r="AF894" s="918" t="str">
        <f>HYPERLINK("https://www.crunchbase.com/funding_round/doorsey-seed--1456ba2a","Nov 4, 2021")</f>
        <v>Nov 4, 2021</v>
      </c>
      <c r="AG894" s="1002">
        <v>4100000.0</v>
      </c>
      <c r="AH894" s="36"/>
      <c r="AI894" s="159"/>
      <c r="AJ894" s="44"/>
      <c r="AK894" s="38"/>
      <c r="AL894" s="44"/>
      <c r="AM894" s="46"/>
      <c r="AN894" s="44"/>
      <c r="AO894" s="46"/>
      <c r="AP894" s="44"/>
      <c r="AQ894" s="46"/>
      <c r="AR894" s="44"/>
      <c r="AS894" s="44"/>
      <c r="AT894" s="44"/>
      <c r="AU894" s="45"/>
      <c r="AV894" s="44"/>
      <c r="AW894" s="38"/>
      <c r="AX894" s="44"/>
      <c r="AY894" s="38"/>
      <c r="AZ894" s="44"/>
      <c r="BA894" s="45"/>
      <c r="BB894" s="44"/>
      <c r="BC894" s="45"/>
      <c r="BD894" s="44"/>
      <c r="BE894" s="38"/>
      <c r="BF894" s="3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</row>
    <row r="895" ht="15.75" customHeight="1">
      <c r="A895" s="400" t="s">
        <v>4359</v>
      </c>
      <c r="B895" s="116" t="s">
        <v>4360</v>
      </c>
      <c r="C895" s="116" t="s">
        <v>132</v>
      </c>
      <c r="D895" s="540" t="s">
        <v>4361</v>
      </c>
      <c r="E895" s="540" t="s">
        <v>4362</v>
      </c>
      <c r="F895" s="1416" t="s">
        <v>4363</v>
      </c>
      <c r="G895" s="54" t="s">
        <v>4364</v>
      </c>
      <c r="H895" s="119" t="s">
        <v>271</v>
      </c>
      <c r="I895" s="25" t="s">
        <v>272</v>
      </c>
      <c r="J895" s="1164" t="s">
        <v>4365</v>
      </c>
      <c r="K895" s="25">
        <v>2.0</v>
      </c>
      <c r="L895" s="25">
        <v>2019.0</v>
      </c>
      <c r="M895" s="25">
        <f t="shared" si="656"/>
        <v>6</v>
      </c>
      <c r="N895" s="26">
        <f t="shared" si="657"/>
        <v>1</v>
      </c>
      <c r="O895" s="27" t="str">
        <f t="shared" si="3"/>
        <v>#N/A</v>
      </c>
      <c r="P895" s="28"/>
      <c r="Q895" s="28"/>
      <c r="R895" s="28"/>
      <c r="S895" s="28"/>
      <c r="T895" s="29">
        <f t="shared" si="658"/>
        <v>683333.3333</v>
      </c>
      <c r="U895" s="28"/>
      <c r="V895" s="30">
        <f t="shared" si="425"/>
        <v>4100000</v>
      </c>
      <c r="W895" s="30"/>
      <c r="X895" s="597"/>
      <c r="Y895" s="33">
        <f t="shared" si="659"/>
        <v>0</v>
      </c>
      <c r="Z895" s="692"/>
      <c r="AA895" s="665"/>
      <c r="AB895" s="123"/>
      <c r="AC895" s="123"/>
      <c r="AD895" s="164"/>
      <c r="AE895" s="1386"/>
      <c r="AF895" s="126" t="str">
        <f>HYPERLINK("https://www.crunchbase.com/funding_round/remarkably-seed--3df13584","Aug 6, 2019")</f>
        <v>Aug 6, 2019</v>
      </c>
      <c r="AG895" s="1387">
        <v>4100000.0</v>
      </c>
      <c r="AH895" s="1388"/>
      <c r="AI895" s="1365"/>
      <c r="AJ895" s="124"/>
      <c r="AK895" s="125"/>
      <c r="AL895" s="124"/>
      <c r="AM895" s="125"/>
      <c r="AN895" s="124"/>
      <c r="AO895" s="125"/>
      <c r="AP895" s="124"/>
      <c r="AQ895" s="125"/>
      <c r="AR895" s="124"/>
      <c r="AS895" s="124"/>
      <c r="AT895" s="124"/>
      <c r="AU895" s="137"/>
      <c r="AV895" s="124"/>
      <c r="AW895" s="38"/>
      <c r="AX895" s="124"/>
      <c r="AY895" s="38"/>
      <c r="AZ895" s="124"/>
      <c r="BA895" s="137"/>
      <c r="BB895" s="124"/>
      <c r="BC895" s="137"/>
      <c r="BD895" s="124"/>
      <c r="BE895" s="38"/>
      <c r="BF895" s="123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  <c r="CO895" s="68"/>
      <c r="CP895" s="68"/>
    </row>
    <row r="896" ht="15.75" customHeight="1">
      <c r="A896" s="48" t="s">
        <v>4366</v>
      </c>
      <c r="B896" s="68"/>
      <c r="C896" s="69" t="s">
        <v>68</v>
      </c>
      <c r="D896" s="48"/>
      <c r="E896" s="388" t="s">
        <v>4367</v>
      </c>
      <c r="F896" s="389" t="s">
        <v>4368</v>
      </c>
      <c r="G896" s="71"/>
      <c r="H896" s="71" t="s">
        <v>128</v>
      </c>
      <c r="I896" s="26" t="s">
        <v>129</v>
      </c>
      <c r="J896" s="72"/>
      <c r="K896" s="26">
        <v>1.0</v>
      </c>
      <c r="L896" s="26">
        <v>2021.0</v>
      </c>
      <c r="M896" s="25"/>
      <c r="N896" s="26"/>
      <c r="O896" s="27" t="str">
        <f t="shared" si="3"/>
        <v>#N/A</v>
      </c>
      <c r="P896" s="28"/>
      <c r="Q896" s="28"/>
      <c r="R896" s="28"/>
      <c r="S896" s="28"/>
      <c r="T896" s="28"/>
      <c r="U896" s="28"/>
      <c r="V896" s="30">
        <f t="shared" si="425"/>
        <v>4100000</v>
      </c>
      <c r="W896" s="30"/>
      <c r="X896" s="73"/>
      <c r="Y896" s="73"/>
      <c r="Z896" s="692"/>
      <c r="AA896" s="665"/>
      <c r="AB896" s="74"/>
      <c r="AC896" s="74"/>
      <c r="AD896" s="279"/>
      <c r="AE896" s="76"/>
      <c r="AF896" s="320">
        <v>44734.0</v>
      </c>
      <c r="AG896" s="76">
        <f>4100000</f>
        <v>4100000</v>
      </c>
      <c r="AH896" s="77"/>
      <c r="AI896" s="78"/>
      <c r="AJ896" s="79"/>
      <c r="AK896" s="76"/>
      <c r="AL896" s="79"/>
      <c r="AM896" s="84"/>
      <c r="AN896" s="79"/>
      <c r="AO896" s="84"/>
      <c r="AP896" s="79"/>
      <c r="AQ896" s="84"/>
      <c r="AR896" s="79"/>
      <c r="AS896" s="79"/>
      <c r="AT896" s="79"/>
      <c r="AU896" s="80"/>
      <c r="AV896" s="79"/>
      <c r="AW896" s="38"/>
      <c r="AX896" s="79"/>
      <c r="AY896" s="38"/>
      <c r="AZ896" s="79"/>
      <c r="BA896" s="80"/>
      <c r="BB896" s="79"/>
      <c r="BC896" s="80"/>
      <c r="BD896" s="79"/>
      <c r="BE896" s="38"/>
      <c r="BF896" s="74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</row>
    <row r="897" ht="15.75" customHeight="1">
      <c r="A897" s="21" t="s">
        <v>4369</v>
      </c>
      <c r="B897" s="69"/>
      <c r="C897" s="69" t="s">
        <v>132</v>
      </c>
      <c r="D897" s="48"/>
      <c r="E897" s="231" t="s">
        <v>4370</v>
      </c>
      <c r="F897" s="138" t="s">
        <v>4371</v>
      </c>
      <c r="G897" s="71"/>
      <c r="H897" s="71" t="s">
        <v>1994</v>
      </c>
      <c r="I897" s="26" t="s">
        <v>4372</v>
      </c>
      <c r="J897" s="72"/>
      <c r="K897" s="74"/>
      <c r="L897" s="26">
        <v>2021.0</v>
      </c>
      <c r="M897" s="123"/>
      <c r="N897" s="74"/>
      <c r="O897" s="27" t="str">
        <f t="shared" si="3"/>
        <v>#N/A</v>
      </c>
      <c r="P897" s="273"/>
      <c r="Q897" s="273"/>
      <c r="R897" s="273"/>
      <c r="S897" s="273"/>
      <c r="T897" s="273"/>
      <c r="U897" s="273"/>
      <c r="V897" s="30">
        <f t="shared" si="425"/>
        <v>4100000</v>
      </c>
      <c r="W897" s="30"/>
      <c r="X897" s="32"/>
      <c r="Y897" s="32"/>
      <c r="Z897" s="692"/>
      <c r="AA897" s="665"/>
      <c r="AB897" s="74"/>
      <c r="AC897" s="74"/>
      <c r="AD897" s="79"/>
      <c r="AE897" s="84"/>
      <c r="AF897" s="175" t="str">
        <f>HYPERLINK("https://www.crunchbase.com/funding_round/zenbase-2ee1-seed--df7369ca","May 31, 2022")</f>
        <v>May 31, 2022</v>
      </c>
      <c r="AG897" s="76">
        <v>4100000.0</v>
      </c>
      <c r="AH897" s="74"/>
      <c r="AI897" s="78"/>
      <c r="AJ897" s="79"/>
      <c r="AK897" s="84"/>
      <c r="AL897" s="79"/>
      <c r="AM897" s="84"/>
      <c r="AN897" s="79"/>
      <c r="AO897" s="84"/>
      <c r="AP897" s="79"/>
      <c r="AQ897" s="84"/>
      <c r="AR897" s="79"/>
      <c r="AS897" s="79"/>
      <c r="AT897" s="79"/>
      <c r="AU897" s="80"/>
      <c r="AV897" s="79"/>
      <c r="AW897" s="38"/>
      <c r="AX897" s="79"/>
      <c r="AY897" s="38"/>
      <c r="AZ897" s="79"/>
      <c r="BA897" s="80"/>
      <c r="BB897" s="79"/>
      <c r="BC897" s="80"/>
      <c r="BD897" s="79"/>
      <c r="BE897" s="38"/>
      <c r="BF897" s="74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</row>
    <row r="898" ht="15.75" customHeight="1">
      <c r="A898" s="400" t="s">
        <v>4373</v>
      </c>
      <c r="B898" s="116" t="s">
        <v>944</v>
      </c>
      <c r="C898" s="116" t="s">
        <v>207</v>
      </c>
      <c r="D898" s="161" t="s">
        <v>4374</v>
      </c>
      <c r="E898" s="161" t="s">
        <v>4375</v>
      </c>
      <c r="F898" s="957" t="s">
        <v>4376</v>
      </c>
      <c r="G898" s="286"/>
      <c r="H898" s="119" t="s">
        <v>3247</v>
      </c>
      <c r="I898" s="25" t="s">
        <v>792</v>
      </c>
      <c r="J898" s="287"/>
      <c r="K898" s="25">
        <v>2.0</v>
      </c>
      <c r="L898" s="25">
        <v>2013.0</v>
      </c>
      <c r="M898" s="25">
        <f t="shared" ref="M898:M906" si="660">year(now()) -L898</f>
        <v>12</v>
      </c>
      <c r="N898" s="26">
        <f t="shared" ref="N898:N906" si="661">counta(AE898,AG898,AI898,AK898,AM898,AO898,AQ898,AS898,AU898,AW898,AY898,BA898,BC898)</f>
        <v>2</v>
      </c>
      <c r="O898" s="27" t="str">
        <f t="shared" si="3"/>
        <v>#N/A</v>
      </c>
      <c r="P898" s="28"/>
      <c r="Q898" s="28"/>
      <c r="R898" s="28"/>
      <c r="S898" s="28"/>
      <c r="T898" s="29">
        <f t="shared" ref="T898:T906" si="662">V898/M898</f>
        <v>340212</v>
      </c>
      <c r="U898" s="28"/>
      <c r="V898" s="30">
        <f t="shared" si="425"/>
        <v>4082544</v>
      </c>
      <c r="W898" s="30"/>
      <c r="X898" s="597"/>
      <c r="Y898" s="33" t="str">
        <f>(max(AE898,AG898,AI898,AK898,AM898,AO898,AQ898,AS898,AU898,AW898,AY898,BA898,BC898)/min(AE898,AG898,AI898,AK898))^(1/M898)-1</f>
        <v>#DIV/0!</v>
      </c>
      <c r="Z898" s="692"/>
      <c r="AA898" s="665"/>
      <c r="AB898" s="123"/>
      <c r="AC898" s="123"/>
      <c r="AD898" s="124"/>
      <c r="AE898" s="125"/>
      <c r="AF898" s="126" t="str">
        <f>HYPERLINK("https://www.crunchbase.com/funding_round/locatee-seed--a9a8fc6b","Nov 11, 2015")</f>
        <v>Nov 11, 2015</v>
      </c>
      <c r="AG898" s="127">
        <v>0.0</v>
      </c>
      <c r="AH898" s="123"/>
      <c r="AI898" s="128"/>
      <c r="AJ898" s="455" t="str">
        <f>HYPERLINK("https://www.crunchbase.com/funding_round/locatee-series-a--98546788","May 7, 2020")</f>
        <v>May 7, 2020</v>
      </c>
      <c r="AK898" s="127">
        <v>4082544.0</v>
      </c>
      <c r="AL898" s="124"/>
      <c r="AM898" s="125"/>
      <c r="AN898" s="124"/>
      <c r="AO898" s="125"/>
      <c r="AP898" s="124"/>
      <c r="AQ898" s="125"/>
      <c r="AR898" s="124"/>
      <c r="AS898" s="124"/>
      <c r="AT898" s="124"/>
      <c r="AU898" s="137"/>
      <c r="AV898" s="124"/>
      <c r="AW898" s="38"/>
      <c r="AX898" s="124"/>
      <c r="AY898" s="38"/>
      <c r="AZ898" s="124"/>
      <c r="BA898" s="137"/>
      <c r="BB898" s="124"/>
      <c r="BC898" s="137"/>
      <c r="BD898" s="124"/>
      <c r="BE898" s="38"/>
      <c r="BF898" s="123"/>
      <c r="BG898" s="115"/>
      <c r="BH898" s="115"/>
      <c r="BI898" s="115"/>
      <c r="BJ898" s="115"/>
      <c r="BK898" s="115"/>
      <c r="BL898" s="115"/>
      <c r="BM898" s="115"/>
      <c r="BN898" s="115"/>
      <c r="BO898" s="115"/>
      <c r="BP898" s="115"/>
      <c r="BQ898" s="115"/>
      <c r="BR898" s="115"/>
      <c r="BS898" s="115"/>
      <c r="BT898" s="115"/>
      <c r="BU898" s="115"/>
      <c r="BV898" s="115"/>
      <c r="BW898" s="115"/>
      <c r="BX898" s="115"/>
      <c r="BY898" s="115"/>
      <c r="BZ898" s="115"/>
      <c r="CA898" s="115"/>
      <c r="CB898" s="115"/>
      <c r="CC898" s="115"/>
      <c r="CD898" s="115"/>
      <c r="CE898" s="115"/>
      <c r="CF898" s="115"/>
      <c r="CG898" s="115"/>
      <c r="CH898" s="115"/>
      <c r="CI898" s="115"/>
      <c r="CJ898" s="115"/>
      <c r="CK898" s="115"/>
      <c r="CL898" s="115"/>
      <c r="CM898" s="115"/>
      <c r="CN898" s="115"/>
      <c r="CO898" s="115"/>
      <c r="CP898" s="115"/>
    </row>
    <row r="899" ht="15.75" customHeight="1">
      <c r="A899" s="21" t="s">
        <v>4377</v>
      </c>
      <c r="B899" s="69"/>
      <c r="C899" s="69" t="s">
        <v>132</v>
      </c>
      <c r="D899" s="48"/>
      <c r="E899" s="200" t="s">
        <v>4378</v>
      </c>
      <c r="F899" s="154" t="s">
        <v>4379</v>
      </c>
      <c r="G899" s="140"/>
      <c r="H899" s="71" t="s">
        <v>4380</v>
      </c>
      <c r="I899" s="26" t="s">
        <v>65</v>
      </c>
      <c r="J899" s="72"/>
      <c r="K899" s="74"/>
      <c r="L899" s="26">
        <v>2017.0</v>
      </c>
      <c r="M899" s="25">
        <f t="shared" si="660"/>
        <v>8</v>
      </c>
      <c r="N899" s="26">
        <f t="shared" si="661"/>
        <v>1</v>
      </c>
      <c r="O899" s="27" t="str">
        <f t="shared" si="3"/>
        <v>#N/A</v>
      </c>
      <c r="P899" s="273"/>
      <c r="Q899" s="28"/>
      <c r="R899" s="28"/>
      <c r="S899" s="28"/>
      <c r="T899" s="29">
        <f t="shared" si="662"/>
        <v>500000</v>
      </c>
      <c r="U899" s="28"/>
      <c r="V899" s="30">
        <f t="shared" si="425"/>
        <v>4000000</v>
      </c>
      <c r="W899" s="30"/>
      <c r="X899" s="32">
        <f>(max(AE899,AG899,AI899,AK899,AM899,AO899,AQ899,AS899,AU899,AW899,AY899,BA899,BC899)-min(AE899,AG899,AI899,AK899))</f>
        <v>0</v>
      </c>
      <c r="Y899" s="32"/>
      <c r="Z899" s="692"/>
      <c r="AA899" s="665"/>
      <c r="AB899" s="74"/>
      <c r="AC899" s="74"/>
      <c r="AD899" s="44"/>
      <c r="AE899" s="46"/>
      <c r="AF899" s="158" t="str">
        <f>HYPERLINK("https://www.crunchbase.com/funding_round/fyxt-seed--9a3bd046","Oct 31, 2020")</f>
        <v>Oct 31, 2020</v>
      </c>
      <c r="AG899" s="38"/>
      <c r="AH899" s="36"/>
      <c r="AI899" s="159"/>
      <c r="AJ899" s="43" t="str">
        <f>HYPERLINK("https://www.crunchbase.com/funding_round/fyxt-series-a--44748bde","May 24, 2022")</f>
        <v>May 24, 2022</v>
      </c>
      <c r="AK899" s="38">
        <v>4000000.0</v>
      </c>
      <c r="AL899" s="44"/>
      <c r="AM899" s="46"/>
      <c r="AN899" s="44"/>
      <c r="AO899" s="46"/>
      <c r="AP899" s="44"/>
      <c r="AQ899" s="46"/>
      <c r="AR899" s="44"/>
      <c r="AS899" s="44"/>
      <c r="AT899" s="44"/>
      <c r="AU899" s="45"/>
      <c r="AV899" s="44"/>
      <c r="AW899" s="38"/>
      <c r="AX899" s="44"/>
      <c r="AY899" s="38"/>
      <c r="AZ899" s="44"/>
      <c r="BA899" s="45"/>
      <c r="BB899" s="44"/>
      <c r="BC899" s="45"/>
      <c r="BD899" s="44"/>
      <c r="BE899" s="38"/>
      <c r="BF899" s="36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  <c r="CO899" s="68"/>
      <c r="CP899" s="68"/>
    </row>
    <row r="900" ht="15.75" customHeight="1">
      <c r="A900" s="1162" t="s">
        <v>4381</v>
      </c>
      <c r="B900" s="16"/>
      <c r="C900" s="17" t="s">
        <v>123</v>
      </c>
      <c r="D900" s="18" t="s">
        <v>4382</v>
      </c>
      <c r="E900" s="18" t="s">
        <v>4383</v>
      </c>
      <c r="F900" s="20" t="s">
        <v>4384</v>
      </c>
      <c r="G900" s="317"/>
      <c r="H900" s="21" t="s">
        <v>1130</v>
      </c>
      <c r="I900" s="23" t="s">
        <v>2377</v>
      </c>
      <c r="J900" s="509"/>
      <c r="K900" s="36"/>
      <c r="L900" s="23">
        <v>2007.0</v>
      </c>
      <c r="M900" s="25">
        <f t="shared" si="660"/>
        <v>18</v>
      </c>
      <c r="N900" s="26">
        <f t="shared" si="661"/>
        <v>1</v>
      </c>
      <c r="O900" s="27" t="str">
        <f t="shared" si="3"/>
        <v>#N/A</v>
      </c>
      <c r="P900" s="28"/>
      <c r="Q900" s="28"/>
      <c r="R900" s="28"/>
      <c r="S900" s="28"/>
      <c r="T900" s="29">
        <f t="shared" si="662"/>
        <v>222222.2222</v>
      </c>
      <c r="U900" s="28"/>
      <c r="V900" s="30">
        <f t="shared" si="425"/>
        <v>4000000</v>
      </c>
      <c r="W900" s="30"/>
      <c r="X900" s="847"/>
      <c r="Y900" s="33">
        <f t="shared" ref="Y900:Y906" si="663">(max(AE900,AG900,AI900,AK900,AM900,AO900,AQ900,AS900,AU900,AW900,AY900,BA900,BC900)/min(AE900,AG900,AI900,AK900))^(1/M900)-1</f>
        <v>0</v>
      </c>
      <c r="Z900" s="692"/>
      <c r="AA900" s="665"/>
      <c r="AB900" s="36"/>
      <c r="AC900" s="36"/>
      <c r="AD900" s="37"/>
      <c r="AE900" s="38"/>
      <c r="AF900" s="39"/>
      <c r="AG900" s="38"/>
      <c r="AH900" s="40"/>
      <c r="AI900" s="41"/>
      <c r="AJ900" s="42">
        <v>40787.0</v>
      </c>
      <c r="AK900" s="38">
        <v>4000000.0</v>
      </c>
      <c r="AL900" s="44"/>
      <c r="AM900" s="46"/>
      <c r="AN900" s="44"/>
      <c r="AO900" s="46"/>
      <c r="AP900" s="44"/>
      <c r="AQ900" s="46"/>
      <c r="AR900" s="44"/>
      <c r="AS900" s="44"/>
      <c r="AT900" s="44"/>
      <c r="AU900" s="45"/>
      <c r="AV900" s="44"/>
      <c r="AW900" s="38"/>
      <c r="AX900" s="44"/>
      <c r="AY900" s="38"/>
      <c r="AZ900" s="44"/>
      <c r="BA900" s="45"/>
      <c r="BB900" s="44"/>
      <c r="BC900" s="45"/>
      <c r="BD900" s="44"/>
      <c r="BE900" s="38"/>
      <c r="BF900" s="3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</row>
    <row r="901" ht="15.75" customHeight="1">
      <c r="A901" s="21" t="s">
        <v>4385</v>
      </c>
      <c r="B901" s="16"/>
      <c r="C901" s="17" t="s">
        <v>123</v>
      </c>
      <c r="D901" s="138" t="s">
        <v>4386</v>
      </c>
      <c r="E901" s="138" t="s">
        <v>4387</v>
      </c>
      <c r="F901" s="18" t="s">
        <v>4388</v>
      </c>
      <c r="G901" s="810" t="s">
        <v>4389</v>
      </c>
      <c r="H901" s="21" t="s">
        <v>4390</v>
      </c>
      <c r="I901" s="23" t="s">
        <v>4391</v>
      </c>
      <c r="J901" s="527" t="s">
        <v>4392</v>
      </c>
      <c r="K901" s="74" t="s">
        <v>723</v>
      </c>
      <c r="L901" s="23">
        <v>1984.0</v>
      </c>
      <c r="M901" s="25">
        <f t="shared" si="660"/>
        <v>41</v>
      </c>
      <c r="N901" s="26">
        <f t="shared" si="661"/>
        <v>1</v>
      </c>
      <c r="O901" s="27" t="str">
        <f t="shared" si="3"/>
        <v>#N/A</v>
      </c>
      <c r="P901" s="28"/>
      <c r="Q901" s="28"/>
      <c r="R901" s="28"/>
      <c r="S901" s="28"/>
      <c r="T901" s="29">
        <f t="shared" si="662"/>
        <v>97560.97561</v>
      </c>
      <c r="U901" s="28"/>
      <c r="V901" s="30">
        <f t="shared" si="425"/>
        <v>4000000</v>
      </c>
      <c r="W901" s="30"/>
      <c r="X901" s="32"/>
      <c r="Y901" s="33">
        <f t="shared" si="663"/>
        <v>0</v>
      </c>
      <c r="Z901" s="692"/>
      <c r="AA901" s="665"/>
      <c r="AB901" s="36"/>
      <c r="AC901" s="36"/>
      <c r="AD901" s="44"/>
      <c r="AE901" s="46"/>
      <c r="AF901" s="320">
        <v>44000.0</v>
      </c>
      <c r="AG901" s="811">
        <v>4000000.0</v>
      </c>
      <c r="AH901" s="36"/>
      <c r="AI901" s="159"/>
      <c r="AJ901" s="44"/>
      <c r="AK901" s="46"/>
      <c r="AL901" s="44"/>
      <c r="AM901" s="46"/>
      <c r="AN901" s="44"/>
      <c r="AO901" s="46"/>
      <c r="AP901" s="44"/>
      <c r="AQ901" s="46"/>
      <c r="AR901" s="44"/>
      <c r="AS901" s="44"/>
      <c r="AT901" s="44"/>
      <c r="AU901" s="45"/>
      <c r="AV901" s="44"/>
      <c r="AW901" s="38"/>
      <c r="AX901" s="44"/>
      <c r="AY901" s="38"/>
      <c r="AZ901" s="44"/>
      <c r="BA901" s="45"/>
      <c r="BB901" s="44"/>
      <c r="BC901" s="45"/>
      <c r="BD901" s="44"/>
      <c r="BE901" s="38"/>
      <c r="BF901" s="36"/>
      <c r="BG901" s="115"/>
      <c r="BH901" s="115"/>
      <c r="BI901" s="115"/>
      <c r="BJ901" s="115"/>
      <c r="BK901" s="115"/>
      <c r="BL901" s="115"/>
      <c r="BM901" s="115"/>
      <c r="BN901" s="115"/>
      <c r="BO901" s="115"/>
      <c r="BP901" s="115"/>
      <c r="BQ901" s="115"/>
      <c r="BR901" s="115"/>
      <c r="BS901" s="115"/>
      <c r="BT901" s="115"/>
      <c r="BU901" s="115"/>
      <c r="BV901" s="115"/>
      <c r="BW901" s="115"/>
      <c r="BX901" s="115"/>
      <c r="BY901" s="115"/>
      <c r="BZ901" s="115"/>
      <c r="CA901" s="115"/>
      <c r="CB901" s="115"/>
      <c r="CC901" s="115"/>
      <c r="CD901" s="115"/>
      <c r="CE901" s="115"/>
      <c r="CF901" s="115"/>
      <c r="CG901" s="115"/>
      <c r="CH901" s="115"/>
      <c r="CI901" s="115"/>
      <c r="CJ901" s="115"/>
      <c r="CK901" s="115"/>
      <c r="CL901" s="115"/>
      <c r="CM901" s="115"/>
      <c r="CN901" s="115"/>
      <c r="CO901" s="115"/>
      <c r="CP901" s="115"/>
    </row>
    <row r="902" ht="15.75" customHeight="1">
      <c r="A902" s="442" t="s">
        <v>4393</v>
      </c>
      <c r="B902" s="16" t="s">
        <v>301</v>
      </c>
      <c r="C902" s="16" t="s">
        <v>59</v>
      </c>
      <c r="D902" s="184" t="s">
        <v>4394</v>
      </c>
      <c r="E902" s="337" t="s">
        <v>4395</v>
      </c>
      <c r="F902" s="184" t="s">
        <v>4396</v>
      </c>
      <c r="G902" s="317"/>
      <c r="H902" s="442" t="s">
        <v>128</v>
      </c>
      <c r="I902" s="36" t="s">
        <v>129</v>
      </c>
      <c r="J902" s="509"/>
      <c r="K902" s="36">
        <v>3.0</v>
      </c>
      <c r="L902" s="23">
        <v>2017.0</v>
      </c>
      <c r="M902" s="25">
        <f t="shared" si="660"/>
        <v>8</v>
      </c>
      <c r="N902" s="26">
        <f t="shared" si="661"/>
        <v>2</v>
      </c>
      <c r="O902" s="27" t="str">
        <f t="shared" si="3"/>
        <v>#N/A</v>
      </c>
      <c r="P902" s="28"/>
      <c r="Q902" s="28"/>
      <c r="R902" s="28"/>
      <c r="S902" s="28"/>
      <c r="T902" s="29">
        <f t="shared" si="662"/>
        <v>500000</v>
      </c>
      <c r="U902" s="28"/>
      <c r="V902" s="30">
        <f t="shared" si="425"/>
        <v>4000000</v>
      </c>
      <c r="W902" s="31">
        <v>2300000.0</v>
      </c>
      <c r="X902" s="847"/>
      <c r="Y902" s="33">
        <f t="shared" si="663"/>
        <v>0.2753731069</v>
      </c>
      <c r="Z902" s="692"/>
      <c r="AA902" s="665"/>
      <c r="AB902" s="36"/>
      <c r="AC902" s="36"/>
      <c r="AD902" s="44"/>
      <c r="AE902" s="46"/>
      <c r="AF902" s="158" t="str">
        <f>HYPERLINK("https://www.crunchbase.com/funding_round/blueprint-power-seed--f2bef05e","Dec 14, 2017")</f>
        <v>Dec 14, 2017</v>
      </c>
      <c r="AG902" s="46">
        <v>500000.0</v>
      </c>
      <c r="AH902" s="36"/>
      <c r="AI902" s="159"/>
      <c r="AJ902" s="43" t="str">
        <f>HYPERLINK("https://www.crunchbase.com/funding_round/blueprint-power-series-a--4eb972b9"," Jul 31, 2018")</f>
        <v> Jul 31, 2018</v>
      </c>
      <c r="AK902" s="46">
        <v>3500000.0</v>
      </c>
      <c r="AL902" s="44"/>
      <c r="AM902" s="46"/>
      <c r="AN902" s="44"/>
      <c r="AO902" s="46"/>
      <c r="AP902" s="44"/>
      <c r="AQ902" s="46"/>
      <c r="AR902" s="44"/>
      <c r="AS902" s="44"/>
      <c r="AT902" s="44"/>
      <c r="AU902" s="45"/>
      <c r="AV902" s="44"/>
      <c r="AW902" s="38"/>
      <c r="AX902" s="44"/>
      <c r="AY902" s="38"/>
      <c r="AZ902" s="44"/>
      <c r="BA902" s="45"/>
      <c r="BB902" s="44"/>
      <c r="BC902" s="45"/>
      <c r="BD902" s="44"/>
      <c r="BE902" s="38"/>
      <c r="BF902" s="36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</row>
    <row r="903" ht="15.75" customHeight="1">
      <c r="A903" s="442" t="s">
        <v>4397</v>
      </c>
      <c r="B903" s="16" t="s">
        <v>944</v>
      </c>
      <c r="C903" s="16" t="s">
        <v>384</v>
      </c>
      <c r="D903" s="492" t="s">
        <v>4398</v>
      </c>
      <c r="E903" s="337" t="s">
        <v>4399</v>
      </c>
      <c r="F903" s="337" t="s">
        <v>4400</v>
      </c>
      <c r="G903" s="317"/>
      <c r="H903" s="442" t="s">
        <v>128</v>
      </c>
      <c r="I903" s="36" t="s">
        <v>129</v>
      </c>
      <c r="J903" s="509"/>
      <c r="K903" s="36">
        <v>1.0</v>
      </c>
      <c r="L903" s="23">
        <v>2017.0</v>
      </c>
      <c r="M903" s="25">
        <f t="shared" si="660"/>
        <v>8</v>
      </c>
      <c r="N903" s="26">
        <f t="shared" si="661"/>
        <v>1</v>
      </c>
      <c r="O903" s="27" t="str">
        <f t="shared" si="3"/>
        <v>#N/A</v>
      </c>
      <c r="P903" s="28"/>
      <c r="Q903" s="28"/>
      <c r="R903" s="28"/>
      <c r="S903" s="28"/>
      <c r="T903" s="29">
        <f t="shared" si="662"/>
        <v>500000</v>
      </c>
      <c r="U903" s="28"/>
      <c r="V903" s="30">
        <f t="shared" si="425"/>
        <v>4000000</v>
      </c>
      <c r="W903" s="30"/>
      <c r="X903" s="847"/>
      <c r="Y903" s="33">
        <f t="shared" si="663"/>
        <v>0</v>
      </c>
      <c r="Z903" s="692"/>
      <c r="AA903" s="665"/>
      <c r="AB903" s="36"/>
      <c r="AC903" s="36"/>
      <c r="AD903" s="44"/>
      <c r="AE903" s="46"/>
      <c r="AF903" s="158" t="str">
        <f>HYPERLINK("https://www.crunchbase.com/organization/carson-living-inc#section-funding-rounds","Jan 2, 2019        
")</f>
        <v>Jan 2, 2019        
</v>
      </c>
      <c r="AG903" s="38">
        <v>4000000.0</v>
      </c>
      <c r="AH903" s="919"/>
      <c r="AI903" s="159"/>
      <c r="AJ903" s="44"/>
      <c r="AK903" s="46"/>
      <c r="AL903" s="44"/>
      <c r="AM903" s="46"/>
      <c r="AN903" s="44"/>
      <c r="AO903" s="46"/>
      <c r="AP903" s="44"/>
      <c r="AQ903" s="46"/>
      <c r="AR903" s="44"/>
      <c r="AS903" s="44"/>
      <c r="AT903" s="44"/>
      <c r="AU903" s="45"/>
      <c r="AV903" s="44"/>
      <c r="AW903" s="38"/>
      <c r="AX903" s="44"/>
      <c r="AY903" s="38"/>
      <c r="AZ903" s="44"/>
      <c r="BA903" s="45"/>
      <c r="BB903" s="44"/>
      <c r="BC903" s="45"/>
      <c r="BD903" s="44"/>
      <c r="BE903" s="38"/>
      <c r="BF903" s="36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  <c r="CO903" s="68"/>
      <c r="CP903" s="68"/>
    </row>
    <row r="904" ht="15.75" customHeight="1">
      <c r="A904" s="892" t="s">
        <v>4401</v>
      </c>
      <c r="B904" s="534"/>
      <c r="C904" s="849" t="s">
        <v>132</v>
      </c>
      <c r="D904" s="401" t="s">
        <v>4402</v>
      </c>
      <c r="E904" s="401" t="s">
        <v>4403</v>
      </c>
      <c r="F904" s="957" t="s">
        <v>4404</v>
      </c>
      <c r="G904" s="690"/>
      <c r="H904" s="850" t="s">
        <v>114</v>
      </c>
      <c r="I904" s="222" t="s">
        <v>115</v>
      </c>
      <c r="J904" s="953" t="s">
        <v>4405</v>
      </c>
      <c r="K904" s="222">
        <v>2.0</v>
      </c>
      <c r="L904" s="222">
        <v>2017.0</v>
      </c>
      <c r="M904" s="25">
        <f t="shared" si="660"/>
        <v>8</v>
      </c>
      <c r="N904" s="26">
        <f t="shared" si="661"/>
        <v>1</v>
      </c>
      <c r="O904" s="27" t="str">
        <f t="shared" si="3"/>
        <v>#N/A</v>
      </c>
      <c r="P904" s="28"/>
      <c r="Q904" s="28"/>
      <c r="R904" s="28"/>
      <c r="S904" s="28"/>
      <c r="T904" s="29">
        <f t="shared" si="662"/>
        <v>500000</v>
      </c>
      <c r="U904" s="28"/>
      <c r="V904" s="30">
        <f t="shared" si="425"/>
        <v>4000000</v>
      </c>
      <c r="W904" s="30"/>
      <c r="X904" s="852"/>
      <c r="Y904" s="33">
        <f t="shared" si="663"/>
        <v>0</v>
      </c>
      <c r="Z904" s="692"/>
      <c r="AA904" s="665"/>
      <c r="AB904" s="326"/>
      <c r="AC904" s="326"/>
      <c r="AD904" s="322"/>
      <c r="AE904" s="323"/>
      <c r="AF904" s="728">
        <v>44789.0</v>
      </c>
      <c r="AG904" s="325">
        <v>4000000.0</v>
      </c>
      <c r="AH904" s="1417"/>
      <c r="AI904" s="327"/>
      <c r="AJ904" s="322"/>
      <c r="AK904" s="325"/>
      <c r="AL904" s="322"/>
      <c r="AM904" s="323"/>
      <c r="AN904" s="322"/>
      <c r="AO904" s="323"/>
      <c r="AP904" s="322"/>
      <c r="AQ904" s="323"/>
      <c r="AR904" s="322"/>
      <c r="AS904" s="322"/>
      <c r="AT904" s="322"/>
      <c r="AU904" s="335"/>
      <c r="AV904" s="322"/>
      <c r="AW904" s="38"/>
      <c r="AX904" s="322"/>
      <c r="AY904" s="38"/>
      <c r="AZ904" s="322"/>
      <c r="BA904" s="335"/>
      <c r="BB904" s="322"/>
      <c r="BC904" s="335"/>
      <c r="BD904" s="322"/>
      <c r="BE904" s="38"/>
      <c r="BF904" s="326"/>
      <c r="BG904" s="115"/>
      <c r="BH904" s="115"/>
      <c r="BI904" s="115"/>
      <c r="BJ904" s="115"/>
      <c r="BK904" s="115"/>
      <c r="BL904" s="115"/>
      <c r="BM904" s="115"/>
      <c r="BN904" s="115"/>
      <c r="BO904" s="115"/>
      <c r="BP904" s="115"/>
      <c r="BQ904" s="115"/>
      <c r="BR904" s="115"/>
      <c r="BS904" s="115"/>
      <c r="BT904" s="115"/>
      <c r="BU904" s="115"/>
      <c r="BV904" s="115"/>
      <c r="BW904" s="115"/>
      <c r="BX904" s="115"/>
      <c r="BY904" s="115"/>
      <c r="BZ904" s="115"/>
      <c r="CA904" s="115"/>
      <c r="CB904" s="115"/>
      <c r="CC904" s="115"/>
      <c r="CD904" s="115"/>
      <c r="CE904" s="115"/>
      <c r="CF904" s="115"/>
      <c r="CG904" s="115"/>
      <c r="CH904" s="115"/>
      <c r="CI904" s="115"/>
      <c r="CJ904" s="115"/>
      <c r="CK904" s="115"/>
      <c r="CL904" s="115"/>
      <c r="CM904" s="115"/>
      <c r="CN904" s="115"/>
      <c r="CO904" s="115"/>
      <c r="CP904" s="115"/>
    </row>
    <row r="905" ht="15.75" customHeight="1">
      <c r="A905" s="21" t="s">
        <v>4406</v>
      </c>
      <c r="B905" s="116" t="s">
        <v>4407</v>
      </c>
      <c r="C905" s="69" t="s">
        <v>123</v>
      </c>
      <c r="D905" s="236" t="s">
        <v>4408</v>
      </c>
      <c r="E905" s="236" t="s">
        <v>4409</v>
      </c>
      <c r="F905" s="236" t="s">
        <v>4410</v>
      </c>
      <c r="G905" s="186"/>
      <c r="H905" s="71" t="s">
        <v>64</v>
      </c>
      <c r="I905" s="26" t="s">
        <v>65</v>
      </c>
      <c r="J905" s="155"/>
      <c r="K905" s="74"/>
      <c r="L905" s="26">
        <v>2016.0</v>
      </c>
      <c r="M905" s="25">
        <f t="shared" si="660"/>
        <v>9</v>
      </c>
      <c r="N905" s="26">
        <f t="shared" si="661"/>
        <v>1</v>
      </c>
      <c r="O905" s="27" t="str">
        <f t="shared" si="3"/>
        <v>#N/A</v>
      </c>
      <c r="P905" s="28"/>
      <c r="Q905" s="28"/>
      <c r="R905" s="28"/>
      <c r="S905" s="28"/>
      <c r="T905" s="29">
        <f t="shared" si="662"/>
        <v>444444.4444</v>
      </c>
      <c r="U905" s="28"/>
      <c r="V905" s="30">
        <f t="shared" si="425"/>
        <v>4000000</v>
      </c>
      <c r="W905" s="30"/>
      <c r="X905" s="32"/>
      <c r="Y905" s="33">
        <f t="shared" si="663"/>
        <v>0</v>
      </c>
      <c r="Z905" s="692"/>
      <c r="AA905" s="665"/>
      <c r="AB905" s="74"/>
      <c r="AC905" s="74"/>
      <c r="AD905" s="79"/>
      <c r="AE905" s="84"/>
      <c r="AF905" s="320">
        <v>43389.0</v>
      </c>
      <c r="AG905" s="76">
        <v>4000000.0</v>
      </c>
      <c r="AH905" s="74"/>
      <c r="AI905" s="78"/>
      <c r="AJ905" s="79"/>
      <c r="AK905" s="963"/>
      <c r="AL905" s="79"/>
      <c r="AM905" s="84"/>
      <c r="AN905" s="79"/>
      <c r="AO905" s="84"/>
      <c r="AP905" s="79"/>
      <c r="AQ905" s="84"/>
      <c r="AR905" s="79"/>
      <c r="AS905" s="79"/>
      <c r="AT905" s="79"/>
      <c r="AU905" s="80"/>
      <c r="AV905" s="79"/>
      <c r="AW905" s="38"/>
      <c r="AX905" s="79"/>
      <c r="AY905" s="38"/>
      <c r="AZ905" s="79"/>
      <c r="BA905" s="80"/>
      <c r="BB905" s="79"/>
      <c r="BC905" s="80"/>
      <c r="BD905" s="79"/>
      <c r="BE905" s="38"/>
      <c r="BF905" s="74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</row>
    <row r="906" ht="15.75" customHeight="1">
      <c r="A906" s="860" t="s">
        <v>4411</v>
      </c>
      <c r="B906" s="68"/>
      <c r="C906" s="69" t="s">
        <v>1007</v>
      </c>
      <c r="D906" s="192" t="s">
        <v>4412</v>
      </c>
      <c r="E906" s="192" t="s">
        <v>4413</v>
      </c>
      <c r="F906" s="118" t="s">
        <v>4414</v>
      </c>
      <c r="G906" s="186"/>
      <c r="H906" s="71" t="s">
        <v>129</v>
      </c>
      <c r="I906" s="26" t="s">
        <v>129</v>
      </c>
      <c r="J906" s="155"/>
      <c r="K906" s="74"/>
      <c r="L906" s="26">
        <v>2017.0</v>
      </c>
      <c r="M906" s="25">
        <f t="shared" si="660"/>
        <v>8</v>
      </c>
      <c r="N906" s="26">
        <f t="shared" si="661"/>
        <v>2</v>
      </c>
      <c r="O906" s="27" t="str">
        <f t="shared" si="3"/>
        <v>#N/A</v>
      </c>
      <c r="P906" s="28"/>
      <c r="Q906" s="28"/>
      <c r="R906" s="28"/>
      <c r="S906" s="28"/>
      <c r="T906" s="29">
        <f t="shared" si="662"/>
        <v>500000</v>
      </c>
      <c r="U906" s="28"/>
      <c r="V906" s="30">
        <f t="shared" si="425"/>
        <v>4000000</v>
      </c>
      <c r="W906" s="30"/>
      <c r="X906" s="32"/>
      <c r="Y906" s="33">
        <f t="shared" si="663"/>
        <v>0.01258901514</v>
      </c>
      <c r="Z906" s="692"/>
      <c r="AA906" s="665"/>
      <c r="AB906" s="74"/>
      <c r="AC906" s="74"/>
      <c r="AD906" s="44"/>
      <c r="AE906" s="46"/>
      <c r="AF906" s="921">
        <v>42985.0</v>
      </c>
      <c r="AG906" s="1309">
        <v>1900000.0</v>
      </c>
      <c r="AH906" s="36"/>
      <c r="AI906" s="41"/>
      <c r="AJ906" s="917">
        <v>43739.0</v>
      </c>
      <c r="AK906" s="1418">
        <v>2100000.0</v>
      </c>
      <c r="AL906" s="44"/>
      <c r="AM906" s="84"/>
      <c r="AN906" s="79"/>
      <c r="AO906" s="84"/>
      <c r="AP906" s="79"/>
      <c r="AQ906" s="84"/>
      <c r="AR906" s="79"/>
      <c r="AS906" s="79"/>
      <c r="AT906" s="79"/>
      <c r="AU906" s="80"/>
      <c r="AV906" s="79"/>
      <c r="AW906" s="38"/>
      <c r="AX906" s="79"/>
      <c r="AY906" s="38"/>
      <c r="AZ906" s="79"/>
      <c r="BA906" s="80"/>
      <c r="BB906" s="79"/>
      <c r="BC906" s="80"/>
      <c r="BD906" s="79"/>
      <c r="BE906" s="38"/>
      <c r="BF906" s="74"/>
      <c r="BG906" s="534"/>
      <c r="BH906" s="534"/>
      <c r="BI906" s="534"/>
      <c r="BJ906" s="534"/>
      <c r="BK906" s="534"/>
      <c r="BL906" s="534"/>
      <c r="BM906" s="534"/>
      <c r="BN906" s="534"/>
      <c r="BO906" s="534"/>
      <c r="BP906" s="534"/>
      <c r="BQ906" s="534"/>
      <c r="BR906" s="534"/>
      <c r="BS906" s="534"/>
      <c r="BT906" s="534"/>
      <c r="BU906" s="534"/>
      <c r="BV906" s="534"/>
      <c r="BW906" s="534"/>
      <c r="BX906" s="534"/>
      <c r="BY906" s="534"/>
      <c r="BZ906" s="534"/>
      <c r="CA906" s="534"/>
      <c r="CB906" s="534"/>
      <c r="CC906" s="534"/>
      <c r="CD906" s="534"/>
      <c r="CE906" s="534"/>
      <c r="CF906" s="534"/>
      <c r="CG906" s="534"/>
      <c r="CH906" s="534"/>
      <c r="CI906" s="534"/>
      <c r="CJ906" s="534"/>
      <c r="CK906" s="534"/>
      <c r="CL906" s="534"/>
      <c r="CM906" s="534"/>
      <c r="CN906" s="534"/>
      <c r="CO906" s="534"/>
      <c r="CP906" s="534"/>
    </row>
    <row r="907" ht="15.75" customHeight="1">
      <c r="A907" s="21" t="s">
        <v>4415</v>
      </c>
      <c r="B907" s="16"/>
      <c r="C907" s="17" t="s">
        <v>68</v>
      </c>
      <c r="D907" s="245"/>
      <c r="E907" s="18" t="s">
        <v>4416</v>
      </c>
      <c r="F907" s="20" t="s">
        <v>4417</v>
      </c>
      <c r="G907" s="810"/>
      <c r="H907" s="810" t="s">
        <v>814</v>
      </c>
      <c r="I907" s="23" t="s">
        <v>65</v>
      </c>
      <c r="J907" s="24"/>
      <c r="K907" s="23"/>
      <c r="L907" s="712">
        <v>2020.0</v>
      </c>
      <c r="M907" s="222"/>
      <c r="N907" s="23"/>
      <c r="O907" s="27" t="str">
        <f t="shared" si="3"/>
        <v>#N/A</v>
      </c>
      <c r="P907" s="464"/>
      <c r="Q907" s="464"/>
      <c r="R907" s="464"/>
      <c r="S907" s="464"/>
      <c r="T907" s="464"/>
      <c r="U907" s="464"/>
      <c r="V907" s="30">
        <f t="shared" si="425"/>
        <v>4000000</v>
      </c>
      <c r="W907" s="30"/>
      <c r="X907" s="33"/>
      <c r="Y907" s="33"/>
      <c r="Z907" s="692"/>
      <c r="AA907" s="665"/>
      <c r="AB907" s="36"/>
      <c r="AC907" s="36"/>
      <c r="AD907" s="37"/>
      <c r="AE907" s="38"/>
      <c r="AF907" s="726">
        <v>44825.0</v>
      </c>
      <c r="AG907" s="38">
        <v>4000000.0</v>
      </c>
      <c r="AH907" s="36"/>
      <c r="AI907" s="46"/>
      <c r="AJ907" s="37"/>
      <c r="AK907" s="1418"/>
      <c r="AL907" s="37"/>
      <c r="AM907" s="38"/>
      <c r="AN907" s="44"/>
      <c r="AO907" s="46"/>
      <c r="AP907" s="967"/>
      <c r="AQ907" s="968"/>
      <c r="AR907" s="967"/>
      <c r="AS907" s="38"/>
      <c r="AT907" s="44"/>
      <c r="AU907" s="45"/>
      <c r="AV907" s="44"/>
      <c r="AW907" s="38"/>
      <c r="AX907" s="44"/>
      <c r="AY907" s="38"/>
      <c r="AZ907" s="44"/>
      <c r="BA907" s="45"/>
      <c r="BB907" s="44"/>
      <c r="BC907" s="45"/>
      <c r="BD907" s="44"/>
      <c r="BE907" s="38"/>
      <c r="BF907" s="3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</row>
    <row r="908" ht="15.75" customHeight="1">
      <c r="A908" s="462" t="s">
        <v>4418</v>
      </c>
      <c r="B908" s="16"/>
      <c r="C908" s="17" t="s">
        <v>132</v>
      </c>
      <c r="D908" s="138" t="s">
        <v>4419</v>
      </c>
      <c r="E908" s="416" t="s">
        <v>4420</v>
      </c>
      <c r="F908" s="1039" t="s">
        <v>4421</v>
      </c>
      <c r="G908" s="810"/>
      <c r="H908" s="22" t="s">
        <v>271</v>
      </c>
      <c r="I908" s="23" t="s">
        <v>272</v>
      </c>
      <c r="J908" s="24"/>
      <c r="K908" s="26">
        <v>2.0</v>
      </c>
      <c r="L908" s="23">
        <v>1920.0</v>
      </c>
      <c r="M908" s="25"/>
      <c r="N908" s="26"/>
      <c r="O908" s="27" t="str">
        <f t="shared" si="3"/>
        <v>#N/A</v>
      </c>
      <c r="P908" s="464"/>
      <c r="Q908" s="464"/>
      <c r="R908" s="464"/>
      <c r="S908" s="464"/>
      <c r="T908" s="464"/>
      <c r="U908" s="464"/>
      <c r="V908" s="30">
        <f t="shared" si="425"/>
        <v>4000000</v>
      </c>
      <c r="W908" s="30"/>
      <c r="X908" s="73"/>
      <c r="Y908" s="73"/>
      <c r="Z908" s="692"/>
      <c r="AA908" s="665"/>
      <c r="AB908" s="36"/>
      <c r="AC908" s="36"/>
      <c r="AD908" s="44"/>
      <c r="AE908" s="46"/>
      <c r="AF908" s="158" t="str">
        <f>HYPERLINK("https://www.geekwire.com/2022/bateau-lands-4m-for-software-used-by-senior-living-companies/","Jan 24th, 2022")</f>
        <v>Jan 24th, 2022</v>
      </c>
      <c r="AG908" s="38">
        <v>4000000.0</v>
      </c>
      <c r="AH908" s="36"/>
      <c r="AI908" s="159"/>
      <c r="AJ908" s="44"/>
      <c r="AK908" s="46"/>
      <c r="AL908" s="44"/>
      <c r="AM908" s="46"/>
      <c r="AN908" s="44"/>
      <c r="AO908" s="46"/>
      <c r="AP908" s="44"/>
      <c r="AQ908" s="46"/>
      <c r="AR908" s="44"/>
      <c r="AS908" s="44"/>
      <c r="AT908" s="44"/>
      <c r="AU908" s="45"/>
      <c r="AV908" s="44"/>
      <c r="AW908" s="38"/>
      <c r="AX908" s="44"/>
      <c r="AY908" s="38"/>
      <c r="AZ908" s="44"/>
      <c r="BA908" s="45"/>
      <c r="BB908" s="44"/>
      <c r="BC908" s="45"/>
      <c r="BD908" s="44"/>
      <c r="BE908" s="38"/>
      <c r="BF908" s="36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  <c r="CO908" s="68"/>
      <c r="CP908" s="68"/>
    </row>
    <row r="909" ht="15.75" customHeight="1">
      <c r="A909" s="47" t="s">
        <v>4422</v>
      </c>
      <c r="B909" s="16"/>
      <c r="C909" s="17" t="s">
        <v>267</v>
      </c>
      <c r="D909" s="48"/>
      <c r="E909" s="192" t="s">
        <v>4423</v>
      </c>
      <c r="F909" s="118" t="s">
        <v>4424</v>
      </c>
      <c r="G909" s="22"/>
      <c r="H909" s="22" t="s">
        <v>4425</v>
      </c>
      <c r="I909" s="23" t="s">
        <v>65</v>
      </c>
      <c r="J909" s="24"/>
      <c r="K909" s="23"/>
      <c r="L909" s="23">
        <v>2021.0</v>
      </c>
      <c r="M909" s="222"/>
      <c r="N909" s="23"/>
      <c r="O909" s="27" t="str">
        <f t="shared" si="3"/>
        <v>#N/A</v>
      </c>
      <c r="P909" s="28"/>
      <c r="Q909" s="28"/>
      <c r="R909" s="28"/>
      <c r="S909" s="28"/>
      <c r="T909" s="28"/>
      <c r="U909" s="28"/>
      <c r="V909" s="30">
        <f t="shared" si="425"/>
        <v>4000000</v>
      </c>
      <c r="W909" s="30"/>
      <c r="X909" s="33"/>
      <c r="Y909" s="33"/>
      <c r="Z909" s="692"/>
      <c r="AA909" s="665"/>
      <c r="AB909" s="36"/>
      <c r="AC909" s="36"/>
      <c r="AD909" s="44"/>
      <c r="AE909" s="46"/>
      <c r="AF909" s="158" t="str">
        <f>HYPERLINK("https://www.crunchbase.com/organization/captain-4068202","Mar 24, 2022")</f>
        <v>Mar 24, 2022</v>
      </c>
      <c r="AG909" s="38">
        <v>4000000.0</v>
      </c>
      <c r="AH909" s="36"/>
      <c r="AI909" s="159"/>
      <c r="AJ909" s="44"/>
      <c r="AK909" s="46"/>
      <c r="AL909" s="44"/>
      <c r="AM909" s="46"/>
      <c r="AN909" s="44"/>
      <c r="AO909" s="46"/>
      <c r="AP909" s="44"/>
      <c r="AQ909" s="46"/>
      <c r="AR909" s="44"/>
      <c r="AS909" s="44"/>
      <c r="AT909" s="44"/>
      <c r="AU909" s="45"/>
      <c r="AV909" s="44"/>
      <c r="AW909" s="38"/>
      <c r="AX909" s="44"/>
      <c r="AY909" s="38"/>
      <c r="AZ909" s="44"/>
      <c r="BA909" s="45"/>
      <c r="BB909" s="44"/>
      <c r="BC909" s="45"/>
      <c r="BD909" s="44"/>
      <c r="BE909" s="38"/>
      <c r="BF909" s="3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</row>
    <row r="910" ht="15.75" customHeight="1">
      <c r="A910" s="21" t="s">
        <v>4426</v>
      </c>
      <c r="B910" s="16"/>
      <c r="C910" s="17" t="s">
        <v>207</v>
      </c>
      <c r="D910" s="337"/>
      <c r="E910" s="492" t="s">
        <v>4427</v>
      </c>
      <c r="F910" s="154" t="s">
        <v>4427</v>
      </c>
      <c r="G910" s="22"/>
      <c r="H910" s="22" t="s">
        <v>4428</v>
      </c>
      <c r="I910" s="23" t="s">
        <v>4429</v>
      </c>
      <c r="J910" s="23"/>
      <c r="K910" s="26">
        <v>2.0</v>
      </c>
      <c r="L910" s="23">
        <v>2019.0</v>
      </c>
      <c r="M910" s="25"/>
      <c r="N910" s="26"/>
      <c r="O910" s="27" t="str">
        <f t="shared" si="3"/>
        <v>#N/A</v>
      </c>
      <c r="P910" s="464"/>
      <c r="Q910" s="464"/>
      <c r="R910" s="464"/>
      <c r="S910" s="464"/>
      <c r="T910" s="464"/>
      <c r="U910" s="464"/>
      <c r="V910" s="30">
        <f t="shared" si="425"/>
        <v>4000000</v>
      </c>
      <c r="W910" s="30"/>
      <c r="X910" s="73"/>
      <c r="Y910" s="73"/>
      <c r="Z910" s="692"/>
      <c r="AA910" s="665"/>
      <c r="AB910" s="36"/>
      <c r="AC910" s="36"/>
      <c r="AD910" s="43" t="str">
        <f>HYPERLINK("https://www.crunchbase.com/funding_round/colabs-pakistan-pre-seed--29687a4e","Jan 1, 2019")</f>
        <v>Jan 1, 2019</v>
      </c>
      <c r="AE910" s="38">
        <v>1000000.0</v>
      </c>
      <c r="AF910" s="158" t="str">
        <f>HYPERLINK("https://www.crunchbase.com/funding_round/colabs-pakistan-seed--ce48befc","Mar 24, 2022")</f>
        <v>Mar 24, 2022</v>
      </c>
      <c r="AG910" s="38">
        <v>3000000.0</v>
      </c>
      <c r="AH910" s="36"/>
      <c r="AI910" s="159"/>
      <c r="AJ910" s="44"/>
      <c r="AK910" s="46"/>
      <c r="AL910" s="44"/>
      <c r="AM910" s="46"/>
      <c r="AN910" s="44"/>
      <c r="AO910" s="46"/>
      <c r="AP910" s="44"/>
      <c r="AQ910" s="46"/>
      <c r="AR910" s="44"/>
      <c r="AS910" s="44"/>
      <c r="AT910" s="44"/>
      <c r="AU910" s="45"/>
      <c r="AV910" s="44"/>
      <c r="AW910" s="38"/>
      <c r="AX910" s="44"/>
      <c r="AY910" s="38"/>
      <c r="AZ910" s="44"/>
      <c r="BA910" s="45"/>
      <c r="BB910" s="44"/>
      <c r="BC910" s="45"/>
      <c r="BD910" s="44"/>
      <c r="BE910" s="38"/>
      <c r="BF910" s="3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</row>
    <row r="911" ht="15.75" customHeight="1">
      <c r="A911" s="21" t="s">
        <v>4430</v>
      </c>
      <c r="B911" s="68"/>
      <c r="C911" s="69" t="s">
        <v>68</v>
      </c>
      <c r="D911" s="48"/>
      <c r="E911" s="388" t="s">
        <v>4431</v>
      </c>
      <c r="F911" s="757" t="s">
        <v>4432</v>
      </c>
      <c r="G911" s="55"/>
      <c r="H911" s="1051" t="s">
        <v>4433</v>
      </c>
      <c r="I911" s="26" t="s">
        <v>1040</v>
      </c>
      <c r="J911" s="72"/>
      <c r="K911" s="26"/>
      <c r="L911" s="26"/>
      <c r="M911" s="25"/>
      <c r="N911" s="26"/>
      <c r="O911" s="27" t="str">
        <f t="shared" si="3"/>
        <v>#N/A</v>
      </c>
      <c r="P911" s="28"/>
      <c r="Q911" s="28"/>
      <c r="R911" s="28"/>
      <c r="S911" s="28"/>
      <c r="T911" s="28"/>
      <c r="U911" s="28"/>
      <c r="V911" s="30">
        <f t="shared" si="425"/>
        <v>4000000</v>
      </c>
      <c r="W911" s="30"/>
      <c r="X911" s="73"/>
      <c r="Y911" s="73"/>
      <c r="Z911" s="692"/>
      <c r="AA911" s="665"/>
      <c r="AB911" s="74"/>
      <c r="AC911" s="74"/>
      <c r="AD911" s="79"/>
      <c r="AE911" s="84"/>
      <c r="AF911" s="885">
        <v>44679.0</v>
      </c>
      <c r="AG911" s="76">
        <v>4000000.0</v>
      </c>
      <c r="AH911" s="68"/>
      <c r="AI911" s="955"/>
      <c r="AJ911" s="1415"/>
      <c r="AK911" s="76"/>
      <c r="AL911" s="279"/>
      <c r="AM911" s="887"/>
      <c r="AN911" s="279"/>
      <c r="AO911" s="76"/>
      <c r="AP911" s="79"/>
      <c r="AQ911" s="84"/>
      <c r="AR911" s="79"/>
      <c r="AS911" s="79"/>
      <c r="AT911" s="79"/>
      <c r="AU911" s="80"/>
      <c r="AV911" s="79"/>
      <c r="AW911" s="38"/>
      <c r="AX911" s="79"/>
      <c r="AY911" s="38"/>
      <c r="AZ911" s="79"/>
      <c r="BA911" s="80"/>
      <c r="BB911" s="79"/>
      <c r="BC911" s="80"/>
      <c r="BD911" s="79"/>
      <c r="BE911" s="38"/>
      <c r="BF911" s="74"/>
      <c r="BG911" s="534"/>
      <c r="BH911" s="534"/>
      <c r="BI911" s="534"/>
      <c r="BJ911" s="534"/>
      <c r="BK911" s="534"/>
      <c r="BL911" s="534"/>
      <c r="BM911" s="534"/>
      <c r="BN911" s="534"/>
      <c r="BO911" s="534"/>
      <c r="BP911" s="534"/>
      <c r="BQ911" s="534"/>
      <c r="BR911" s="534"/>
      <c r="BS911" s="534"/>
      <c r="BT911" s="534"/>
      <c r="BU911" s="534"/>
      <c r="BV911" s="534"/>
      <c r="BW911" s="534"/>
      <c r="BX911" s="534"/>
      <c r="BY911" s="534"/>
      <c r="BZ911" s="534"/>
      <c r="CA911" s="534"/>
      <c r="CB911" s="534"/>
      <c r="CC911" s="534"/>
      <c r="CD911" s="534"/>
      <c r="CE911" s="534"/>
      <c r="CF911" s="534"/>
      <c r="CG911" s="534"/>
      <c r="CH911" s="534"/>
      <c r="CI911" s="534"/>
      <c r="CJ911" s="534"/>
      <c r="CK911" s="534"/>
      <c r="CL911" s="534"/>
      <c r="CM911" s="534"/>
      <c r="CN911" s="534"/>
      <c r="CO911" s="534"/>
      <c r="CP911" s="534"/>
    </row>
    <row r="912" ht="15.75" customHeight="1">
      <c r="A912" s="21" t="s">
        <v>4434</v>
      </c>
      <c r="B912" s="68"/>
      <c r="C912" s="69" t="s">
        <v>76</v>
      </c>
      <c r="D912" s="138" t="s">
        <v>4435</v>
      </c>
      <c r="E912" s="138" t="s">
        <v>4436</v>
      </c>
      <c r="F912" s="154" t="s">
        <v>4437</v>
      </c>
      <c r="G912" s="71"/>
      <c r="H912" s="71" t="s">
        <v>128</v>
      </c>
      <c r="I912" s="26" t="s">
        <v>156</v>
      </c>
      <c r="J912" s="72"/>
      <c r="K912" s="26">
        <v>1.0</v>
      </c>
      <c r="L912" s="26">
        <v>2020.0</v>
      </c>
      <c r="M912" s="25"/>
      <c r="N912" s="26"/>
      <c r="O912" s="27" t="str">
        <f t="shared" si="3"/>
        <v>#N/A</v>
      </c>
      <c r="P912" s="28"/>
      <c r="Q912" s="28"/>
      <c r="R912" s="28"/>
      <c r="S912" s="28"/>
      <c r="T912" s="28"/>
      <c r="U912" s="28"/>
      <c r="V912" s="30">
        <f t="shared" si="425"/>
        <v>4000000</v>
      </c>
      <c r="W912" s="30"/>
      <c r="X912" s="73"/>
      <c r="Y912" s="73"/>
      <c r="Z912" s="692"/>
      <c r="AA912" s="665"/>
      <c r="AB912" s="74"/>
      <c r="AC912" s="74"/>
      <c r="AD912" s="79"/>
      <c r="AE912" s="84"/>
      <c r="AF912" s="175" t="str">
        <f>HYPERLINK("https://www.crunchbase.com/funding_round/parcl-1b4a-seed--0d45c087","Dec 2, 2021")</f>
        <v>Dec 2, 2021</v>
      </c>
      <c r="AG912" s="76">
        <v>4000000.0</v>
      </c>
      <c r="AH912" s="74"/>
      <c r="AI912" s="78"/>
      <c r="AJ912" s="79"/>
      <c r="AK912" s="84"/>
      <c r="AL912" s="79"/>
      <c r="AM912" s="84"/>
      <c r="AN912" s="79"/>
      <c r="AO912" s="84"/>
      <c r="AP912" s="79"/>
      <c r="AQ912" s="84"/>
      <c r="AR912" s="79"/>
      <c r="AS912" s="79"/>
      <c r="AT912" s="79"/>
      <c r="AU912" s="80"/>
      <c r="AV912" s="79"/>
      <c r="AW912" s="38"/>
      <c r="AX912" s="79"/>
      <c r="AY912" s="38"/>
      <c r="AZ912" s="79"/>
      <c r="BA912" s="80"/>
      <c r="BB912" s="79"/>
      <c r="BC912" s="80"/>
      <c r="BD912" s="79"/>
      <c r="BE912" s="38"/>
      <c r="BF912" s="74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</row>
    <row r="913" ht="15.75" customHeight="1">
      <c r="A913" s="747" t="s">
        <v>4438</v>
      </c>
      <c r="B913" s="69"/>
      <c r="C913" s="69" t="s">
        <v>132</v>
      </c>
      <c r="D913" s="192" t="s">
        <v>4439</v>
      </c>
      <c r="E913" s="192" t="s">
        <v>4440</v>
      </c>
      <c r="F913" s="118" t="s">
        <v>4441</v>
      </c>
      <c r="G913" s="54"/>
      <c r="H913" s="71" t="s">
        <v>365</v>
      </c>
      <c r="I913" s="26" t="s">
        <v>65</v>
      </c>
      <c r="J913" s="155"/>
      <c r="K913" s="26"/>
      <c r="L913" s="26">
        <v>2019.0</v>
      </c>
      <c r="M913" s="25"/>
      <c r="N913" s="26"/>
      <c r="O913" s="27" t="str">
        <f t="shared" si="3"/>
        <v>#N/A</v>
      </c>
      <c r="P913" s="273"/>
      <c r="Q913" s="273"/>
      <c r="R913" s="273"/>
      <c r="S913" s="273"/>
      <c r="T913" s="273"/>
      <c r="U913" s="273"/>
      <c r="V913" s="30">
        <f t="shared" si="425"/>
        <v>4000000</v>
      </c>
      <c r="W913" s="30"/>
      <c r="X913" s="73"/>
      <c r="Y913" s="73"/>
      <c r="Z913" s="692"/>
      <c r="AA913" s="665"/>
      <c r="AB913" s="74"/>
      <c r="AC913" s="74"/>
      <c r="AD913" s="79"/>
      <c r="AE913" s="84"/>
      <c r="AF913" s="175" t="str">
        <f>HYPERLINK("https://economictimes.indiatimes.com/tech/funding/home-decor-startup-spacejoy-raises-4-million-in-funding-led-by-accel/articleshow/89467328.cms","Feb 10, 2022")</f>
        <v>Feb 10, 2022</v>
      </c>
      <c r="AG913" s="76">
        <v>4000000.0</v>
      </c>
      <c r="AH913" s="74"/>
      <c r="AI913" s="78"/>
      <c r="AJ913" s="279"/>
      <c r="AK913" s="76"/>
      <c r="AL913" s="79"/>
      <c r="AM913" s="84"/>
      <c r="AN913" s="79"/>
      <c r="AO913" s="84"/>
      <c r="AP913" s="79"/>
      <c r="AQ913" s="84"/>
      <c r="AR913" s="79"/>
      <c r="AS913" s="79"/>
      <c r="AT913" s="79"/>
      <c r="AU913" s="80"/>
      <c r="AV913" s="79"/>
      <c r="AW913" s="38"/>
      <c r="AX913" s="79"/>
      <c r="AY913" s="38"/>
      <c r="AZ913" s="79"/>
      <c r="BA913" s="80"/>
      <c r="BB913" s="79"/>
      <c r="BC913" s="80"/>
      <c r="BD913" s="79"/>
      <c r="BE913" s="38"/>
      <c r="BF913" s="74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</row>
    <row r="914" ht="15.75" customHeight="1">
      <c r="A914" s="400" t="s">
        <v>4442</v>
      </c>
      <c r="B914" s="115"/>
      <c r="C914" s="116" t="s">
        <v>84</v>
      </c>
      <c r="D914" s="449"/>
      <c r="E914" s="401" t="s">
        <v>4443</v>
      </c>
      <c r="F914" s="402" t="s">
        <v>4444</v>
      </c>
      <c r="G914" s="119" t="s">
        <v>4445</v>
      </c>
      <c r="H914" s="119" t="s">
        <v>88</v>
      </c>
      <c r="I914" s="25" t="s">
        <v>4446</v>
      </c>
      <c r="J914" s="287"/>
      <c r="K914" s="123"/>
      <c r="L914" s="25">
        <v>2012.0</v>
      </c>
      <c r="M914" s="123"/>
      <c r="N914" s="123"/>
      <c r="O914" s="27" t="str">
        <f t="shared" si="3"/>
        <v>#N/A</v>
      </c>
      <c r="P914" s="55"/>
      <c r="Q914" s="55"/>
      <c r="R914" s="55"/>
      <c r="S914" s="55"/>
      <c r="T914" s="55"/>
      <c r="U914" s="55"/>
      <c r="V914" s="30">
        <f t="shared" si="425"/>
        <v>4000000</v>
      </c>
      <c r="W914" s="30"/>
      <c r="X914" s="403"/>
      <c r="Y914" s="403"/>
      <c r="Z914" s="692"/>
      <c r="AA914" s="665"/>
      <c r="AB914" s="123"/>
      <c r="AC914" s="123"/>
      <c r="AD914" s="717"/>
      <c r="AE914" s="123"/>
      <c r="AF914" s="62">
        <v>44882.0</v>
      </c>
      <c r="AG914" s="38">
        <v>4000000.0</v>
      </c>
      <c r="AH914" s="123"/>
      <c r="AI914" s="123"/>
      <c r="AJ914" s="123"/>
      <c r="AK914" s="38"/>
      <c r="AL914" s="123"/>
      <c r="AM914" s="123"/>
      <c r="AN914" s="123"/>
      <c r="AO914" s="123"/>
      <c r="AP914" s="123"/>
      <c r="AQ914" s="123"/>
      <c r="AR914" s="123"/>
      <c r="AS914" s="123"/>
      <c r="AT914" s="123"/>
      <c r="AU914" s="137"/>
      <c r="AV914" s="123"/>
      <c r="AW914" s="38"/>
      <c r="AX914" s="123"/>
      <c r="AY914" s="38"/>
      <c r="AZ914" s="123"/>
      <c r="BA914" s="137"/>
      <c r="BB914" s="123"/>
      <c r="BC914" s="137"/>
      <c r="BD914" s="123"/>
      <c r="BE914" s="38"/>
      <c r="BF914" s="123"/>
      <c r="BG914" s="115"/>
      <c r="BH914" s="115"/>
      <c r="BI914" s="115"/>
      <c r="BJ914" s="115"/>
      <c r="BK914" s="115"/>
      <c r="BL914" s="115"/>
      <c r="BM914" s="115"/>
      <c r="BN914" s="115"/>
      <c r="BO914" s="115"/>
      <c r="BP914" s="115"/>
      <c r="BQ914" s="115"/>
      <c r="BR914" s="115"/>
      <c r="BS914" s="115"/>
      <c r="BT914" s="115"/>
      <c r="BU914" s="115"/>
      <c r="BV914" s="115"/>
      <c r="BW914" s="115"/>
      <c r="BX914" s="115"/>
      <c r="BY914" s="115"/>
      <c r="BZ914" s="115"/>
      <c r="CA914" s="115"/>
      <c r="CB914" s="115"/>
      <c r="CC914" s="115"/>
      <c r="CD914" s="115"/>
      <c r="CE914" s="115"/>
      <c r="CF914" s="115"/>
      <c r="CG914" s="115"/>
      <c r="CH914" s="115"/>
      <c r="CI914" s="115"/>
      <c r="CJ914" s="115"/>
      <c r="CK914" s="115"/>
      <c r="CL914" s="115"/>
      <c r="CM914" s="115"/>
      <c r="CN914" s="115"/>
      <c r="CO914" s="115"/>
      <c r="CP914" s="115"/>
    </row>
    <row r="915" ht="15.75" customHeight="1">
      <c r="A915" s="47" t="s">
        <v>4447</v>
      </c>
      <c r="C915" s="48" t="s">
        <v>76</v>
      </c>
      <c r="D915" s="351"/>
      <c r="E915" s="49" t="s">
        <v>4448</v>
      </c>
      <c r="F915" s="352" t="s">
        <v>4449</v>
      </c>
      <c r="G915" s="353"/>
      <c r="H915" s="53" t="s">
        <v>88</v>
      </c>
      <c r="I915" s="54" t="s">
        <v>89</v>
      </c>
      <c r="J915" s="55"/>
      <c r="K915" s="55"/>
      <c r="L915" s="56">
        <v>2021.0</v>
      </c>
      <c r="M915" s="55"/>
      <c r="N915" s="55"/>
      <c r="O915" s="27" t="str">
        <f t="shared" si="3"/>
        <v>#N/A</v>
      </c>
      <c r="P915" s="55"/>
      <c r="Q915" s="55"/>
      <c r="R915" s="55"/>
      <c r="S915" s="55"/>
      <c r="T915" s="55"/>
      <c r="U915" s="55"/>
      <c r="V915" s="30">
        <f t="shared" si="425"/>
        <v>4000000</v>
      </c>
      <c r="W915" s="30"/>
      <c r="X915" s="58"/>
      <c r="Y915" s="58"/>
      <c r="Z915" s="692"/>
      <c r="AA915" s="665"/>
      <c r="AB915" s="55"/>
      <c r="AC915" s="55"/>
      <c r="AD915" s="355"/>
      <c r="AE915" s="55"/>
      <c r="AF915" s="62">
        <v>44903.0</v>
      </c>
      <c r="AG915" s="38">
        <v>4000000.0</v>
      </c>
      <c r="AH915" s="55"/>
      <c r="AI915" s="55"/>
      <c r="AJ915" s="55"/>
      <c r="AK915" s="55"/>
      <c r="AL915" s="55"/>
      <c r="AM915" s="55"/>
      <c r="AN915" s="55"/>
      <c r="AO915" s="55"/>
      <c r="AP915" s="356"/>
      <c r="AQ915" s="356"/>
      <c r="AR915" s="55"/>
      <c r="AS915" s="55"/>
      <c r="AT915" s="55"/>
      <c r="AU915" s="722"/>
      <c r="AV915" s="55"/>
      <c r="AW915" s="38"/>
      <c r="AX915" s="55"/>
      <c r="AY915" s="38"/>
      <c r="AZ915" s="55"/>
      <c r="BA915" s="722"/>
      <c r="BB915" s="55"/>
      <c r="BC915" s="722"/>
      <c r="BD915" s="55"/>
      <c r="BE915" s="38"/>
      <c r="BF915" s="55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  <c r="BQ915" s="68"/>
      <c r="BR915" s="68"/>
      <c r="BS915" s="68"/>
      <c r="BT915" s="68"/>
      <c r="BU915" s="68"/>
      <c r="BV915" s="68"/>
      <c r="BW915" s="68"/>
      <c r="BX915" s="68"/>
      <c r="BY915" s="68"/>
      <c r="BZ915" s="68"/>
      <c r="CA915" s="68"/>
      <c r="CB915" s="68"/>
      <c r="CC915" s="68"/>
      <c r="CD915" s="68"/>
      <c r="CE915" s="68"/>
      <c r="CF915" s="68"/>
      <c r="CG915" s="68"/>
      <c r="CH915" s="68"/>
      <c r="CI915" s="68"/>
      <c r="CJ915" s="68"/>
      <c r="CK915" s="68"/>
      <c r="CL915" s="68"/>
      <c r="CM915" s="68"/>
      <c r="CN915" s="68"/>
      <c r="CO915" s="68"/>
      <c r="CP915" s="68"/>
    </row>
    <row r="916" ht="15.75" customHeight="1">
      <c r="A916" s="47" t="s">
        <v>4450</v>
      </c>
      <c r="C916" s="48" t="s">
        <v>68</v>
      </c>
      <c r="D916" s="351"/>
      <c r="E916" s="49" t="s">
        <v>4451</v>
      </c>
      <c r="F916" s="749" t="s">
        <v>4452</v>
      </c>
      <c r="G916" s="353"/>
      <c r="H916" s="53" t="s">
        <v>4453</v>
      </c>
      <c r="I916" s="54" t="s">
        <v>257</v>
      </c>
      <c r="J916" s="55"/>
      <c r="K916" s="54">
        <v>2.0</v>
      </c>
      <c r="L916" s="56">
        <v>2015.0</v>
      </c>
      <c r="M916" s="55"/>
      <c r="N916" s="55"/>
      <c r="O916" s="27" t="str">
        <f t="shared" si="3"/>
        <v>#N/A</v>
      </c>
      <c r="P916" s="55"/>
      <c r="Q916" s="55"/>
      <c r="R916" s="55"/>
      <c r="S916" s="55"/>
      <c r="T916" s="55"/>
      <c r="U916" s="55"/>
      <c r="V916" s="30">
        <f t="shared" si="425"/>
        <v>4000000</v>
      </c>
      <c r="W916" s="30"/>
      <c r="X916" s="58"/>
      <c r="Y916" s="58"/>
      <c r="Z916" s="692"/>
      <c r="AA916" s="665"/>
      <c r="AB916" s="55"/>
      <c r="AC916" s="55"/>
      <c r="AD916" s="453"/>
      <c r="AE916" s="55"/>
      <c r="AF916" s="623">
        <v>43292.0</v>
      </c>
      <c r="AG916" s="38">
        <v>2000000.0</v>
      </c>
      <c r="AH916" s="55"/>
      <c r="AI916" s="55"/>
      <c r="AJ916" s="1419">
        <v>44937.0</v>
      </c>
      <c r="AK916" s="38">
        <v>2000000.0</v>
      </c>
      <c r="AL916" s="55"/>
      <c r="AM916" s="55"/>
      <c r="AN916" s="55"/>
      <c r="AO916" s="55"/>
      <c r="AP916" s="356"/>
      <c r="AQ916" s="356"/>
      <c r="AR916" s="55"/>
      <c r="AS916" s="55"/>
      <c r="AT916" s="55"/>
      <c r="AU916" s="722"/>
      <c r="AV916" s="55"/>
      <c r="AW916" s="38"/>
      <c r="AX916" s="55"/>
      <c r="AY916" s="38"/>
      <c r="AZ916" s="55"/>
      <c r="BA916" s="722"/>
      <c r="BB916" s="55"/>
      <c r="BC916" s="722"/>
      <c r="BD916" s="55"/>
      <c r="BE916" s="38"/>
      <c r="BF916" s="55"/>
      <c r="BG916" s="115"/>
      <c r="BH916" s="115"/>
      <c r="BI916" s="115"/>
      <c r="BJ916" s="115"/>
      <c r="BK916" s="115"/>
      <c r="BL916" s="115"/>
      <c r="BM916" s="115"/>
      <c r="BN916" s="115"/>
      <c r="BO916" s="115"/>
      <c r="BP916" s="115"/>
      <c r="BQ916" s="115"/>
      <c r="BR916" s="115"/>
      <c r="BS916" s="115"/>
      <c r="BT916" s="115"/>
      <c r="BU916" s="115"/>
      <c r="BV916" s="115"/>
      <c r="BW916" s="115"/>
      <c r="BX916" s="115"/>
      <c r="BY916" s="115"/>
      <c r="BZ916" s="115"/>
      <c r="CA916" s="115"/>
      <c r="CB916" s="115"/>
      <c r="CC916" s="115"/>
      <c r="CD916" s="115"/>
      <c r="CE916" s="115"/>
      <c r="CF916" s="115"/>
      <c r="CG916" s="115"/>
      <c r="CH916" s="115"/>
      <c r="CI916" s="115"/>
      <c r="CJ916" s="115"/>
      <c r="CK916" s="115"/>
      <c r="CL916" s="115"/>
      <c r="CM916" s="115"/>
      <c r="CN916" s="115"/>
      <c r="CO916" s="115"/>
      <c r="CP916" s="115"/>
    </row>
    <row r="917" ht="15.75" customHeight="1">
      <c r="A917" s="47" t="s">
        <v>4454</v>
      </c>
      <c r="C917" s="48" t="s">
        <v>68</v>
      </c>
      <c r="D917" s="351"/>
      <c r="E917" s="1420" t="s">
        <v>4455</v>
      </c>
      <c r="F917" s="352" t="s">
        <v>4456</v>
      </c>
      <c r="G917" s="353"/>
      <c r="H917" s="53" t="s">
        <v>64</v>
      </c>
      <c r="I917" s="54" t="s">
        <v>65</v>
      </c>
      <c r="J917" s="55"/>
      <c r="K917" s="54">
        <v>1.0</v>
      </c>
      <c r="L917" s="56">
        <v>2022.0</v>
      </c>
      <c r="M917" s="55"/>
      <c r="N917" s="55"/>
      <c r="O917" s="27" t="str">
        <f t="shared" si="3"/>
        <v>#N/A</v>
      </c>
      <c r="P917" s="55"/>
      <c r="Q917" s="55"/>
      <c r="R917" s="55"/>
      <c r="S917" s="55"/>
      <c r="T917" s="55"/>
      <c r="U917" s="55"/>
      <c r="V917" s="30">
        <f t="shared" si="425"/>
        <v>4000000</v>
      </c>
      <c r="W917" s="30"/>
      <c r="X917" s="58"/>
      <c r="Y917" s="58"/>
      <c r="Z917" s="692"/>
      <c r="AA917" s="665"/>
      <c r="AB917" s="55"/>
      <c r="AC917" s="55"/>
      <c r="AD917" s="355"/>
      <c r="AE917" s="38"/>
      <c r="AF917" s="62">
        <v>45008.0</v>
      </c>
      <c r="AG917" s="38">
        <v>4000000.0</v>
      </c>
      <c r="AH917" s="55"/>
      <c r="AI917" s="38"/>
      <c r="AJ917" s="55"/>
      <c r="AK917" s="38"/>
      <c r="AL917" s="55"/>
      <c r="AM917" s="38"/>
      <c r="AN917" s="55"/>
      <c r="AO917" s="38"/>
      <c r="AP917" s="356"/>
      <c r="AQ917" s="38"/>
      <c r="AR917" s="55"/>
      <c r="AS917" s="38"/>
      <c r="AT917" s="55"/>
      <c r="AU917" s="38"/>
      <c r="AV917" s="55"/>
      <c r="AW917" s="38"/>
      <c r="AX917" s="55"/>
      <c r="AY917" s="38"/>
      <c r="AZ917" s="55"/>
      <c r="BA917" s="38"/>
      <c r="BB917" s="55"/>
      <c r="BC917" s="38"/>
      <c r="BD917" s="55"/>
      <c r="BE917" s="38"/>
      <c r="BF917" s="55"/>
      <c r="BG917" s="115"/>
      <c r="BH917" s="115"/>
      <c r="BI917" s="115"/>
      <c r="BJ917" s="115"/>
      <c r="BK917" s="115"/>
      <c r="BL917" s="115"/>
      <c r="BM917" s="115"/>
      <c r="BN917" s="115"/>
      <c r="BO917" s="115"/>
      <c r="BP917" s="115"/>
      <c r="BQ917" s="115"/>
      <c r="BR917" s="115"/>
      <c r="BS917" s="115"/>
      <c r="BT917" s="115"/>
      <c r="BU917" s="115"/>
      <c r="BV917" s="115"/>
      <c r="BW917" s="115"/>
      <c r="BX917" s="115"/>
      <c r="BY917" s="115"/>
      <c r="BZ917" s="115"/>
      <c r="CA917" s="115"/>
      <c r="CB917" s="115"/>
      <c r="CC917" s="115"/>
      <c r="CD917" s="115"/>
      <c r="CE917" s="115"/>
      <c r="CF917" s="115"/>
      <c r="CG917" s="115"/>
      <c r="CH917" s="115"/>
      <c r="CI917" s="115"/>
      <c r="CJ917" s="115"/>
      <c r="CK917" s="115"/>
      <c r="CL917" s="115"/>
      <c r="CM917" s="115"/>
      <c r="CN917" s="115"/>
      <c r="CO917" s="115"/>
      <c r="CP917" s="115"/>
    </row>
    <row r="918" ht="15.75" customHeight="1">
      <c r="A918" s="400" t="s">
        <v>4457</v>
      </c>
      <c r="B918" s="115"/>
      <c r="C918" s="116" t="s">
        <v>76</v>
      </c>
      <c r="D918" s="401" t="s">
        <v>4458</v>
      </c>
      <c r="E918" s="401" t="s">
        <v>4459</v>
      </c>
      <c r="F918" s="402" t="s">
        <v>4460</v>
      </c>
      <c r="G918" s="286"/>
      <c r="H918" s="119" t="s">
        <v>2299</v>
      </c>
      <c r="I918" s="119" t="s">
        <v>2299</v>
      </c>
      <c r="J918" s="287"/>
      <c r="K918" s="25">
        <v>2.0</v>
      </c>
      <c r="L918" s="25">
        <v>2020.0</v>
      </c>
      <c r="M918" s="123"/>
      <c r="N918" s="123"/>
      <c r="O918" s="27" t="str">
        <f t="shared" si="3"/>
        <v>#N/A</v>
      </c>
      <c r="P918" s="55"/>
      <c r="Q918" s="55"/>
      <c r="R918" s="55"/>
      <c r="S918" s="55"/>
      <c r="T918" s="55"/>
      <c r="U918" s="55"/>
      <c r="V918" s="30">
        <f t="shared" si="425"/>
        <v>3983100</v>
      </c>
      <c r="W918" s="30"/>
      <c r="X918" s="403"/>
      <c r="Y918" s="403"/>
      <c r="Z918" s="692"/>
      <c r="AA918" s="665"/>
      <c r="AB918" s="123"/>
      <c r="AC918" s="123"/>
      <c r="AD918" s="452"/>
      <c r="AE918" s="123"/>
      <c r="AF918" s="62">
        <v>44350.0</v>
      </c>
      <c r="AG918" s="1342">
        <v>1200000.0</v>
      </c>
      <c r="AH918" s="123"/>
      <c r="AI918" s="123"/>
      <c r="AJ918" s="123"/>
      <c r="AK918" s="123"/>
      <c r="AL918" s="123"/>
      <c r="AM918" s="123"/>
      <c r="AN918" s="123"/>
      <c r="AO918" s="123"/>
      <c r="AP918" s="123"/>
      <c r="AQ918" s="123"/>
      <c r="AR918" s="123"/>
      <c r="AS918" s="123"/>
      <c r="AT918" s="123"/>
      <c r="AU918" s="137"/>
      <c r="AV918" s="123"/>
      <c r="AW918" s="38"/>
      <c r="AX918" s="123"/>
      <c r="AY918" s="38"/>
      <c r="AZ918" s="404">
        <v>44868.0</v>
      </c>
      <c r="BA918" s="170">
        <v>2600000.0</v>
      </c>
      <c r="BB918" s="404">
        <v>44349.0</v>
      </c>
      <c r="BC918" s="170">
        <v>183100.0</v>
      </c>
      <c r="BD918" s="123"/>
      <c r="BE918" s="38"/>
      <c r="BF918" s="123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68"/>
      <c r="CA918" s="68"/>
      <c r="CB918" s="68"/>
      <c r="CC918" s="68"/>
      <c r="CD918" s="68"/>
      <c r="CE918" s="68"/>
      <c r="CF918" s="68"/>
      <c r="CG918" s="68"/>
      <c r="CH918" s="68"/>
      <c r="CI918" s="68"/>
      <c r="CJ918" s="68"/>
      <c r="CK918" s="68"/>
      <c r="CL918" s="68"/>
      <c r="CM918" s="68"/>
      <c r="CN918" s="68"/>
      <c r="CO918" s="68"/>
      <c r="CP918" s="68"/>
    </row>
    <row r="919" ht="15.75" customHeight="1">
      <c r="A919" s="21" t="s">
        <v>4461</v>
      </c>
      <c r="B919" s="68"/>
      <c r="C919" s="69" t="s">
        <v>132</v>
      </c>
      <c r="D919" s="867" t="s">
        <v>4462</v>
      </c>
      <c r="E919" s="231" t="s">
        <v>4463</v>
      </c>
      <c r="F919" s="177" t="s">
        <v>4464</v>
      </c>
      <c r="G919" s="71" t="s">
        <v>4465</v>
      </c>
      <c r="H919" s="71" t="s">
        <v>328</v>
      </c>
      <c r="I919" s="26" t="s">
        <v>328</v>
      </c>
      <c r="J919" s="72" t="s">
        <v>4466</v>
      </c>
      <c r="K919" s="26">
        <v>4.0</v>
      </c>
      <c r="L919" s="26">
        <v>2014.0</v>
      </c>
      <c r="M919" s="25">
        <f t="shared" ref="M919:M921" si="664">year(now()) -L919</f>
        <v>11</v>
      </c>
      <c r="N919" s="26">
        <f t="shared" ref="N919:N921" si="665">counta(AE919,AG919,AI919,AK919,AM919,AO919,AQ919,AS919,AU919,AW919,AY919,BA919,BC919)</f>
        <v>2</v>
      </c>
      <c r="O919" s="27" t="str">
        <f t="shared" si="3"/>
        <v>#N/A</v>
      </c>
      <c r="P919" s="28"/>
      <c r="Q919" s="28"/>
      <c r="R919" s="28"/>
      <c r="S919" s="28"/>
      <c r="T919" s="29">
        <f t="shared" ref="T919:T921" si="666">V919/M919</f>
        <v>360484.6364</v>
      </c>
      <c r="U919" s="28"/>
      <c r="V919" s="30">
        <f t="shared" si="425"/>
        <v>3965331</v>
      </c>
      <c r="W919" s="30"/>
      <c r="X919" s="73"/>
      <c r="Y919" s="33">
        <f t="shared" ref="Y919:Y921" si="667">(max(AE919,AG919,AI919,AK919,AM919,AO919,AQ919,AS919,AU919,AW919,AY919,BA919,BC919)/min(AE919,AG919,AI919,AK919))^(1/M919)-1</f>
        <v>0.04620484095</v>
      </c>
      <c r="Z919" s="692"/>
      <c r="AA919" s="665"/>
      <c r="AB919" s="74"/>
      <c r="AC919" s="74"/>
      <c r="AD919" s="79"/>
      <c r="AE919" s="84"/>
      <c r="AF919" s="856" t="str">
        <f>HYPERLINK("https://www.crunchbase.com/funding_round/propoly-seed--fb239d47"," 5/1/2018")</f>
        <v> 5/1/2018</v>
      </c>
      <c r="AG919" s="76">
        <v>1500000.0</v>
      </c>
      <c r="AH919" s="74"/>
      <c r="AI919" s="78"/>
      <c r="AJ919" s="181" t="str">
        <f>HYPERLINK("https://www.crunchbase.com/funding_round/propoly-series-a--2297e40b"," Jun 22, 2020        
")</f>
        <v> Jun 22, 2020        
</v>
      </c>
      <c r="AK919" s="76">
        <v>2465331.0</v>
      </c>
      <c r="AL919" s="81"/>
      <c r="AM919" s="84"/>
      <c r="AN919" s="79"/>
      <c r="AO919" s="84"/>
      <c r="AP919" s="79"/>
      <c r="AQ919" s="84"/>
      <c r="AR919" s="79"/>
      <c r="AS919" s="79"/>
      <c r="AT919" s="79"/>
      <c r="AU919" s="80"/>
      <c r="AV919" s="79"/>
      <c r="AW919" s="38"/>
      <c r="AX919" s="79"/>
      <c r="AY919" s="38"/>
      <c r="AZ919" s="79"/>
      <c r="BA919" s="80"/>
      <c r="BB919" s="79"/>
      <c r="BC919" s="80"/>
      <c r="BD919" s="79"/>
      <c r="BE919" s="38"/>
      <c r="BF919" s="74"/>
      <c r="BG919" s="115"/>
      <c r="BH919" s="115"/>
      <c r="BI919" s="115"/>
      <c r="BJ919" s="115"/>
      <c r="BK919" s="115"/>
      <c r="BL919" s="115"/>
      <c r="BM919" s="115"/>
      <c r="BN919" s="115"/>
      <c r="BO919" s="115"/>
      <c r="BP919" s="115"/>
      <c r="BQ919" s="115"/>
      <c r="BR919" s="115"/>
      <c r="BS919" s="115"/>
      <c r="BT919" s="115"/>
      <c r="BU919" s="115"/>
      <c r="BV919" s="115"/>
      <c r="BW919" s="115"/>
      <c r="BX919" s="115"/>
      <c r="BY919" s="115"/>
      <c r="BZ919" s="115"/>
      <c r="CA919" s="115"/>
      <c r="CB919" s="115"/>
      <c r="CC919" s="115"/>
      <c r="CD919" s="115"/>
      <c r="CE919" s="115"/>
      <c r="CF919" s="115"/>
      <c r="CG919" s="115"/>
      <c r="CH919" s="115"/>
      <c r="CI919" s="115"/>
      <c r="CJ919" s="115"/>
      <c r="CK919" s="115"/>
      <c r="CL919" s="115"/>
      <c r="CM919" s="115"/>
      <c r="CN919" s="115"/>
      <c r="CO919" s="115"/>
      <c r="CP919" s="115"/>
    </row>
    <row r="920" ht="15.75" customHeight="1">
      <c r="A920" s="47" t="s">
        <v>4467</v>
      </c>
      <c r="B920" s="115"/>
      <c r="C920" s="116" t="s">
        <v>267</v>
      </c>
      <c r="D920" s="162" t="s">
        <v>4468</v>
      </c>
      <c r="E920" s="192" t="s">
        <v>3472</v>
      </c>
      <c r="F920" s="389" t="s">
        <v>3473</v>
      </c>
      <c r="G920" s="119" t="s">
        <v>4469</v>
      </c>
      <c r="H920" s="119" t="s">
        <v>4470</v>
      </c>
      <c r="I920" s="25" t="s">
        <v>129</v>
      </c>
      <c r="J920" s="120" t="s">
        <v>4471</v>
      </c>
      <c r="K920" s="25">
        <v>2.0</v>
      </c>
      <c r="L920" s="25">
        <v>2018.0</v>
      </c>
      <c r="M920" s="25">
        <f t="shared" si="664"/>
        <v>7</v>
      </c>
      <c r="N920" s="26">
        <f t="shared" si="665"/>
        <v>2</v>
      </c>
      <c r="O920" s="27" t="str">
        <f t="shared" si="3"/>
        <v>#N/A</v>
      </c>
      <c r="P920" s="28"/>
      <c r="Q920" s="28"/>
      <c r="R920" s="28"/>
      <c r="S920" s="28"/>
      <c r="T920" s="29">
        <f t="shared" si="666"/>
        <v>564285.7143</v>
      </c>
      <c r="U920" s="28"/>
      <c r="V920" s="30">
        <f t="shared" si="425"/>
        <v>3950000</v>
      </c>
      <c r="W920" s="30"/>
      <c r="X920" s="597"/>
      <c r="Y920" s="33">
        <f t="shared" si="667"/>
        <v>0.230304673</v>
      </c>
      <c r="Z920" s="692"/>
      <c r="AA920" s="665"/>
      <c r="AB920" s="123"/>
      <c r="AC920" s="123"/>
      <c r="AD920" s="455" t="str">
        <f>HYPERLINK("https://www.crunchbase.com/funding_round/soil-connect-pre-seed--2b2e7d4e","May 1, 2019")</f>
        <v>May 1, 2019</v>
      </c>
      <c r="AE920" s="127">
        <v>750000.0</v>
      </c>
      <c r="AF920" s="194" t="str">
        <f>HYPERLINK("https://www.crunchbase.com/funding_round/soil-connect-seed--1ed302ae","Jun 16, 2020")</f>
        <v>Jun 16, 2020</v>
      </c>
      <c r="AG920" s="127">
        <v>3200000.0</v>
      </c>
      <c r="AH920" s="123"/>
      <c r="AI920" s="128"/>
      <c r="AJ920" s="195"/>
      <c r="AK920" s="730"/>
      <c r="AL920" s="195"/>
      <c r="AM920" s="730"/>
      <c r="AN920" s="195"/>
      <c r="AO920" s="730"/>
      <c r="AP920" s="195"/>
      <c r="AQ920" s="730"/>
      <c r="AR920" s="195"/>
      <c r="AS920" s="197"/>
      <c r="AT920" s="124"/>
      <c r="AU920" s="137"/>
      <c r="AV920" s="124"/>
      <c r="AW920" s="38"/>
      <c r="AX920" s="124"/>
      <c r="AY920" s="38"/>
      <c r="AZ920" s="124"/>
      <c r="BA920" s="137"/>
      <c r="BB920" s="124"/>
      <c r="BC920" s="137"/>
      <c r="BD920" s="124"/>
      <c r="BE920" s="38"/>
      <c r="BF920" s="123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</row>
    <row r="921" ht="15.75" customHeight="1">
      <c r="A921" s="21" t="s">
        <v>4472</v>
      </c>
      <c r="B921" s="69"/>
      <c r="C921" s="69" t="s">
        <v>4115</v>
      </c>
      <c r="D921" s="138" t="s">
        <v>4473</v>
      </c>
      <c r="E921" s="138" t="s">
        <v>4474</v>
      </c>
      <c r="F921" s="173" t="s">
        <v>4475</v>
      </c>
      <c r="G921" s="71"/>
      <c r="H921" s="186"/>
      <c r="I921" s="74"/>
      <c r="J921" s="155"/>
      <c r="K921" s="74" t="s">
        <v>723</v>
      </c>
      <c r="L921" s="26">
        <v>2018.0</v>
      </c>
      <c r="M921" s="25">
        <f t="shared" si="664"/>
        <v>7</v>
      </c>
      <c r="N921" s="26">
        <f t="shared" si="665"/>
        <v>1</v>
      </c>
      <c r="O921" s="27" t="str">
        <f t="shared" si="3"/>
        <v>#N/A</v>
      </c>
      <c r="P921" s="28"/>
      <c r="Q921" s="28"/>
      <c r="R921" s="28"/>
      <c r="S921" s="28"/>
      <c r="T921" s="29">
        <f t="shared" si="666"/>
        <v>557142.8571</v>
      </c>
      <c r="U921" s="28"/>
      <c r="V921" s="30">
        <f t="shared" si="425"/>
        <v>3900000</v>
      </c>
      <c r="W921" s="30"/>
      <c r="X921" s="32"/>
      <c r="Y921" s="33">
        <f t="shared" si="667"/>
        <v>0</v>
      </c>
      <c r="Z921" s="692"/>
      <c r="AA921" s="665"/>
      <c r="AB921" s="74"/>
      <c r="AC921" s="74"/>
      <c r="AD921" s="37"/>
      <c r="AE921" s="38"/>
      <c r="AF921" s="918" t="str">
        <f>HYPERLINK("https://www.crunchbase.com/funding_round/dottid-seed--7e2f59292"," 1/13/2020")</f>
        <v> 1/13/2020</v>
      </c>
      <c r="AG921" s="1002">
        <v>3900000.0</v>
      </c>
      <c r="AH921" s="36"/>
      <c r="AI921" s="159"/>
      <c r="AJ921" s="44"/>
      <c r="AK921" s="46"/>
      <c r="AL921" s="44"/>
      <c r="AM921" s="46"/>
      <c r="AN921" s="44"/>
      <c r="AO921" s="46"/>
      <c r="AP921" s="44"/>
      <c r="AQ921" s="46"/>
      <c r="AR921" s="44"/>
      <c r="AS921" s="44"/>
      <c r="AT921" s="44"/>
      <c r="AU921" s="45"/>
      <c r="AV921" s="44"/>
      <c r="AW921" s="38"/>
      <c r="AX921" s="44"/>
      <c r="AY921" s="38"/>
      <c r="AZ921" s="44"/>
      <c r="BA921" s="45"/>
      <c r="BB921" s="44"/>
      <c r="BC921" s="45"/>
      <c r="BD921" s="44"/>
      <c r="BE921" s="38"/>
      <c r="BF921" s="36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68"/>
      <c r="CA921" s="68"/>
      <c r="CB921" s="68"/>
      <c r="CC921" s="68"/>
      <c r="CD921" s="68"/>
      <c r="CE921" s="68"/>
      <c r="CF921" s="68"/>
      <c r="CG921" s="68"/>
      <c r="CH921" s="68"/>
      <c r="CI921" s="68"/>
      <c r="CJ921" s="68"/>
      <c r="CK921" s="68"/>
      <c r="CL921" s="68"/>
      <c r="CM921" s="68"/>
      <c r="CN921" s="68"/>
      <c r="CO921" s="68"/>
      <c r="CP921" s="68"/>
    </row>
    <row r="922" ht="15.75" customHeight="1">
      <c r="A922" s="48" t="s">
        <v>4476</v>
      </c>
      <c r="B922" s="68"/>
      <c r="C922" s="69" t="s">
        <v>76</v>
      </c>
      <c r="D922" s="48"/>
      <c r="E922" s="192" t="s">
        <v>4477</v>
      </c>
      <c r="F922" s="118" t="s">
        <v>4478</v>
      </c>
      <c r="G922" s="71"/>
      <c r="H922" s="71" t="s">
        <v>328</v>
      </c>
      <c r="I922" s="26" t="s">
        <v>329</v>
      </c>
      <c r="J922" s="72"/>
      <c r="K922" s="26"/>
      <c r="L922" s="26">
        <v>2015.0</v>
      </c>
      <c r="M922" s="25"/>
      <c r="N922" s="26"/>
      <c r="O922" s="27" t="str">
        <f t="shared" si="3"/>
        <v>#N/A</v>
      </c>
      <c r="P922" s="273"/>
      <c r="Q922" s="273"/>
      <c r="R922" s="273"/>
      <c r="S922" s="273"/>
      <c r="T922" s="273"/>
      <c r="U922" s="273"/>
      <c r="V922" s="30">
        <f t="shared" si="425"/>
        <v>3900000</v>
      </c>
      <c r="W922" s="30"/>
      <c r="X922" s="73"/>
      <c r="Y922" s="73"/>
      <c r="Z922" s="692"/>
      <c r="AA922" s="665"/>
      <c r="AB922" s="74"/>
      <c r="AC922" s="74"/>
      <c r="AD922" s="79"/>
      <c r="AE922" s="84"/>
      <c r="AF922" s="338"/>
      <c r="AG922" s="76"/>
      <c r="AH922" s="74"/>
      <c r="AI922" s="78"/>
      <c r="AJ922" s="426" t="str">
        <f>HYPERLINK("https://www.crunchbase.com/funding_round/shojin-property-partners-series-a--7ec47cfc","Apr 7, 2022")</f>
        <v>Apr 7, 2022</v>
      </c>
      <c r="AK922" s="76">
        <v>3900000.0</v>
      </c>
      <c r="AL922" s="279"/>
      <c r="AM922" s="76"/>
      <c r="AN922" s="79"/>
      <c r="AO922" s="84"/>
      <c r="AP922" s="79"/>
      <c r="AQ922" s="84"/>
      <c r="AR922" s="79"/>
      <c r="AS922" s="79"/>
      <c r="AT922" s="79"/>
      <c r="AU922" s="80"/>
      <c r="AV922" s="79"/>
      <c r="AW922" s="38"/>
      <c r="AX922" s="79"/>
      <c r="AY922" s="38"/>
      <c r="AZ922" s="79"/>
      <c r="BA922" s="80"/>
      <c r="BB922" s="79"/>
      <c r="BC922" s="80"/>
      <c r="BD922" s="79"/>
      <c r="BE922" s="38"/>
      <c r="BF922" s="74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68"/>
      <c r="CA922" s="68"/>
      <c r="CB922" s="68"/>
      <c r="CC922" s="68"/>
      <c r="CD922" s="68"/>
      <c r="CE922" s="68"/>
      <c r="CF922" s="68"/>
      <c r="CG922" s="68"/>
      <c r="CH922" s="68"/>
      <c r="CI922" s="68"/>
      <c r="CJ922" s="68"/>
      <c r="CK922" s="68"/>
      <c r="CL922" s="68"/>
      <c r="CM922" s="68"/>
      <c r="CN922" s="68"/>
      <c r="CO922" s="68"/>
      <c r="CP922" s="68"/>
    </row>
    <row r="923" ht="15.75" customHeight="1">
      <c r="A923" s="400" t="s">
        <v>4479</v>
      </c>
      <c r="B923" s="115"/>
      <c r="C923" s="116" t="s">
        <v>76</v>
      </c>
      <c r="D923" s="449"/>
      <c r="E923" s="401" t="s">
        <v>4480</v>
      </c>
      <c r="F923" s="402" t="s">
        <v>4481</v>
      </c>
      <c r="G923" s="286"/>
      <c r="H923" s="119" t="s">
        <v>328</v>
      </c>
      <c r="I923" s="25" t="s">
        <v>329</v>
      </c>
      <c r="J923" s="1326"/>
      <c r="K923" s="25">
        <v>3.0</v>
      </c>
      <c r="L923" s="25">
        <v>2017.0</v>
      </c>
      <c r="M923" s="123"/>
      <c r="N923" s="123"/>
      <c r="O923" s="27" t="str">
        <f t="shared" si="3"/>
        <v>#N/A</v>
      </c>
      <c r="P923" s="55"/>
      <c r="Q923" s="55"/>
      <c r="R923" s="55"/>
      <c r="S923" s="55"/>
      <c r="T923" s="55"/>
      <c r="U923" s="55"/>
      <c r="V923" s="30">
        <f t="shared" si="425"/>
        <v>3900000</v>
      </c>
      <c r="W923" s="30"/>
      <c r="X923" s="403"/>
      <c r="Y923" s="403"/>
      <c r="Z923" s="692"/>
      <c r="AA923" s="665"/>
      <c r="AB923" s="123"/>
      <c r="AC923" s="123"/>
      <c r="AD923" s="404">
        <v>43710.0</v>
      </c>
      <c r="AE923" s="335">
        <v>1500000.0</v>
      </c>
      <c r="AF923" s="880">
        <v>44874.0</v>
      </c>
      <c r="AG923" s="1342">
        <v>2400000.0</v>
      </c>
      <c r="AH923" s="123"/>
      <c r="AI923" s="123"/>
      <c r="AJ923" s="123"/>
      <c r="AK923" s="123"/>
      <c r="AL923" s="123"/>
      <c r="AM923" s="123"/>
      <c r="AN923" s="123"/>
      <c r="AO923" s="123"/>
      <c r="AP923" s="123"/>
      <c r="AQ923" s="123"/>
      <c r="AR923" s="123"/>
      <c r="AS923" s="123"/>
      <c r="AT923" s="123"/>
      <c r="AU923" s="137"/>
      <c r="AV923" s="123"/>
      <c r="AW923" s="38"/>
      <c r="AX923" s="123"/>
      <c r="AY923" s="38"/>
      <c r="AZ923" s="123"/>
      <c r="BA923" s="137"/>
      <c r="BB923" s="123"/>
      <c r="BC923" s="137"/>
      <c r="BD923" s="123"/>
      <c r="BE923" s="38"/>
      <c r="BF923" s="123"/>
      <c r="BG923" s="115"/>
      <c r="BH923" s="115"/>
      <c r="BI923" s="115"/>
      <c r="BJ923" s="115"/>
      <c r="BK923" s="115"/>
      <c r="BL923" s="115"/>
      <c r="BM923" s="115"/>
      <c r="BN923" s="115"/>
      <c r="BO923" s="115"/>
      <c r="BP923" s="115"/>
      <c r="BQ923" s="115"/>
      <c r="BR923" s="115"/>
      <c r="BS923" s="115"/>
      <c r="BT923" s="115"/>
      <c r="BU923" s="115"/>
      <c r="BV923" s="115"/>
      <c r="BW923" s="115"/>
      <c r="BX923" s="115"/>
      <c r="BY923" s="115"/>
      <c r="BZ923" s="115"/>
      <c r="CA923" s="115"/>
      <c r="CB923" s="115"/>
      <c r="CC923" s="115"/>
      <c r="CD923" s="115"/>
      <c r="CE923" s="115"/>
      <c r="CF923" s="115"/>
      <c r="CG923" s="115"/>
      <c r="CH923" s="115"/>
      <c r="CI923" s="115"/>
      <c r="CJ923" s="115"/>
      <c r="CK923" s="115"/>
      <c r="CL923" s="115"/>
      <c r="CM923" s="115"/>
      <c r="CN923" s="115"/>
      <c r="CO923" s="115"/>
      <c r="CP923" s="115"/>
    </row>
    <row r="924" ht="15.75" customHeight="1">
      <c r="A924" s="21" t="s">
        <v>4482</v>
      </c>
      <c r="B924" s="68"/>
      <c r="C924" s="69" t="s">
        <v>190</v>
      </c>
      <c r="D924" s="138" t="s">
        <v>4483</v>
      </c>
      <c r="E924" s="138" t="s">
        <v>4484</v>
      </c>
      <c r="F924" s="173" t="s">
        <v>4485</v>
      </c>
      <c r="G924" s="186"/>
      <c r="H924" s="71" t="s">
        <v>365</v>
      </c>
      <c r="I924" s="26" t="s">
        <v>65</v>
      </c>
      <c r="J924" s="155"/>
      <c r="K924" s="26">
        <v>2.0</v>
      </c>
      <c r="L924" s="26">
        <v>2019.0</v>
      </c>
      <c r="M924" s="25">
        <f>year(now()) -L924</f>
        <v>6</v>
      </c>
      <c r="N924" s="26">
        <f>counta(AE924,AG924,AI924,AK924,AM924,AO924,AQ924,AS924,AU924,AW924,AY924,BA924,BC924)</f>
        <v>2</v>
      </c>
      <c r="O924" s="27" t="str">
        <f t="shared" si="3"/>
        <v>#N/A</v>
      </c>
      <c r="P924" s="28"/>
      <c r="Q924" s="28"/>
      <c r="R924" s="28"/>
      <c r="S924" s="28"/>
      <c r="T924" s="29">
        <f>V924/M924</f>
        <v>633333.3333</v>
      </c>
      <c r="U924" s="28"/>
      <c r="V924" s="30">
        <f t="shared" si="425"/>
        <v>3800000</v>
      </c>
      <c r="W924" s="30"/>
      <c r="X924" s="73"/>
      <c r="Y924" s="33">
        <f>(max(AE924,AG924,AI924,AK924,AM924,AO924,AQ924,AS924,AU924,AW924,AY924,BA924,BC924)/min(AE924,AG924,AI924,AK924))^(1/M924)-1</f>
        <v>0.2464414358</v>
      </c>
      <c r="Z924" s="692"/>
      <c r="AA924" s="665"/>
      <c r="AB924" s="74"/>
      <c r="AC924" s="74"/>
      <c r="AD924" s="43" t="str">
        <f>HYPERLINK("https://www.crunchbase.com/funding_round/elude-2-pre-seed--9b09330d","Feb 1, 2021")</f>
        <v>Feb 1, 2021</v>
      </c>
      <c r="AE924" s="38">
        <v>800000.0</v>
      </c>
      <c r="AF924" s="158" t="str">
        <f>HYPERLINK("https://www.crunchbase.com/funding_round/elude-2-seed--867aaaa6","Nov 17, 2021")</f>
        <v>Nov 17, 2021</v>
      </c>
      <c r="AG924" s="1141">
        <v>3000000.0</v>
      </c>
      <c r="AH924" s="36"/>
      <c r="AI924" s="159"/>
      <c r="AJ924" s="44"/>
      <c r="AK924" s="46"/>
      <c r="AL924" s="44"/>
      <c r="AM924" s="1052"/>
      <c r="AN924" s="44"/>
      <c r="AO924" s="46"/>
      <c r="AP924" s="44"/>
      <c r="AQ924" s="46"/>
      <c r="AR924" s="44"/>
      <c r="AS924" s="44"/>
      <c r="AT924" s="44"/>
      <c r="AU924" s="45"/>
      <c r="AV924" s="44"/>
      <c r="AW924" s="38"/>
      <c r="AX924" s="44"/>
      <c r="AY924" s="38"/>
      <c r="AZ924" s="44"/>
      <c r="BA924" s="45"/>
      <c r="BB924" s="44"/>
      <c r="BC924" s="45"/>
      <c r="BD924" s="44"/>
      <c r="BE924" s="38"/>
      <c r="BF924" s="36"/>
      <c r="BG924" s="582"/>
      <c r="BH924" s="582"/>
      <c r="BI924" s="582"/>
      <c r="BJ924" s="582"/>
      <c r="BK924" s="582"/>
      <c r="BL924" s="582"/>
      <c r="BM924" s="582"/>
      <c r="BN924" s="582"/>
      <c r="BO924" s="582"/>
      <c r="BP924" s="582"/>
      <c r="BQ924" s="582"/>
      <c r="BR924" s="582"/>
      <c r="BS924" s="582"/>
      <c r="BT924" s="582"/>
      <c r="BU924" s="582"/>
      <c r="BV924" s="582"/>
      <c r="BW924" s="582"/>
      <c r="BX924" s="582"/>
      <c r="BY924" s="582"/>
      <c r="BZ924" s="582"/>
      <c r="CA924" s="582"/>
      <c r="CB924" s="582"/>
      <c r="CC924" s="582"/>
      <c r="CD924" s="582"/>
      <c r="CE924" s="582"/>
      <c r="CF924" s="582"/>
      <c r="CG924" s="582"/>
      <c r="CH924" s="582"/>
      <c r="CI924" s="582"/>
      <c r="CJ924" s="582"/>
      <c r="CK924" s="582"/>
      <c r="CL924" s="582"/>
      <c r="CM924" s="582"/>
      <c r="CN924" s="582"/>
      <c r="CO924" s="582"/>
      <c r="CP924" s="582"/>
    </row>
    <row r="925" ht="15.75" customHeight="1">
      <c r="A925" s="400" t="s">
        <v>4486</v>
      </c>
      <c r="B925" s="115"/>
      <c r="C925" s="116" t="s">
        <v>84</v>
      </c>
      <c r="D925" s="50" t="s">
        <v>4487</v>
      </c>
      <c r="E925" s="50" t="s">
        <v>4488</v>
      </c>
      <c r="F925" s="70" t="s">
        <v>4489</v>
      </c>
      <c r="G925" s="119" t="s">
        <v>4490</v>
      </c>
      <c r="H925" s="119" t="s">
        <v>1065</v>
      </c>
      <c r="I925" s="25" t="s">
        <v>639</v>
      </c>
      <c r="J925" s="25" t="s">
        <v>4491</v>
      </c>
      <c r="K925" s="25">
        <v>1.0</v>
      </c>
      <c r="L925" s="25">
        <v>2018.0</v>
      </c>
      <c r="M925" s="25"/>
      <c r="N925" s="25"/>
      <c r="O925" s="27" t="str">
        <f t="shared" si="3"/>
        <v>#N/A</v>
      </c>
      <c r="P925" s="356"/>
      <c r="Q925" s="356"/>
      <c r="R925" s="356"/>
      <c r="S925" s="356"/>
      <c r="T925" s="356"/>
      <c r="U925" s="356"/>
      <c r="V925" s="30">
        <f t="shared" si="425"/>
        <v>3701800</v>
      </c>
      <c r="W925" s="30"/>
      <c r="X925" s="597"/>
      <c r="Y925" s="597"/>
      <c r="Z925" s="692"/>
      <c r="AA925" s="665"/>
      <c r="AB925" s="123"/>
      <c r="AC925" s="123"/>
      <c r="AD925" s="124"/>
      <c r="AE925" s="125"/>
      <c r="AF925" s="728">
        <v>44477.0</v>
      </c>
      <c r="AG925" s="127">
        <v>801800.0</v>
      </c>
      <c r="AH925" s="123"/>
      <c r="AI925" s="128"/>
      <c r="AJ925" s="171">
        <v>44852.0</v>
      </c>
      <c r="AK925" s="127">
        <v>2900000.0</v>
      </c>
      <c r="AL925" s="124"/>
      <c r="AM925" s="125"/>
      <c r="AN925" s="124"/>
      <c r="AO925" s="125"/>
      <c r="AP925" s="124"/>
      <c r="AQ925" s="125"/>
      <c r="AR925" s="124"/>
      <c r="AS925" s="124"/>
      <c r="AT925" s="124"/>
      <c r="AU925" s="137"/>
      <c r="AV925" s="124"/>
      <c r="AW925" s="38"/>
      <c r="AX925" s="124"/>
      <c r="AY925" s="38"/>
      <c r="AZ925" s="124"/>
      <c r="BA925" s="137"/>
      <c r="BB925" s="124"/>
      <c r="BC925" s="137"/>
      <c r="BD925" s="124"/>
      <c r="BE925" s="38"/>
      <c r="BF925" s="123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  <c r="BR925" s="68"/>
      <c r="BS925" s="68"/>
      <c r="BT925" s="68"/>
      <c r="BU925" s="68"/>
      <c r="BV925" s="68"/>
      <c r="BW925" s="68"/>
      <c r="BX925" s="68"/>
      <c r="BY925" s="68"/>
      <c r="BZ925" s="68"/>
      <c r="CA925" s="68"/>
      <c r="CB925" s="68"/>
      <c r="CC925" s="68"/>
      <c r="CD925" s="68"/>
      <c r="CE925" s="68"/>
      <c r="CF925" s="68"/>
      <c r="CG925" s="68"/>
      <c r="CH925" s="68"/>
      <c r="CI925" s="68"/>
      <c r="CJ925" s="68"/>
      <c r="CK925" s="68"/>
      <c r="CL925" s="68"/>
      <c r="CM925" s="68"/>
      <c r="CN925" s="68"/>
      <c r="CO925" s="68"/>
      <c r="CP925" s="68"/>
    </row>
    <row r="926" ht="15.75" customHeight="1">
      <c r="A926" s="442" t="s">
        <v>4492</v>
      </c>
      <c r="B926" s="174" t="s">
        <v>4493</v>
      </c>
      <c r="C926" s="69" t="s">
        <v>1186</v>
      </c>
      <c r="D926" s="184" t="s">
        <v>4494</v>
      </c>
      <c r="E926" s="184" t="s">
        <v>4495</v>
      </c>
      <c r="F926" s="417" t="s">
        <v>4496</v>
      </c>
      <c r="G926" s="186" t="s">
        <v>4497</v>
      </c>
      <c r="H926" s="186" t="s">
        <v>4498</v>
      </c>
      <c r="I926" s="26" t="s">
        <v>1088</v>
      </c>
      <c r="J926" s="155">
        <v>22102.0</v>
      </c>
      <c r="K926" s="74">
        <v>2.0</v>
      </c>
      <c r="L926" s="26">
        <v>2017.0</v>
      </c>
      <c r="M926" s="25">
        <f>year(now()) -L926</f>
        <v>8</v>
      </c>
      <c r="N926" s="26">
        <f>counta(AE926,AG926,AI926,AK926,AM926,AO926,AQ926,AS926,AU926,AW926,AY926,BA926,BC926)</f>
        <v>1</v>
      </c>
      <c r="O926" s="27" t="str">
        <f t="shared" si="3"/>
        <v>#N/A</v>
      </c>
      <c r="P926" s="28"/>
      <c r="Q926" s="28"/>
      <c r="R926" s="28"/>
      <c r="S926" s="28"/>
      <c r="T926" s="29">
        <f>V926/M926</f>
        <v>462500</v>
      </c>
      <c r="U926" s="28"/>
      <c r="V926" s="30">
        <f t="shared" si="425"/>
        <v>3700000</v>
      </c>
      <c r="W926" s="30"/>
      <c r="X926" s="32"/>
      <c r="Y926" s="33">
        <f>(max(AE926,AG926,AI926,AK926,AM926,AO926,AQ926,AS926,AU926,AW926,AY926,BA926,BC926)/min(AE926,AG926,AI926,AK926))^(1/M926)-1</f>
        <v>0</v>
      </c>
      <c r="Z926" s="692"/>
      <c r="AA926" s="665"/>
      <c r="AB926" s="74" t="s">
        <v>499</v>
      </c>
      <c r="AC926" s="74"/>
      <c r="AD926" s="79"/>
      <c r="AE926" s="84"/>
      <c r="AF926" s="175" t="str">
        <f>HYPERLINK("https://www.crunchbase.com/organization/realatom#section-funding-rounds"," Jun 7, 2018")</f>
        <v> Jun 7, 2018</v>
      </c>
      <c r="AG926" s="84">
        <v>3700000.0</v>
      </c>
      <c r="AH926" s="74"/>
      <c r="AI926" s="78"/>
      <c r="AJ926" s="79"/>
      <c r="AK926" s="84"/>
      <c r="AL926" s="79"/>
      <c r="AM926" s="84"/>
      <c r="AN926" s="79"/>
      <c r="AO926" s="84"/>
      <c r="AP926" s="79"/>
      <c r="AQ926" s="84"/>
      <c r="AR926" s="79"/>
      <c r="AS926" s="79"/>
      <c r="AT926" s="79"/>
      <c r="AU926" s="80"/>
      <c r="AV926" s="79"/>
      <c r="AW926" s="38"/>
      <c r="AX926" s="79"/>
      <c r="AY926" s="38"/>
      <c r="AZ926" s="79"/>
      <c r="BA926" s="80"/>
      <c r="BB926" s="79"/>
      <c r="BC926" s="80"/>
      <c r="BD926" s="79"/>
      <c r="BE926" s="38"/>
      <c r="BF926" s="74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68"/>
      <c r="CA926" s="68"/>
      <c r="CB926" s="68"/>
      <c r="CC926" s="68"/>
      <c r="CD926" s="68"/>
      <c r="CE926" s="68"/>
      <c r="CF926" s="68"/>
      <c r="CG926" s="68"/>
      <c r="CH926" s="68"/>
      <c r="CI926" s="68"/>
      <c r="CJ926" s="68"/>
      <c r="CK926" s="68"/>
      <c r="CL926" s="68"/>
      <c r="CM926" s="68"/>
      <c r="CN926" s="68"/>
      <c r="CO926" s="68"/>
      <c r="CP926" s="68"/>
    </row>
    <row r="927" ht="15.75" customHeight="1">
      <c r="A927" s="47" t="s">
        <v>4499</v>
      </c>
      <c r="C927" s="48" t="s">
        <v>207</v>
      </c>
      <c r="D927" s="351"/>
      <c r="E927" s="49" t="s">
        <v>4500</v>
      </c>
      <c r="F927" s="352" t="s">
        <v>4501</v>
      </c>
      <c r="G927" s="353"/>
      <c r="H927" s="53" t="s">
        <v>328</v>
      </c>
      <c r="I927" s="54" t="s">
        <v>329</v>
      </c>
      <c r="J927" s="55"/>
      <c r="K927" s="54">
        <v>1.0</v>
      </c>
      <c r="L927" s="56">
        <v>2021.0</v>
      </c>
      <c r="M927" s="55"/>
      <c r="N927" s="55"/>
      <c r="O927" s="27" t="str">
        <f t="shared" si="3"/>
        <v>#N/A</v>
      </c>
      <c r="P927" s="55"/>
      <c r="Q927" s="55"/>
      <c r="R927" s="55"/>
      <c r="S927" s="55"/>
      <c r="T927" s="55"/>
      <c r="U927" s="55"/>
      <c r="V927" s="30">
        <f t="shared" si="425"/>
        <v>3690000</v>
      </c>
      <c r="W927" s="30"/>
      <c r="X927" s="58"/>
      <c r="Y927" s="58"/>
      <c r="Z927" s="692"/>
      <c r="AA927" s="665"/>
      <c r="AB927" s="55"/>
      <c r="AC927" s="55"/>
      <c r="AD927" s="355"/>
      <c r="AE927" s="38"/>
      <c r="AF927" s="62">
        <v>45005.0</v>
      </c>
      <c r="AG927" s="38">
        <f>3000000*1.23</f>
        <v>3690000</v>
      </c>
      <c r="AH927" s="55"/>
      <c r="AI927" s="38"/>
      <c r="AJ927" s="55"/>
      <c r="AK927" s="38"/>
      <c r="AL927" s="55"/>
      <c r="AM927" s="38"/>
      <c r="AN927" s="55"/>
      <c r="AO927" s="38"/>
      <c r="AP927" s="356"/>
      <c r="AQ927" s="38"/>
      <c r="AR927" s="55"/>
      <c r="AS927" s="38"/>
      <c r="AT927" s="55"/>
      <c r="AU927" s="38"/>
      <c r="AV927" s="55"/>
      <c r="AW927" s="38"/>
      <c r="AX927" s="55"/>
      <c r="AY927" s="38"/>
      <c r="AZ927" s="55"/>
      <c r="BA927" s="38"/>
      <c r="BB927" s="55"/>
      <c r="BC927" s="38"/>
      <c r="BD927" s="55"/>
      <c r="BE927" s="38"/>
      <c r="BF927" s="55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  <c r="BR927" s="68"/>
      <c r="BS927" s="68"/>
      <c r="BT927" s="68"/>
      <c r="BU927" s="68"/>
      <c r="BV927" s="68"/>
      <c r="BW927" s="68"/>
      <c r="BX927" s="68"/>
      <c r="BY927" s="68"/>
      <c r="BZ927" s="68"/>
      <c r="CA927" s="68"/>
      <c r="CB927" s="68"/>
      <c r="CC927" s="68"/>
      <c r="CD927" s="68"/>
      <c r="CE927" s="68"/>
      <c r="CF927" s="68"/>
      <c r="CG927" s="68"/>
      <c r="CH927" s="68"/>
      <c r="CI927" s="68"/>
      <c r="CJ927" s="68"/>
      <c r="CK927" s="68"/>
      <c r="CL927" s="68"/>
      <c r="CM927" s="68"/>
      <c r="CN927" s="68"/>
      <c r="CO927" s="68"/>
      <c r="CP927" s="68"/>
    </row>
    <row r="928" ht="15.75" customHeight="1">
      <c r="A928" s="860" t="s">
        <v>4502</v>
      </c>
      <c r="B928" s="115"/>
      <c r="C928" s="694" t="s">
        <v>1007</v>
      </c>
      <c r="D928" s="192" t="s">
        <v>4503</v>
      </c>
      <c r="E928" s="192" t="s">
        <v>4504</v>
      </c>
      <c r="F928" s="118" t="s">
        <v>4505</v>
      </c>
      <c r="G928" s="286"/>
      <c r="H928" s="119" t="s">
        <v>4506</v>
      </c>
      <c r="I928" s="25" t="s">
        <v>4507</v>
      </c>
      <c r="J928" s="287"/>
      <c r="K928" s="25">
        <v>2.0</v>
      </c>
      <c r="L928" s="25">
        <v>2017.0</v>
      </c>
      <c r="M928" s="25">
        <f>year(now()) -L928</f>
        <v>8</v>
      </c>
      <c r="N928" s="26">
        <f>counta(AE928,AG928,AI928,AK928,AM928,AO928,AQ928,AS928,AU928,AW928,AY928,BA928,BC928)</f>
        <v>2</v>
      </c>
      <c r="O928" s="27" t="str">
        <f t="shared" si="3"/>
        <v>#N/A</v>
      </c>
      <c r="P928" s="28"/>
      <c r="Q928" s="28"/>
      <c r="R928" s="28"/>
      <c r="S928" s="28"/>
      <c r="T928" s="29">
        <f>V928/M928</f>
        <v>456250</v>
      </c>
      <c r="U928" s="28"/>
      <c r="V928" s="30">
        <f t="shared" si="425"/>
        <v>3650000</v>
      </c>
      <c r="W928" s="30"/>
      <c r="X928" s="597"/>
      <c r="Y928" s="33">
        <f>(max(AE928,AG928,AI928,AK928,AM928,AO928,AQ928,AS928,AU928,AW928,AY928,BA928,BC928)/min(AE928,AG928,AI928,AK928))^(1/M928)-1</f>
        <v>0.7067368368</v>
      </c>
      <c r="Z928" s="692"/>
      <c r="AA928" s="665"/>
      <c r="AB928" s="123"/>
      <c r="AC928" s="123"/>
      <c r="AD928" s="455" t="str">
        <f>HYPERLINK("https://www.crunchbase.com/funding_round/rentcheck-pre-seed--17b7d6e5","Mar 29, 2019")</f>
        <v>Mar 29, 2019</v>
      </c>
      <c r="AE928" s="127">
        <v>50000.0</v>
      </c>
      <c r="AF928" s="126" t="str">
        <f>HYPERLINK("https://www.crunchbase.com/funding_round/rentcheck-seed--fe22d8be","Aug 9, 2021")</f>
        <v>Aug 9, 2021</v>
      </c>
      <c r="AG928" s="127">
        <v>3600000.0</v>
      </c>
      <c r="AH928" s="123"/>
      <c r="AI928" s="128"/>
      <c r="AJ928" s="124"/>
      <c r="AK928" s="125"/>
      <c r="AL928" s="124"/>
      <c r="AM928" s="125"/>
      <c r="AN928" s="124"/>
      <c r="AO928" s="125"/>
      <c r="AP928" s="124"/>
      <c r="AQ928" s="125"/>
      <c r="AR928" s="124"/>
      <c r="AS928" s="124"/>
      <c r="AT928" s="124"/>
      <c r="AU928" s="137"/>
      <c r="AV928" s="124"/>
      <c r="AW928" s="38"/>
      <c r="AX928" s="124"/>
      <c r="AY928" s="38"/>
      <c r="AZ928" s="124"/>
      <c r="BA928" s="137"/>
      <c r="BB928" s="124"/>
      <c r="BC928" s="137"/>
      <c r="BD928" s="124"/>
      <c r="BE928" s="38"/>
      <c r="BF928" s="123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68"/>
      <c r="CA928" s="68"/>
      <c r="CB928" s="68"/>
      <c r="CC928" s="68"/>
      <c r="CD928" s="68"/>
      <c r="CE928" s="68"/>
      <c r="CF928" s="68"/>
      <c r="CG928" s="68"/>
      <c r="CH928" s="68"/>
      <c r="CI928" s="68"/>
      <c r="CJ928" s="68"/>
      <c r="CK928" s="68"/>
      <c r="CL928" s="68"/>
      <c r="CM928" s="68"/>
      <c r="CN928" s="68"/>
      <c r="CO928" s="68"/>
      <c r="CP928" s="68"/>
    </row>
    <row r="929" ht="15.75" customHeight="1">
      <c r="A929" s="21" t="s">
        <v>4508</v>
      </c>
      <c r="B929" s="68"/>
      <c r="C929" s="116" t="s">
        <v>68</v>
      </c>
      <c r="D929" s="380"/>
      <c r="E929" s="796" t="s">
        <v>4509</v>
      </c>
      <c r="F929" s="565" t="s">
        <v>4510</v>
      </c>
      <c r="G929" s="140"/>
      <c r="H929" s="71" t="s">
        <v>256</v>
      </c>
      <c r="I929" s="26" t="s">
        <v>257</v>
      </c>
      <c r="J929" s="155"/>
      <c r="K929" s="26"/>
      <c r="L929" s="26">
        <v>2021.0</v>
      </c>
      <c r="M929" s="25"/>
      <c r="N929" s="26"/>
      <c r="O929" s="27" t="str">
        <f t="shared" si="3"/>
        <v>#N/A</v>
      </c>
      <c r="P929" s="28"/>
      <c r="Q929" s="28"/>
      <c r="R929" s="28"/>
      <c r="S929" s="28"/>
      <c r="T929" s="28"/>
      <c r="U929" s="28"/>
      <c r="V929" s="30">
        <f t="shared" si="425"/>
        <v>3650000</v>
      </c>
      <c r="W929" s="30"/>
      <c r="X929" s="73"/>
      <c r="Y929" s="73"/>
      <c r="Z929" s="692"/>
      <c r="AA929" s="665"/>
      <c r="AB929" s="74"/>
      <c r="AC929" s="74"/>
      <c r="AD929" s="75">
        <v>44378.0</v>
      </c>
      <c r="AE929" s="76">
        <v>450000.0</v>
      </c>
      <c r="AF929" s="726">
        <v>44810.0</v>
      </c>
      <c r="AG929" s="76">
        <v>3200000.0</v>
      </c>
      <c r="AH929" s="74"/>
      <c r="AI929" s="78"/>
      <c r="AJ929" s="390"/>
      <c r="AK929" s="76"/>
      <c r="AL929" s="79"/>
      <c r="AM929" s="84"/>
      <c r="AN929" s="79"/>
      <c r="AO929" s="84"/>
      <c r="AP929" s="79"/>
      <c r="AQ929" s="84"/>
      <c r="AR929" s="79"/>
      <c r="AS929" s="79"/>
      <c r="AT929" s="79"/>
      <c r="AU929" s="80"/>
      <c r="AV929" s="79"/>
      <c r="AW929" s="38"/>
      <c r="AX929" s="79"/>
      <c r="AY929" s="38"/>
      <c r="AZ929" s="79"/>
      <c r="BA929" s="80"/>
      <c r="BB929" s="79"/>
      <c r="BC929" s="80"/>
      <c r="BD929" s="79"/>
      <c r="BE929" s="38"/>
      <c r="BF929" s="74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</row>
    <row r="930" ht="15.75" customHeight="1">
      <c r="A930" s="21" t="s">
        <v>4511</v>
      </c>
      <c r="B930" s="68"/>
      <c r="C930" s="69" t="s">
        <v>76</v>
      </c>
      <c r="D930" s="192" t="s">
        <v>4512</v>
      </c>
      <c r="E930" s="192" t="s">
        <v>4513</v>
      </c>
      <c r="F930" s="118" t="s">
        <v>4514</v>
      </c>
      <c r="G930" s="186"/>
      <c r="H930" s="71" t="s">
        <v>752</v>
      </c>
      <c r="I930" s="26" t="s">
        <v>753</v>
      </c>
      <c r="J930" s="155"/>
      <c r="K930" s="26">
        <v>3.0</v>
      </c>
      <c r="L930" s="26">
        <v>2016.0</v>
      </c>
      <c r="M930" s="25"/>
      <c r="N930" s="26"/>
      <c r="O930" s="27" t="str">
        <f t="shared" si="3"/>
        <v>#N/A</v>
      </c>
      <c r="P930" s="273"/>
      <c r="Q930" s="273"/>
      <c r="R930" s="273"/>
      <c r="S930" s="273"/>
      <c r="T930" s="273"/>
      <c r="U930" s="273"/>
      <c r="V930" s="30">
        <f t="shared" si="425"/>
        <v>3600000</v>
      </c>
      <c r="W930" s="30"/>
      <c r="X930" s="73"/>
      <c r="Y930" s="73"/>
      <c r="Z930" s="692"/>
      <c r="AA930" s="665"/>
      <c r="AB930" s="74"/>
      <c r="AC930" s="74"/>
      <c r="AD930" s="79"/>
      <c r="AE930" s="84"/>
      <c r="AF930" s="320" t="str">
        <f>HYPERLINK("https://www.crunchbase.com/funding_round/healthyworkers-seed--9d2e5739","Apr 14, 2022")</f>
        <v>Apr 14, 2022</v>
      </c>
      <c r="AG930" s="76">
        <v>3600000.0</v>
      </c>
      <c r="AH930" s="74"/>
      <c r="AI930" s="78"/>
      <c r="AJ930" s="42"/>
      <c r="AK930" s="76"/>
      <c r="AL930" s="42"/>
      <c r="AM930" s="76"/>
      <c r="AN930" s="79"/>
      <c r="AO930" s="84"/>
      <c r="AP930" s="79"/>
      <c r="AQ930" s="84"/>
      <c r="AR930" s="79"/>
      <c r="AS930" s="79"/>
      <c r="AT930" s="79"/>
      <c r="AU930" s="80"/>
      <c r="AV930" s="79"/>
      <c r="AW930" s="38"/>
      <c r="AX930" s="79"/>
      <c r="AY930" s="38"/>
      <c r="AZ930" s="79"/>
      <c r="BA930" s="80"/>
      <c r="BB930" s="79"/>
      <c r="BC930" s="80"/>
      <c r="BD930" s="79"/>
      <c r="BE930" s="38"/>
      <c r="BF930" s="74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  <c r="BR930" s="68"/>
      <c r="BS930" s="68"/>
      <c r="BT930" s="68"/>
      <c r="BU930" s="68"/>
      <c r="BV930" s="68"/>
      <c r="BW930" s="68"/>
      <c r="BX930" s="68"/>
      <c r="BY930" s="68"/>
      <c r="BZ930" s="68"/>
      <c r="CA930" s="68"/>
      <c r="CB930" s="68"/>
      <c r="CC930" s="68"/>
      <c r="CD930" s="68"/>
      <c r="CE930" s="68"/>
      <c r="CF930" s="68"/>
      <c r="CG930" s="68"/>
      <c r="CH930" s="68"/>
      <c r="CI930" s="68"/>
      <c r="CJ930" s="68"/>
      <c r="CK930" s="68"/>
      <c r="CL930" s="68"/>
      <c r="CM930" s="68"/>
      <c r="CN930" s="68"/>
      <c r="CO930" s="68"/>
      <c r="CP930" s="68"/>
    </row>
    <row r="931" ht="15.75" customHeight="1">
      <c r="A931" s="1421" t="s">
        <v>4515</v>
      </c>
      <c r="C931" s="48" t="s">
        <v>513</v>
      </c>
      <c r="E931" s="617" t="s">
        <v>4516</v>
      </c>
      <c r="F931" s="1422" t="s">
        <v>4517</v>
      </c>
      <c r="G931" s="353"/>
      <c r="H931" s="53" t="s">
        <v>619</v>
      </c>
      <c r="I931" s="54" t="s">
        <v>257</v>
      </c>
      <c r="J931" s="55"/>
      <c r="K931" s="55"/>
      <c r="L931" s="56">
        <v>2021.0</v>
      </c>
      <c r="M931" s="55"/>
      <c r="N931" s="55"/>
      <c r="O931" s="27" t="str">
        <f t="shared" si="3"/>
        <v>#N/A</v>
      </c>
      <c r="P931" s="55"/>
      <c r="Q931" s="55"/>
      <c r="R931" s="55"/>
      <c r="S931" s="55"/>
      <c r="T931" s="55"/>
      <c r="U931" s="55"/>
      <c r="V931" s="30">
        <f t="shared" si="425"/>
        <v>3600000</v>
      </c>
      <c r="W931" s="30"/>
      <c r="X931" s="58"/>
      <c r="Y931" s="58"/>
      <c r="Z931" s="692"/>
      <c r="AA931" s="665"/>
      <c r="AB931" s="55"/>
      <c r="AC931" s="55"/>
      <c r="AD931" s="355"/>
      <c r="AE931" s="38"/>
      <c r="AF931" s="62">
        <v>45008.0</v>
      </c>
      <c r="AG931" s="38">
        <v>1600000.0</v>
      </c>
      <c r="AH931" s="55"/>
      <c r="AI931" s="38"/>
      <c r="AJ931" s="55"/>
      <c r="AK931" s="38"/>
      <c r="AL931" s="55"/>
      <c r="AM931" s="38"/>
      <c r="AN931" s="55"/>
      <c r="AO931" s="38"/>
      <c r="AP931" s="356"/>
      <c r="AQ931" s="38"/>
      <c r="AR931" s="55"/>
      <c r="AS931" s="38"/>
      <c r="AT931" s="55"/>
      <c r="AU931" s="38"/>
      <c r="AV931" s="55"/>
      <c r="AW931" s="38"/>
      <c r="AX931" s="55"/>
      <c r="AY931" s="38"/>
      <c r="AZ931" s="55"/>
      <c r="BA931" s="38"/>
      <c r="BB931" s="62">
        <v>45008.0</v>
      </c>
      <c r="BC931" s="38">
        <v>2000000.0</v>
      </c>
      <c r="BD931" s="55"/>
      <c r="BE931" s="38"/>
      <c r="BF931" s="55"/>
      <c r="BG931" s="115"/>
      <c r="BH931" s="115"/>
      <c r="BI931" s="115"/>
      <c r="BJ931" s="115"/>
      <c r="BK931" s="115"/>
      <c r="BL931" s="115"/>
      <c r="BM931" s="115"/>
      <c r="BN931" s="115"/>
      <c r="BO931" s="115"/>
      <c r="BP931" s="115"/>
      <c r="BQ931" s="115"/>
      <c r="BR931" s="115"/>
      <c r="BS931" s="115"/>
      <c r="BT931" s="115"/>
      <c r="BU931" s="115"/>
      <c r="BV931" s="115"/>
      <c r="BW931" s="115"/>
      <c r="BX931" s="115"/>
      <c r="BY931" s="115"/>
      <c r="BZ931" s="115"/>
      <c r="CA931" s="115"/>
      <c r="CB931" s="115"/>
      <c r="CC931" s="115"/>
      <c r="CD931" s="115"/>
      <c r="CE931" s="115"/>
      <c r="CF931" s="115"/>
      <c r="CG931" s="115"/>
      <c r="CH931" s="115"/>
      <c r="CI931" s="115"/>
      <c r="CJ931" s="115"/>
      <c r="CK931" s="115"/>
      <c r="CL931" s="115"/>
      <c r="CM931" s="115"/>
      <c r="CN931" s="115"/>
      <c r="CO931" s="115"/>
      <c r="CP931" s="115"/>
    </row>
    <row r="932" ht="15.75" customHeight="1">
      <c r="A932" s="1353" t="s">
        <v>4518</v>
      </c>
      <c r="B932" s="1206"/>
      <c r="C932" s="1206" t="s">
        <v>207</v>
      </c>
      <c r="D932" s="1146" t="s">
        <v>4519</v>
      </c>
      <c r="E932" s="1207" t="s">
        <v>4520</v>
      </c>
      <c r="F932" s="1423" t="s">
        <v>4521</v>
      </c>
      <c r="G932" s="1149"/>
      <c r="H932" s="1210" t="s">
        <v>4522</v>
      </c>
      <c r="I932" s="1211" t="s">
        <v>100</v>
      </c>
      <c r="J932" s="1424"/>
      <c r="K932" s="1211">
        <v>3.0</v>
      </c>
      <c r="L932" s="1211">
        <v>2019.0</v>
      </c>
      <c r="M932" s="25"/>
      <c r="N932" s="1211"/>
      <c r="O932" s="27" t="str">
        <f t="shared" si="3"/>
        <v>#N/A</v>
      </c>
      <c r="P932" s="1425"/>
      <c r="Q932" s="1425"/>
      <c r="R932" s="1425"/>
      <c r="S932" s="1425"/>
      <c r="T932" s="1425"/>
      <c r="U932" s="1425"/>
      <c r="V932" s="30">
        <f t="shared" si="425"/>
        <v>3585400</v>
      </c>
      <c r="W932" s="30"/>
      <c r="X932" s="1213"/>
      <c r="Y932" s="1213"/>
      <c r="Z932" s="692"/>
      <c r="AA932" s="665"/>
      <c r="AB932" s="1214"/>
      <c r="AC932" s="1214"/>
      <c r="AD932" s="1426">
        <v>44425.0</v>
      </c>
      <c r="AE932" s="1218">
        <v>585400.0</v>
      </c>
      <c r="AF932" s="1427">
        <v>44746.0</v>
      </c>
      <c r="AG932" s="1218">
        <v>3000000.0</v>
      </c>
      <c r="AH932" s="1428"/>
      <c r="AI932" s="1429"/>
      <c r="AJ932" s="1430"/>
      <c r="AK932" s="1431"/>
      <c r="AL932" s="1215"/>
      <c r="AM932" s="1216"/>
      <c r="AN932" s="1215"/>
      <c r="AO932" s="1216"/>
      <c r="AP932" s="1215"/>
      <c r="AQ932" s="1216"/>
      <c r="AR932" s="1215"/>
      <c r="AS932" s="1215"/>
      <c r="AT932" s="1215"/>
      <c r="AU932" s="1221"/>
      <c r="AV932" s="1215"/>
      <c r="AW932" s="38"/>
      <c r="AX932" s="1215"/>
      <c r="AY932" s="38"/>
      <c r="AZ932" s="1215"/>
      <c r="BA932" s="1221"/>
      <c r="BB932" s="1215"/>
      <c r="BC932" s="1221"/>
      <c r="BD932" s="1215"/>
      <c r="BE932" s="38"/>
      <c r="BF932" s="1214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  <c r="BR932" s="68"/>
      <c r="BS932" s="68"/>
      <c r="BT932" s="68"/>
      <c r="BU932" s="68"/>
      <c r="BV932" s="68"/>
      <c r="BW932" s="68"/>
      <c r="BX932" s="68"/>
      <c r="BY932" s="68"/>
      <c r="BZ932" s="68"/>
      <c r="CA932" s="68"/>
      <c r="CB932" s="68"/>
      <c r="CC932" s="68"/>
      <c r="CD932" s="68"/>
      <c r="CE932" s="68"/>
      <c r="CF932" s="68"/>
      <c r="CG932" s="68"/>
      <c r="CH932" s="68"/>
      <c r="CI932" s="68"/>
      <c r="CJ932" s="68"/>
      <c r="CK932" s="68"/>
      <c r="CL932" s="68"/>
      <c r="CM932" s="68"/>
      <c r="CN932" s="68"/>
      <c r="CO932" s="68"/>
      <c r="CP932" s="68"/>
    </row>
    <row r="933" ht="15.75" customHeight="1">
      <c r="A933" s="47" t="s">
        <v>4523</v>
      </c>
      <c r="C933" s="48" t="s">
        <v>68</v>
      </c>
      <c r="D933" s="351"/>
      <c r="E933" s="617" t="s">
        <v>4524</v>
      </c>
      <c r="F933" s="352" t="s">
        <v>4525</v>
      </c>
      <c r="G933" s="353"/>
      <c r="H933" s="53" t="s">
        <v>114</v>
      </c>
      <c r="I933" s="54" t="s">
        <v>115</v>
      </c>
      <c r="J933" s="55"/>
      <c r="K933" s="54">
        <v>2.0</v>
      </c>
      <c r="L933" s="56">
        <v>2020.0</v>
      </c>
      <c r="M933" s="55"/>
      <c r="N933" s="55"/>
      <c r="O933" s="27" t="str">
        <f t="shared" si="3"/>
        <v>#N/A</v>
      </c>
      <c r="P933" s="55"/>
      <c r="Q933" s="55"/>
      <c r="R933" s="55"/>
      <c r="S933" s="55"/>
      <c r="T933" s="55"/>
      <c r="U933" s="55"/>
      <c r="V933" s="30">
        <f t="shared" si="425"/>
        <v>3550000</v>
      </c>
      <c r="W933" s="30"/>
      <c r="X933" s="58"/>
      <c r="Y933" s="58"/>
      <c r="Z933" s="692"/>
      <c r="AA933" s="665"/>
      <c r="AB933" s="55"/>
      <c r="AC933" s="55"/>
      <c r="AD933" s="62">
        <v>43862.0</v>
      </c>
      <c r="AE933" s="38">
        <v>450000.0</v>
      </c>
      <c r="AF933" s="62">
        <v>44193.0</v>
      </c>
      <c r="AG933" s="38">
        <v>2100000.0</v>
      </c>
      <c r="AH933" s="63">
        <v>44321.0</v>
      </c>
      <c r="AI933" s="38"/>
      <c r="AJ933" s="55"/>
      <c r="AK933" s="38"/>
      <c r="AL933" s="55"/>
      <c r="AM933" s="38"/>
      <c r="AN933" s="55"/>
      <c r="AO933" s="38"/>
      <c r="AP933" s="356"/>
      <c r="AQ933" s="38"/>
      <c r="AR933" s="55"/>
      <c r="AS933" s="38"/>
      <c r="AT933" s="55"/>
      <c r="AU933" s="38"/>
      <c r="AV933" s="55"/>
      <c r="AW933" s="38"/>
      <c r="AX933" s="55"/>
      <c r="AY933" s="38"/>
      <c r="AZ933" s="55"/>
      <c r="BA933" s="38"/>
      <c r="BB933" s="62">
        <v>45008.0</v>
      </c>
      <c r="BC933" s="38">
        <v>1000000.0</v>
      </c>
      <c r="BD933" s="55"/>
      <c r="BE933" s="38"/>
      <c r="BF933" s="55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68"/>
      <c r="CA933" s="68"/>
      <c r="CB933" s="68"/>
      <c r="CC933" s="68"/>
      <c r="CD933" s="68"/>
      <c r="CE933" s="68"/>
      <c r="CF933" s="68"/>
      <c r="CG933" s="68"/>
      <c r="CH933" s="68"/>
      <c r="CI933" s="68"/>
      <c r="CJ933" s="68"/>
      <c r="CK933" s="68"/>
      <c r="CL933" s="68"/>
      <c r="CM933" s="68"/>
      <c r="CN933" s="68"/>
      <c r="CO933" s="68"/>
      <c r="CP933" s="68"/>
    </row>
    <row r="934" ht="15.75" customHeight="1">
      <c r="A934" s="47" t="s">
        <v>4526</v>
      </c>
      <c r="C934" s="48" t="s">
        <v>207</v>
      </c>
      <c r="D934" s="351"/>
      <c r="E934" s="49" t="s">
        <v>4527</v>
      </c>
      <c r="F934" s="352" t="s">
        <v>4528</v>
      </c>
      <c r="G934" s="353"/>
      <c r="H934" s="53" t="s">
        <v>4529</v>
      </c>
      <c r="I934" s="54" t="s">
        <v>2111</v>
      </c>
      <c r="J934" s="55"/>
      <c r="K934" s="54">
        <v>4.0</v>
      </c>
      <c r="L934" s="56">
        <v>2017.0</v>
      </c>
      <c r="M934" s="55"/>
      <c r="N934" s="55"/>
      <c r="O934" s="27" t="str">
        <f t="shared" si="3"/>
        <v>#N/A</v>
      </c>
      <c r="P934" s="55"/>
      <c r="Q934" s="55"/>
      <c r="R934" s="55"/>
      <c r="S934" s="55"/>
      <c r="T934" s="55"/>
      <c r="U934" s="55"/>
      <c r="V934" s="30">
        <f t="shared" si="425"/>
        <v>3510000</v>
      </c>
      <c r="W934" s="30"/>
      <c r="X934" s="58"/>
      <c r="Y934" s="58"/>
      <c r="Z934" s="692"/>
      <c r="AA934" s="665"/>
      <c r="AB934" s="55"/>
      <c r="AC934" s="55"/>
      <c r="AD934" s="355"/>
      <c r="AE934" s="38"/>
      <c r="AF934" s="355"/>
      <c r="AG934" s="38"/>
      <c r="AH934" s="55"/>
      <c r="AI934" s="38"/>
      <c r="AJ934" s="55"/>
      <c r="AK934" s="38"/>
      <c r="AL934" s="55"/>
      <c r="AM934" s="38"/>
      <c r="AN934" s="55"/>
      <c r="AO934" s="38"/>
      <c r="AP934" s="356"/>
      <c r="AQ934" s="38"/>
      <c r="AR934" s="55"/>
      <c r="AS934" s="38"/>
      <c r="AT934" s="55"/>
      <c r="AU934" s="38"/>
      <c r="AV934" s="55"/>
      <c r="AW934" s="38"/>
      <c r="AX934" s="55"/>
      <c r="AY934" s="38"/>
      <c r="AZ934" s="62">
        <v>45000.0</v>
      </c>
      <c r="BA934" s="38">
        <v>3510000.0</v>
      </c>
      <c r="BB934" s="55"/>
      <c r="BC934" s="38"/>
      <c r="BD934" s="55"/>
      <c r="BE934" s="38"/>
      <c r="BF934" s="55"/>
      <c r="BG934" s="115"/>
      <c r="BH934" s="115"/>
      <c r="BI934" s="115"/>
      <c r="BJ934" s="115"/>
      <c r="BK934" s="115"/>
      <c r="BL934" s="115"/>
      <c r="BM934" s="115"/>
      <c r="BN934" s="115"/>
      <c r="BO934" s="115"/>
      <c r="BP934" s="115"/>
      <c r="BQ934" s="115"/>
      <c r="BR934" s="115"/>
      <c r="BS934" s="115"/>
      <c r="BT934" s="115"/>
      <c r="BU934" s="115"/>
      <c r="BV934" s="115"/>
      <c r="BW934" s="115"/>
      <c r="BX934" s="115"/>
      <c r="BY934" s="115"/>
      <c r="BZ934" s="115"/>
      <c r="CA934" s="115"/>
      <c r="CB934" s="115"/>
      <c r="CC934" s="115"/>
      <c r="CD934" s="115"/>
      <c r="CE934" s="115"/>
      <c r="CF934" s="115"/>
      <c r="CG934" s="115"/>
      <c r="CH934" s="115"/>
      <c r="CI934" s="115"/>
      <c r="CJ934" s="115"/>
      <c r="CK934" s="115"/>
      <c r="CL934" s="115"/>
      <c r="CM934" s="115"/>
      <c r="CN934" s="115"/>
      <c r="CO934" s="115"/>
      <c r="CP934" s="115"/>
    </row>
    <row r="935" ht="15.75" customHeight="1">
      <c r="A935" s="935" t="s">
        <v>4530</v>
      </c>
      <c r="B935" s="858"/>
      <c r="C935" s="69" t="s">
        <v>207</v>
      </c>
      <c r="D935" s="48"/>
      <c r="E935" s="192" t="s">
        <v>4531</v>
      </c>
      <c r="F935" s="118" t="s">
        <v>4532</v>
      </c>
      <c r="G935" s="140" t="s">
        <v>4533</v>
      </c>
      <c r="H935" s="71" t="s">
        <v>3210</v>
      </c>
      <c r="I935" s="26" t="s">
        <v>3211</v>
      </c>
      <c r="J935" s="72"/>
      <c r="K935" s="26"/>
      <c r="L935" s="26">
        <v>2018.0</v>
      </c>
      <c r="M935" s="25">
        <f t="shared" ref="M935:M937" si="668">year(now()) -L935</f>
        <v>7</v>
      </c>
      <c r="N935" s="26">
        <f t="shared" ref="N935:N937" si="669">counta(AE935,AG935,AI935,AK935,AM935,AO935,AQ935,AS935,AU935,AW935,AY935,BA935,BC935)</f>
        <v>1</v>
      </c>
      <c r="O935" s="27" t="str">
        <f t="shared" si="3"/>
        <v>#N/A</v>
      </c>
      <c r="P935" s="28"/>
      <c r="Q935" s="28"/>
      <c r="R935" s="28"/>
      <c r="S935" s="28"/>
      <c r="T935" s="29">
        <f t="shared" ref="T935:T937" si="670">V935/M935</f>
        <v>500000</v>
      </c>
      <c r="U935" s="28"/>
      <c r="V935" s="30">
        <f t="shared" si="425"/>
        <v>3500000</v>
      </c>
      <c r="W935" s="30"/>
      <c r="X935" s="73"/>
      <c r="Y935" s="33">
        <f t="shared" ref="Y935:Y937" si="671">(max(AE935,AG935,AI935,AK935,AM935,AO935,AQ935,AS935,AU935,AW935,AY935,BA935,BC935)/min(AE935,AG935,AI935,AK935))^(1/M935)-1</f>
        <v>0</v>
      </c>
      <c r="Z935" s="692"/>
      <c r="AA935" s="665"/>
      <c r="AB935" s="74"/>
      <c r="AC935" s="74"/>
      <c r="AD935" s="44"/>
      <c r="AE935" s="46"/>
      <c r="AF935" s="916">
        <v>43985.0</v>
      </c>
      <c r="AG935" s="1432">
        <v>3500000.0</v>
      </c>
      <c r="AH935" s="36"/>
      <c r="AI935" s="159"/>
      <c r="AJ935" s="227"/>
      <c r="AK935" s="38"/>
      <c r="AL935" s="44"/>
      <c r="AM935" s="46"/>
      <c r="AN935" s="44"/>
      <c r="AO935" s="46"/>
      <c r="AP935" s="44"/>
      <c r="AQ935" s="46"/>
      <c r="AR935" s="44"/>
      <c r="AS935" s="44"/>
      <c r="AT935" s="44"/>
      <c r="AU935" s="45"/>
      <c r="AV935" s="44"/>
      <c r="AW935" s="38"/>
      <c r="AX935" s="44"/>
      <c r="AY935" s="38"/>
      <c r="AZ935" s="44"/>
      <c r="BA935" s="45"/>
      <c r="BB935" s="44"/>
      <c r="BC935" s="45"/>
      <c r="BD935" s="44"/>
      <c r="BE935" s="38"/>
      <c r="BF935" s="3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</row>
    <row r="936" ht="15.75" customHeight="1">
      <c r="A936" s="442" t="s">
        <v>4534</v>
      </c>
      <c r="B936" s="68" t="s">
        <v>2234</v>
      </c>
      <c r="C936" s="68" t="s">
        <v>132</v>
      </c>
      <c r="D936" s="200" t="s">
        <v>4535</v>
      </c>
      <c r="E936" s="200" t="s">
        <v>4536</v>
      </c>
      <c r="F936" s="185" t="s">
        <v>4537</v>
      </c>
      <c r="G936" s="186"/>
      <c r="H936" s="186" t="s">
        <v>4538</v>
      </c>
      <c r="I936" s="74" t="s">
        <v>4539</v>
      </c>
      <c r="J936" s="155"/>
      <c r="K936" s="26">
        <v>1.0</v>
      </c>
      <c r="L936" s="26">
        <v>2017.0</v>
      </c>
      <c r="M936" s="25">
        <f t="shared" si="668"/>
        <v>8</v>
      </c>
      <c r="N936" s="26">
        <f t="shared" si="669"/>
        <v>1</v>
      </c>
      <c r="O936" s="27" t="str">
        <f t="shared" si="3"/>
        <v>#N/A</v>
      </c>
      <c r="P936" s="28"/>
      <c r="Q936" s="28"/>
      <c r="R936" s="28"/>
      <c r="S936" s="28"/>
      <c r="T936" s="29">
        <f t="shared" si="670"/>
        <v>437500</v>
      </c>
      <c r="U936" s="28"/>
      <c r="V936" s="30">
        <f t="shared" si="425"/>
        <v>3500000</v>
      </c>
      <c r="W936" s="30"/>
      <c r="X936" s="73"/>
      <c r="Y936" s="33" t="str">
        <f t="shared" si="671"/>
        <v>#DIV/0!</v>
      </c>
      <c r="Z936" s="692"/>
      <c r="AA936" s="665"/>
      <c r="AB936" s="74"/>
      <c r="AC936" s="74"/>
      <c r="AD936" s="79"/>
      <c r="AE936" s="84"/>
      <c r="AF936" s="338"/>
      <c r="AG936" s="84"/>
      <c r="AH936" s="74"/>
      <c r="AI936" s="78"/>
      <c r="AJ936" s="79"/>
      <c r="AK936" s="84"/>
      <c r="AL936" s="79"/>
      <c r="AM936" s="84"/>
      <c r="AN936" s="181" t="str">
        <f>HYPERLINK("https://www.crunchbase.com/funding_round/logical-buildings-series-c--510d5d0b"," Feb 14, 2019        
")</f>
        <v> Feb 14, 2019        
</v>
      </c>
      <c r="AO936" s="84">
        <v>3500000.0</v>
      </c>
      <c r="AP936" s="79"/>
      <c r="AQ936" s="84"/>
      <c r="AR936" s="79"/>
      <c r="AS936" s="79"/>
      <c r="AT936" s="79"/>
      <c r="AU936" s="80"/>
      <c r="AV936" s="79"/>
      <c r="AW936" s="38"/>
      <c r="AX936" s="79"/>
      <c r="AY936" s="38"/>
      <c r="AZ936" s="79"/>
      <c r="BA936" s="80"/>
      <c r="BB936" s="79"/>
      <c r="BC936" s="80"/>
      <c r="BD936" s="79"/>
      <c r="BE936" s="38"/>
      <c r="BF936" s="74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  <c r="BR936" s="68"/>
      <c r="BS936" s="68"/>
      <c r="BT936" s="68"/>
      <c r="BU936" s="68"/>
      <c r="BV936" s="68"/>
      <c r="BW936" s="68"/>
      <c r="BX936" s="68"/>
      <c r="BY936" s="68"/>
      <c r="BZ936" s="68"/>
      <c r="CA936" s="68"/>
      <c r="CB936" s="68"/>
      <c r="CC936" s="68"/>
      <c r="CD936" s="68"/>
      <c r="CE936" s="68"/>
      <c r="CF936" s="68"/>
      <c r="CG936" s="68"/>
      <c r="CH936" s="68"/>
      <c r="CI936" s="68"/>
      <c r="CJ936" s="68"/>
      <c r="CK936" s="68"/>
      <c r="CL936" s="68"/>
      <c r="CM936" s="68"/>
      <c r="CN936" s="68"/>
      <c r="CO936" s="68"/>
      <c r="CP936" s="68"/>
    </row>
    <row r="937" ht="15.75" customHeight="1">
      <c r="A937" s="21" t="s">
        <v>4540</v>
      </c>
      <c r="B937" s="68"/>
      <c r="C937" s="69" t="s">
        <v>276</v>
      </c>
      <c r="D937" s="192" t="s">
        <v>4541</v>
      </c>
      <c r="E937" s="192" t="s">
        <v>4542</v>
      </c>
      <c r="F937" s="118" t="s">
        <v>4543</v>
      </c>
      <c r="G937" s="54"/>
      <c r="H937" s="71" t="s">
        <v>129</v>
      </c>
      <c r="I937" s="26" t="s">
        <v>129</v>
      </c>
      <c r="J937" s="178"/>
      <c r="K937" s="26"/>
      <c r="L937" s="142">
        <v>2016.0</v>
      </c>
      <c r="M937" s="25">
        <f t="shared" si="668"/>
        <v>9</v>
      </c>
      <c r="N937" s="26">
        <f t="shared" si="669"/>
        <v>1</v>
      </c>
      <c r="O937" s="27" t="str">
        <f t="shared" si="3"/>
        <v>#N/A</v>
      </c>
      <c r="P937" s="28"/>
      <c r="Q937" s="28"/>
      <c r="R937" s="28"/>
      <c r="S937" s="28"/>
      <c r="T937" s="29">
        <f t="shared" si="670"/>
        <v>388888.8889</v>
      </c>
      <c r="U937" s="28"/>
      <c r="V937" s="30">
        <f t="shared" si="425"/>
        <v>3500000</v>
      </c>
      <c r="W937" s="30"/>
      <c r="X937" s="73"/>
      <c r="Y937" s="33">
        <f t="shared" si="671"/>
        <v>0</v>
      </c>
      <c r="Z937" s="692"/>
      <c r="AA937" s="665"/>
      <c r="AB937" s="74"/>
      <c r="AC937" s="74"/>
      <c r="AD937" s="79"/>
      <c r="AE937" s="84"/>
      <c r="AF937" s="970">
        <v>43349.0</v>
      </c>
      <c r="AG937" s="971">
        <v>3500000.0</v>
      </c>
      <c r="AH937" s="77"/>
      <c r="AI937" s="78"/>
      <c r="AJ937" s="79"/>
      <c r="AK937" s="76"/>
      <c r="AL937" s="79"/>
      <c r="AM937" s="76"/>
      <c r="AN937" s="79"/>
      <c r="AO937" s="84"/>
      <c r="AP937" s="79"/>
      <c r="AQ937" s="84"/>
      <c r="AR937" s="79"/>
      <c r="AS937" s="79"/>
      <c r="AT937" s="79"/>
      <c r="AU937" s="80"/>
      <c r="AV937" s="79"/>
      <c r="AW937" s="38"/>
      <c r="AX937" s="79"/>
      <c r="AY937" s="38"/>
      <c r="AZ937" s="79"/>
      <c r="BA937" s="80"/>
      <c r="BB937" s="79"/>
      <c r="BC937" s="80"/>
      <c r="BD937" s="79"/>
      <c r="BE937" s="38"/>
      <c r="BF937" s="74"/>
      <c r="BG937" s="115"/>
      <c r="BH937" s="115"/>
      <c r="BI937" s="115"/>
      <c r="BJ937" s="115"/>
      <c r="BK937" s="115"/>
      <c r="BL937" s="115"/>
      <c r="BM937" s="115"/>
      <c r="BN937" s="115"/>
      <c r="BO937" s="115"/>
      <c r="BP937" s="115"/>
      <c r="BQ937" s="115"/>
      <c r="BR937" s="115"/>
      <c r="BS937" s="115"/>
      <c r="BT937" s="115"/>
      <c r="BU937" s="115"/>
      <c r="BV937" s="115"/>
      <c r="BW937" s="115"/>
      <c r="BX937" s="115"/>
      <c r="BY937" s="115"/>
      <c r="BZ937" s="115"/>
      <c r="CA937" s="115"/>
      <c r="CB937" s="115"/>
      <c r="CC937" s="115"/>
      <c r="CD937" s="115"/>
      <c r="CE937" s="115"/>
      <c r="CF937" s="115"/>
      <c r="CG937" s="115"/>
      <c r="CH937" s="115"/>
      <c r="CI937" s="115"/>
      <c r="CJ937" s="115"/>
      <c r="CK937" s="115"/>
      <c r="CL937" s="115"/>
      <c r="CM937" s="115"/>
      <c r="CN937" s="115"/>
      <c r="CO937" s="115"/>
      <c r="CP937" s="115"/>
    </row>
    <row r="938" ht="15.75" customHeight="1">
      <c r="A938" s="47" t="s">
        <v>4544</v>
      </c>
      <c r="B938" s="68"/>
      <c r="C938" s="69" t="s">
        <v>84</v>
      </c>
      <c r="D938" s="50" t="s">
        <v>4545</v>
      </c>
      <c r="E938" s="192" t="s">
        <v>4546</v>
      </c>
      <c r="F938" s="70" t="s">
        <v>4547</v>
      </c>
      <c r="G938" s="71" t="s">
        <v>4548</v>
      </c>
      <c r="H938" s="71" t="s">
        <v>1918</v>
      </c>
      <c r="I938" s="26" t="s">
        <v>1384</v>
      </c>
      <c r="J938" s="72" t="s">
        <v>2641</v>
      </c>
      <c r="K938" s="26">
        <v>2.0</v>
      </c>
      <c r="L938" s="26">
        <v>2022.0</v>
      </c>
      <c r="M938" s="25"/>
      <c r="N938" s="26"/>
      <c r="O938" s="27" t="str">
        <f t="shared" si="3"/>
        <v>#N/A</v>
      </c>
      <c r="P938" s="273"/>
      <c r="Q938" s="273"/>
      <c r="R938" s="273"/>
      <c r="S938" s="273"/>
      <c r="T938" s="273"/>
      <c r="U938" s="273"/>
      <c r="V938" s="30">
        <f t="shared" si="425"/>
        <v>3500000</v>
      </c>
      <c r="W938" s="30"/>
      <c r="X938" s="73"/>
      <c r="Y938" s="73"/>
      <c r="Z938" s="692"/>
      <c r="AA938" s="665"/>
      <c r="AB938" s="74"/>
      <c r="AC938" s="74"/>
      <c r="AD938" s="79"/>
      <c r="AE938" s="84"/>
      <c r="AF938" s="726">
        <v>44845.0</v>
      </c>
      <c r="AG938" s="76">
        <v>3500000.0</v>
      </c>
      <c r="AH938" s="74"/>
      <c r="AI938" s="78"/>
      <c r="AJ938" s="79"/>
      <c r="AK938" s="84"/>
      <c r="AL938" s="79"/>
      <c r="AM938" s="84"/>
      <c r="AN938" s="79"/>
      <c r="AO938" s="84"/>
      <c r="AP938" s="79"/>
      <c r="AQ938" s="84"/>
      <c r="AR938" s="79"/>
      <c r="AS938" s="79"/>
      <c r="AT938" s="79"/>
      <c r="AU938" s="80"/>
      <c r="AV938" s="79"/>
      <c r="AW938" s="38"/>
      <c r="AX938" s="79"/>
      <c r="AY938" s="38"/>
      <c r="AZ938" s="79"/>
      <c r="BA938" s="80"/>
      <c r="BB938" s="79"/>
      <c r="BC938" s="80"/>
      <c r="BD938" s="79"/>
      <c r="BE938" s="38"/>
      <c r="BF938" s="74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</row>
    <row r="939" ht="15.75" customHeight="1">
      <c r="A939" s="400" t="s">
        <v>4549</v>
      </c>
      <c r="B939" s="115"/>
      <c r="C939" s="116" t="s">
        <v>702</v>
      </c>
      <c r="D939" s="401" t="s">
        <v>4550</v>
      </c>
      <c r="E939" s="401" t="s">
        <v>4551</v>
      </c>
      <c r="F939" s="402" t="s">
        <v>4552</v>
      </c>
      <c r="G939" s="119" t="s">
        <v>4553</v>
      </c>
      <c r="H939" s="286"/>
      <c r="I939" s="25" t="s">
        <v>174</v>
      </c>
      <c r="J939" s="120" t="s">
        <v>4554</v>
      </c>
      <c r="K939" s="25"/>
      <c r="L939" s="25">
        <v>2019.0</v>
      </c>
      <c r="M939" s="123"/>
      <c r="N939" s="123"/>
      <c r="O939" s="27" t="str">
        <f t="shared" si="3"/>
        <v>#N/A</v>
      </c>
      <c r="P939" s="55"/>
      <c r="Q939" s="55"/>
      <c r="R939" s="55"/>
      <c r="S939" s="55"/>
      <c r="T939" s="55"/>
      <c r="U939" s="55"/>
      <c r="V939" s="30">
        <f t="shared" si="425"/>
        <v>3500000</v>
      </c>
      <c r="W939" s="30"/>
      <c r="X939" s="403"/>
      <c r="Y939" s="403"/>
      <c r="Z939" s="692"/>
      <c r="AA939" s="665"/>
      <c r="AB939" s="123"/>
      <c r="AC939" s="123"/>
      <c r="AD939" s="452"/>
      <c r="AE939" s="123"/>
      <c r="AF939" s="880">
        <v>44861.0</v>
      </c>
      <c r="AG939" s="170">
        <v>3500000.0</v>
      </c>
      <c r="AH939" s="123"/>
      <c r="AI939" s="25"/>
      <c r="AJ939" s="1172"/>
      <c r="AK939" s="1433"/>
      <c r="AL939" s="1172"/>
      <c r="AM939" s="119"/>
      <c r="AN939" s="119"/>
      <c r="AO939" s="25"/>
      <c r="AP939" s="120"/>
      <c r="AQ939" s="25"/>
      <c r="AR939" s="25"/>
      <c r="AS939" s="123"/>
      <c r="AT939" s="123"/>
      <c r="AU939" s="55"/>
      <c r="AV939" s="55"/>
      <c r="AW939" s="38"/>
      <c r="AX939" s="55"/>
      <c r="AY939" s="38"/>
      <c r="AZ939" s="55"/>
      <c r="BA939" s="55"/>
      <c r="BB939" s="335"/>
      <c r="BC939" s="1342"/>
      <c r="BD939" s="403"/>
      <c r="BE939" s="38"/>
      <c r="BF939" s="335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  <c r="BQ939" s="68"/>
      <c r="BR939" s="68"/>
      <c r="BS939" s="68"/>
      <c r="BT939" s="68"/>
      <c r="BU939" s="68"/>
      <c r="BV939" s="68"/>
      <c r="BW939" s="68"/>
      <c r="BX939" s="68"/>
      <c r="BY939" s="68"/>
      <c r="BZ939" s="68"/>
      <c r="CA939" s="68"/>
      <c r="CB939" s="68"/>
      <c r="CC939" s="68"/>
      <c r="CD939" s="68"/>
      <c r="CE939" s="68"/>
      <c r="CF939" s="68"/>
      <c r="CG939" s="68"/>
      <c r="CH939" s="68"/>
      <c r="CI939" s="68"/>
      <c r="CJ939" s="68"/>
      <c r="CK939" s="68"/>
      <c r="CL939" s="68"/>
      <c r="CM939" s="68"/>
      <c r="CN939" s="68"/>
      <c r="CO939" s="68"/>
      <c r="CP939" s="68"/>
    </row>
    <row r="940" ht="15.75" customHeight="1">
      <c r="A940" s="47" t="s">
        <v>4555</v>
      </c>
      <c r="C940" s="48" t="s">
        <v>84</v>
      </c>
      <c r="D940" s="1434"/>
      <c r="E940" s="1435" t="s">
        <v>4556</v>
      </c>
      <c r="F940" s="1436" t="s">
        <v>4557</v>
      </c>
      <c r="G940" s="353"/>
      <c r="H940" s="53" t="s">
        <v>4558</v>
      </c>
      <c r="I940" s="54" t="s">
        <v>651</v>
      </c>
      <c r="J940" s="55"/>
      <c r="K940" s="54">
        <v>2.0</v>
      </c>
      <c r="L940" s="56">
        <v>2021.0</v>
      </c>
      <c r="M940" s="55"/>
      <c r="N940" s="55"/>
      <c r="O940" s="27" t="str">
        <f t="shared" si="3"/>
        <v>#N/A</v>
      </c>
      <c r="P940" s="55"/>
      <c r="Q940" s="55"/>
      <c r="R940" s="55"/>
      <c r="S940" s="55"/>
      <c r="T940" s="55"/>
      <c r="U940" s="55"/>
      <c r="V940" s="30">
        <f t="shared" si="425"/>
        <v>3500000</v>
      </c>
      <c r="W940" s="30"/>
      <c r="X940" s="58"/>
      <c r="Y940" s="58"/>
      <c r="Z940" s="692"/>
      <c r="AA940" s="665"/>
      <c r="AB940" s="55"/>
      <c r="AC940" s="55"/>
      <c r="AD940" s="355"/>
      <c r="AE940" s="55"/>
      <c r="AF940" s="62">
        <v>44895.0</v>
      </c>
      <c r="AG940" s="38">
        <v>3500000.0</v>
      </c>
      <c r="AH940" s="55"/>
      <c r="AI940" s="55"/>
      <c r="AJ940" s="55"/>
      <c r="AK940" s="55"/>
      <c r="AL940" s="55"/>
      <c r="AM940" s="55"/>
      <c r="AN940" s="55"/>
      <c r="AO940" s="55"/>
      <c r="AP940" s="1437"/>
      <c r="AQ940" s="356"/>
      <c r="AR940" s="55"/>
      <c r="AS940" s="55"/>
      <c r="AT940" s="55"/>
      <c r="AU940" s="722"/>
      <c r="AV940" s="55"/>
      <c r="AW940" s="38"/>
      <c r="AX940" s="55"/>
      <c r="AY940" s="38"/>
      <c r="AZ940" s="55"/>
      <c r="BA940" s="722"/>
      <c r="BB940" s="55"/>
      <c r="BC940" s="722"/>
      <c r="BD940" s="55"/>
      <c r="BE940" s="38"/>
      <c r="BF940" s="55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68"/>
      <c r="CA940" s="68"/>
      <c r="CB940" s="68"/>
      <c r="CC940" s="68"/>
      <c r="CD940" s="68"/>
      <c r="CE940" s="68"/>
      <c r="CF940" s="68"/>
      <c r="CG940" s="68"/>
      <c r="CH940" s="68"/>
      <c r="CI940" s="68"/>
      <c r="CJ940" s="68"/>
      <c r="CK940" s="68"/>
      <c r="CL940" s="68"/>
      <c r="CM940" s="68"/>
      <c r="CN940" s="68"/>
      <c r="CO940" s="68"/>
      <c r="CP940" s="68"/>
    </row>
    <row r="941" ht="15.75" customHeight="1">
      <c r="A941" s="47" t="s">
        <v>4559</v>
      </c>
      <c r="C941" s="48" t="s">
        <v>84</v>
      </c>
      <c r="D941" s="617" t="s">
        <v>4560</v>
      </c>
      <c r="E941" s="49" t="s">
        <v>4561</v>
      </c>
      <c r="F941" s="1438" t="s">
        <v>4562</v>
      </c>
      <c r="G941" s="353"/>
      <c r="H941" s="53" t="s">
        <v>64</v>
      </c>
      <c r="I941" s="54" t="s">
        <v>65</v>
      </c>
      <c r="J941" s="55"/>
      <c r="K941" s="54">
        <v>1.0</v>
      </c>
      <c r="L941" s="56">
        <v>2019.0</v>
      </c>
      <c r="M941" s="55"/>
      <c r="N941" s="55"/>
      <c r="O941" s="27" t="str">
        <f t="shared" si="3"/>
        <v>#N/A</v>
      </c>
      <c r="P941" s="55"/>
      <c r="Q941" s="55"/>
      <c r="R941" s="55"/>
      <c r="S941" s="55"/>
      <c r="T941" s="55"/>
      <c r="U941" s="55"/>
      <c r="V941" s="30">
        <f t="shared" si="425"/>
        <v>3500000</v>
      </c>
      <c r="W941" s="30"/>
      <c r="X941" s="58"/>
      <c r="Y941" s="58"/>
      <c r="Z941" s="692"/>
      <c r="AA941" s="665"/>
      <c r="AB941" s="55"/>
      <c r="AC941" s="55"/>
      <c r="AD941" s="880">
        <v>44978.0</v>
      </c>
      <c r="AE941" s="38">
        <v>3500000.0</v>
      </c>
      <c r="AF941" s="355"/>
      <c r="AG941" s="38"/>
      <c r="AH941" s="55"/>
      <c r="AI941" s="38"/>
      <c r="AJ941" s="55"/>
      <c r="AK941" s="38"/>
      <c r="AL941" s="55"/>
      <c r="AM941" s="38"/>
      <c r="AN941" s="55"/>
      <c r="AO941" s="38"/>
      <c r="AP941" s="356"/>
      <c r="AQ941" s="38"/>
      <c r="AR941" s="55"/>
      <c r="AS941" s="38"/>
      <c r="AT941" s="55"/>
      <c r="AU941" s="38"/>
      <c r="AV941" s="55"/>
      <c r="AW941" s="38"/>
      <c r="AX941" s="55"/>
      <c r="AY941" s="38"/>
      <c r="AZ941" s="55"/>
      <c r="BA941" s="38"/>
      <c r="BB941" s="55"/>
      <c r="BC941" s="38"/>
      <c r="BD941" s="55"/>
      <c r="BE941" s="38"/>
      <c r="BF941" s="55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</row>
    <row r="942" ht="15.75" customHeight="1">
      <c r="A942" s="47" t="s">
        <v>4563</v>
      </c>
      <c r="C942" s="48" t="s">
        <v>207</v>
      </c>
      <c r="D942" s="351"/>
      <c r="E942" s="617" t="s">
        <v>4564</v>
      </c>
      <c r="F942" s="352" t="s">
        <v>4565</v>
      </c>
      <c r="G942" s="353"/>
      <c r="H942" s="53" t="s">
        <v>2299</v>
      </c>
      <c r="I942" s="53" t="s">
        <v>2299</v>
      </c>
      <c r="J942" s="55"/>
      <c r="K942" s="54">
        <v>2.0</v>
      </c>
      <c r="L942" s="56">
        <v>2022.0</v>
      </c>
      <c r="M942" s="55"/>
      <c r="N942" s="55"/>
      <c r="O942" s="27" t="str">
        <f t="shared" si="3"/>
        <v>#N/A</v>
      </c>
      <c r="P942" s="55"/>
      <c r="Q942" s="55"/>
      <c r="R942" s="55"/>
      <c r="S942" s="55"/>
      <c r="T942" s="55"/>
      <c r="U942" s="55"/>
      <c r="V942" s="30">
        <f t="shared" si="425"/>
        <v>3456000</v>
      </c>
      <c r="W942" s="30"/>
      <c r="X942" s="58"/>
      <c r="Y942" s="58"/>
      <c r="Z942" s="692"/>
      <c r="AA942" s="665"/>
      <c r="AB942" s="55"/>
      <c r="AC942" s="55"/>
      <c r="AD942" s="355"/>
      <c r="AE942" s="38"/>
      <c r="AF942" s="62">
        <v>45006.0</v>
      </c>
      <c r="AG942" s="38">
        <f>1.08*3200000</f>
        <v>3456000</v>
      </c>
      <c r="AH942" s="55"/>
      <c r="AI942" s="38"/>
      <c r="AJ942" s="55"/>
      <c r="AK942" s="38"/>
      <c r="AL942" s="55"/>
      <c r="AM942" s="38"/>
      <c r="AN942" s="55"/>
      <c r="AO942" s="38"/>
      <c r="AP942" s="356"/>
      <c r="AQ942" s="38"/>
      <c r="AR942" s="55"/>
      <c r="AS942" s="38"/>
      <c r="AT942" s="55"/>
      <c r="AU942" s="38"/>
      <c r="AV942" s="55"/>
      <c r="AW942" s="38"/>
      <c r="AX942" s="55"/>
      <c r="AY942" s="38"/>
      <c r="AZ942" s="55"/>
      <c r="BA942" s="38"/>
      <c r="BB942" s="55"/>
      <c r="BC942" s="38"/>
      <c r="BD942" s="55"/>
      <c r="BE942" s="38"/>
      <c r="BF942" s="55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  <c r="BQ942" s="68"/>
      <c r="BR942" s="68"/>
      <c r="BS942" s="68"/>
      <c r="BT942" s="68"/>
      <c r="BU942" s="68"/>
      <c r="BV942" s="68"/>
      <c r="BW942" s="68"/>
      <c r="BX942" s="68"/>
      <c r="BY942" s="68"/>
      <c r="BZ942" s="68"/>
      <c r="CA942" s="68"/>
      <c r="CB942" s="68"/>
      <c r="CC942" s="68"/>
      <c r="CD942" s="68"/>
      <c r="CE942" s="68"/>
      <c r="CF942" s="68"/>
      <c r="CG942" s="68"/>
      <c r="CH942" s="68"/>
      <c r="CI942" s="68"/>
      <c r="CJ942" s="68"/>
      <c r="CK942" s="68"/>
      <c r="CL942" s="68"/>
      <c r="CM942" s="68"/>
      <c r="CN942" s="68"/>
      <c r="CO942" s="68"/>
      <c r="CP942" s="68"/>
    </row>
    <row r="943" ht="15.75" customHeight="1">
      <c r="A943" s="21" t="s">
        <v>4566</v>
      </c>
      <c r="B943" s="68"/>
      <c r="C943" s="69" t="s">
        <v>132</v>
      </c>
      <c r="D943" s="270" t="s">
        <v>4567</v>
      </c>
      <c r="E943" s="192" t="s">
        <v>4568</v>
      </c>
      <c r="F943" s="118" t="s">
        <v>4569</v>
      </c>
      <c r="G943" s="71"/>
      <c r="H943" s="71" t="s">
        <v>365</v>
      </c>
      <c r="I943" s="26" t="s">
        <v>65</v>
      </c>
      <c r="J943" s="155"/>
      <c r="K943" s="26">
        <v>1.0</v>
      </c>
      <c r="L943" s="142">
        <v>2019.0</v>
      </c>
      <c r="M943" s="25">
        <f>year(now()) -L943</f>
        <v>6</v>
      </c>
      <c r="N943" s="26">
        <f>counta(AE943,AG943,AI943,AK943,AM943,AO943,AQ943,AS943,AU943,AW943,AY943,BA943,BC943)</f>
        <v>2</v>
      </c>
      <c r="O943" s="27" t="str">
        <f t="shared" si="3"/>
        <v>#N/A</v>
      </c>
      <c r="P943" s="28"/>
      <c r="Q943" s="28"/>
      <c r="R943" s="28"/>
      <c r="S943" s="28"/>
      <c r="T943" s="29">
        <f>V943/M943</f>
        <v>575000</v>
      </c>
      <c r="U943" s="28"/>
      <c r="V943" s="30">
        <f t="shared" si="425"/>
        <v>3450000</v>
      </c>
      <c r="W943" s="30"/>
      <c r="X943" s="73"/>
      <c r="Y943" s="33">
        <f>(max(AE943,AG943,AI943,AK943,AM943,AO943,AQ943,AS943,AU943,AW943,AY943,BA943,BC943)/min(AE943,AG943,AI943,AK943))^(1/M943)-1</f>
        <v>0.1749951317</v>
      </c>
      <c r="Z943" s="692"/>
      <c r="AA943" s="665"/>
      <c r="AB943" s="74"/>
      <c r="AC943" s="74"/>
      <c r="AD943" s="181" t="str">
        <f>HYPERLINK("https://www.crunchbase.com/funding_round/jetpack-2-pre-seed--d688464d","Aug 1, 2019")</f>
        <v>Aug 1, 2019</v>
      </c>
      <c r="AE943" s="76">
        <v>950000.0</v>
      </c>
      <c r="AF943" s="225" t="str">
        <f>HYPERLINK("https://www.crunchbase.com/funding_round/jetpack-2-seed--5e664130","Jul 12, 2021")</f>
        <v>Jul 12, 2021</v>
      </c>
      <c r="AG943" s="76">
        <v>2500000.0</v>
      </c>
      <c r="AH943" s="74"/>
      <c r="AI943" s="78"/>
      <c r="AJ943" s="42"/>
      <c r="AK943" s="76"/>
      <c r="AL943" s="877"/>
      <c r="AM943" s="84"/>
      <c r="AN943" s="79"/>
      <c r="AO943" s="84"/>
      <c r="AP943" s="79"/>
      <c r="AQ943" s="84"/>
      <c r="AR943" s="79"/>
      <c r="AS943" s="79"/>
      <c r="AT943" s="79"/>
      <c r="AU943" s="80"/>
      <c r="AV943" s="79"/>
      <c r="AW943" s="38"/>
      <c r="AX943" s="79"/>
      <c r="AY943" s="38"/>
      <c r="AZ943" s="79"/>
      <c r="BA943" s="80"/>
      <c r="BB943" s="79"/>
      <c r="BC943" s="80"/>
      <c r="BD943" s="79"/>
      <c r="BE943" s="38"/>
      <c r="BF943" s="74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68"/>
      <c r="CA943" s="68"/>
      <c r="CB943" s="68"/>
      <c r="CC943" s="68"/>
      <c r="CD943" s="68"/>
      <c r="CE943" s="68"/>
      <c r="CF943" s="68"/>
      <c r="CG943" s="68"/>
      <c r="CH943" s="68"/>
      <c r="CI943" s="68"/>
      <c r="CJ943" s="68"/>
      <c r="CK943" s="68"/>
      <c r="CL943" s="68"/>
      <c r="CM943" s="68"/>
      <c r="CN943" s="68"/>
      <c r="CO943" s="68"/>
      <c r="CP943" s="68"/>
    </row>
    <row r="944" ht="15.75" customHeight="1">
      <c r="A944" s="21" t="s">
        <v>4570</v>
      </c>
      <c r="B944" s="69"/>
      <c r="C944" s="69" t="s">
        <v>68</v>
      </c>
      <c r="D944" s="337"/>
      <c r="E944" s="492" t="s">
        <v>4571</v>
      </c>
      <c r="F944" s="173" t="s">
        <v>4572</v>
      </c>
      <c r="G944" s="462"/>
      <c r="H944" s="493" t="s">
        <v>128</v>
      </c>
      <c r="I944" s="26" t="s">
        <v>129</v>
      </c>
      <c r="J944" s="1439"/>
      <c r="K944" s="26">
        <v>1.0</v>
      </c>
      <c r="L944" s="26">
        <v>2015.0</v>
      </c>
      <c r="M944" s="25"/>
      <c r="N944" s="26"/>
      <c r="O944" s="27" t="str">
        <f t="shared" si="3"/>
        <v>#N/A</v>
      </c>
      <c r="P944" s="28"/>
      <c r="Q944" s="28"/>
      <c r="R944" s="28"/>
      <c r="S944" s="28"/>
      <c r="T944" s="28"/>
      <c r="U944" s="28"/>
      <c r="V944" s="30">
        <f t="shared" si="425"/>
        <v>3450000</v>
      </c>
      <c r="W944" s="30"/>
      <c r="X944" s="73"/>
      <c r="Y944" s="73"/>
      <c r="Z944" s="692"/>
      <c r="AA944" s="665"/>
      <c r="AB944" s="74"/>
      <c r="AC944" s="74"/>
      <c r="AD944" s="43" t="str">
        <f>HYPERLINK("https://www.crunchbase.com/funding_round/fohlio-pre-seed--1ae99753","Mar 26, 2019")</f>
        <v>Mar 26, 2019</v>
      </c>
      <c r="AE944" s="38">
        <v>250000.0</v>
      </c>
      <c r="AF944" s="158" t="str">
        <f>HYPERLINK("https://www.crunchbase.com/funding_round/fohlio-seed--3af1f44d","May 3, 2022")</f>
        <v>May 3, 2022</v>
      </c>
      <c r="AG944" s="38">
        <v>3200000.0</v>
      </c>
      <c r="AH944" s="36"/>
      <c r="AI944" s="159"/>
      <c r="AJ944" s="44"/>
      <c r="AK944" s="46"/>
      <c r="AL944" s="44"/>
      <c r="AM944" s="46"/>
      <c r="AN944" s="44"/>
      <c r="AO944" s="46"/>
      <c r="AP944" s="44"/>
      <c r="AQ944" s="46"/>
      <c r="AR944" s="44"/>
      <c r="AS944" s="44"/>
      <c r="AT944" s="44"/>
      <c r="AU944" s="45"/>
      <c r="AV944" s="44"/>
      <c r="AW944" s="38"/>
      <c r="AX944" s="44"/>
      <c r="AY944" s="38"/>
      <c r="AZ944" s="44"/>
      <c r="BA944" s="45"/>
      <c r="BB944" s="44"/>
      <c r="BC944" s="45"/>
      <c r="BD944" s="44"/>
      <c r="BE944" s="38"/>
      <c r="BF944" s="3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</row>
    <row r="945" ht="15.75" customHeight="1">
      <c r="A945" s="952" t="s">
        <v>4573</v>
      </c>
      <c r="B945" s="534"/>
      <c r="C945" s="849" t="s">
        <v>4574</v>
      </c>
      <c r="D945" s="161"/>
      <c r="E945" s="161" t="s">
        <v>4575</v>
      </c>
      <c r="F945" s="118" t="s">
        <v>4576</v>
      </c>
      <c r="G945" s="54"/>
      <c r="H945" s="850" t="s">
        <v>357</v>
      </c>
      <c r="I945" s="222" t="s">
        <v>358</v>
      </c>
      <c r="J945" s="178" t="s">
        <v>4577</v>
      </c>
      <c r="K945" s="222"/>
      <c r="L945" s="222">
        <v>2017.0</v>
      </c>
      <c r="M945" s="25">
        <f t="shared" ref="M945:M947" si="672">year(now()) -L945</f>
        <v>8</v>
      </c>
      <c r="N945" s="26">
        <f t="shared" ref="N945:N947" si="673">counta(AE945,AG945,AI945,AK945,AM945,AO945,AQ945,AS945,AU945,AW945,AY945,BA945,BC945)</f>
        <v>1</v>
      </c>
      <c r="O945" s="27" t="str">
        <f t="shared" si="3"/>
        <v>#N/A</v>
      </c>
      <c r="P945" s="28"/>
      <c r="Q945" s="28"/>
      <c r="R945" s="28"/>
      <c r="S945" s="28"/>
      <c r="T945" s="29">
        <f t="shared" ref="T945:T947" si="674">V945/M945</f>
        <v>425000</v>
      </c>
      <c r="U945" s="28"/>
      <c r="V945" s="30">
        <f t="shared" si="425"/>
        <v>3400000</v>
      </c>
      <c r="W945" s="30"/>
      <c r="X945" s="852"/>
      <c r="Y945" s="33">
        <f t="shared" ref="Y945:Y947" si="675">(max(AE945,AG945,AI945,AK945,AM945,AO945,AQ945,AS945,AU945,AW945,AY945,BA945,BC945)/min(AE945,AG945,AI945,AK945))^(1/M945)-1</f>
        <v>0</v>
      </c>
      <c r="Z945" s="692"/>
      <c r="AA945" s="665"/>
      <c r="AB945" s="326"/>
      <c r="AC945" s="326"/>
      <c r="AD945" s="1134"/>
      <c r="AE945" s="325"/>
      <c r="AF945" s="868"/>
      <c r="AG945" s="325"/>
      <c r="AH945" s="1359"/>
      <c r="AI945" s="325"/>
      <c r="AJ945" s="732" t="str">
        <f>HYPERLINK("https://www.crunchbase.com/funding_round/ark-pes-series-a--63e66d5e","Apr 7, 2021")</f>
        <v>Apr 7, 2021</v>
      </c>
      <c r="AK945" s="325">
        <v>3400000.0</v>
      </c>
      <c r="AL945" s="1134"/>
      <c r="AM945" s="325"/>
      <c r="AN945" s="322"/>
      <c r="AO945" s="323"/>
      <c r="AP945" s="322"/>
      <c r="AQ945" s="323"/>
      <c r="AR945" s="322"/>
      <c r="AS945" s="322"/>
      <c r="AT945" s="322"/>
      <c r="AU945" s="335"/>
      <c r="AV945" s="322"/>
      <c r="AW945" s="38"/>
      <c r="AX945" s="322"/>
      <c r="AY945" s="38"/>
      <c r="AZ945" s="322"/>
      <c r="BA945" s="335"/>
      <c r="BB945" s="322"/>
      <c r="BC945" s="335"/>
      <c r="BD945" s="322"/>
      <c r="BE945" s="38"/>
      <c r="BF945" s="326"/>
      <c r="BG945" s="115"/>
      <c r="BH945" s="115"/>
      <c r="BI945" s="115"/>
      <c r="BJ945" s="115"/>
      <c r="BK945" s="115"/>
      <c r="BL945" s="115"/>
      <c r="BM945" s="115"/>
      <c r="BN945" s="115"/>
      <c r="BO945" s="115"/>
      <c r="BP945" s="115"/>
      <c r="BQ945" s="115"/>
      <c r="BR945" s="115"/>
      <c r="BS945" s="115"/>
      <c r="BT945" s="115"/>
      <c r="BU945" s="115"/>
      <c r="BV945" s="115"/>
      <c r="BW945" s="115"/>
      <c r="BX945" s="115"/>
      <c r="BY945" s="115"/>
      <c r="BZ945" s="115"/>
      <c r="CA945" s="115"/>
      <c r="CB945" s="115"/>
      <c r="CC945" s="115"/>
      <c r="CD945" s="115"/>
      <c r="CE945" s="115"/>
      <c r="CF945" s="115"/>
      <c r="CG945" s="115"/>
      <c r="CH945" s="115"/>
      <c r="CI945" s="115"/>
      <c r="CJ945" s="115"/>
      <c r="CK945" s="115"/>
      <c r="CL945" s="115"/>
      <c r="CM945" s="115"/>
      <c r="CN945" s="115"/>
      <c r="CO945" s="115"/>
      <c r="CP945" s="115"/>
    </row>
    <row r="946" ht="15.75" customHeight="1">
      <c r="A946" s="21" t="s">
        <v>4578</v>
      </c>
      <c r="B946" s="68"/>
      <c r="C946" s="69" t="s">
        <v>132</v>
      </c>
      <c r="D946" s="200" t="s">
        <v>4579</v>
      </c>
      <c r="E946" s="138" t="s">
        <v>4580</v>
      </c>
      <c r="F946" s="118" t="s">
        <v>4581</v>
      </c>
      <c r="G946" s="54" t="s">
        <v>4582</v>
      </c>
      <c r="H946" s="71" t="s">
        <v>357</v>
      </c>
      <c r="I946" s="26" t="s">
        <v>358</v>
      </c>
      <c r="J946" s="72" t="s">
        <v>2344</v>
      </c>
      <c r="K946" s="26">
        <v>4.0</v>
      </c>
      <c r="L946" s="26">
        <v>2016.0</v>
      </c>
      <c r="M946" s="25">
        <f t="shared" si="672"/>
        <v>9</v>
      </c>
      <c r="N946" s="26">
        <f t="shared" si="673"/>
        <v>2</v>
      </c>
      <c r="O946" s="27" t="str">
        <f t="shared" si="3"/>
        <v>#N/A</v>
      </c>
      <c r="P946" s="28"/>
      <c r="Q946" s="28"/>
      <c r="R946" s="28"/>
      <c r="S946" s="28"/>
      <c r="T946" s="29">
        <f t="shared" si="674"/>
        <v>377777.7778</v>
      </c>
      <c r="U946" s="28"/>
      <c r="V946" s="30">
        <f t="shared" si="425"/>
        <v>3400000</v>
      </c>
      <c r="W946" s="30"/>
      <c r="X946" s="73"/>
      <c r="Y946" s="33">
        <f t="shared" si="675"/>
        <v>0.3607900002</v>
      </c>
      <c r="Z946" s="692"/>
      <c r="AA946" s="665"/>
      <c r="AB946" s="74"/>
      <c r="AC946" s="74"/>
      <c r="AD946" s="181" t="str">
        <f>HYPERLINK("https://www.crunchbase.com/funding_round/subease-pre-seed--b94c7596#section-overview","Jun 30, 2016")</f>
        <v>Jun 30, 2016</v>
      </c>
      <c r="AE946" s="76">
        <v>200000.0</v>
      </c>
      <c r="AF946" s="175" t="str">
        <f>HYPERLINK("https://www.crunchbase.com/funding_round/subease-seed--0cf59529","Jun 12, 2020")</f>
        <v>Jun 12, 2020</v>
      </c>
      <c r="AG946" s="76">
        <v>3200000.0</v>
      </c>
      <c r="AH946" s="74"/>
      <c r="AI946" s="78"/>
      <c r="AJ946" s="79"/>
      <c r="AK946" s="84"/>
      <c r="AL946" s="79"/>
      <c r="AM946" s="84"/>
      <c r="AN946" s="79"/>
      <c r="AO946" s="84"/>
      <c r="AP946" s="79"/>
      <c r="AQ946" s="84"/>
      <c r="AR946" s="79"/>
      <c r="AS946" s="79"/>
      <c r="AT946" s="79"/>
      <c r="AU946" s="80"/>
      <c r="AV946" s="79"/>
      <c r="AW946" s="38"/>
      <c r="AX946" s="79"/>
      <c r="AY946" s="38"/>
      <c r="AZ946" s="79"/>
      <c r="BA946" s="80"/>
      <c r="BB946" s="79"/>
      <c r="BC946" s="80"/>
      <c r="BD946" s="79"/>
      <c r="BE946" s="38"/>
      <c r="BF946" s="74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68"/>
      <c r="CA946" s="68"/>
      <c r="CB946" s="68"/>
      <c r="CC946" s="68"/>
      <c r="CD946" s="68"/>
      <c r="CE946" s="68"/>
      <c r="CF946" s="68"/>
      <c r="CG946" s="68"/>
      <c r="CH946" s="68"/>
      <c r="CI946" s="68"/>
      <c r="CJ946" s="68"/>
      <c r="CK946" s="68"/>
      <c r="CL946" s="68"/>
      <c r="CM946" s="68"/>
      <c r="CN946" s="68"/>
      <c r="CO946" s="68"/>
      <c r="CP946" s="68"/>
    </row>
    <row r="947" ht="15.75" customHeight="1">
      <c r="A947" s="860" t="s">
        <v>4583</v>
      </c>
      <c r="B947" s="68"/>
      <c r="C947" s="69" t="s">
        <v>4584</v>
      </c>
      <c r="D947" s="184"/>
      <c r="E947" s="192" t="s">
        <v>4585</v>
      </c>
      <c r="F947" s="118" t="s">
        <v>4586</v>
      </c>
      <c r="G947" s="140"/>
      <c r="H947" s="71" t="s">
        <v>271</v>
      </c>
      <c r="I947" s="26" t="s">
        <v>272</v>
      </c>
      <c r="J947" s="72"/>
      <c r="K947" s="74"/>
      <c r="L947" s="26">
        <v>2017.0</v>
      </c>
      <c r="M947" s="25">
        <f t="shared" si="672"/>
        <v>8</v>
      </c>
      <c r="N947" s="26">
        <f t="shared" si="673"/>
        <v>2</v>
      </c>
      <c r="O947" s="27" t="str">
        <f t="shared" si="3"/>
        <v>#N/A</v>
      </c>
      <c r="P947" s="28"/>
      <c r="Q947" s="28"/>
      <c r="R947" s="28"/>
      <c r="S947" s="28"/>
      <c r="T947" s="29">
        <f t="shared" si="674"/>
        <v>425000</v>
      </c>
      <c r="U947" s="28"/>
      <c r="V947" s="30">
        <f t="shared" si="425"/>
        <v>3400000</v>
      </c>
      <c r="W947" s="30"/>
      <c r="X947" s="32"/>
      <c r="Y947" s="33">
        <f t="shared" si="675"/>
        <v>0.07871117868</v>
      </c>
      <c r="Z947" s="692"/>
      <c r="AA947" s="665"/>
      <c r="AB947" s="74"/>
      <c r="AC947" s="74"/>
      <c r="AD947" s="42">
        <v>43191.0</v>
      </c>
      <c r="AE947" s="76">
        <v>1200000.0</v>
      </c>
      <c r="AF947" s="225">
        <v>44047.0</v>
      </c>
      <c r="AG947" s="76">
        <v>2200000.0</v>
      </c>
      <c r="AH947" s="929"/>
      <c r="AI947" s="435"/>
      <c r="AJ947" s="79"/>
      <c r="AK947" s="78"/>
      <c r="AL947" s="79"/>
      <c r="AM947" s="78"/>
      <c r="AN947" s="79"/>
      <c r="AO947" s="84"/>
      <c r="AP947" s="79"/>
      <c r="AQ947" s="84"/>
      <c r="AR947" s="79"/>
      <c r="AS947" s="79"/>
      <c r="AT947" s="79"/>
      <c r="AU947" s="80"/>
      <c r="AV947" s="79"/>
      <c r="AW947" s="38"/>
      <c r="AX947" s="79"/>
      <c r="AY947" s="38"/>
      <c r="AZ947" s="79"/>
      <c r="BA947" s="80"/>
      <c r="BB947" s="79"/>
      <c r="BC947" s="80"/>
      <c r="BD947" s="79"/>
      <c r="BE947" s="38"/>
      <c r="BF947" s="74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  <c r="BQ947" s="68"/>
      <c r="BR947" s="68"/>
      <c r="BS947" s="68"/>
      <c r="BT947" s="68"/>
      <c r="BU947" s="68"/>
      <c r="BV947" s="68"/>
      <c r="BW947" s="68"/>
      <c r="BX947" s="68"/>
      <c r="BY947" s="68"/>
      <c r="BZ947" s="68"/>
      <c r="CA947" s="68"/>
      <c r="CB947" s="68"/>
      <c r="CC947" s="68"/>
      <c r="CD947" s="68"/>
      <c r="CE947" s="68"/>
      <c r="CF947" s="68"/>
      <c r="CG947" s="68"/>
      <c r="CH947" s="68"/>
      <c r="CI947" s="68"/>
      <c r="CJ947" s="68"/>
      <c r="CK947" s="68"/>
      <c r="CL947" s="68"/>
      <c r="CM947" s="68"/>
      <c r="CN947" s="68"/>
      <c r="CO947" s="68"/>
      <c r="CP947" s="68"/>
    </row>
    <row r="948" ht="15.75" customHeight="1">
      <c r="A948" s="400" t="s">
        <v>4587</v>
      </c>
      <c r="B948" s="115"/>
      <c r="C948" s="116" t="s">
        <v>59</v>
      </c>
      <c r="D948" s="161" t="s">
        <v>4588</v>
      </c>
      <c r="E948" s="161" t="s">
        <v>4589</v>
      </c>
      <c r="F948" s="402" t="s">
        <v>4590</v>
      </c>
      <c r="G948" s="286"/>
      <c r="H948" s="119" t="s">
        <v>1153</v>
      </c>
      <c r="I948" s="25" t="s">
        <v>65</v>
      </c>
      <c r="J948" s="287"/>
      <c r="K948" s="25">
        <v>2.0</v>
      </c>
      <c r="L948" s="25">
        <v>2018.0</v>
      </c>
      <c r="M948" s="123"/>
      <c r="N948" s="123"/>
      <c r="O948" s="27" t="str">
        <f t="shared" si="3"/>
        <v>#N/A</v>
      </c>
      <c r="P948" s="55"/>
      <c r="Q948" s="55"/>
      <c r="R948" s="55"/>
      <c r="S948" s="55"/>
      <c r="T948" s="55"/>
      <c r="U948" s="55"/>
      <c r="V948" s="30">
        <f t="shared" si="425"/>
        <v>3400000</v>
      </c>
      <c r="W948" s="31">
        <v>1000000.0</v>
      </c>
      <c r="X948" s="403"/>
      <c r="Y948" s="403"/>
      <c r="Z948" s="692"/>
      <c r="AA948" s="665"/>
      <c r="AB948" s="123"/>
      <c r="AC948" s="123"/>
      <c r="AD948" s="452"/>
      <c r="AE948" s="123"/>
      <c r="AF948" s="62">
        <v>44875.0</v>
      </c>
      <c r="AG948" s="1342">
        <v>3400000.0</v>
      </c>
      <c r="AH948" s="123"/>
      <c r="AI948" s="123"/>
      <c r="AJ948" s="123"/>
      <c r="AK948" s="123"/>
      <c r="AL948" s="123"/>
      <c r="AM948" s="123"/>
      <c r="AN948" s="123"/>
      <c r="AO948" s="123"/>
      <c r="AP948" s="123"/>
      <c r="AQ948" s="123"/>
      <c r="AR948" s="123"/>
      <c r="AS948" s="123"/>
      <c r="AT948" s="123"/>
      <c r="AU948" s="137"/>
      <c r="AV948" s="123"/>
      <c r="AW948" s="38"/>
      <c r="AX948" s="123"/>
      <c r="AY948" s="38"/>
      <c r="AZ948" s="123"/>
      <c r="BA948" s="137"/>
      <c r="BB948" s="123"/>
      <c r="BC948" s="137"/>
      <c r="BD948" s="123"/>
      <c r="BE948" s="38"/>
      <c r="BF948" s="123"/>
      <c r="BG948" s="115"/>
      <c r="BH948" s="115"/>
      <c r="BI948" s="115"/>
      <c r="BJ948" s="115"/>
      <c r="BK948" s="115"/>
      <c r="BL948" s="115"/>
      <c r="BM948" s="115"/>
      <c r="BN948" s="115"/>
      <c r="BO948" s="115"/>
      <c r="BP948" s="115"/>
      <c r="BQ948" s="115"/>
      <c r="BR948" s="115"/>
      <c r="BS948" s="115"/>
      <c r="BT948" s="115"/>
      <c r="BU948" s="115"/>
      <c r="BV948" s="115"/>
      <c r="BW948" s="115"/>
      <c r="BX948" s="115"/>
      <c r="BY948" s="115"/>
      <c r="BZ948" s="115"/>
      <c r="CA948" s="115"/>
      <c r="CB948" s="115"/>
      <c r="CC948" s="115"/>
      <c r="CD948" s="115"/>
      <c r="CE948" s="115"/>
      <c r="CF948" s="115"/>
      <c r="CG948" s="115"/>
      <c r="CH948" s="115"/>
      <c r="CI948" s="115"/>
      <c r="CJ948" s="115"/>
      <c r="CK948" s="115"/>
      <c r="CL948" s="115"/>
      <c r="CM948" s="115"/>
      <c r="CN948" s="115"/>
      <c r="CO948" s="115"/>
      <c r="CP948" s="115"/>
    </row>
    <row r="949" ht="15.75" customHeight="1">
      <c r="A949" s="47" t="s">
        <v>4591</v>
      </c>
      <c r="C949" s="48" t="s">
        <v>68</v>
      </c>
      <c r="D949" s="49" t="s">
        <v>4592</v>
      </c>
      <c r="E949" s="49" t="s">
        <v>4593</v>
      </c>
      <c r="F949" s="749" t="s">
        <v>4594</v>
      </c>
      <c r="G949" s="353"/>
      <c r="H949" s="53" t="s">
        <v>128</v>
      </c>
      <c r="I949" s="54" t="s">
        <v>129</v>
      </c>
      <c r="J949" s="55"/>
      <c r="K949" s="54">
        <v>1.0</v>
      </c>
      <c r="L949" s="56">
        <v>2021.0</v>
      </c>
      <c r="M949" s="55"/>
      <c r="N949" s="55"/>
      <c r="O949" s="27" t="str">
        <f t="shared" si="3"/>
        <v>#N/A</v>
      </c>
      <c r="P949" s="55"/>
      <c r="Q949" s="55"/>
      <c r="R949" s="55"/>
      <c r="S949" s="55"/>
      <c r="T949" s="55"/>
      <c r="U949" s="55"/>
      <c r="V949" s="30">
        <f t="shared" si="425"/>
        <v>3400000</v>
      </c>
      <c r="W949" s="30"/>
      <c r="X949" s="58"/>
      <c r="Y949" s="58"/>
      <c r="Z949" s="692"/>
      <c r="AA949" s="665"/>
      <c r="AB949" s="55"/>
      <c r="AC949" s="55"/>
      <c r="AD949" s="355"/>
      <c r="AE949" s="38"/>
      <c r="AF949" s="62">
        <v>45012.0</v>
      </c>
      <c r="AG949" s="38">
        <v>3400000.0</v>
      </c>
      <c r="AH949" s="55"/>
      <c r="AI949" s="38"/>
      <c r="AJ949" s="55"/>
      <c r="AK949" s="38"/>
      <c r="AL949" s="55"/>
      <c r="AM949" s="38"/>
      <c r="AN949" s="55"/>
      <c r="AO949" s="38"/>
      <c r="AP949" s="356"/>
      <c r="AQ949" s="38"/>
      <c r="AR949" s="55"/>
      <c r="AS949" s="38"/>
      <c r="AT949" s="55"/>
      <c r="AU949" s="38"/>
      <c r="AV949" s="55"/>
      <c r="AW949" s="38"/>
      <c r="AX949" s="55"/>
      <c r="AY949" s="38"/>
      <c r="AZ949" s="55"/>
      <c r="BA949" s="38"/>
      <c r="BB949" s="55"/>
      <c r="BC949" s="38"/>
      <c r="BD949" s="55"/>
      <c r="BE949" s="38"/>
      <c r="BF949" s="55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</row>
    <row r="950" ht="15.75" customHeight="1">
      <c r="A950" s="47" t="s">
        <v>4595</v>
      </c>
      <c r="C950" s="48" t="s">
        <v>4596</v>
      </c>
      <c r="D950" s="351"/>
      <c r="E950" s="617" t="s">
        <v>4597</v>
      </c>
      <c r="F950" s="352" t="s">
        <v>4598</v>
      </c>
      <c r="G950" s="353"/>
      <c r="H950" s="53" t="s">
        <v>4599</v>
      </c>
      <c r="I950" s="54" t="s">
        <v>753</v>
      </c>
      <c r="J950" s="55"/>
      <c r="K950" s="54">
        <v>4.0</v>
      </c>
      <c r="L950" s="56">
        <v>2011.0</v>
      </c>
      <c r="M950" s="55"/>
      <c r="N950" s="55"/>
      <c r="O950" s="27" t="str">
        <f t="shared" si="3"/>
        <v>#N/A</v>
      </c>
      <c r="P950" s="55"/>
      <c r="Q950" s="55"/>
      <c r="R950" s="55"/>
      <c r="S950" s="55"/>
      <c r="T950" s="55"/>
      <c r="U950" s="55"/>
      <c r="V950" s="30">
        <f t="shared" si="425"/>
        <v>3368300</v>
      </c>
      <c r="W950" s="30"/>
      <c r="X950" s="58"/>
      <c r="Y950" s="58"/>
      <c r="Z950" s="692"/>
      <c r="AA950" s="665"/>
      <c r="AB950" s="55"/>
      <c r="AC950" s="55"/>
      <c r="AD950" s="880">
        <v>41306.0</v>
      </c>
      <c r="AE950" s="38">
        <v>68300.0</v>
      </c>
      <c r="AF950" s="355"/>
      <c r="AG950" s="38"/>
      <c r="AH950" s="55"/>
      <c r="AI950" s="38"/>
      <c r="AJ950" s="62">
        <v>44950.0</v>
      </c>
      <c r="AK950" s="38">
        <v>3300000.0</v>
      </c>
      <c r="AL950" s="55"/>
      <c r="AM950" s="38"/>
      <c r="AN950" s="55"/>
      <c r="AO950" s="38"/>
      <c r="AP950" s="356"/>
      <c r="AQ950" s="38"/>
      <c r="AR950" s="55"/>
      <c r="AS950" s="38"/>
      <c r="AT950" s="55"/>
      <c r="AU950" s="38"/>
      <c r="AV950" s="55"/>
      <c r="AW950" s="38"/>
      <c r="AX950" s="55"/>
      <c r="AY950" s="38"/>
      <c r="AZ950" s="55"/>
      <c r="BA950" s="38"/>
      <c r="BB950" s="55"/>
      <c r="BC950" s="38"/>
      <c r="BD950" s="55"/>
      <c r="BE950" s="38"/>
      <c r="BF950" s="55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68"/>
      <c r="CA950" s="68"/>
      <c r="CB950" s="68"/>
      <c r="CC950" s="68"/>
      <c r="CD950" s="68"/>
      <c r="CE950" s="68"/>
      <c r="CF950" s="68"/>
      <c r="CG950" s="68"/>
      <c r="CH950" s="68"/>
      <c r="CI950" s="68"/>
      <c r="CJ950" s="68"/>
      <c r="CK950" s="68"/>
      <c r="CL950" s="68"/>
      <c r="CM950" s="68"/>
      <c r="CN950" s="68"/>
      <c r="CO950" s="68"/>
      <c r="CP950" s="68"/>
    </row>
    <row r="951" ht="15.75" customHeight="1">
      <c r="A951" s="1353" t="s">
        <v>4600</v>
      </c>
      <c r="B951" s="582"/>
      <c r="C951" s="1206" t="s">
        <v>84</v>
      </c>
      <c r="D951" s="1440" t="s">
        <v>4601</v>
      </c>
      <c r="E951" s="1440" t="s">
        <v>4602</v>
      </c>
      <c r="F951" s="1441" t="s">
        <v>4603</v>
      </c>
      <c r="G951" s="1149"/>
      <c r="H951" s="1245" t="s">
        <v>128</v>
      </c>
      <c r="I951" s="831" t="s">
        <v>129</v>
      </c>
      <c r="J951" s="1151"/>
      <c r="K951" s="1211">
        <v>3.0</v>
      </c>
      <c r="L951" s="1211">
        <v>2017.0</v>
      </c>
      <c r="M951" s="25"/>
      <c r="N951" s="1211"/>
      <c r="O951" s="27" t="str">
        <f t="shared" si="3"/>
        <v>#N/A</v>
      </c>
      <c r="P951" s="1212"/>
      <c r="Q951" s="1212"/>
      <c r="R951" s="1212"/>
      <c r="S951" s="1212"/>
      <c r="T951" s="1212"/>
      <c r="U951" s="1212"/>
      <c r="V951" s="30">
        <f t="shared" si="425"/>
        <v>3325000</v>
      </c>
      <c r="W951" s="30"/>
      <c r="X951" s="1213"/>
      <c r="Y951" s="1213"/>
      <c r="Z951" s="692"/>
      <c r="AA951" s="665"/>
      <c r="AB951" s="1214"/>
      <c r="AC951" s="1214"/>
      <c r="AD951" s="1442">
        <v>42979.0</v>
      </c>
      <c r="AE951" s="1157">
        <v>25000.0</v>
      </c>
      <c r="AF951" s="1443">
        <v>44690.0</v>
      </c>
      <c r="AG951" s="1157">
        <v>3300000.0</v>
      </c>
      <c r="AH951" s="1152"/>
      <c r="AI951" s="1300"/>
      <c r="AJ951" s="1153"/>
      <c r="AK951" s="1157"/>
      <c r="AL951" s="1153"/>
      <c r="AM951" s="1216"/>
      <c r="AN951" s="1215"/>
      <c r="AO951" s="1216"/>
      <c r="AP951" s="1215"/>
      <c r="AQ951" s="1216"/>
      <c r="AR951" s="1215"/>
      <c r="AS951" s="1215"/>
      <c r="AT951" s="1215"/>
      <c r="AU951" s="1221"/>
      <c r="AV951" s="1215"/>
      <c r="AW951" s="38"/>
      <c r="AX951" s="1215"/>
      <c r="AY951" s="38"/>
      <c r="AZ951" s="1215"/>
      <c r="BA951" s="1221"/>
      <c r="BB951" s="1215"/>
      <c r="BC951" s="1221"/>
      <c r="BD951" s="1215"/>
      <c r="BE951" s="38"/>
      <c r="BF951" s="1214"/>
      <c r="BG951" s="115"/>
      <c r="BH951" s="115"/>
      <c r="BI951" s="115"/>
      <c r="BJ951" s="115"/>
      <c r="BK951" s="115"/>
      <c r="BL951" s="115"/>
      <c r="BM951" s="115"/>
      <c r="BN951" s="115"/>
      <c r="BO951" s="115"/>
      <c r="BP951" s="115"/>
      <c r="BQ951" s="115"/>
      <c r="BR951" s="115"/>
      <c r="BS951" s="115"/>
      <c r="BT951" s="115"/>
      <c r="BU951" s="115"/>
      <c r="BV951" s="115"/>
      <c r="BW951" s="115"/>
      <c r="BX951" s="115"/>
      <c r="BY951" s="115"/>
      <c r="BZ951" s="115"/>
      <c r="CA951" s="115"/>
      <c r="CB951" s="115"/>
      <c r="CC951" s="115"/>
      <c r="CD951" s="115"/>
      <c r="CE951" s="115"/>
      <c r="CF951" s="115"/>
      <c r="CG951" s="115"/>
      <c r="CH951" s="115"/>
      <c r="CI951" s="115"/>
      <c r="CJ951" s="115"/>
      <c r="CK951" s="115"/>
      <c r="CL951" s="115"/>
      <c r="CM951" s="115"/>
      <c r="CN951" s="115"/>
      <c r="CO951" s="115"/>
      <c r="CP951" s="115"/>
    </row>
    <row r="952" ht="15.75" customHeight="1">
      <c r="A952" s="47" t="s">
        <v>4604</v>
      </c>
      <c r="B952" s="69"/>
      <c r="C952" s="69" t="s">
        <v>84</v>
      </c>
      <c r="D952" s="48"/>
      <c r="E952" s="50" t="s">
        <v>4605</v>
      </c>
      <c r="F952" s="70" t="s">
        <v>4606</v>
      </c>
      <c r="G952" s="71"/>
      <c r="H952" s="71" t="s">
        <v>99</v>
      </c>
      <c r="I952" s="26" t="s">
        <v>100</v>
      </c>
      <c r="J952" s="72"/>
      <c r="K952" s="74"/>
      <c r="L952" s="26"/>
      <c r="M952" s="123"/>
      <c r="N952" s="74"/>
      <c r="O952" s="27" t="str">
        <f t="shared" si="3"/>
        <v>#N/A</v>
      </c>
      <c r="P952" s="28"/>
      <c r="Q952" s="28"/>
      <c r="R952" s="28"/>
      <c r="S952" s="28"/>
      <c r="T952" s="28"/>
      <c r="U952" s="28"/>
      <c r="V952" s="30">
        <f t="shared" si="425"/>
        <v>3300000</v>
      </c>
      <c r="W952" s="30"/>
      <c r="X952" s="32"/>
      <c r="Y952" s="32"/>
      <c r="Z952" s="692"/>
      <c r="AA952" s="665"/>
      <c r="AB952" s="74"/>
      <c r="AC952" s="74"/>
      <c r="AD952" s="75">
        <v>44804.0</v>
      </c>
      <c r="AE952" s="76">
        <v>3300000.0</v>
      </c>
      <c r="AF952" s="338"/>
      <c r="AG952" s="807"/>
      <c r="AH952" s="74"/>
      <c r="AI952" s="78"/>
      <c r="AJ952" s="227"/>
      <c r="AK952" s="76"/>
      <c r="AL952" s="79"/>
      <c r="AM952" s="84"/>
      <c r="AN952" s="79"/>
      <c r="AO952" s="84"/>
      <c r="AP952" s="79"/>
      <c r="AQ952" s="84"/>
      <c r="AR952" s="79"/>
      <c r="AS952" s="79"/>
      <c r="AT952" s="79"/>
      <c r="AU952" s="80"/>
      <c r="AV952" s="79"/>
      <c r="AW952" s="38"/>
      <c r="AX952" s="79"/>
      <c r="AY952" s="38"/>
      <c r="AZ952" s="79"/>
      <c r="BA952" s="80"/>
      <c r="BB952" s="79"/>
      <c r="BC952" s="80"/>
      <c r="BD952" s="79"/>
      <c r="BE952" s="38"/>
      <c r="BF952" s="74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</row>
    <row r="953" ht="15.75" customHeight="1">
      <c r="A953" s="47" t="s">
        <v>4607</v>
      </c>
      <c r="C953" s="48" t="s">
        <v>76</v>
      </c>
      <c r="D953" s="1434"/>
      <c r="E953" s="49" t="s">
        <v>4608</v>
      </c>
      <c r="F953" s="352" t="s">
        <v>4609</v>
      </c>
      <c r="G953" s="52"/>
      <c r="H953" s="53" t="s">
        <v>4610</v>
      </c>
      <c r="I953" s="54" t="s">
        <v>329</v>
      </c>
      <c r="J953" s="55"/>
      <c r="K953" s="54">
        <v>1.0</v>
      </c>
      <c r="L953" s="56">
        <v>2020.0</v>
      </c>
      <c r="M953" s="55"/>
      <c r="N953" s="55"/>
      <c r="O953" s="27" t="str">
        <f t="shared" si="3"/>
        <v>#N/A</v>
      </c>
      <c r="P953" s="55"/>
      <c r="Q953" s="55"/>
      <c r="R953" s="55"/>
      <c r="S953" s="55"/>
      <c r="T953" s="55"/>
      <c r="U953" s="55"/>
      <c r="V953" s="30">
        <f t="shared" si="425"/>
        <v>3292000</v>
      </c>
      <c r="W953" s="30"/>
      <c r="X953" s="58"/>
      <c r="Y953" s="58"/>
      <c r="Z953" s="692"/>
      <c r="AA953" s="665"/>
      <c r="AB953" s="55"/>
      <c r="AC953" s="55"/>
      <c r="AD953" s="62">
        <v>44044.0</v>
      </c>
      <c r="AE953" s="38">
        <v>392000.0</v>
      </c>
      <c r="AF953" s="62">
        <v>44872.0</v>
      </c>
      <c r="AG953" s="715">
        <v>2900000.0</v>
      </c>
      <c r="AH953" s="55"/>
      <c r="AI953" s="55"/>
      <c r="AJ953" s="55"/>
      <c r="AK953" s="55"/>
      <c r="AL953" s="55"/>
      <c r="AM953" s="55"/>
      <c r="AN953" s="55"/>
      <c r="AO953" s="55"/>
      <c r="AP953" s="356"/>
      <c r="AQ953" s="356"/>
      <c r="AR953" s="55"/>
      <c r="AS953" s="55"/>
      <c r="AT953" s="55"/>
      <c r="AU953" s="722"/>
      <c r="AV953" s="55"/>
      <c r="AW953" s="38"/>
      <c r="AX953" s="55"/>
      <c r="AY953" s="38"/>
      <c r="AZ953" s="55"/>
      <c r="BA953" s="722"/>
      <c r="BB953" s="55"/>
      <c r="BC953" s="722"/>
      <c r="BD953" s="55"/>
      <c r="BE953" s="38"/>
      <c r="BF953" s="55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</row>
    <row r="954" ht="15.75" customHeight="1">
      <c r="A954" s="21" t="s">
        <v>4611</v>
      </c>
      <c r="B954" s="68"/>
      <c r="C954" s="69" t="s">
        <v>4612</v>
      </c>
      <c r="D954" s="200" t="s">
        <v>4613</v>
      </c>
      <c r="E954" s="200" t="s">
        <v>4614</v>
      </c>
      <c r="F954" s="154" t="s">
        <v>4615</v>
      </c>
      <c r="G954" s="71" t="s">
        <v>4616</v>
      </c>
      <c r="H954" s="71" t="s">
        <v>4617</v>
      </c>
      <c r="I954" s="26" t="s">
        <v>674</v>
      </c>
      <c r="J954" s="72" t="s">
        <v>4618</v>
      </c>
      <c r="K954" s="26">
        <v>1.0</v>
      </c>
      <c r="L954" s="26">
        <v>2017.0</v>
      </c>
      <c r="M954" s="25">
        <f>year(now()) -L954</f>
        <v>8</v>
      </c>
      <c r="N954" s="26">
        <f>counta(AE954,AG954,AI954,AK954,AM954,AO954,AQ954,AS954,AU954,AW954,AY954,BA954,BC954)</f>
        <v>1</v>
      </c>
      <c r="O954" s="27" t="str">
        <f t="shared" si="3"/>
        <v>#N/A</v>
      </c>
      <c r="P954" s="28"/>
      <c r="Q954" s="28"/>
      <c r="R954" s="28"/>
      <c r="S954" s="28"/>
      <c r="T954" s="29">
        <f>V954/M954</f>
        <v>408162.3125</v>
      </c>
      <c r="U954" s="28"/>
      <c r="V954" s="30">
        <f t="shared" si="425"/>
        <v>3265298.5</v>
      </c>
      <c r="W954" s="30"/>
      <c r="X954" s="73"/>
      <c r="Y954" s="33">
        <f>(max(AE954,AG954,AI954,AK954,AM954,AO954,AQ954,AS954,AU954,AW954,AY954,BA954,BC954)/min(AE954,AG954,AI954,AK954))^(1/M954)-1</f>
        <v>0</v>
      </c>
      <c r="Z954" s="692"/>
      <c r="AA954" s="665"/>
      <c r="AB954" s="74"/>
      <c r="AC954" s="74"/>
      <c r="AD954" s="79"/>
      <c r="AE954" s="84"/>
      <c r="AF954" s="175" t="str">
        <f>HYPERLINK("https://www.crunchbase.com/organization/wattsense#section-funding-rounds"," Oct 2, 2019")</f>
        <v> Oct 2, 2019</v>
      </c>
      <c r="AG954" s="76">
        <v>3265298.5</v>
      </c>
      <c r="AH954" s="74"/>
      <c r="AI954" s="78"/>
      <c r="AJ954" s="79"/>
      <c r="AK954" s="84"/>
      <c r="AL954" s="79"/>
      <c r="AM954" s="84"/>
      <c r="AN954" s="79"/>
      <c r="AO954" s="84"/>
      <c r="AP954" s="79"/>
      <c r="AQ954" s="84"/>
      <c r="AR954" s="79"/>
      <c r="AS954" s="79"/>
      <c r="AT954" s="79"/>
      <c r="AU954" s="80"/>
      <c r="AV954" s="79"/>
      <c r="AW954" s="38"/>
      <c r="AX954" s="79"/>
      <c r="AY954" s="38"/>
      <c r="AZ954" s="79"/>
      <c r="BA954" s="80"/>
      <c r="BB954" s="79"/>
      <c r="BC954" s="80"/>
      <c r="BD954" s="79"/>
      <c r="BE954" s="38"/>
      <c r="BF954" s="74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</row>
    <row r="955" ht="15.75" customHeight="1">
      <c r="A955" s="47" t="s">
        <v>4619</v>
      </c>
      <c r="B955" s="116"/>
      <c r="C955" s="116" t="s">
        <v>132</v>
      </c>
      <c r="D955" s="540" t="s">
        <v>4620</v>
      </c>
      <c r="E955" s="50" t="s">
        <v>4621</v>
      </c>
      <c r="F955" s="70" t="s">
        <v>4622</v>
      </c>
      <c r="G955" s="54"/>
      <c r="H955" s="54" t="s">
        <v>4623</v>
      </c>
      <c r="I955" s="25" t="s">
        <v>4624</v>
      </c>
      <c r="J955" s="178"/>
      <c r="K955" s="25">
        <v>2.0</v>
      </c>
      <c r="L955" s="25">
        <v>2018.0</v>
      </c>
      <c r="M955" s="25"/>
      <c r="N955" s="25"/>
      <c r="O955" s="27" t="str">
        <f t="shared" si="3"/>
        <v>#N/A</v>
      </c>
      <c r="P955" s="356"/>
      <c r="Q955" s="356"/>
      <c r="R955" s="356"/>
      <c r="S955" s="356"/>
      <c r="T955" s="356"/>
      <c r="U955" s="356"/>
      <c r="V955" s="30">
        <f t="shared" si="425"/>
        <v>3225000</v>
      </c>
      <c r="W955" s="30"/>
      <c r="X955" s="597"/>
      <c r="Y955" s="597"/>
      <c r="Z955" s="692"/>
      <c r="AA955" s="665"/>
      <c r="AB955" s="123"/>
      <c r="AC955" s="123"/>
      <c r="AD955" s="1203">
        <v>44635.0</v>
      </c>
      <c r="AE955" s="76">
        <v>625000.0</v>
      </c>
      <c r="AF955" s="728">
        <v>44838.0</v>
      </c>
      <c r="AG955" s="127">
        <v>2600000.0</v>
      </c>
      <c r="AH955" s="1202"/>
      <c r="AI955" s="759"/>
      <c r="AJ955" s="1200"/>
      <c r="AK955" s="165"/>
      <c r="AL955" s="124"/>
      <c r="AM955" s="125"/>
      <c r="AN955" s="124"/>
      <c r="AO955" s="125"/>
      <c r="AP955" s="124"/>
      <c r="AQ955" s="125"/>
      <c r="AR955" s="124"/>
      <c r="AS955" s="124"/>
      <c r="AT955" s="124"/>
      <c r="AU955" s="137"/>
      <c r="AV955" s="124"/>
      <c r="AW955" s="38"/>
      <c r="AX955" s="124"/>
      <c r="AY955" s="38"/>
      <c r="AZ955" s="124"/>
      <c r="BA955" s="137"/>
      <c r="BB955" s="124"/>
      <c r="BC955" s="137"/>
      <c r="BD955" s="124"/>
      <c r="BE955" s="38"/>
      <c r="BF955" s="123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68"/>
      <c r="CA955" s="68"/>
      <c r="CB955" s="68"/>
      <c r="CC955" s="68"/>
      <c r="CD955" s="68"/>
      <c r="CE955" s="68"/>
      <c r="CF955" s="68"/>
      <c r="CG955" s="68"/>
      <c r="CH955" s="68"/>
      <c r="CI955" s="68"/>
      <c r="CJ955" s="68"/>
      <c r="CK955" s="68"/>
      <c r="CL955" s="68"/>
      <c r="CM955" s="68"/>
      <c r="CN955" s="68"/>
      <c r="CO955" s="68"/>
      <c r="CP955" s="68"/>
    </row>
    <row r="956" ht="15.75" customHeight="1">
      <c r="A956" s="442" t="s">
        <v>4625</v>
      </c>
      <c r="B956" s="68" t="s">
        <v>944</v>
      </c>
      <c r="C956" s="68" t="s">
        <v>59</v>
      </c>
      <c r="D956" s="184" t="s">
        <v>4626</v>
      </c>
      <c r="E956" s="184" t="s">
        <v>4627</v>
      </c>
      <c r="F956" s="185" t="s">
        <v>4628</v>
      </c>
      <c r="G956" s="186" t="s">
        <v>4629</v>
      </c>
      <c r="H956" s="186" t="s">
        <v>357</v>
      </c>
      <c r="I956" s="74" t="s">
        <v>518</v>
      </c>
      <c r="J956" s="514" t="s">
        <v>1220</v>
      </c>
      <c r="K956" s="74">
        <v>2.0</v>
      </c>
      <c r="L956" s="26">
        <v>2012.0</v>
      </c>
      <c r="M956" s="25">
        <f>year(now()) -L956</f>
        <v>13</v>
      </c>
      <c r="N956" s="26">
        <f>counta(AE956,AG956,AI956,AK956,AM956,AO956,AQ956,AS956,AU956,AW956,AY956,BA956,BC956)</f>
        <v>2</v>
      </c>
      <c r="O956" s="27" t="str">
        <f t="shared" si="3"/>
        <v>#N/A</v>
      </c>
      <c r="P956" s="28"/>
      <c r="Q956" s="28"/>
      <c r="R956" s="28"/>
      <c r="S956" s="28"/>
      <c r="T956" s="29">
        <f>V956/M956</f>
        <v>244230.7692</v>
      </c>
      <c r="U956" s="28"/>
      <c r="V956" s="30">
        <f t="shared" si="425"/>
        <v>3175000</v>
      </c>
      <c r="W956" s="30"/>
      <c r="X956" s="32"/>
      <c r="Y956" s="33">
        <f>(max(AE956,AG956,AI956,AK956,AM956,AO956,AQ956,AS956,AU956,AW956,AY956,BA956,BC956)/min(AE956,AG956,AI956,AK956))^(1/M956)-1</f>
        <v>0.07717468197</v>
      </c>
      <c r="Z956" s="692"/>
      <c r="AA956" s="665"/>
      <c r="AB956" s="74"/>
      <c r="AC956" s="74"/>
      <c r="AD956" s="44"/>
      <c r="AE956" s="46"/>
      <c r="AF956" s="158" t="str">
        <f>HYPERLINK("https://www.crunchbase.com/organization/rifiniti#section-funding-rounds"," Mar 31, 2016")</f>
        <v> Mar 31, 2016</v>
      </c>
      <c r="AG956" s="38">
        <v>875000.0</v>
      </c>
      <c r="AH956" s="924" t="str">
        <f>HYPERLINK("https://www.crunchbase.com/funding_round/rifiniti-seed--98bb61c3","Mar 7, 2014")</f>
        <v>Mar 7, 2014</v>
      </c>
      <c r="AI956" s="41">
        <v>2300000.0</v>
      </c>
      <c r="AJ956" s="44"/>
      <c r="AK956" s="46"/>
      <c r="AL956" s="44"/>
      <c r="AM956" s="84"/>
      <c r="AN956" s="79"/>
      <c r="AO956" s="84"/>
      <c r="AP956" s="79"/>
      <c r="AQ956" s="84"/>
      <c r="AR956" s="79"/>
      <c r="AS956" s="79"/>
      <c r="AT956" s="79"/>
      <c r="AU956" s="80"/>
      <c r="AV956" s="79"/>
      <c r="AW956" s="38"/>
      <c r="AX956" s="79"/>
      <c r="AY956" s="38"/>
      <c r="AZ956" s="79"/>
      <c r="BA956" s="80"/>
      <c r="BB956" s="79"/>
      <c r="BC956" s="80"/>
      <c r="BD956" s="79"/>
      <c r="BE956" s="38"/>
      <c r="BF956" s="74"/>
      <c r="BG956" s="115"/>
      <c r="BH956" s="115"/>
      <c r="BI956" s="115"/>
      <c r="BJ956" s="115"/>
      <c r="BK956" s="115"/>
      <c r="BL956" s="115"/>
      <c r="BM956" s="115"/>
      <c r="BN956" s="115"/>
      <c r="BO956" s="115"/>
      <c r="BP956" s="115"/>
      <c r="BQ956" s="115"/>
      <c r="BR956" s="115"/>
      <c r="BS956" s="115"/>
      <c r="BT956" s="115"/>
      <c r="BU956" s="115"/>
      <c r="BV956" s="115"/>
      <c r="BW956" s="115"/>
      <c r="BX956" s="115"/>
      <c r="BY956" s="115"/>
      <c r="BZ956" s="115"/>
      <c r="CA956" s="115"/>
      <c r="CB956" s="115"/>
      <c r="CC956" s="115"/>
      <c r="CD956" s="115"/>
      <c r="CE956" s="115"/>
      <c r="CF956" s="115"/>
      <c r="CG956" s="115"/>
      <c r="CH956" s="115"/>
      <c r="CI956" s="115"/>
      <c r="CJ956" s="115"/>
      <c r="CK956" s="115"/>
      <c r="CL956" s="115"/>
      <c r="CM956" s="115"/>
      <c r="CN956" s="115"/>
      <c r="CO956" s="115"/>
      <c r="CP956" s="115"/>
    </row>
    <row r="957" ht="15.75" customHeight="1">
      <c r="A957" s="47" t="s">
        <v>4630</v>
      </c>
      <c r="C957" s="48" t="s">
        <v>123</v>
      </c>
      <c r="D957" s="351"/>
      <c r="E957" s="617" t="s">
        <v>4631</v>
      </c>
      <c r="F957" s="352" t="s">
        <v>4632</v>
      </c>
      <c r="G957" s="353"/>
      <c r="H957" s="53" t="s">
        <v>99</v>
      </c>
      <c r="I957" s="54" t="s">
        <v>100</v>
      </c>
      <c r="K957" s="54">
        <v>1.0</v>
      </c>
      <c r="L957" s="56">
        <v>2021.0</v>
      </c>
      <c r="M957" s="55"/>
      <c r="N957" s="55"/>
      <c r="O957" s="27" t="str">
        <f t="shared" si="3"/>
        <v>#N/A</v>
      </c>
      <c r="P957" s="55"/>
      <c r="Q957" s="55"/>
      <c r="R957" s="55"/>
      <c r="S957" s="55"/>
      <c r="T957" s="55"/>
      <c r="U957" s="55"/>
      <c r="V957" s="30">
        <f t="shared" si="425"/>
        <v>3160000</v>
      </c>
      <c r="W957" s="30"/>
      <c r="X957" s="58"/>
      <c r="Y957" s="58"/>
      <c r="Z957" s="692"/>
      <c r="AA957" s="665"/>
      <c r="AB957" s="55"/>
      <c r="AC957" s="55"/>
      <c r="AD957" s="62">
        <v>44480.0</v>
      </c>
      <c r="AE957" s="38">
        <v>260000.0</v>
      </c>
      <c r="AF957" s="62">
        <v>44978.0</v>
      </c>
      <c r="AG957" s="38">
        <v>2900000.0</v>
      </c>
      <c r="AH957" s="55"/>
      <c r="AI957" s="38"/>
      <c r="AJ957" s="55"/>
      <c r="AK957" s="38"/>
      <c r="AL957" s="55"/>
      <c r="AM957" s="38"/>
      <c r="AN957" s="55"/>
      <c r="AO957" s="38"/>
      <c r="AP957" s="356"/>
      <c r="AQ957" s="38"/>
      <c r="AR957" s="55"/>
      <c r="AS957" s="38"/>
      <c r="AT957" s="55"/>
      <c r="AU957" s="38"/>
      <c r="AV957" s="55"/>
      <c r="AW957" s="38"/>
      <c r="AX957" s="55"/>
      <c r="AY957" s="38"/>
      <c r="AZ957" s="55"/>
      <c r="BA957" s="38"/>
      <c r="BB957" s="55"/>
      <c r="BC957" s="38"/>
      <c r="BD957" s="55"/>
      <c r="BE957" s="38"/>
      <c r="BF957" s="55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68"/>
      <c r="CA957" s="68"/>
      <c r="CB957" s="68"/>
      <c r="CC957" s="68"/>
      <c r="CD957" s="68"/>
      <c r="CE957" s="68"/>
      <c r="CF957" s="68"/>
      <c r="CG957" s="68"/>
      <c r="CH957" s="68"/>
      <c r="CI957" s="68"/>
      <c r="CJ957" s="68"/>
      <c r="CK957" s="68"/>
      <c r="CL957" s="68"/>
      <c r="CM957" s="68"/>
      <c r="CN957" s="68"/>
      <c r="CO957" s="68"/>
      <c r="CP957" s="68"/>
    </row>
    <row r="958" ht="15.75" customHeight="1">
      <c r="A958" s="400" t="s">
        <v>4633</v>
      </c>
      <c r="B958" s="115"/>
      <c r="C958" s="116" t="s">
        <v>132</v>
      </c>
      <c r="D958" s="449"/>
      <c r="E958" s="161" t="s">
        <v>4634</v>
      </c>
      <c r="F958" s="402" t="s">
        <v>4635</v>
      </c>
      <c r="G958" s="286"/>
      <c r="H958" s="119" t="s">
        <v>4623</v>
      </c>
      <c r="I958" s="25" t="s">
        <v>4624</v>
      </c>
      <c r="J958" s="287"/>
      <c r="K958" s="25">
        <v>3.0</v>
      </c>
      <c r="L958" s="25">
        <v>2017.0</v>
      </c>
      <c r="M958" s="123"/>
      <c r="N958" s="123"/>
      <c r="O958" s="27" t="str">
        <f t="shared" si="3"/>
        <v>#N/A</v>
      </c>
      <c r="P958" s="55"/>
      <c r="Q958" s="55"/>
      <c r="R958" s="55"/>
      <c r="S958" s="55"/>
      <c r="T958" s="55"/>
      <c r="U958" s="55"/>
      <c r="V958" s="30">
        <f t="shared" si="425"/>
        <v>3120000</v>
      </c>
      <c r="W958" s="30"/>
      <c r="X958" s="403"/>
      <c r="Y958" s="403"/>
      <c r="Z958" s="692"/>
      <c r="AA958" s="665"/>
      <c r="AB958" s="123"/>
      <c r="AC958" s="123"/>
      <c r="AD958" s="404">
        <v>44572.0</v>
      </c>
      <c r="AE958" s="335">
        <v>120000.0</v>
      </c>
      <c r="AF958" s="62">
        <v>44865.0</v>
      </c>
      <c r="AG958" s="335">
        <v>2000000.0</v>
      </c>
      <c r="AH958" s="123"/>
      <c r="AI958" s="123"/>
      <c r="AJ958" s="123"/>
      <c r="AK958" s="123"/>
      <c r="AL958" s="123"/>
      <c r="AM958" s="123"/>
      <c r="AN958" s="123"/>
      <c r="AO958" s="123"/>
      <c r="AP958" s="123"/>
      <c r="AQ958" s="123"/>
      <c r="AR958" s="123"/>
      <c r="AS958" s="123"/>
      <c r="AT958" s="123"/>
      <c r="AU958" s="137"/>
      <c r="AV958" s="123"/>
      <c r="AW958" s="38"/>
      <c r="AX958" s="123"/>
      <c r="AY958" s="38"/>
      <c r="AZ958" s="123"/>
      <c r="BA958" s="137"/>
      <c r="BB958" s="404">
        <v>44865.0</v>
      </c>
      <c r="BC958" s="170">
        <v>1000000.0</v>
      </c>
      <c r="BD958" s="123"/>
      <c r="BE958" s="38"/>
      <c r="BF958" s="123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68"/>
      <c r="CA958" s="68"/>
      <c r="CB958" s="68"/>
      <c r="CC958" s="68"/>
      <c r="CD958" s="68"/>
      <c r="CE958" s="68"/>
      <c r="CF958" s="68"/>
      <c r="CG958" s="68"/>
      <c r="CH958" s="68"/>
      <c r="CI958" s="68"/>
      <c r="CJ958" s="68"/>
      <c r="CK958" s="68"/>
      <c r="CL958" s="68"/>
      <c r="CM958" s="68"/>
      <c r="CN958" s="68"/>
      <c r="CO958" s="68"/>
      <c r="CP958" s="68"/>
    </row>
    <row r="959" ht="15.75" customHeight="1">
      <c r="A959" s="400" t="s">
        <v>4636</v>
      </c>
      <c r="B959" s="115"/>
      <c r="C959" s="116" t="s">
        <v>132</v>
      </c>
      <c r="D959" s="449"/>
      <c r="E959" s="401" t="s">
        <v>4637</v>
      </c>
      <c r="F959" s="402" t="s">
        <v>4638</v>
      </c>
      <c r="G959" s="286"/>
      <c r="H959" s="119" t="s">
        <v>665</v>
      </c>
      <c r="I959" s="25" t="s">
        <v>666</v>
      </c>
      <c r="J959" s="287"/>
      <c r="K959" s="123"/>
      <c r="L959" s="25">
        <v>2017.0</v>
      </c>
      <c r="M959" s="123"/>
      <c r="N959" s="123"/>
      <c r="O959" s="27" t="str">
        <f t="shared" si="3"/>
        <v>#N/A</v>
      </c>
      <c r="P959" s="55"/>
      <c r="Q959" s="55"/>
      <c r="R959" s="55"/>
      <c r="S959" s="55"/>
      <c r="T959" s="55"/>
      <c r="U959" s="55"/>
      <c r="V959" s="30">
        <f t="shared" si="425"/>
        <v>3100000</v>
      </c>
      <c r="W959" s="31">
        <v>1000000.0</v>
      </c>
      <c r="X959" s="403"/>
      <c r="Y959" s="403"/>
      <c r="Z959" s="692"/>
      <c r="AA959" s="665"/>
      <c r="AB959" s="123"/>
      <c r="AC959" s="123"/>
      <c r="AD959" s="717"/>
      <c r="AE959" s="123"/>
      <c r="AF959" s="355"/>
      <c r="AG959" s="38"/>
      <c r="AH959" s="123"/>
      <c r="AI959" s="123"/>
      <c r="AJ959" s="123"/>
      <c r="AK959" s="38"/>
      <c r="AL959" s="123"/>
      <c r="AM959" s="123"/>
      <c r="AN959" s="123"/>
      <c r="AO959" s="123"/>
      <c r="AP959" s="123"/>
      <c r="AQ959" s="123"/>
      <c r="AR959" s="123"/>
      <c r="AS959" s="123"/>
      <c r="AT959" s="123"/>
      <c r="AU959" s="137"/>
      <c r="AV959" s="123"/>
      <c r="AW959" s="38"/>
      <c r="AX959" s="123"/>
      <c r="AY959" s="38"/>
      <c r="AZ959" s="404">
        <v>44881.0</v>
      </c>
      <c r="BA959" s="170">
        <v>3100000.0</v>
      </c>
      <c r="BB959" s="123"/>
      <c r="BC959" s="137"/>
      <c r="BD959" s="123"/>
      <c r="BE959" s="38"/>
      <c r="BF959" s="123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</row>
    <row r="960" ht="15.75" customHeight="1">
      <c r="A960" s="47" t="s">
        <v>4639</v>
      </c>
      <c r="C960" s="48" t="s">
        <v>68</v>
      </c>
      <c r="D960" s="49" t="s">
        <v>4640</v>
      </c>
      <c r="E960" s="49" t="s">
        <v>4641</v>
      </c>
      <c r="F960" s="352" t="s">
        <v>4642</v>
      </c>
      <c r="G960" s="353"/>
      <c r="H960" s="53" t="s">
        <v>114</v>
      </c>
      <c r="I960" s="54" t="s">
        <v>115</v>
      </c>
      <c r="J960" s="55"/>
      <c r="K960" s="55"/>
      <c r="L960" s="56">
        <v>2021.0</v>
      </c>
      <c r="M960" s="55"/>
      <c r="N960" s="55"/>
      <c r="O960" s="27" t="str">
        <f t="shared" si="3"/>
        <v>#N/A</v>
      </c>
      <c r="P960" s="55"/>
      <c r="Q960" s="55"/>
      <c r="R960" s="55"/>
      <c r="S960" s="55"/>
      <c r="T960" s="55"/>
      <c r="U960" s="55"/>
      <c r="V960" s="30">
        <f t="shared" si="425"/>
        <v>3100000</v>
      </c>
      <c r="W960" s="30"/>
      <c r="X960" s="58"/>
      <c r="Y960" s="58"/>
      <c r="Z960" s="692"/>
      <c r="AA960" s="665"/>
      <c r="AB960" s="55"/>
      <c r="AC960" s="55"/>
      <c r="AD960" s="453"/>
      <c r="AE960" s="55"/>
      <c r="AF960" s="62">
        <v>44952.0</v>
      </c>
      <c r="AG960" s="38">
        <v>3100000.0</v>
      </c>
      <c r="AH960" s="55"/>
      <c r="AI960" s="55"/>
      <c r="AJ960" s="55"/>
      <c r="AK960" s="55"/>
      <c r="AL960" s="55"/>
      <c r="AM960" s="55"/>
      <c r="AN960" s="55"/>
      <c r="AO960" s="55"/>
      <c r="AP960" s="356"/>
      <c r="AQ960" s="38"/>
      <c r="AR960" s="55"/>
      <c r="AS960" s="38"/>
      <c r="AT960" s="55"/>
      <c r="AU960" s="38"/>
      <c r="AV960" s="55"/>
      <c r="AW960" s="38"/>
      <c r="AX960" s="55"/>
      <c r="AY960" s="38"/>
      <c r="AZ960" s="55"/>
      <c r="BA960" s="722"/>
      <c r="BB960" s="55"/>
      <c r="BC960" s="38"/>
      <c r="BD960" s="55"/>
      <c r="BE960" s="38"/>
      <c r="BF960" s="55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68"/>
      <c r="CA960" s="68"/>
      <c r="CB960" s="68"/>
      <c r="CC960" s="68"/>
      <c r="CD960" s="68"/>
      <c r="CE960" s="68"/>
      <c r="CF960" s="68"/>
      <c r="CG960" s="68"/>
      <c r="CH960" s="68"/>
      <c r="CI960" s="68"/>
      <c r="CJ960" s="68"/>
      <c r="CK960" s="68"/>
      <c r="CL960" s="68"/>
      <c r="CM960" s="68"/>
      <c r="CN960" s="68"/>
      <c r="CO960" s="68"/>
      <c r="CP960" s="68"/>
    </row>
    <row r="961" ht="17.25" customHeight="1">
      <c r="A961" s="47" t="s">
        <v>4643</v>
      </c>
      <c r="C961" s="48" t="s">
        <v>68</v>
      </c>
      <c r="D961" s="617" t="s">
        <v>4644</v>
      </c>
      <c r="E961" s="49" t="s">
        <v>4645</v>
      </c>
      <c r="F961" s="352" t="s">
        <v>4646</v>
      </c>
      <c r="G961" s="353"/>
      <c r="H961" s="53" t="s">
        <v>64</v>
      </c>
      <c r="I961" s="54" t="s">
        <v>65</v>
      </c>
      <c r="J961" s="55"/>
      <c r="K961" s="55"/>
      <c r="L961" s="56">
        <v>2021.0</v>
      </c>
      <c r="M961" s="55"/>
      <c r="N961" s="55"/>
      <c r="O961" s="27" t="str">
        <f t="shared" si="3"/>
        <v>#N/A</v>
      </c>
      <c r="P961" s="55"/>
      <c r="Q961" s="55"/>
      <c r="R961" s="55"/>
      <c r="S961" s="55"/>
      <c r="T961" s="55"/>
      <c r="U961" s="55"/>
      <c r="V961" s="30">
        <f t="shared" si="425"/>
        <v>3100000</v>
      </c>
      <c r="W961" s="30"/>
      <c r="X961" s="58"/>
      <c r="Y961" s="58"/>
      <c r="Z961" s="692"/>
      <c r="AA961" s="665"/>
      <c r="AB961" s="55"/>
      <c r="AC961" s="55"/>
      <c r="AD961" s="62">
        <v>44562.0</v>
      </c>
      <c r="AE961" s="38">
        <v>100000.0</v>
      </c>
      <c r="AF961" s="62">
        <v>45000.0</v>
      </c>
      <c r="AG961" s="38">
        <v>3000000.0</v>
      </c>
      <c r="AH961" s="55"/>
      <c r="AI961" s="38"/>
      <c r="AJ961" s="55"/>
      <c r="AK961" s="38"/>
      <c r="AL961" s="55"/>
      <c r="AM961" s="38"/>
      <c r="AN961" s="55"/>
      <c r="AO961" s="38"/>
      <c r="AP961" s="356"/>
      <c r="AQ961" s="38"/>
      <c r="AR961" s="55"/>
      <c r="AS961" s="38"/>
      <c r="AT961" s="55"/>
      <c r="AU961" s="38"/>
      <c r="AV961" s="55"/>
      <c r="AW961" s="38"/>
      <c r="AX961" s="55"/>
      <c r="AY961" s="38"/>
      <c r="AZ961" s="55"/>
      <c r="BA961" s="38"/>
      <c r="BB961" s="55"/>
      <c r="BC961" s="38"/>
      <c r="BD961" s="55"/>
      <c r="BE961" s="38"/>
      <c r="BF961" s="55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68"/>
      <c r="CA961" s="68"/>
      <c r="CB961" s="68"/>
      <c r="CC961" s="68"/>
      <c r="CD961" s="68"/>
      <c r="CE961" s="68"/>
      <c r="CF961" s="68"/>
      <c r="CG961" s="68"/>
      <c r="CH961" s="68"/>
      <c r="CI961" s="68"/>
      <c r="CJ961" s="68"/>
      <c r="CK961" s="68"/>
      <c r="CL961" s="68"/>
      <c r="CM961" s="68"/>
      <c r="CN961" s="68"/>
      <c r="CO961" s="68"/>
      <c r="CP961" s="68"/>
    </row>
    <row r="962" ht="17.25" customHeight="1">
      <c r="A962" s="400" t="s">
        <v>4647</v>
      </c>
      <c r="B962" s="115"/>
      <c r="C962" s="116" t="s">
        <v>76</v>
      </c>
      <c r="D962" s="449"/>
      <c r="E962" s="161" t="s">
        <v>4648</v>
      </c>
      <c r="F962" s="708" t="s">
        <v>4649</v>
      </c>
      <c r="G962" s="286"/>
      <c r="H962" s="119" t="s">
        <v>328</v>
      </c>
      <c r="I962" s="25" t="s">
        <v>329</v>
      </c>
      <c r="J962" s="287"/>
      <c r="K962" s="25">
        <v>4.0</v>
      </c>
      <c r="L962" s="25">
        <v>2019.0</v>
      </c>
      <c r="M962" s="123"/>
      <c r="N962" s="123"/>
      <c r="O962" s="27" t="str">
        <f t="shared" si="3"/>
        <v>#N/A</v>
      </c>
      <c r="P962" s="55"/>
      <c r="Q962" s="55"/>
      <c r="R962" s="55"/>
      <c r="S962" s="55"/>
      <c r="T962" s="55"/>
      <c r="U962" s="55"/>
      <c r="V962" s="30">
        <f t="shared" si="425"/>
        <v>3049000</v>
      </c>
      <c r="W962" s="31">
        <v>1000000.0</v>
      </c>
      <c r="X962" s="403"/>
      <c r="Y962" s="403"/>
      <c r="Z962" s="692"/>
      <c r="AA962" s="665"/>
      <c r="AB962" s="123"/>
      <c r="AC962" s="123"/>
      <c r="AD962" s="355"/>
      <c r="AE962" s="38"/>
      <c r="AF962" s="62">
        <v>44889.0</v>
      </c>
      <c r="AG962" s="38">
        <f>1.21*2300000+1.33*200000</f>
        <v>3049000</v>
      </c>
      <c r="AH962" s="123"/>
      <c r="AI962" s="123"/>
      <c r="AJ962" s="123"/>
      <c r="AK962" s="123"/>
      <c r="AL962" s="123"/>
      <c r="AM962" s="123"/>
      <c r="AN962" s="123"/>
      <c r="AO962" s="123"/>
      <c r="AP962" s="123"/>
      <c r="AQ962" s="123"/>
      <c r="AR962" s="123"/>
      <c r="AS962" s="123"/>
      <c r="AT962" s="123"/>
      <c r="AU962" s="137"/>
      <c r="AV962" s="123"/>
      <c r="AW962" s="38"/>
      <c r="AX962" s="123"/>
      <c r="AY962" s="38"/>
      <c r="AZ962" s="123"/>
      <c r="BA962" s="137"/>
      <c r="BB962" s="123"/>
      <c r="BC962" s="137"/>
      <c r="BD962" s="123"/>
      <c r="BE962" s="38"/>
      <c r="BF962" s="123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68"/>
      <c r="CA962" s="68"/>
      <c r="CB962" s="68"/>
      <c r="CC962" s="68"/>
      <c r="CD962" s="68"/>
      <c r="CE962" s="68"/>
      <c r="CF962" s="68"/>
      <c r="CG962" s="68"/>
      <c r="CH962" s="68"/>
      <c r="CI962" s="68"/>
      <c r="CJ962" s="68"/>
      <c r="CK962" s="68"/>
      <c r="CL962" s="68"/>
      <c r="CM962" s="68"/>
      <c r="CN962" s="68"/>
      <c r="CO962" s="68"/>
      <c r="CP962" s="68"/>
    </row>
    <row r="963" ht="15.75" customHeight="1">
      <c r="A963" s="21" t="s">
        <v>4650</v>
      </c>
      <c r="B963" s="69" t="s">
        <v>4081</v>
      </c>
      <c r="C963" s="69" t="s">
        <v>84</v>
      </c>
      <c r="D963" s="200" t="s">
        <v>4651</v>
      </c>
      <c r="E963" s="200" t="s">
        <v>4652</v>
      </c>
      <c r="F963" s="154" t="s">
        <v>4653</v>
      </c>
      <c r="G963" s="140" t="s">
        <v>4654</v>
      </c>
      <c r="H963" s="140" t="s">
        <v>64</v>
      </c>
      <c r="I963" s="1401" t="s">
        <v>65</v>
      </c>
      <c r="J963" s="72" t="s">
        <v>566</v>
      </c>
      <c r="K963" s="26">
        <v>2.0</v>
      </c>
      <c r="L963" s="26">
        <v>2015.0</v>
      </c>
      <c r="M963" s="25">
        <f t="shared" ref="M963:M973" si="676">year(now()) -L963</f>
        <v>10</v>
      </c>
      <c r="N963" s="26">
        <f t="shared" ref="N963:N973" si="677">counta(AE963,AG963,AI963,AK963,AM963,AO963,AQ963,AS963,AU963,AW963,AY963,BA963,BC963)</f>
        <v>2</v>
      </c>
      <c r="O963" s="27" t="str">
        <f t="shared" si="3"/>
        <v>#N/A</v>
      </c>
      <c r="P963" s="28"/>
      <c r="Q963" s="28"/>
      <c r="R963" s="28"/>
      <c r="S963" s="28"/>
      <c r="T963" s="29">
        <f t="shared" ref="T963:T973" si="678">V963/M963</f>
        <v>303000</v>
      </c>
      <c r="U963" s="28"/>
      <c r="V963" s="30">
        <f t="shared" si="425"/>
        <v>3030000</v>
      </c>
      <c r="W963" s="30"/>
      <c r="X963" s="73"/>
      <c r="Y963" s="33">
        <f t="shared" ref="Y963:Y973" si="679">(max(AE963,AG963,AI963,AK963,AM963,AO963,AQ963,AS963,AU963,AW963,AY963,BA963,BC963)/min(AE963,AG963,AI963,AK963))^(1/M963)-1</f>
        <v>0.1677944688</v>
      </c>
      <c r="Z963" s="692"/>
      <c r="AA963" s="665"/>
      <c r="AB963" s="74"/>
      <c r="AC963" s="74"/>
      <c r="AD963" s="426" t="str">
        <f>HYPERLINK("https://www.crunchbase.com/organization/hemlane#section-funding-rounds"," 7/1/2018")</f>
        <v> 7/1/2018</v>
      </c>
      <c r="AE963" s="76">
        <v>530000.0</v>
      </c>
      <c r="AF963" s="175" t="str">
        <f>HYPERLINK("https://www.crunchbase.com/funding_round/hemlane-seed--b2d39fe0"," Dec 13, 2019        ")
</f>
        <v> Dec 13, 2019        </v>
      </c>
      <c r="AG963" s="76">
        <v>2500000.0</v>
      </c>
      <c r="AH963" s="74"/>
      <c r="AI963" s="78"/>
      <c r="AJ963" s="79"/>
      <c r="AK963" s="84"/>
      <c r="AL963" s="79"/>
      <c r="AM963" s="84"/>
      <c r="AN963" s="79"/>
      <c r="AO963" s="84"/>
      <c r="AP963" s="79"/>
      <c r="AQ963" s="84"/>
      <c r="AR963" s="79"/>
      <c r="AS963" s="79"/>
      <c r="AT963" s="79"/>
      <c r="AU963" s="80"/>
      <c r="AV963" s="79"/>
      <c r="AW963" s="38"/>
      <c r="AX963" s="79"/>
      <c r="AY963" s="38"/>
      <c r="AZ963" s="79"/>
      <c r="BA963" s="80"/>
      <c r="BB963" s="79"/>
      <c r="BC963" s="80"/>
      <c r="BD963" s="79"/>
      <c r="BE963" s="38"/>
      <c r="BF963" s="74"/>
      <c r="BG963" s="115"/>
      <c r="BH963" s="115"/>
      <c r="BI963" s="115"/>
      <c r="BJ963" s="115"/>
      <c r="BK963" s="115"/>
      <c r="BL963" s="115"/>
      <c r="BM963" s="115"/>
      <c r="BN963" s="115"/>
      <c r="BO963" s="115"/>
      <c r="BP963" s="115"/>
      <c r="BQ963" s="115"/>
      <c r="BR963" s="115"/>
      <c r="BS963" s="115"/>
      <c r="BT963" s="115"/>
      <c r="BU963" s="115"/>
      <c r="BV963" s="115"/>
      <c r="BW963" s="115"/>
      <c r="BX963" s="115"/>
      <c r="BY963" s="115"/>
      <c r="BZ963" s="115"/>
      <c r="CA963" s="115"/>
      <c r="CB963" s="115"/>
      <c r="CC963" s="115"/>
      <c r="CD963" s="115"/>
      <c r="CE963" s="115"/>
      <c r="CF963" s="115"/>
      <c r="CG963" s="115"/>
      <c r="CH963" s="115"/>
      <c r="CI963" s="115"/>
      <c r="CJ963" s="115"/>
      <c r="CK963" s="115"/>
      <c r="CL963" s="115"/>
      <c r="CM963" s="115"/>
      <c r="CN963" s="115"/>
      <c r="CO963" s="115"/>
      <c r="CP963" s="115"/>
    </row>
    <row r="964" ht="15.75" customHeight="1">
      <c r="A964" s="21" t="s">
        <v>4655</v>
      </c>
      <c r="B964" s="16"/>
      <c r="C964" s="17" t="s">
        <v>267</v>
      </c>
      <c r="D964" s="192" t="s">
        <v>4656</v>
      </c>
      <c r="E964" s="192" t="s">
        <v>4657</v>
      </c>
      <c r="F964" s="118" t="s">
        <v>4658</v>
      </c>
      <c r="G964" s="22"/>
      <c r="H964" s="22" t="s">
        <v>114</v>
      </c>
      <c r="I964" s="23" t="s">
        <v>115</v>
      </c>
      <c r="J964" s="237"/>
      <c r="K964" s="36"/>
      <c r="L964" s="23">
        <v>2018.0</v>
      </c>
      <c r="M964" s="25">
        <f t="shared" si="676"/>
        <v>7</v>
      </c>
      <c r="N964" s="26">
        <f t="shared" si="677"/>
        <v>1</v>
      </c>
      <c r="O964" s="27" t="str">
        <f t="shared" si="3"/>
        <v>#N/A</v>
      </c>
      <c r="P964" s="28"/>
      <c r="Q964" s="28"/>
      <c r="R964" s="28"/>
      <c r="S964" s="28"/>
      <c r="T964" s="29">
        <f t="shared" si="678"/>
        <v>428571.4286</v>
      </c>
      <c r="U964" s="28"/>
      <c r="V964" s="30">
        <f t="shared" si="425"/>
        <v>3000000</v>
      </c>
      <c r="W964" s="30"/>
      <c r="X964" s="847"/>
      <c r="Y964" s="33">
        <f t="shared" si="679"/>
        <v>0</v>
      </c>
      <c r="Z964" s="692"/>
      <c r="AA964" s="665"/>
      <c r="AB964" s="36"/>
      <c r="AC964" s="36"/>
      <c r="AD964" s="44"/>
      <c r="AE964" s="46"/>
      <c r="AF964" s="320">
        <v>43998.0</v>
      </c>
      <c r="AG964" s="38">
        <v>3000000.0</v>
      </c>
      <c r="AH964" s="36"/>
      <c r="AI964" s="159"/>
      <c r="AJ964" s="44"/>
      <c r="AK964" s="46"/>
      <c r="AL964" s="44"/>
      <c r="AM964" s="46"/>
      <c r="AN964" s="44"/>
      <c r="AO964" s="46"/>
      <c r="AP964" s="44"/>
      <c r="AQ964" s="46"/>
      <c r="AR964" s="44"/>
      <c r="AS964" s="44"/>
      <c r="AT964" s="44"/>
      <c r="AU964" s="45"/>
      <c r="AV964" s="44"/>
      <c r="AW964" s="38"/>
      <c r="AX964" s="44"/>
      <c r="AY964" s="38"/>
      <c r="AZ964" s="44"/>
      <c r="BA964" s="45"/>
      <c r="BB964" s="44"/>
      <c r="BC964" s="45"/>
      <c r="BD964" s="44"/>
      <c r="BE964" s="38"/>
      <c r="BF964" s="3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</row>
    <row r="965" ht="15.75" customHeight="1">
      <c r="A965" s="442" t="s">
        <v>4659</v>
      </c>
      <c r="B965" s="68" t="s">
        <v>4660</v>
      </c>
      <c r="C965" s="69" t="s">
        <v>123</v>
      </c>
      <c r="D965" s="184" t="s">
        <v>4661</v>
      </c>
      <c r="E965" s="184" t="s">
        <v>4662</v>
      </c>
      <c r="F965" s="185" t="s">
        <v>4663</v>
      </c>
      <c r="G965" s="186" t="s">
        <v>4664</v>
      </c>
      <c r="H965" s="186" t="s">
        <v>4665</v>
      </c>
      <c r="I965" s="74" t="s">
        <v>65</v>
      </c>
      <c r="J965" s="155"/>
      <c r="K965" s="74">
        <v>1.0</v>
      </c>
      <c r="L965" s="26">
        <v>2017.0</v>
      </c>
      <c r="M965" s="25">
        <f t="shared" si="676"/>
        <v>8</v>
      </c>
      <c r="N965" s="26">
        <f t="shared" si="677"/>
        <v>1</v>
      </c>
      <c r="O965" s="27" t="str">
        <f t="shared" si="3"/>
        <v>#N/A</v>
      </c>
      <c r="P965" s="28"/>
      <c r="Q965" s="28"/>
      <c r="R965" s="28"/>
      <c r="S965" s="28"/>
      <c r="T965" s="29">
        <f t="shared" si="678"/>
        <v>375000</v>
      </c>
      <c r="U965" s="28"/>
      <c r="V965" s="30">
        <f t="shared" si="425"/>
        <v>3000000</v>
      </c>
      <c r="W965" s="30"/>
      <c r="X965" s="32"/>
      <c r="Y965" s="33">
        <f t="shared" si="679"/>
        <v>0</v>
      </c>
      <c r="Z965" s="692"/>
      <c r="AA965" s="665"/>
      <c r="AB965" s="74"/>
      <c r="AC965" s="74"/>
      <c r="AD965" s="44"/>
      <c r="AE965" s="46"/>
      <c r="AF965" s="158" t="str">
        <f>HYPERLINK("https://www.crunchbase.com/funding_round/estated-seed--0a21da14"," 12/15/2017")</f>
        <v> 12/15/2017</v>
      </c>
      <c r="AG965" s="38">
        <v>3000000.0</v>
      </c>
      <c r="AH965" s="36"/>
      <c r="AI965" s="159"/>
      <c r="AJ965" s="44"/>
      <c r="AK965" s="46"/>
      <c r="AL965" s="44"/>
      <c r="AM965" s="46"/>
      <c r="AN965" s="44"/>
      <c r="AO965" s="46"/>
      <c r="AP965" s="44"/>
      <c r="AQ965" s="46"/>
      <c r="AR965" s="44"/>
      <c r="AS965" s="44"/>
      <c r="AT965" s="44"/>
      <c r="AU965" s="45"/>
      <c r="AV965" s="44"/>
      <c r="AW965" s="38"/>
      <c r="AX965" s="44"/>
      <c r="AY965" s="38"/>
      <c r="AZ965" s="44"/>
      <c r="BA965" s="45"/>
      <c r="BB965" s="44"/>
      <c r="BC965" s="45"/>
      <c r="BD965" s="44"/>
      <c r="BE965" s="38"/>
      <c r="BF965" s="36"/>
      <c r="BG965" s="115"/>
      <c r="BH965" s="115"/>
      <c r="BI965" s="115"/>
      <c r="BJ965" s="115"/>
      <c r="BK965" s="115"/>
      <c r="BL965" s="115"/>
      <c r="BM965" s="115"/>
      <c r="BN965" s="115"/>
      <c r="BO965" s="115"/>
      <c r="BP965" s="115"/>
      <c r="BQ965" s="115"/>
      <c r="BR965" s="115"/>
      <c r="BS965" s="115"/>
      <c r="BT965" s="115"/>
      <c r="BU965" s="115"/>
      <c r="BV965" s="115"/>
      <c r="BW965" s="115"/>
      <c r="BX965" s="115"/>
      <c r="BY965" s="115"/>
      <c r="BZ965" s="115"/>
      <c r="CA965" s="115"/>
      <c r="CB965" s="115"/>
      <c r="CC965" s="115"/>
      <c r="CD965" s="115"/>
      <c r="CE965" s="115"/>
      <c r="CF965" s="115"/>
      <c r="CG965" s="115"/>
      <c r="CH965" s="115"/>
      <c r="CI965" s="115"/>
      <c r="CJ965" s="115"/>
      <c r="CK965" s="115"/>
      <c r="CL965" s="115"/>
      <c r="CM965" s="115"/>
      <c r="CN965" s="115"/>
      <c r="CO965" s="115"/>
      <c r="CP965" s="115"/>
    </row>
    <row r="966" ht="15.75" customHeight="1">
      <c r="A966" s="48" t="s">
        <v>4666</v>
      </c>
      <c r="B966" s="68"/>
      <c r="C966" s="69" t="s">
        <v>513</v>
      </c>
      <c r="D966" s="48"/>
      <c r="E966" s="192" t="s">
        <v>4667</v>
      </c>
      <c r="F966" s="118" t="s">
        <v>4668</v>
      </c>
      <c r="G966" s="186"/>
      <c r="H966" s="71" t="s">
        <v>64</v>
      </c>
      <c r="I966" s="26" t="s">
        <v>65</v>
      </c>
      <c r="J966" s="155"/>
      <c r="K966" s="26">
        <v>3.0</v>
      </c>
      <c r="L966" s="26">
        <v>2021.0</v>
      </c>
      <c r="M966" s="25">
        <f t="shared" si="676"/>
        <v>4</v>
      </c>
      <c r="N966" s="26">
        <f t="shared" si="677"/>
        <v>1</v>
      </c>
      <c r="O966" s="27" t="str">
        <f t="shared" si="3"/>
        <v>#N/A</v>
      </c>
      <c r="P966" s="28"/>
      <c r="Q966" s="28"/>
      <c r="R966" s="28"/>
      <c r="S966" s="28"/>
      <c r="T966" s="29">
        <f t="shared" si="678"/>
        <v>750000</v>
      </c>
      <c r="U966" s="28"/>
      <c r="V966" s="30">
        <f t="shared" si="425"/>
        <v>3000000</v>
      </c>
      <c r="W966" s="30"/>
      <c r="X966" s="73"/>
      <c r="Y966" s="33">
        <f t="shared" si="679"/>
        <v>0</v>
      </c>
      <c r="Z966" s="692"/>
      <c r="AA966" s="665"/>
      <c r="AB966" s="74"/>
      <c r="AC966" s="74"/>
      <c r="AD966" s="44"/>
      <c r="AE966" s="46"/>
      <c r="AF966" s="158" t="str">
        <f>HYPERLINK("https://www.crunchbase.com/funding_round/finley-ab4b-seed--96d5c8ec","Jun 14, 2021")</f>
        <v>Jun 14, 2021</v>
      </c>
      <c r="AG966" s="38">
        <v>3000000.0</v>
      </c>
      <c r="AH966" s="36"/>
      <c r="AI966" s="159"/>
      <c r="AJ966" s="44"/>
      <c r="AK966" s="46"/>
      <c r="AL966" s="44"/>
      <c r="AM966" s="46"/>
      <c r="AN966" s="44"/>
      <c r="AO966" s="46"/>
      <c r="AP966" s="44"/>
      <c r="AQ966" s="46"/>
      <c r="AR966" s="44"/>
      <c r="AS966" s="44"/>
      <c r="AT966" s="44"/>
      <c r="AU966" s="45"/>
      <c r="AV966" s="44"/>
      <c r="AW966" s="38"/>
      <c r="AX966" s="44"/>
      <c r="AY966" s="38"/>
      <c r="AZ966" s="44"/>
      <c r="BA966" s="45"/>
      <c r="BB966" s="44"/>
      <c r="BC966" s="45"/>
      <c r="BD966" s="44"/>
      <c r="BE966" s="38"/>
      <c r="BF966" s="36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68"/>
      <c r="CA966" s="68"/>
      <c r="CB966" s="68"/>
      <c r="CC966" s="68"/>
      <c r="CD966" s="68"/>
      <c r="CE966" s="68"/>
      <c r="CF966" s="68"/>
      <c r="CG966" s="68"/>
      <c r="CH966" s="68"/>
      <c r="CI966" s="68"/>
      <c r="CJ966" s="68"/>
      <c r="CK966" s="68"/>
      <c r="CL966" s="68"/>
      <c r="CM966" s="68"/>
      <c r="CN966" s="68"/>
      <c r="CO966" s="68"/>
      <c r="CP966" s="68"/>
    </row>
    <row r="967" ht="15.75" customHeight="1">
      <c r="A967" s="442" t="s">
        <v>4669</v>
      </c>
      <c r="B967" s="68" t="s">
        <v>301</v>
      </c>
      <c r="C967" s="69" t="s">
        <v>132</v>
      </c>
      <c r="D967" s="184" t="s">
        <v>4670</v>
      </c>
      <c r="E967" s="184" t="s">
        <v>4671</v>
      </c>
      <c r="F967" s="185" t="s">
        <v>4672</v>
      </c>
      <c r="G967" s="186" t="s">
        <v>4673</v>
      </c>
      <c r="H967" s="186" t="s">
        <v>64</v>
      </c>
      <c r="I967" s="26" t="s">
        <v>65</v>
      </c>
      <c r="J967" s="155" t="s">
        <v>862</v>
      </c>
      <c r="K967" s="74">
        <v>2.0</v>
      </c>
      <c r="L967" s="26">
        <v>2010.0</v>
      </c>
      <c r="M967" s="25">
        <f t="shared" si="676"/>
        <v>15</v>
      </c>
      <c r="N967" s="26">
        <f t="shared" si="677"/>
        <v>1</v>
      </c>
      <c r="O967" s="27" t="str">
        <f t="shared" si="3"/>
        <v>#N/A</v>
      </c>
      <c r="P967" s="28"/>
      <c r="Q967" s="28"/>
      <c r="R967" s="28"/>
      <c r="S967" s="28"/>
      <c r="T967" s="29">
        <f t="shared" si="678"/>
        <v>200000</v>
      </c>
      <c r="U967" s="28"/>
      <c r="V967" s="30">
        <f t="shared" si="425"/>
        <v>3000000</v>
      </c>
      <c r="W967" s="30"/>
      <c r="X967" s="32"/>
      <c r="Y967" s="33">
        <f t="shared" si="679"/>
        <v>0</v>
      </c>
      <c r="Z967" s="692"/>
      <c r="AA967" s="665"/>
      <c r="AB967" s="74"/>
      <c r="AC967" s="74"/>
      <c r="AD967" s="79"/>
      <c r="AE967" s="84"/>
      <c r="AF967" s="338"/>
      <c r="AG967" s="84"/>
      <c r="AH967" s="74"/>
      <c r="AI967" s="78"/>
      <c r="AJ967" s="426" t="str">
        <f>HYPERLINK("https://www.crunchbase.com/funding_round/geli-series-a--92917572"," Jul 12, 2016        
")</f>
        <v> Jul 12, 2016        
</v>
      </c>
      <c r="AK967" s="76">
        <v>3000000.0</v>
      </c>
      <c r="AL967" s="279"/>
      <c r="AM967" s="76"/>
      <c r="AN967" s="279"/>
      <c r="AO967" s="76"/>
      <c r="AP967" s="79"/>
      <c r="AQ967" s="84"/>
      <c r="AR967" s="79"/>
      <c r="AS967" s="79"/>
      <c r="AT967" s="79"/>
      <c r="AU967" s="80"/>
      <c r="AV967" s="79"/>
      <c r="AW967" s="38"/>
      <c r="AX967" s="79"/>
      <c r="AY967" s="38"/>
      <c r="AZ967" s="79"/>
      <c r="BA967" s="80"/>
      <c r="BB967" s="79"/>
      <c r="BC967" s="80"/>
      <c r="BD967" s="79"/>
      <c r="BE967" s="38"/>
      <c r="BF967" s="74"/>
      <c r="BG967" s="760"/>
      <c r="BH967" s="760"/>
      <c r="BI967" s="760"/>
      <c r="BJ967" s="760"/>
      <c r="BK967" s="760"/>
      <c r="BL967" s="760"/>
      <c r="BM967" s="760"/>
      <c r="BN967" s="760"/>
      <c r="BO967" s="760"/>
      <c r="BP967" s="760"/>
      <c r="BQ967" s="760"/>
      <c r="BR967" s="760"/>
      <c r="BS967" s="760"/>
      <c r="BT967" s="760"/>
      <c r="BU967" s="760"/>
      <c r="BV967" s="760"/>
      <c r="BW967" s="760"/>
      <c r="BX967" s="760"/>
      <c r="BY967" s="760"/>
      <c r="BZ967" s="760"/>
      <c r="CA967" s="760"/>
      <c r="CB967" s="760"/>
      <c r="CC967" s="760"/>
      <c r="CD967" s="760"/>
      <c r="CE967" s="760"/>
      <c r="CF967" s="760"/>
      <c r="CG967" s="760"/>
      <c r="CH967" s="760"/>
      <c r="CI967" s="760"/>
      <c r="CJ967" s="760"/>
      <c r="CK967" s="760"/>
      <c r="CL967" s="760"/>
      <c r="CM967" s="760"/>
      <c r="CN967" s="760"/>
      <c r="CO967" s="760"/>
      <c r="CP967" s="760"/>
    </row>
    <row r="968" ht="15.75" customHeight="1">
      <c r="A968" s="47" t="s">
        <v>4674</v>
      </c>
      <c r="B968" s="68"/>
      <c r="C968" s="69" t="s">
        <v>132</v>
      </c>
      <c r="D968" s="138" t="s">
        <v>4675</v>
      </c>
      <c r="E968" s="192" t="s">
        <v>4676</v>
      </c>
      <c r="F968" s="756" t="s">
        <v>4677</v>
      </c>
      <c r="G968" s="71" t="s">
        <v>4678</v>
      </c>
      <c r="H968" s="71" t="s">
        <v>4529</v>
      </c>
      <c r="I968" s="26" t="s">
        <v>2111</v>
      </c>
      <c r="J968" s="72" t="s">
        <v>4679</v>
      </c>
      <c r="K968" s="26">
        <v>1.0</v>
      </c>
      <c r="L968" s="26">
        <v>2009.0</v>
      </c>
      <c r="M968" s="25">
        <f t="shared" si="676"/>
        <v>16</v>
      </c>
      <c r="N968" s="26">
        <f t="shared" si="677"/>
        <v>1</v>
      </c>
      <c r="O968" s="27" t="str">
        <f t="shared" si="3"/>
        <v>#N/A</v>
      </c>
      <c r="P968" s="28"/>
      <c r="Q968" s="28"/>
      <c r="R968" s="28"/>
      <c r="S968" s="28"/>
      <c r="T968" s="29">
        <f t="shared" si="678"/>
        <v>187500</v>
      </c>
      <c r="U968" s="28"/>
      <c r="V968" s="30">
        <f t="shared" si="425"/>
        <v>3000000</v>
      </c>
      <c r="W968" s="30"/>
      <c r="X968" s="73"/>
      <c r="Y968" s="33">
        <f t="shared" si="679"/>
        <v>0</v>
      </c>
      <c r="Z968" s="692"/>
      <c r="AA968" s="665"/>
      <c r="AB968" s="74"/>
      <c r="AC968" s="74"/>
      <c r="AD968" s="79"/>
      <c r="AE968" s="84"/>
      <c r="AF968" s="320" t="str">
        <f>HYPERLINK("https://www.crunchbase.com/funding_round/mobilerealtyapps-com-seed--fbdb66a9","Jan 26, 2015")</f>
        <v>Jan 26, 2015</v>
      </c>
      <c r="AG968" s="76">
        <v>3000000.0</v>
      </c>
      <c r="AH968" s="74"/>
      <c r="AI968" s="78"/>
      <c r="AJ968" s="79"/>
      <c r="AK968" s="84"/>
      <c r="AL968" s="79"/>
      <c r="AM968" s="84"/>
      <c r="AN968" s="79"/>
      <c r="AO968" s="84"/>
      <c r="AP968" s="79"/>
      <c r="AQ968" s="84"/>
      <c r="AR968" s="79"/>
      <c r="AS968" s="79"/>
      <c r="AT968" s="79"/>
      <c r="AU968" s="80"/>
      <c r="AV968" s="79"/>
      <c r="AW968" s="38"/>
      <c r="AX968" s="79"/>
      <c r="AY968" s="38"/>
      <c r="AZ968" s="79"/>
      <c r="BA968" s="80"/>
      <c r="BB968" s="79"/>
      <c r="BC968" s="80"/>
      <c r="BD968" s="79"/>
      <c r="BE968" s="38"/>
      <c r="BF968" s="74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</row>
    <row r="969" ht="15.75" customHeight="1">
      <c r="A969" s="860" t="s">
        <v>4680</v>
      </c>
      <c r="B969" s="115"/>
      <c r="C969" s="116" t="s">
        <v>267</v>
      </c>
      <c r="D969" s="192" t="s">
        <v>4681</v>
      </c>
      <c r="E969" s="192" t="s">
        <v>4682</v>
      </c>
      <c r="F969" s="118" t="s">
        <v>4683</v>
      </c>
      <c r="G969" s="286"/>
      <c r="H969" s="119" t="s">
        <v>3550</v>
      </c>
      <c r="I969" s="25" t="s">
        <v>2315</v>
      </c>
      <c r="J969" s="287"/>
      <c r="K969" s="123"/>
      <c r="L969" s="25">
        <v>2015.0</v>
      </c>
      <c r="M969" s="25">
        <f t="shared" si="676"/>
        <v>10</v>
      </c>
      <c r="N969" s="26">
        <f t="shared" si="677"/>
        <v>1</v>
      </c>
      <c r="O969" s="27" t="str">
        <f t="shared" si="3"/>
        <v>#N/A</v>
      </c>
      <c r="P969" s="28"/>
      <c r="Q969" s="28"/>
      <c r="R969" s="28"/>
      <c r="S969" s="28"/>
      <c r="T969" s="29">
        <f t="shared" si="678"/>
        <v>300000</v>
      </c>
      <c r="U969" s="28"/>
      <c r="V969" s="30">
        <f t="shared" si="425"/>
        <v>3000000</v>
      </c>
      <c r="W969" s="30"/>
      <c r="X969" s="403"/>
      <c r="Y969" s="33">
        <f t="shared" si="679"/>
        <v>0</v>
      </c>
      <c r="Z969" s="692"/>
      <c r="AA969" s="665"/>
      <c r="AB969" s="123"/>
      <c r="AC969" s="123"/>
      <c r="AD969" s="169"/>
      <c r="AE969" s="127"/>
      <c r="AF969" s="225">
        <v>43760.0</v>
      </c>
      <c r="AG969" s="1444">
        <v>3000000.0</v>
      </c>
      <c r="AH969" s="123"/>
      <c r="AI969" s="128"/>
      <c r="AJ969" s="124"/>
      <c r="AK969" s="125"/>
      <c r="AL969" s="124"/>
      <c r="AM969" s="125"/>
      <c r="AN969" s="124"/>
      <c r="AO969" s="125"/>
      <c r="AP969" s="124"/>
      <c r="AQ969" s="125"/>
      <c r="AR969" s="124"/>
      <c r="AS969" s="124"/>
      <c r="AT969" s="124"/>
      <c r="AU969" s="137"/>
      <c r="AV969" s="124"/>
      <c r="AW969" s="38"/>
      <c r="AX969" s="124"/>
      <c r="AY969" s="38"/>
      <c r="AZ969" s="124"/>
      <c r="BA969" s="137"/>
      <c r="BB969" s="124"/>
      <c r="BC969" s="137"/>
      <c r="BD969" s="124"/>
      <c r="BE969" s="38"/>
      <c r="BF969" s="123"/>
      <c r="BG969" s="115"/>
      <c r="BH969" s="115"/>
      <c r="BI969" s="115"/>
      <c r="BJ969" s="115"/>
      <c r="BK969" s="115"/>
      <c r="BL969" s="115"/>
      <c r="BM969" s="115"/>
      <c r="BN969" s="115"/>
      <c r="BO969" s="115"/>
      <c r="BP969" s="115"/>
      <c r="BQ969" s="115"/>
      <c r="BR969" s="115"/>
      <c r="BS969" s="115"/>
      <c r="BT969" s="115"/>
      <c r="BU969" s="115"/>
      <c r="BV969" s="115"/>
      <c r="BW969" s="115"/>
      <c r="BX969" s="115"/>
      <c r="BY969" s="115"/>
      <c r="BZ969" s="115"/>
      <c r="CA969" s="115"/>
      <c r="CB969" s="115"/>
      <c r="CC969" s="115"/>
      <c r="CD969" s="115"/>
      <c r="CE969" s="115"/>
      <c r="CF969" s="115"/>
      <c r="CG969" s="115"/>
      <c r="CH969" s="115"/>
      <c r="CI969" s="115"/>
      <c r="CJ969" s="115"/>
      <c r="CK969" s="115"/>
      <c r="CL969" s="115"/>
      <c r="CM969" s="115"/>
      <c r="CN969" s="115"/>
      <c r="CO969" s="115"/>
      <c r="CP969" s="115"/>
    </row>
    <row r="970" ht="15.75" customHeight="1">
      <c r="A970" s="21" t="s">
        <v>4684</v>
      </c>
      <c r="B970" s="68"/>
      <c r="C970" s="69" t="s">
        <v>190</v>
      </c>
      <c r="D970" s="192" t="s">
        <v>4685</v>
      </c>
      <c r="E970" s="192" t="s">
        <v>4686</v>
      </c>
      <c r="F970" s="757" t="s">
        <v>4687</v>
      </c>
      <c r="G970" s="1361" t="s">
        <v>2791</v>
      </c>
      <c r="H970" s="71" t="s">
        <v>365</v>
      </c>
      <c r="I970" s="74" t="s">
        <v>65</v>
      </c>
      <c r="J970" s="72"/>
      <c r="K970" s="26">
        <v>2.0</v>
      </c>
      <c r="L970" s="26">
        <v>2017.0</v>
      </c>
      <c r="M970" s="25">
        <f t="shared" si="676"/>
        <v>8</v>
      </c>
      <c r="N970" s="26">
        <f t="shared" si="677"/>
        <v>1</v>
      </c>
      <c r="O970" s="27" t="str">
        <f t="shared" si="3"/>
        <v>#N/A</v>
      </c>
      <c r="P970" s="28"/>
      <c r="Q970" s="28"/>
      <c r="R970" s="28"/>
      <c r="S970" s="28"/>
      <c r="T970" s="29">
        <f t="shared" si="678"/>
        <v>375000</v>
      </c>
      <c r="U970" s="28"/>
      <c r="V970" s="30">
        <f t="shared" si="425"/>
        <v>3000000</v>
      </c>
      <c r="W970" s="30"/>
      <c r="X970" s="73"/>
      <c r="Y970" s="33">
        <f t="shared" si="679"/>
        <v>0</v>
      </c>
      <c r="Z970" s="692"/>
      <c r="AA970" s="665"/>
      <c r="AB970" s="74"/>
      <c r="AC970" s="74"/>
      <c r="AD970" s="79"/>
      <c r="AE970" s="84"/>
      <c r="AF970" s="175" t="str">
        <f>HYPERLINK("https://www.crunchbase.com/funding_round/jurny-inc-seed--9e69d12e","Apr 1, 2019")</f>
        <v>Apr 1, 2019</v>
      </c>
      <c r="AG970" s="76">
        <v>3000000.0</v>
      </c>
      <c r="AH970" s="74"/>
      <c r="AI970" s="78"/>
      <c r="AJ970" s="279"/>
      <c r="AK970" s="76"/>
      <c r="AL970" s="279"/>
      <c r="AM970" s="887"/>
      <c r="AN970" s="279"/>
      <c r="AO970" s="76"/>
      <c r="AP970" s="79"/>
      <c r="AQ970" s="84"/>
      <c r="AR970" s="79"/>
      <c r="AS970" s="79"/>
      <c r="AT970" s="79"/>
      <c r="AU970" s="80"/>
      <c r="AV970" s="79"/>
      <c r="AW970" s="38"/>
      <c r="AX970" s="79"/>
      <c r="AY970" s="38"/>
      <c r="AZ970" s="79"/>
      <c r="BA970" s="80"/>
      <c r="BB970" s="79"/>
      <c r="BC970" s="80"/>
      <c r="BD970" s="79"/>
      <c r="BE970" s="38"/>
      <c r="BF970" s="74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68"/>
      <c r="CA970" s="68"/>
      <c r="CB970" s="68"/>
      <c r="CC970" s="68"/>
      <c r="CD970" s="68"/>
      <c r="CE970" s="68"/>
      <c r="CF970" s="68"/>
      <c r="CG970" s="68"/>
      <c r="CH970" s="68"/>
      <c r="CI970" s="68"/>
      <c r="CJ970" s="68"/>
      <c r="CK970" s="68"/>
      <c r="CL970" s="68"/>
      <c r="CM970" s="68"/>
      <c r="CN970" s="68"/>
      <c r="CO970" s="68"/>
      <c r="CP970" s="68"/>
    </row>
    <row r="971" ht="15.75" customHeight="1">
      <c r="A971" s="666" t="s">
        <v>4688</v>
      </c>
      <c r="B971" s="115" t="s">
        <v>4689</v>
      </c>
      <c r="C971" s="116" t="s">
        <v>123</v>
      </c>
      <c r="D971" s="667" t="s">
        <v>4690</v>
      </c>
      <c r="E971" s="667" t="s">
        <v>4691</v>
      </c>
      <c r="F971" s="668" t="s">
        <v>4692</v>
      </c>
      <c r="G971" s="930" t="s">
        <v>4693</v>
      </c>
      <c r="H971" s="286" t="s">
        <v>2927</v>
      </c>
      <c r="I971" s="123" t="s">
        <v>4694</v>
      </c>
      <c r="J971" s="287" t="s">
        <v>4695</v>
      </c>
      <c r="K971" s="123">
        <v>2.0</v>
      </c>
      <c r="L971" s="25">
        <v>2013.0</v>
      </c>
      <c r="M971" s="25">
        <f t="shared" si="676"/>
        <v>12</v>
      </c>
      <c r="N971" s="26">
        <f t="shared" si="677"/>
        <v>1</v>
      </c>
      <c r="O971" s="27" t="str">
        <f t="shared" si="3"/>
        <v>#N/A</v>
      </c>
      <c r="P971" s="28"/>
      <c r="Q971" s="28"/>
      <c r="R971" s="28"/>
      <c r="S971" s="28"/>
      <c r="T971" s="29">
        <f t="shared" si="678"/>
        <v>250000</v>
      </c>
      <c r="U971" s="28"/>
      <c r="V971" s="30">
        <f t="shared" si="425"/>
        <v>3000000</v>
      </c>
      <c r="W971" s="30"/>
      <c r="X971" s="403"/>
      <c r="Y971" s="33">
        <f t="shared" si="679"/>
        <v>0</v>
      </c>
      <c r="Z971" s="692"/>
      <c r="AA971" s="665"/>
      <c r="AB971" s="123" t="s">
        <v>3073</v>
      </c>
      <c r="AC971" s="123"/>
      <c r="AD971" s="124"/>
      <c r="AE971" s="125"/>
      <c r="AF971" s="166"/>
      <c r="AG971" s="125"/>
      <c r="AH971" s="123"/>
      <c r="AI971" s="128"/>
      <c r="AJ971" s="167" t="str">
        <f>HYPERLINK("https://www.crunchbase.com/organization/propstack#section-funding-rounds"," Jun 3, 2015")</f>
        <v> Jun 3, 2015</v>
      </c>
      <c r="AK971" s="127">
        <v>3000000.0</v>
      </c>
      <c r="AL971" s="124"/>
      <c r="AM971" s="125"/>
      <c r="AN971" s="124"/>
      <c r="AO971" s="125"/>
      <c r="AP971" s="124"/>
      <c r="AQ971" s="125"/>
      <c r="AR971" s="124"/>
      <c r="AS971" s="124"/>
      <c r="AT971" s="124"/>
      <c r="AU971" s="137"/>
      <c r="AV971" s="124"/>
      <c r="AW971" s="38"/>
      <c r="AX971" s="124"/>
      <c r="AY971" s="38"/>
      <c r="AZ971" s="124"/>
      <c r="BA971" s="137"/>
      <c r="BB971" s="124"/>
      <c r="BC971" s="137"/>
      <c r="BD971" s="124"/>
      <c r="BE971" s="38"/>
      <c r="BF971" s="123"/>
      <c r="BG971" s="115"/>
      <c r="BH971" s="115"/>
      <c r="BI971" s="115"/>
      <c r="BJ971" s="115"/>
      <c r="BK971" s="115"/>
      <c r="BL971" s="115"/>
      <c r="BM971" s="115"/>
      <c r="BN971" s="115"/>
      <c r="BO971" s="115"/>
      <c r="BP971" s="115"/>
      <c r="BQ971" s="115"/>
      <c r="BR971" s="115"/>
      <c r="BS971" s="115"/>
      <c r="BT971" s="115"/>
      <c r="BU971" s="115"/>
      <c r="BV971" s="115"/>
      <c r="BW971" s="115"/>
      <c r="BX971" s="115"/>
      <c r="BY971" s="115"/>
      <c r="BZ971" s="115"/>
      <c r="CA971" s="115"/>
      <c r="CB971" s="115"/>
      <c r="CC971" s="115"/>
      <c r="CD971" s="115"/>
      <c r="CE971" s="115"/>
      <c r="CF971" s="115"/>
      <c r="CG971" s="115"/>
      <c r="CH971" s="115"/>
      <c r="CI971" s="115"/>
      <c r="CJ971" s="115"/>
      <c r="CK971" s="115"/>
      <c r="CL971" s="115"/>
      <c r="CM971" s="115"/>
      <c r="CN971" s="115"/>
      <c r="CO971" s="115"/>
      <c r="CP971" s="115"/>
    </row>
    <row r="972" ht="15.75" customHeight="1">
      <c r="A972" s="1445" t="s">
        <v>4696</v>
      </c>
      <c r="B972" s="116" t="s">
        <v>4697</v>
      </c>
      <c r="C972" s="116" t="s">
        <v>513</v>
      </c>
      <c r="D972" s="192" t="s">
        <v>4698</v>
      </c>
      <c r="E972" s="192" t="s">
        <v>4699</v>
      </c>
      <c r="F972" s="1339" t="s">
        <v>4700</v>
      </c>
      <c r="G972" s="119" t="s">
        <v>4701</v>
      </c>
      <c r="H972" s="119" t="s">
        <v>64</v>
      </c>
      <c r="I972" s="26" t="s">
        <v>65</v>
      </c>
      <c r="J972" s="120" t="s">
        <v>566</v>
      </c>
      <c r="K972" s="25">
        <v>2.0</v>
      </c>
      <c r="L972" s="25">
        <v>2014.0</v>
      </c>
      <c r="M972" s="25">
        <f t="shared" si="676"/>
        <v>11</v>
      </c>
      <c r="N972" s="26">
        <f t="shared" si="677"/>
        <v>1</v>
      </c>
      <c r="O972" s="27" t="str">
        <f t="shared" si="3"/>
        <v>#N/A</v>
      </c>
      <c r="P972" s="28"/>
      <c r="Q972" s="28"/>
      <c r="R972" s="28"/>
      <c r="S972" s="28"/>
      <c r="T972" s="29">
        <f t="shared" si="678"/>
        <v>272727.2727</v>
      </c>
      <c r="U972" s="28"/>
      <c r="V972" s="30">
        <f t="shared" si="425"/>
        <v>3000000</v>
      </c>
      <c r="W972" s="30"/>
      <c r="X972" s="597"/>
      <c r="Y972" s="33">
        <f t="shared" si="679"/>
        <v>0</v>
      </c>
      <c r="Z972" s="692"/>
      <c r="AA972" s="665"/>
      <c r="AB972" s="123"/>
      <c r="AC972" s="123"/>
      <c r="AD972" s="124"/>
      <c r="AE972" s="125"/>
      <c r="AF972" s="126" t="str">
        <f>HYPERLINK("https://www.crunchbase.com/funding_round/smarking-seed--8f0484d4"," May 13, 2015        
")</f>
        <v> May 13, 2015        
</v>
      </c>
      <c r="AG972" s="127">
        <v>3000000.0</v>
      </c>
      <c r="AH972" s="123"/>
      <c r="AI972" s="128"/>
      <c r="AJ972" s="124"/>
      <c r="AK972" s="125"/>
      <c r="AL972" s="124"/>
      <c r="AM972" s="125"/>
      <c r="AN972" s="124"/>
      <c r="AO972" s="125"/>
      <c r="AP972" s="124"/>
      <c r="AQ972" s="125"/>
      <c r="AR972" s="124"/>
      <c r="AS972" s="124"/>
      <c r="AT972" s="124"/>
      <c r="AU972" s="137"/>
      <c r="AV972" s="124"/>
      <c r="AW972" s="38"/>
      <c r="AX972" s="124"/>
      <c r="AY972" s="38"/>
      <c r="AZ972" s="124"/>
      <c r="BA972" s="137"/>
      <c r="BB972" s="124"/>
      <c r="BC972" s="137"/>
      <c r="BD972" s="124"/>
      <c r="BE972" s="38"/>
      <c r="BF972" s="123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</row>
    <row r="973" ht="15.75" customHeight="1">
      <c r="A973" s="21" t="s">
        <v>4702</v>
      </c>
      <c r="B973" s="68"/>
      <c r="C973" s="69" t="s">
        <v>4703</v>
      </c>
      <c r="D973" s="192" t="s">
        <v>4704</v>
      </c>
      <c r="E973" s="192" t="s">
        <v>4705</v>
      </c>
      <c r="F973" s="154" t="s">
        <v>4706</v>
      </c>
      <c r="G973" s="71"/>
      <c r="H973" s="71" t="s">
        <v>357</v>
      </c>
      <c r="I973" s="26" t="s">
        <v>358</v>
      </c>
      <c r="J973" s="72"/>
      <c r="K973" s="74"/>
      <c r="L973" s="26">
        <v>2010.0</v>
      </c>
      <c r="M973" s="25">
        <f t="shared" si="676"/>
        <v>15</v>
      </c>
      <c r="N973" s="26">
        <f t="shared" si="677"/>
        <v>1</v>
      </c>
      <c r="O973" s="27" t="str">
        <f t="shared" si="3"/>
        <v>#N/A</v>
      </c>
      <c r="P973" s="28"/>
      <c r="Q973" s="28"/>
      <c r="R973" s="28"/>
      <c r="S973" s="28"/>
      <c r="T973" s="29">
        <f t="shared" si="678"/>
        <v>200000</v>
      </c>
      <c r="U973" s="28"/>
      <c r="V973" s="30">
        <f t="shared" si="425"/>
        <v>3000000</v>
      </c>
      <c r="W973" s="30"/>
      <c r="X973" s="32"/>
      <c r="Y973" s="33">
        <f t="shared" si="679"/>
        <v>0</v>
      </c>
      <c r="Z973" s="692"/>
      <c r="AA973" s="665"/>
      <c r="AB973" s="74"/>
      <c r="AC973" s="74"/>
      <c r="AD973" s="79"/>
      <c r="AE973" s="84"/>
      <c r="AF973" s="338"/>
      <c r="AG973" s="84"/>
      <c r="AH973" s="74"/>
      <c r="AI973" s="78"/>
      <c r="AJ973" s="227">
        <v>41408.0</v>
      </c>
      <c r="AK973" s="76">
        <v>3000000.0</v>
      </c>
      <c r="AL973" s="79"/>
      <c r="AM973" s="84"/>
      <c r="AN973" s="79"/>
      <c r="AO973" s="84"/>
      <c r="AP973" s="79"/>
      <c r="AQ973" s="84"/>
      <c r="AR973" s="79"/>
      <c r="AS973" s="79"/>
      <c r="AT973" s="79"/>
      <c r="AU973" s="80"/>
      <c r="AV973" s="79"/>
      <c r="AW973" s="38"/>
      <c r="AX973" s="79"/>
      <c r="AY973" s="38"/>
      <c r="AZ973" s="79"/>
      <c r="BA973" s="80"/>
      <c r="BB973" s="79"/>
      <c r="BC973" s="80"/>
      <c r="BD973" s="79"/>
      <c r="BE973" s="38"/>
      <c r="BF973" s="74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68"/>
      <c r="CA973" s="68"/>
      <c r="CB973" s="68"/>
      <c r="CC973" s="68"/>
      <c r="CD973" s="68"/>
      <c r="CE973" s="68"/>
      <c r="CF973" s="68"/>
      <c r="CG973" s="68"/>
      <c r="CH973" s="68"/>
      <c r="CI973" s="68"/>
      <c r="CJ973" s="68"/>
      <c r="CK973" s="68"/>
      <c r="CL973" s="68"/>
      <c r="CM973" s="68"/>
      <c r="CN973" s="68"/>
      <c r="CO973" s="68"/>
      <c r="CP973" s="68"/>
    </row>
    <row r="974" ht="15.75" customHeight="1">
      <c r="A974" s="400" t="s">
        <v>4707</v>
      </c>
      <c r="B974" s="115"/>
      <c r="C974" s="116" t="s">
        <v>68</v>
      </c>
      <c r="D974" s="449"/>
      <c r="E974" s="401" t="s">
        <v>4708</v>
      </c>
      <c r="F974" s="708" t="s">
        <v>4709</v>
      </c>
      <c r="G974" s="930"/>
      <c r="H974" s="119" t="s">
        <v>4710</v>
      </c>
      <c r="I974" s="25" t="s">
        <v>218</v>
      </c>
      <c r="J974" s="1326"/>
      <c r="K974" s="25">
        <v>1.0</v>
      </c>
      <c r="L974" s="25">
        <v>2019.0</v>
      </c>
      <c r="M974" s="123"/>
      <c r="N974" s="123"/>
      <c r="O974" s="27" t="str">
        <f t="shared" si="3"/>
        <v>#N/A</v>
      </c>
      <c r="P974" s="55"/>
      <c r="Q974" s="55"/>
      <c r="R974" s="55"/>
      <c r="S974" s="55"/>
      <c r="T974" s="55"/>
      <c r="U974" s="55"/>
      <c r="V974" s="30">
        <f t="shared" si="425"/>
        <v>3000000</v>
      </c>
      <c r="W974" s="30"/>
      <c r="X974" s="403"/>
      <c r="Y974" s="403"/>
      <c r="Z974" s="692"/>
      <c r="AA974" s="665"/>
      <c r="AB974" s="123"/>
      <c r="AC974" s="123"/>
      <c r="AD974" s="452"/>
      <c r="AE974" s="123"/>
      <c r="AF974" s="62">
        <v>44875.0</v>
      </c>
      <c r="AG974" s="1342">
        <v>3000000.0</v>
      </c>
      <c r="AH974" s="123"/>
      <c r="AI974" s="123"/>
      <c r="AJ974" s="123"/>
      <c r="AK974" s="123"/>
      <c r="AL974" s="123"/>
      <c r="AM974" s="123"/>
      <c r="AN974" s="123"/>
      <c r="AO974" s="123"/>
      <c r="AP974" s="123"/>
      <c r="AQ974" s="123"/>
      <c r="AR974" s="123"/>
      <c r="AS974" s="123"/>
      <c r="AT974" s="123"/>
      <c r="AU974" s="137"/>
      <c r="AV974" s="123"/>
      <c r="AW974" s="38"/>
      <c r="AX974" s="123"/>
      <c r="AY974" s="38"/>
      <c r="AZ974" s="123"/>
      <c r="BA974" s="137"/>
      <c r="BB974" s="123"/>
      <c r="BC974" s="137"/>
      <c r="BD974" s="123"/>
      <c r="BE974" s="38"/>
      <c r="BF974" s="123"/>
      <c r="BG974" s="115"/>
      <c r="BH974" s="115"/>
      <c r="BI974" s="115"/>
      <c r="BJ974" s="115"/>
      <c r="BK974" s="115"/>
      <c r="BL974" s="115"/>
      <c r="BM974" s="115"/>
      <c r="BN974" s="115"/>
      <c r="BO974" s="115"/>
      <c r="BP974" s="115"/>
      <c r="BQ974" s="115"/>
      <c r="BR974" s="115"/>
      <c r="BS974" s="115"/>
      <c r="BT974" s="115"/>
      <c r="BU974" s="115"/>
      <c r="BV974" s="115"/>
      <c r="BW974" s="115"/>
      <c r="BX974" s="115"/>
      <c r="BY974" s="115"/>
      <c r="BZ974" s="115"/>
      <c r="CA974" s="115"/>
      <c r="CB974" s="115"/>
      <c r="CC974" s="115"/>
      <c r="CD974" s="115"/>
      <c r="CE974" s="115"/>
      <c r="CF974" s="115"/>
      <c r="CG974" s="115"/>
      <c r="CH974" s="115"/>
      <c r="CI974" s="115"/>
      <c r="CJ974" s="115"/>
      <c r="CK974" s="115"/>
      <c r="CL974" s="115"/>
      <c r="CM974" s="115"/>
      <c r="CN974" s="115"/>
      <c r="CO974" s="115"/>
      <c r="CP974" s="115"/>
    </row>
    <row r="975" ht="15.75" customHeight="1">
      <c r="A975" s="401" t="s">
        <v>4711</v>
      </c>
      <c r="B975" s="115"/>
      <c r="C975" s="116" t="s">
        <v>123</v>
      </c>
      <c r="D975" s="449"/>
      <c r="E975" s="401" t="s">
        <v>4712</v>
      </c>
      <c r="F975" s="708" t="s">
        <v>4713</v>
      </c>
      <c r="G975" s="930"/>
      <c r="H975" s="119" t="s">
        <v>262</v>
      </c>
      <c r="I975" s="25" t="s">
        <v>263</v>
      </c>
      <c r="J975" s="1326"/>
      <c r="K975" s="25">
        <v>2.0</v>
      </c>
      <c r="L975" s="25">
        <v>2020.0</v>
      </c>
      <c r="M975" s="123"/>
      <c r="N975" s="123"/>
      <c r="O975" s="27" t="str">
        <f t="shared" si="3"/>
        <v>#N/A</v>
      </c>
      <c r="P975" s="55"/>
      <c r="Q975" s="55"/>
      <c r="R975" s="55"/>
      <c r="S975" s="55"/>
      <c r="T975" s="55"/>
      <c r="U975" s="55"/>
      <c r="V975" s="30">
        <f t="shared" si="425"/>
        <v>3000000</v>
      </c>
      <c r="W975" s="30"/>
      <c r="X975" s="403"/>
      <c r="Y975" s="403"/>
      <c r="Z975" s="692"/>
      <c r="AA975" s="665"/>
      <c r="AB975" s="123"/>
      <c r="AC975" s="123"/>
      <c r="AD975" s="355"/>
      <c r="AE975" s="38"/>
      <c r="AF975" s="355"/>
      <c r="AG975" s="38"/>
      <c r="AH975" s="123"/>
      <c r="AI975" s="123"/>
      <c r="AJ975" s="123"/>
      <c r="AK975" s="123"/>
      <c r="AL975" s="123"/>
      <c r="AM975" s="123"/>
      <c r="AN975" s="123"/>
      <c r="AO975" s="123"/>
      <c r="AP975" s="123"/>
      <c r="AQ975" s="123"/>
      <c r="AR975" s="123"/>
      <c r="AS975" s="123"/>
      <c r="AT975" s="123"/>
      <c r="AU975" s="137"/>
      <c r="AV975" s="123"/>
      <c r="AW975" s="38"/>
      <c r="AX975" s="123"/>
      <c r="AY975" s="38"/>
      <c r="AZ975" s="404">
        <v>44881.0</v>
      </c>
      <c r="BA975" s="170">
        <v>3000000.0</v>
      </c>
      <c r="BB975" s="123"/>
      <c r="BC975" s="137"/>
      <c r="BD975" s="123"/>
      <c r="BE975" s="38"/>
      <c r="BF975" s="123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</row>
    <row r="976" ht="15.75" customHeight="1">
      <c r="A976" s="400" t="s">
        <v>4714</v>
      </c>
      <c r="B976" s="115"/>
      <c r="C976" s="116" t="s">
        <v>68</v>
      </c>
      <c r="D976" s="449"/>
      <c r="E976" s="161" t="s">
        <v>4715</v>
      </c>
      <c r="F976" s="708" t="s">
        <v>4716</v>
      </c>
      <c r="G976" s="286"/>
      <c r="H976" s="119" t="s">
        <v>4717</v>
      </c>
      <c r="I976" s="25" t="s">
        <v>1040</v>
      </c>
      <c r="J976" s="287"/>
      <c r="K976" s="123"/>
      <c r="L976" s="25">
        <v>2022.0</v>
      </c>
      <c r="M976" s="123"/>
      <c r="N976" s="123"/>
      <c r="O976" s="27" t="str">
        <f t="shared" si="3"/>
        <v>#N/A</v>
      </c>
      <c r="P976" s="55"/>
      <c r="Q976" s="55"/>
      <c r="R976" s="55"/>
      <c r="S976" s="55"/>
      <c r="T976" s="55"/>
      <c r="U976" s="55"/>
      <c r="V976" s="30">
        <f t="shared" si="425"/>
        <v>15000000</v>
      </c>
      <c r="W976" s="30"/>
      <c r="X976" s="403"/>
      <c r="Y976" s="403"/>
      <c r="Z976" s="692"/>
      <c r="AA976" s="665"/>
      <c r="AB976" s="123"/>
      <c r="AC976" s="123"/>
      <c r="AD976" s="355"/>
      <c r="AE976" s="123"/>
      <c r="AF976" s="62">
        <v>45050.0</v>
      </c>
      <c r="AG976" s="38">
        <v>1.5E7</v>
      </c>
      <c r="AH976" s="123"/>
      <c r="AI976" s="123"/>
      <c r="AJ976" s="123"/>
      <c r="AK976" s="123"/>
      <c r="AL976" s="123"/>
      <c r="AM976" s="123"/>
      <c r="AN976" s="123"/>
      <c r="AO976" s="123"/>
      <c r="AP976" s="123"/>
      <c r="AQ976" s="123"/>
      <c r="AR976" s="123"/>
      <c r="AS976" s="123"/>
      <c r="AT976" s="123"/>
      <c r="AU976" s="137"/>
      <c r="AV976" s="123"/>
      <c r="AW976" s="38"/>
      <c r="AX976" s="123"/>
      <c r="AY976" s="38"/>
      <c r="AZ976" s="123"/>
      <c r="BA976" s="137"/>
      <c r="BB976" s="123"/>
      <c r="BC976" s="137"/>
      <c r="BD976" s="123"/>
      <c r="BE976" s="38"/>
      <c r="BF976" s="123"/>
      <c r="BG976" s="115"/>
      <c r="BH976" s="115"/>
      <c r="BI976" s="115"/>
      <c r="BJ976" s="115"/>
      <c r="BK976" s="115"/>
      <c r="BL976" s="115"/>
      <c r="BM976" s="115"/>
      <c r="BN976" s="115"/>
      <c r="BO976" s="115"/>
      <c r="BP976" s="115"/>
      <c r="BQ976" s="115"/>
      <c r="BR976" s="115"/>
      <c r="BS976" s="115"/>
      <c r="BT976" s="115"/>
      <c r="BU976" s="115"/>
      <c r="BV976" s="115"/>
      <c r="BW976" s="115"/>
      <c r="BX976" s="115"/>
      <c r="BY976" s="115"/>
      <c r="BZ976" s="115"/>
      <c r="CA976" s="115"/>
      <c r="CB976" s="115"/>
      <c r="CC976" s="115"/>
      <c r="CD976" s="115"/>
      <c r="CE976" s="115"/>
      <c r="CF976" s="115"/>
      <c r="CG976" s="115"/>
      <c r="CH976" s="115"/>
      <c r="CI976" s="115"/>
      <c r="CJ976" s="115"/>
      <c r="CK976" s="115"/>
      <c r="CL976" s="115"/>
      <c r="CM976" s="115"/>
      <c r="CN976" s="115"/>
      <c r="CO976" s="115"/>
      <c r="CP976" s="115"/>
    </row>
    <row r="977" ht="15.75" customHeight="1">
      <c r="A977" s="47" t="s">
        <v>4718</v>
      </c>
      <c r="C977" s="48" t="s">
        <v>132</v>
      </c>
      <c r="D977" s="49" t="s">
        <v>4719</v>
      </c>
      <c r="E977" s="49" t="s">
        <v>4720</v>
      </c>
      <c r="F977" s="749" t="s">
        <v>4721</v>
      </c>
      <c r="G977" s="353"/>
      <c r="H977" s="53" t="s">
        <v>357</v>
      </c>
      <c r="I977" s="54" t="s">
        <v>358</v>
      </c>
      <c r="J977" s="55"/>
      <c r="K977" s="54">
        <v>3.0</v>
      </c>
      <c r="L977" s="56">
        <v>2020.0</v>
      </c>
      <c r="M977" s="55"/>
      <c r="N977" s="55"/>
      <c r="O977" s="27" t="str">
        <f t="shared" si="3"/>
        <v>#N/A</v>
      </c>
      <c r="P977" s="55"/>
      <c r="Q977" s="55"/>
      <c r="R977" s="55"/>
      <c r="S977" s="55"/>
      <c r="T977" s="55"/>
      <c r="U977" s="55"/>
      <c r="V977" s="30">
        <f t="shared" si="425"/>
        <v>3000000</v>
      </c>
      <c r="W977" s="30"/>
      <c r="X977" s="58"/>
      <c r="Y977" s="58"/>
      <c r="Z977" s="692"/>
      <c r="AA977" s="665"/>
      <c r="AB977" s="55"/>
      <c r="AC977" s="55"/>
      <c r="AD977" s="880">
        <v>44409.0</v>
      </c>
      <c r="AE977" s="55"/>
      <c r="AF977" s="3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356"/>
      <c r="AQ977" s="356"/>
      <c r="AR977" s="55"/>
      <c r="AS977" s="55"/>
      <c r="AT977" s="55"/>
      <c r="AU977" s="722"/>
      <c r="AV977" s="55"/>
      <c r="AW977" s="38"/>
      <c r="AX977" s="55"/>
      <c r="AY977" s="38"/>
      <c r="AZ977" s="62">
        <v>44931.0</v>
      </c>
      <c r="BA977" s="743">
        <v>3000000.0</v>
      </c>
      <c r="BB977" s="55"/>
      <c r="BC977" s="722"/>
      <c r="BD977" s="55"/>
      <c r="BE977" s="38"/>
      <c r="BF977" s="55"/>
      <c r="BG977" s="115"/>
      <c r="BH977" s="115"/>
      <c r="BI977" s="115"/>
      <c r="BJ977" s="115"/>
      <c r="BK977" s="115"/>
      <c r="BL977" s="115"/>
      <c r="BM977" s="115"/>
      <c r="BN977" s="115"/>
      <c r="BO977" s="115"/>
      <c r="BP977" s="115"/>
      <c r="BQ977" s="115"/>
      <c r="BR977" s="115"/>
      <c r="BS977" s="115"/>
      <c r="BT977" s="115"/>
      <c r="BU977" s="115"/>
      <c r="BV977" s="115"/>
      <c r="BW977" s="115"/>
      <c r="BX977" s="115"/>
      <c r="BY977" s="115"/>
      <c r="BZ977" s="115"/>
      <c r="CA977" s="115"/>
      <c r="CB977" s="115"/>
      <c r="CC977" s="115"/>
      <c r="CD977" s="115"/>
      <c r="CE977" s="115"/>
      <c r="CF977" s="115"/>
      <c r="CG977" s="115"/>
      <c r="CH977" s="115"/>
      <c r="CI977" s="115"/>
      <c r="CJ977" s="115"/>
      <c r="CK977" s="115"/>
      <c r="CL977" s="115"/>
      <c r="CM977" s="115"/>
      <c r="CN977" s="115"/>
      <c r="CO977" s="115"/>
      <c r="CP977" s="115"/>
    </row>
    <row r="978" ht="15.75" customHeight="1">
      <c r="A978" s="47" t="s">
        <v>4722</v>
      </c>
      <c r="B978" s="48" t="s">
        <v>4723</v>
      </c>
      <c r="C978" s="48" t="s">
        <v>513</v>
      </c>
      <c r="D978" s="617" t="s">
        <v>4724</v>
      </c>
      <c r="E978" s="49" t="s">
        <v>4725</v>
      </c>
      <c r="F978" s="352" t="s">
        <v>4726</v>
      </c>
      <c r="G978" s="353"/>
      <c r="H978" s="53" t="s">
        <v>128</v>
      </c>
      <c r="I978" s="54" t="s">
        <v>129</v>
      </c>
      <c r="J978" s="55"/>
      <c r="K978" s="55"/>
      <c r="L978" s="56">
        <v>2022.0</v>
      </c>
      <c r="M978" s="55"/>
      <c r="N978" s="55"/>
      <c r="O978" s="27" t="str">
        <f t="shared" si="3"/>
        <v>#N/A</v>
      </c>
      <c r="P978" s="55"/>
      <c r="Q978" s="55"/>
      <c r="R978" s="55"/>
      <c r="S978" s="55"/>
      <c r="T978" s="55"/>
      <c r="U978" s="55"/>
      <c r="V978" s="30">
        <f t="shared" si="425"/>
        <v>3000000</v>
      </c>
      <c r="W978" s="30"/>
      <c r="X978" s="58"/>
      <c r="Y978" s="58"/>
      <c r="Z978" s="692"/>
      <c r="AA978" s="665"/>
      <c r="AB978" s="55"/>
      <c r="AC978" s="55"/>
      <c r="AD978" s="453"/>
      <c r="AE978" s="55"/>
      <c r="AF978" s="62">
        <v>44944.0</v>
      </c>
      <c r="AG978" s="38">
        <v>3000000.0</v>
      </c>
      <c r="AH978" s="55"/>
      <c r="AI978" s="55"/>
      <c r="AJ978" s="55"/>
      <c r="AK978" s="55"/>
      <c r="AL978" s="55"/>
      <c r="AM978" s="55"/>
      <c r="AN978" s="55"/>
      <c r="AO978" s="55"/>
      <c r="AP978" s="356"/>
      <c r="AQ978" s="38"/>
      <c r="AR978" s="55"/>
      <c r="AS978" s="38"/>
      <c r="AT978" s="55"/>
      <c r="AU978" s="38"/>
      <c r="AV978" s="55"/>
      <c r="AW978" s="38"/>
      <c r="AX978" s="55"/>
      <c r="AY978" s="38"/>
      <c r="AZ978" s="55"/>
      <c r="BA978" s="722"/>
      <c r="BB978" s="55"/>
      <c r="BC978" s="38"/>
      <c r="BD978" s="55"/>
      <c r="BE978" s="38"/>
      <c r="BF978" s="55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</row>
    <row r="979" ht="15.75" customHeight="1">
      <c r="A979" s="47" t="s">
        <v>4727</v>
      </c>
      <c r="C979" s="48" t="s">
        <v>84</v>
      </c>
      <c r="D979" s="351"/>
      <c r="E979" s="49" t="s">
        <v>4728</v>
      </c>
      <c r="F979" s="749" t="s">
        <v>4729</v>
      </c>
      <c r="G979" s="353"/>
      <c r="H979" s="53" t="s">
        <v>4730</v>
      </c>
      <c r="I979" s="54" t="s">
        <v>129</v>
      </c>
      <c r="J979" s="55"/>
      <c r="K979" s="54">
        <v>1.0</v>
      </c>
      <c r="L979" s="56">
        <v>2020.0</v>
      </c>
      <c r="M979" s="55"/>
      <c r="N979" s="55"/>
      <c r="O979" s="27" t="str">
        <f t="shared" si="3"/>
        <v>#N/A</v>
      </c>
      <c r="P979" s="55"/>
      <c r="Q979" s="55"/>
      <c r="R979" s="55"/>
      <c r="S979" s="55"/>
      <c r="T979" s="55"/>
      <c r="U979" s="55"/>
      <c r="V979" s="30">
        <f t="shared" si="425"/>
        <v>3000000</v>
      </c>
      <c r="W979" s="30"/>
      <c r="X979" s="58"/>
      <c r="Y979" s="58"/>
      <c r="Z979" s="692"/>
      <c r="AA979" s="665"/>
      <c r="AB979" s="55"/>
      <c r="AC979" s="55"/>
      <c r="AD979" s="453"/>
      <c r="AE979" s="38"/>
      <c r="AF979" s="62">
        <v>44978.0</v>
      </c>
      <c r="AG979" s="38">
        <v>3000000.0</v>
      </c>
      <c r="AH979" s="55"/>
      <c r="AI979" s="38"/>
      <c r="AJ979" s="55"/>
      <c r="AK979" s="38"/>
      <c r="AL979" s="55"/>
      <c r="AM979" s="38"/>
      <c r="AN979" s="55"/>
      <c r="AO979" s="38"/>
      <c r="AP979" s="356"/>
      <c r="AQ979" s="38"/>
      <c r="AR979" s="55"/>
      <c r="AS979" s="38"/>
      <c r="AT979" s="55"/>
      <c r="AU979" s="38"/>
      <c r="AV979" s="55"/>
      <c r="AW979" s="38"/>
      <c r="AX979" s="55"/>
      <c r="AY979" s="38"/>
      <c r="AZ979" s="55"/>
      <c r="BA979" s="38"/>
      <c r="BB979" s="55"/>
      <c r="BC979" s="38"/>
      <c r="BD979" s="55"/>
      <c r="BE979" s="38"/>
      <c r="BF979" s="55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</row>
    <row r="980" ht="15.75" customHeight="1">
      <c r="A980" s="400" t="s">
        <v>4731</v>
      </c>
      <c r="B980" s="115"/>
      <c r="C980" s="116" t="s">
        <v>207</v>
      </c>
      <c r="D980" s="161" t="s">
        <v>4732</v>
      </c>
      <c r="E980" s="161" t="s">
        <v>4733</v>
      </c>
      <c r="F980" s="708" t="s">
        <v>4734</v>
      </c>
      <c r="G980" s="119" t="s">
        <v>4735</v>
      </c>
      <c r="H980" s="119" t="s">
        <v>328</v>
      </c>
      <c r="I980" s="25" t="s">
        <v>329</v>
      </c>
      <c r="J980" s="120" t="s">
        <v>4736</v>
      </c>
      <c r="K980" s="123"/>
      <c r="L980" s="25">
        <v>2012.0</v>
      </c>
      <c r="M980" s="123"/>
      <c r="N980" s="123"/>
      <c r="O980" s="27" t="str">
        <f t="shared" si="3"/>
        <v>#N/A</v>
      </c>
      <c r="P980" s="55"/>
      <c r="Q980" s="55"/>
      <c r="R980" s="55"/>
      <c r="S980" s="55"/>
      <c r="T980" s="55"/>
      <c r="U980" s="55"/>
      <c r="V980" s="30">
        <f t="shared" si="425"/>
        <v>2950000</v>
      </c>
      <c r="W980" s="30"/>
      <c r="X980" s="403"/>
      <c r="Y980" s="403"/>
      <c r="Z980" s="692"/>
      <c r="AA980" s="665"/>
      <c r="AB980" s="123"/>
      <c r="AC980" s="123"/>
      <c r="AD980" s="355"/>
      <c r="AE980" s="38"/>
      <c r="AF980" s="355"/>
      <c r="AG980" s="38"/>
      <c r="AH980" s="123"/>
      <c r="AI980" s="123"/>
      <c r="AJ980" s="123"/>
      <c r="AK980" s="123"/>
      <c r="AL980" s="123"/>
      <c r="AM980" s="123"/>
      <c r="AN980" s="123"/>
      <c r="AO980" s="123"/>
      <c r="AP980" s="123"/>
      <c r="AQ980" s="123"/>
      <c r="AR980" s="123"/>
      <c r="AS980" s="123"/>
      <c r="AT980" s="123"/>
      <c r="AU980" s="137"/>
      <c r="AV980" s="123"/>
      <c r="AW980" s="38"/>
      <c r="AX980" s="123"/>
      <c r="AY980" s="38"/>
      <c r="AZ980" s="123"/>
      <c r="BA980" s="137"/>
      <c r="BB980" s="404">
        <v>44886.0</v>
      </c>
      <c r="BC980" s="137">
        <f>1.18*2500000</f>
        <v>2950000</v>
      </c>
      <c r="BD980" s="123"/>
      <c r="BE980" s="38"/>
      <c r="BF980" s="123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</row>
    <row r="981" ht="15.75" customHeight="1">
      <c r="A981" s="400" t="s">
        <v>4737</v>
      </c>
      <c r="B981" s="115"/>
      <c r="C981" s="116" t="s">
        <v>76</v>
      </c>
      <c r="D981" s="401" t="s">
        <v>4738</v>
      </c>
      <c r="E981" s="161" t="s">
        <v>4739</v>
      </c>
      <c r="F981" s="402" t="s">
        <v>4740</v>
      </c>
      <c r="G981" s="286"/>
      <c r="H981" s="119" t="s">
        <v>4741</v>
      </c>
      <c r="I981" s="25" t="s">
        <v>329</v>
      </c>
      <c r="J981" s="287"/>
      <c r="K981" s="25">
        <v>2.0</v>
      </c>
      <c r="L981" s="25">
        <v>2018.0</v>
      </c>
      <c r="M981" s="123"/>
      <c r="N981" s="123"/>
      <c r="O981" s="27" t="str">
        <f t="shared" si="3"/>
        <v>#N/A</v>
      </c>
      <c r="P981" s="55"/>
      <c r="Q981" s="55"/>
      <c r="R981" s="55"/>
      <c r="S981" s="55"/>
      <c r="T981" s="55"/>
      <c r="U981" s="55"/>
      <c r="V981" s="30">
        <f t="shared" si="425"/>
        <v>2944700</v>
      </c>
      <c r="W981" s="30"/>
      <c r="X981" s="403"/>
      <c r="Y981" s="403"/>
      <c r="Z981" s="692"/>
      <c r="AA981" s="665"/>
      <c r="AB981" s="123"/>
      <c r="AC981" s="123"/>
      <c r="AD981" s="62">
        <v>44317.0</v>
      </c>
      <c r="AE981" s="123"/>
      <c r="AF981" s="62">
        <v>44894.0</v>
      </c>
      <c r="AG981" s="38">
        <v>2200000.0</v>
      </c>
      <c r="AH981" s="404">
        <v>44830.0</v>
      </c>
      <c r="AI981" s="38">
        <v>744700.0</v>
      </c>
      <c r="AJ981" s="123"/>
      <c r="AK981" s="123"/>
      <c r="AL981" s="123"/>
      <c r="AM981" s="123"/>
      <c r="AN981" s="123"/>
      <c r="AO981" s="123"/>
      <c r="AP981" s="123"/>
      <c r="AQ981" s="123"/>
      <c r="AR981" s="123"/>
      <c r="AS981" s="123"/>
      <c r="AT981" s="123"/>
      <c r="AU981" s="137"/>
      <c r="AV981" s="123"/>
      <c r="AW981" s="38"/>
      <c r="AX981" s="123"/>
      <c r="AY981" s="38"/>
      <c r="AZ981" s="123"/>
      <c r="BA981" s="137"/>
      <c r="BB981" s="123"/>
      <c r="BC981" s="137"/>
      <c r="BD981" s="123"/>
      <c r="BE981" s="38"/>
      <c r="BF981" s="123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</row>
    <row r="982" ht="15.75" customHeight="1">
      <c r="A982" s="747" t="s">
        <v>4742</v>
      </c>
      <c r="B982" s="68"/>
      <c r="C982" s="69" t="s">
        <v>59</v>
      </c>
      <c r="D982" s="192" t="s">
        <v>4743</v>
      </c>
      <c r="E982" s="192" t="s">
        <v>4744</v>
      </c>
      <c r="F982" s="118" t="s">
        <v>4745</v>
      </c>
      <c r="G982" s="54"/>
      <c r="H982" s="71" t="s">
        <v>64</v>
      </c>
      <c r="I982" s="26" t="s">
        <v>65</v>
      </c>
      <c r="J982" s="72"/>
      <c r="K982" s="26">
        <v>2.0</v>
      </c>
      <c r="L982" s="26">
        <v>2020.0</v>
      </c>
      <c r="M982" s="25"/>
      <c r="N982" s="26"/>
      <c r="O982" s="27" t="str">
        <f t="shared" si="3"/>
        <v>#N/A</v>
      </c>
      <c r="P982" s="273"/>
      <c r="Q982" s="273"/>
      <c r="R982" s="273"/>
      <c r="S982" s="273"/>
      <c r="T982" s="273"/>
      <c r="U982" s="273"/>
      <c r="V982" s="30">
        <f t="shared" si="425"/>
        <v>2925000</v>
      </c>
      <c r="W982" s="30"/>
      <c r="X982" s="73"/>
      <c r="Y982" s="73"/>
      <c r="Z982" s="692"/>
      <c r="AA982" s="665"/>
      <c r="AB982" s="74"/>
      <c r="AC982" s="74"/>
      <c r="AD982" s="181" t="str">
        <f>HYPERLINK("https://www.crunchbase.com/funding_round/playhouse-pre-seed--ec08608c","Aug 31, 2021")</f>
        <v>Aug 31, 2021</v>
      </c>
      <c r="AE982" s="76">
        <v>125000.0</v>
      </c>
      <c r="AF982" s="175" t="str">
        <f>HYPERLINK("https://www.crunchbase.com/funding_round/playhouse-pre-seed--ec08608c","Apr 5, 2022")</f>
        <v>Apr 5, 2022</v>
      </c>
      <c r="AG982" s="76">
        <v>2800000.0</v>
      </c>
      <c r="AH982" s="74"/>
      <c r="AI982" s="78"/>
      <c r="AJ982" s="79"/>
      <c r="AK982" s="427"/>
      <c r="AL982" s="79"/>
      <c r="AM982" s="76"/>
      <c r="AN982" s="79"/>
      <c r="AO982" s="76"/>
      <c r="AP982" s="79"/>
      <c r="AQ982" s="84"/>
      <c r="AR982" s="79"/>
      <c r="AS982" s="79"/>
      <c r="AT982" s="79"/>
      <c r="AU982" s="80"/>
      <c r="AV982" s="79"/>
      <c r="AW982" s="38"/>
      <c r="AX982" s="79"/>
      <c r="AY982" s="38"/>
      <c r="AZ982" s="79"/>
      <c r="BA982" s="80"/>
      <c r="BB982" s="79"/>
      <c r="BC982" s="80"/>
      <c r="BD982" s="79"/>
      <c r="BE982" s="38"/>
      <c r="BF982" s="74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68"/>
      <c r="CA982" s="68"/>
      <c r="CB982" s="68"/>
      <c r="CC982" s="68"/>
      <c r="CD982" s="68"/>
      <c r="CE982" s="68"/>
      <c r="CF982" s="68"/>
      <c r="CG982" s="68"/>
      <c r="CH982" s="68"/>
      <c r="CI982" s="68"/>
      <c r="CJ982" s="68"/>
      <c r="CK982" s="68"/>
      <c r="CL982" s="68"/>
      <c r="CM982" s="68"/>
      <c r="CN982" s="68"/>
      <c r="CO982" s="68"/>
      <c r="CP982" s="68"/>
    </row>
    <row r="983" ht="15.75" customHeight="1">
      <c r="A983" s="442" t="s">
        <v>4746</v>
      </c>
      <c r="B983" s="16" t="s">
        <v>4747</v>
      </c>
      <c r="C983" s="16" t="s">
        <v>59</v>
      </c>
      <c r="D983" s="337" t="s">
        <v>4748</v>
      </c>
      <c r="E983" s="337" t="s">
        <v>4749</v>
      </c>
      <c r="F983" s="652" t="s">
        <v>4750</v>
      </c>
      <c r="G983" s="317"/>
      <c r="H983" s="317" t="s">
        <v>128</v>
      </c>
      <c r="I983" s="36" t="s">
        <v>129</v>
      </c>
      <c r="J983" s="237"/>
      <c r="K983" s="74" t="s">
        <v>723</v>
      </c>
      <c r="L983" s="23">
        <v>2015.0</v>
      </c>
      <c r="M983" s="25">
        <f t="shared" ref="M983:M985" si="680">year(now()) -L983</f>
        <v>10</v>
      </c>
      <c r="N983" s="26">
        <f t="shared" ref="N983:N985" si="681">counta(AE983,AG983,AI983,AK983,AM983,AO983,AQ983,AS983,AU983,AW983,AY983,BA983,BC983)</f>
        <v>2</v>
      </c>
      <c r="O983" s="27" t="str">
        <f t="shared" si="3"/>
        <v>#N/A</v>
      </c>
      <c r="P983" s="28"/>
      <c r="Q983" s="28"/>
      <c r="R983" s="28"/>
      <c r="S983" s="28"/>
      <c r="T983" s="29">
        <f t="shared" ref="T983:T985" si="682">V983/M983</f>
        <v>290000</v>
      </c>
      <c r="U983" s="28"/>
      <c r="V983" s="30">
        <f t="shared" si="425"/>
        <v>2900000</v>
      </c>
      <c r="W983" s="30"/>
      <c r="X983" s="32"/>
      <c r="Y983" s="33">
        <f t="shared" ref="Y983:Y985" si="683">(max(AE983,AG983,AI983,AK983,AM983,AO983,AQ983,AS983,AU983,AW983,AY983,BA983,BC983)/min(AE983,AG983,AI983,AK983))^(1/M983)-1</f>
        <v>0.1013184903</v>
      </c>
      <c r="Z983" s="692"/>
      <c r="AA983" s="665"/>
      <c r="AB983" s="36"/>
      <c r="AC983" s="36"/>
      <c r="AD983" s="43" t="str">
        <f>HYPERLINK("https://www.crunchbase.com/funding_round/assess-re-angel--0284e643"," Dec 31, 2016        
")</f>
        <v> Dec 31, 2016        
</v>
      </c>
      <c r="AE983" s="38">
        <v>800000.0</v>
      </c>
      <c r="AF983" s="158" t="str">
        <f>HYPERLINK("https://www.crunchbase.com/funding_round/assess-re-seed--3b159052"," Apr 1, 2018        
")</f>
        <v> Apr 1, 2018        
</v>
      </c>
      <c r="AG983" s="38">
        <v>2100000.0</v>
      </c>
      <c r="AH983" s="919"/>
      <c r="AI983" s="41"/>
      <c r="AJ983" s="44"/>
      <c r="AK983" s="46"/>
      <c r="AL983" s="44"/>
      <c r="AM983" s="46"/>
      <c r="AN983" s="44"/>
      <c r="AO983" s="46"/>
      <c r="AP983" s="44"/>
      <c r="AQ983" s="46"/>
      <c r="AR983" s="44"/>
      <c r="AS983" s="44"/>
      <c r="AT983" s="44"/>
      <c r="AU983" s="45"/>
      <c r="AV983" s="44"/>
      <c r="AW983" s="38"/>
      <c r="AX983" s="44"/>
      <c r="AY983" s="38"/>
      <c r="AZ983" s="44"/>
      <c r="BA983" s="45"/>
      <c r="BB983" s="44"/>
      <c r="BC983" s="45"/>
      <c r="BD983" s="44"/>
      <c r="BE983" s="38"/>
      <c r="BF983" s="36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  <c r="BR983" s="68"/>
      <c r="BS983" s="68"/>
      <c r="BT983" s="68"/>
      <c r="BU983" s="68"/>
      <c r="BV983" s="68"/>
      <c r="BW983" s="68"/>
      <c r="BX983" s="68"/>
      <c r="BY983" s="68"/>
      <c r="BZ983" s="68"/>
      <c r="CA983" s="68"/>
      <c r="CB983" s="68"/>
      <c r="CC983" s="68"/>
      <c r="CD983" s="68"/>
      <c r="CE983" s="68"/>
      <c r="CF983" s="68"/>
      <c r="CG983" s="68"/>
      <c r="CH983" s="68"/>
      <c r="CI983" s="68"/>
      <c r="CJ983" s="68"/>
      <c r="CK983" s="68"/>
      <c r="CL983" s="68"/>
      <c r="CM983" s="68"/>
      <c r="CN983" s="68"/>
      <c r="CO983" s="68"/>
      <c r="CP983" s="68"/>
    </row>
    <row r="984" ht="15.75" customHeight="1">
      <c r="A984" s="21" t="s">
        <v>4751</v>
      </c>
      <c r="B984" s="68"/>
      <c r="C984" s="69" t="s">
        <v>513</v>
      </c>
      <c r="D984" s="138" t="s">
        <v>4752</v>
      </c>
      <c r="E984" s="138" t="s">
        <v>4753</v>
      </c>
      <c r="F984" s="173" t="s">
        <v>4754</v>
      </c>
      <c r="G984" s="54" t="s">
        <v>4755</v>
      </c>
      <c r="H984" s="71" t="s">
        <v>4756</v>
      </c>
      <c r="I984" s="26" t="s">
        <v>328</v>
      </c>
      <c r="J984" s="155"/>
      <c r="K984" s="26">
        <v>3.0</v>
      </c>
      <c r="L984" s="26">
        <v>2015.0</v>
      </c>
      <c r="M984" s="25">
        <f t="shared" si="680"/>
        <v>10</v>
      </c>
      <c r="N984" s="26">
        <f t="shared" si="681"/>
        <v>2</v>
      </c>
      <c r="O984" s="27" t="str">
        <f t="shared" si="3"/>
        <v>#N/A</v>
      </c>
      <c r="P984" s="28"/>
      <c r="Q984" s="28"/>
      <c r="R984" s="28"/>
      <c r="S984" s="28"/>
      <c r="T984" s="29">
        <f t="shared" si="682"/>
        <v>280000</v>
      </c>
      <c r="U984" s="28"/>
      <c r="V984" s="30">
        <f t="shared" si="425"/>
        <v>2800000</v>
      </c>
      <c r="W984" s="30"/>
      <c r="X984" s="73"/>
      <c r="Y984" s="33">
        <f t="shared" si="683"/>
        <v>0.04449321611</v>
      </c>
      <c r="Z984" s="692"/>
      <c r="AA984" s="665"/>
      <c r="AB984" s="74"/>
      <c r="AC984" s="74"/>
      <c r="AD984" s="79"/>
      <c r="AE984" s="84"/>
      <c r="AF984" s="856" t="str">
        <f>HYPERLINK("https://www.crunchbase.com/funding_round/citystasher-seed--0ccd4262#section-overview","Jan 3, 2018")</f>
        <v>Jan 3, 2018</v>
      </c>
      <c r="AG984" s="76">
        <v>1100000.0</v>
      </c>
      <c r="AH984" s="859" t="str">
        <f>HYPERLINK("https://www.crunchbase.com/funding_round/citystasher-seed--c372f2f7#section-overview","Nov 14, 2019")</f>
        <v>Nov 14, 2019</v>
      </c>
      <c r="AI984" s="435">
        <v>1700000.0</v>
      </c>
      <c r="AJ984" s="79"/>
      <c r="AK984" s="84"/>
      <c r="AL984" s="279"/>
      <c r="AM984" s="76"/>
      <c r="AN984" s="79"/>
      <c r="AO984" s="84"/>
      <c r="AP984" s="79"/>
      <c r="AQ984" s="84"/>
      <c r="AR984" s="79"/>
      <c r="AS984" s="79"/>
      <c r="AT984" s="79"/>
      <c r="AU984" s="80"/>
      <c r="AV984" s="79"/>
      <c r="AW984" s="38"/>
      <c r="AX984" s="79"/>
      <c r="AY984" s="38"/>
      <c r="AZ984" s="79"/>
      <c r="BA984" s="80"/>
      <c r="BB984" s="79"/>
      <c r="BC984" s="80"/>
      <c r="BD984" s="79"/>
      <c r="BE984" s="38"/>
      <c r="BF984" s="74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68"/>
      <c r="CA984" s="68"/>
      <c r="CB984" s="68"/>
      <c r="CC984" s="68"/>
      <c r="CD984" s="68"/>
      <c r="CE984" s="68"/>
      <c r="CF984" s="68"/>
      <c r="CG984" s="68"/>
      <c r="CH984" s="68"/>
      <c r="CI984" s="68"/>
      <c r="CJ984" s="68"/>
      <c r="CK984" s="68"/>
      <c r="CL984" s="68"/>
      <c r="CM984" s="68"/>
      <c r="CN984" s="68"/>
      <c r="CO984" s="68"/>
      <c r="CP984" s="68"/>
    </row>
    <row r="985" ht="15.75" customHeight="1">
      <c r="A985" s="442" t="s">
        <v>4757</v>
      </c>
      <c r="B985" s="16" t="s">
        <v>4758</v>
      </c>
      <c r="C985" s="16" t="s">
        <v>59</v>
      </c>
      <c r="D985" s="200" t="s">
        <v>4759</v>
      </c>
      <c r="E985" s="138" t="s">
        <v>4760</v>
      </c>
      <c r="F985" s="417" t="s">
        <v>4761</v>
      </c>
      <c r="G985" s="22" t="s">
        <v>4762</v>
      </c>
      <c r="H985" s="22" t="s">
        <v>357</v>
      </c>
      <c r="I985" s="23" t="s">
        <v>358</v>
      </c>
      <c r="J985" s="24" t="s">
        <v>4763</v>
      </c>
      <c r="K985" s="23">
        <v>2.0</v>
      </c>
      <c r="L985" s="23">
        <v>2017.0</v>
      </c>
      <c r="M985" s="25">
        <f t="shared" si="680"/>
        <v>8</v>
      </c>
      <c r="N985" s="26">
        <f t="shared" si="681"/>
        <v>1</v>
      </c>
      <c r="O985" s="27" t="str">
        <f t="shared" si="3"/>
        <v>#N/A</v>
      </c>
      <c r="P985" s="28"/>
      <c r="Q985" s="28"/>
      <c r="R985" s="28"/>
      <c r="S985" s="28"/>
      <c r="T985" s="29">
        <f t="shared" si="682"/>
        <v>337500</v>
      </c>
      <c r="U985" s="28"/>
      <c r="V985" s="30">
        <f t="shared" si="425"/>
        <v>2700000</v>
      </c>
      <c r="W985" s="30"/>
      <c r="X985" s="33"/>
      <c r="Y985" s="33">
        <f t="shared" si="683"/>
        <v>0</v>
      </c>
      <c r="Z985" s="692"/>
      <c r="AA985" s="665"/>
      <c r="AB985" s="36" t="s">
        <v>2522</v>
      </c>
      <c r="AC985" s="36"/>
      <c r="AD985" s="44"/>
      <c r="AE985" s="46"/>
      <c r="AF985" s="320">
        <v>44091.0</v>
      </c>
      <c r="AG985" s="38">
        <v>2700000.0</v>
      </c>
      <c r="AH985" s="36"/>
      <c r="AI985" s="46"/>
      <c r="AJ985" s="44"/>
      <c r="AK985" s="46"/>
      <c r="AL985" s="44"/>
      <c r="AM985" s="46"/>
      <c r="AN985" s="44"/>
      <c r="AO985" s="46"/>
      <c r="AP985" s="44"/>
      <c r="AQ985" s="46"/>
      <c r="AR985" s="44"/>
      <c r="AS985" s="44"/>
      <c r="AT985" s="44"/>
      <c r="AU985" s="45"/>
      <c r="AV985" s="44"/>
      <c r="AW985" s="38"/>
      <c r="AX985" s="44"/>
      <c r="AY985" s="38"/>
      <c r="AZ985" s="44"/>
      <c r="BA985" s="45"/>
      <c r="BB985" s="44"/>
      <c r="BC985" s="45"/>
      <c r="BD985" s="44"/>
      <c r="BE985" s="38"/>
      <c r="BF985" s="36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  <c r="BR985" s="68"/>
      <c r="BS985" s="68"/>
      <c r="BT985" s="68"/>
      <c r="BU985" s="68"/>
      <c r="BV985" s="68"/>
      <c r="BW985" s="68"/>
      <c r="BX985" s="68"/>
      <c r="BY985" s="68"/>
      <c r="BZ985" s="68"/>
      <c r="CA985" s="68"/>
      <c r="CB985" s="68"/>
      <c r="CC985" s="68"/>
      <c r="CD985" s="68"/>
      <c r="CE985" s="68"/>
      <c r="CF985" s="68"/>
      <c r="CG985" s="68"/>
      <c r="CH985" s="68"/>
      <c r="CI985" s="68"/>
      <c r="CJ985" s="68"/>
      <c r="CK985" s="68"/>
      <c r="CL985" s="68"/>
      <c r="CM985" s="68"/>
      <c r="CN985" s="68"/>
      <c r="CO985" s="68"/>
      <c r="CP985" s="68"/>
    </row>
    <row r="986" ht="15.75" customHeight="1">
      <c r="A986" s="47" t="s">
        <v>4764</v>
      </c>
      <c r="C986" s="48" t="s">
        <v>68</v>
      </c>
      <c r="D986" s="617" t="s">
        <v>4765</v>
      </c>
      <c r="E986" s="49" t="s">
        <v>4766</v>
      </c>
      <c r="F986" s="352" t="s">
        <v>4767</v>
      </c>
      <c r="G986" s="353"/>
      <c r="H986" s="53" t="s">
        <v>455</v>
      </c>
      <c r="I986" s="54" t="s">
        <v>100</v>
      </c>
      <c r="J986" s="55"/>
      <c r="K986" s="54">
        <v>3.0</v>
      </c>
      <c r="L986" s="56">
        <v>2021.0</v>
      </c>
      <c r="M986" s="55"/>
      <c r="N986" s="55"/>
      <c r="O986" s="27" t="str">
        <f t="shared" si="3"/>
        <v>#N/A</v>
      </c>
      <c r="P986" s="55"/>
      <c r="Q986" s="55"/>
      <c r="R986" s="55"/>
      <c r="S986" s="55"/>
      <c r="T986" s="55"/>
      <c r="U986" s="55"/>
      <c r="V986" s="30">
        <f t="shared" si="425"/>
        <v>2700000</v>
      </c>
      <c r="W986" s="30"/>
      <c r="X986" s="58"/>
      <c r="Y986" s="58"/>
      <c r="Z986" s="692"/>
      <c r="AA986" s="665"/>
      <c r="AB986" s="55"/>
      <c r="AC986" s="55"/>
      <c r="AD986" s="62">
        <v>44599.0</v>
      </c>
      <c r="AE986" s="38"/>
      <c r="AF986" s="62">
        <v>44999.0</v>
      </c>
      <c r="AG986" s="38">
        <v>2700000.0</v>
      </c>
      <c r="AH986" s="55"/>
      <c r="AI986" s="38"/>
      <c r="AJ986" s="55"/>
      <c r="AK986" s="38"/>
      <c r="AL986" s="55"/>
      <c r="AM986" s="38"/>
      <c r="AN986" s="55"/>
      <c r="AO986" s="38"/>
      <c r="AP986" s="356"/>
      <c r="AQ986" s="38"/>
      <c r="AR986" s="55"/>
      <c r="AS986" s="38"/>
      <c r="AT986" s="55"/>
      <c r="AU986" s="38"/>
      <c r="AV986" s="55"/>
      <c r="AW986" s="38"/>
      <c r="AX986" s="55"/>
      <c r="AY986" s="38"/>
      <c r="AZ986" s="55"/>
      <c r="BA986" s="38"/>
      <c r="BB986" s="55"/>
      <c r="BC986" s="38"/>
      <c r="BD986" s="55"/>
      <c r="BE986" s="38"/>
      <c r="BF986" s="55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  <c r="BR986" s="68"/>
      <c r="BS986" s="68"/>
      <c r="BT986" s="68"/>
      <c r="BU986" s="68"/>
      <c r="BV986" s="68"/>
      <c r="BW986" s="68"/>
      <c r="BX986" s="68"/>
      <c r="BY986" s="68"/>
      <c r="BZ986" s="68"/>
      <c r="CA986" s="68"/>
      <c r="CB986" s="68"/>
      <c r="CC986" s="68"/>
      <c r="CD986" s="68"/>
      <c r="CE986" s="68"/>
      <c r="CF986" s="68"/>
      <c r="CG986" s="68"/>
      <c r="CH986" s="68"/>
      <c r="CI986" s="68"/>
      <c r="CJ986" s="68"/>
      <c r="CK986" s="68"/>
      <c r="CL986" s="68"/>
      <c r="CM986" s="68"/>
      <c r="CN986" s="68"/>
      <c r="CO986" s="68"/>
      <c r="CP986" s="68"/>
    </row>
    <row r="987" ht="15.75" customHeight="1">
      <c r="A987" s="47" t="s">
        <v>4768</v>
      </c>
      <c r="C987" s="48" t="s">
        <v>84</v>
      </c>
      <c r="D987" s="617" t="s">
        <v>4769</v>
      </c>
      <c r="E987" s="49" t="s">
        <v>4770</v>
      </c>
      <c r="F987" s="352" t="s">
        <v>4771</v>
      </c>
      <c r="G987" s="353"/>
      <c r="H987" s="53" t="s">
        <v>328</v>
      </c>
      <c r="I987" s="54" t="s">
        <v>329</v>
      </c>
      <c r="J987" s="55"/>
      <c r="K987" s="55"/>
      <c r="L987" s="56">
        <v>2021.0</v>
      </c>
      <c r="M987" s="55"/>
      <c r="N987" s="55"/>
      <c r="O987" s="27" t="str">
        <f t="shared" si="3"/>
        <v>#N/A</v>
      </c>
      <c r="P987" s="55"/>
      <c r="Q987" s="55"/>
      <c r="R987" s="55"/>
      <c r="S987" s="55"/>
      <c r="T987" s="55"/>
      <c r="U987" s="55"/>
      <c r="V987" s="30">
        <f t="shared" si="425"/>
        <v>2700000</v>
      </c>
      <c r="W987" s="30"/>
      <c r="X987" s="58"/>
      <c r="Y987" s="58"/>
      <c r="Z987" s="692"/>
      <c r="AA987" s="665"/>
      <c r="AB987" s="55"/>
      <c r="AC987" s="55"/>
      <c r="AD987" s="355"/>
      <c r="AE987" s="38"/>
      <c r="AF987" s="62">
        <v>45013.0</v>
      </c>
      <c r="AG987" s="38">
        <f>1.08*2500000</f>
        <v>2700000</v>
      </c>
      <c r="AH987" s="55"/>
      <c r="AI987" s="38"/>
      <c r="AJ987" s="55"/>
      <c r="AK987" s="38"/>
      <c r="AL987" s="55"/>
      <c r="AM987" s="38"/>
      <c r="AN987" s="55"/>
      <c r="AO987" s="38"/>
      <c r="AP987" s="356"/>
      <c r="AQ987" s="38"/>
      <c r="AR987" s="55"/>
      <c r="AS987" s="38"/>
      <c r="AT987" s="55"/>
      <c r="AU987" s="38"/>
      <c r="AV987" s="55"/>
      <c r="AW987" s="38"/>
      <c r="AX987" s="55"/>
      <c r="AY987" s="38"/>
      <c r="AZ987" s="55"/>
      <c r="BA987" s="38"/>
      <c r="BB987" s="55"/>
      <c r="BC987" s="38"/>
      <c r="BD987" s="55"/>
      <c r="BE987" s="38"/>
      <c r="BF987" s="55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  <c r="BR987" s="68"/>
      <c r="BS987" s="68"/>
      <c r="BT987" s="68"/>
      <c r="BU987" s="68"/>
      <c r="BV987" s="68"/>
      <c r="BW987" s="68"/>
      <c r="BX987" s="68"/>
      <c r="BY987" s="68"/>
      <c r="BZ987" s="68"/>
      <c r="CA987" s="68"/>
      <c r="CB987" s="68"/>
      <c r="CC987" s="68"/>
      <c r="CD987" s="68"/>
      <c r="CE987" s="68"/>
      <c r="CF987" s="68"/>
      <c r="CG987" s="68"/>
      <c r="CH987" s="68"/>
      <c r="CI987" s="68"/>
      <c r="CJ987" s="68"/>
      <c r="CK987" s="68"/>
      <c r="CL987" s="68"/>
      <c r="CM987" s="68"/>
      <c r="CN987" s="68"/>
      <c r="CO987" s="68"/>
      <c r="CP987" s="68"/>
    </row>
    <row r="988" ht="15.75" customHeight="1">
      <c r="A988" s="21" t="s">
        <v>4772</v>
      </c>
      <c r="B988" s="69" t="s">
        <v>1032</v>
      </c>
      <c r="C988" s="69" t="s">
        <v>123</v>
      </c>
      <c r="D988" s="337"/>
      <c r="E988" s="138" t="s">
        <v>4773</v>
      </c>
      <c r="F988" s="154" t="s">
        <v>4774</v>
      </c>
      <c r="G988" s="71"/>
      <c r="H988" s="71" t="s">
        <v>455</v>
      </c>
      <c r="I988" s="26" t="s">
        <v>100</v>
      </c>
      <c r="J988" s="718"/>
      <c r="K988" s="26">
        <v>3.0</v>
      </c>
      <c r="L988" s="26">
        <v>2015.0</v>
      </c>
      <c r="M988" s="25">
        <f t="shared" ref="M988:M990" si="684">year(now()) -L988</f>
        <v>10</v>
      </c>
      <c r="N988" s="26">
        <f t="shared" ref="N988:N990" si="685">counta(AE988,AG988,AI988,AK988,AM988,AO988,AQ988,AS988,AU988,AW988,AY988,BA988,BC988)</f>
        <v>2</v>
      </c>
      <c r="O988" s="27" t="str">
        <f t="shared" si="3"/>
        <v>#N/A</v>
      </c>
      <c r="P988" s="28"/>
      <c r="Q988" s="28"/>
      <c r="R988" s="28"/>
      <c r="S988" s="28"/>
      <c r="T988" s="29">
        <f t="shared" ref="T988:T990" si="686">V988/M988</f>
        <v>262227.3</v>
      </c>
      <c r="U988" s="28"/>
      <c r="V988" s="30">
        <f t="shared" si="425"/>
        <v>2622273</v>
      </c>
      <c r="W988" s="30"/>
      <c r="X988" s="73"/>
      <c r="Y988" s="33">
        <f t="shared" ref="Y988:Y990" si="687">(max(AE988,AG988,AI988,AK988,AM988,AO988,AQ988,AS988,AU988,AW988,AY988,BA988,BC988)/min(AE988,AG988,AI988,AK988))^(1/M988)-1</f>
        <v>0.5784409091</v>
      </c>
      <c r="Z988" s="692"/>
      <c r="AA988" s="665"/>
      <c r="AB988" s="74"/>
      <c r="AC988" s="74"/>
      <c r="AD988" s="79"/>
      <c r="AE988" s="84"/>
      <c r="AF988" s="856" t="str">
        <f>HYPERLINK("https://www.crunchbase.com/funding_round/parkhere-2-seed--2b6ed467"," Jan 4, 2017")</f>
        <v> Jan 4, 2017</v>
      </c>
      <c r="AG988" s="76">
        <v>27033.0</v>
      </c>
      <c r="AH988" s="74"/>
      <c r="AI988" s="78"/>
      <c r="AJ988" s="181" t="str">
        <f>HYPERLINK("https://www.crunchbase.com/funding_round/parkhere-2-series-a--f4dfea37"," Sep 1, 2018        
")</f>
        <v> Sep 1, 2018        
</v>
      </c>
      <c r="AK988" s="76">
        <v>2595240.0</v>
      </c>
      <c r="AL988" s="79"/>
      <c r="AM988" s="84"/>
      <c r="AN988" s="79"/>
      <c r="AO988" s="84"/>
      <c r="AP988" s="79"/>
      <c r="AQ988" s="84"/>
      <c r="AR988" s="79"/>
      <c r="AS988" s="79"/>
      <c r="AT988" s="79"/>
      <c r="AU988" s="80"/>
      <c r="AV988" s="79"/>
      <c r="AW988" s="38"/>
      <c r="AX988" s="79"/>
      <c r="AY988" s="38"/>
      <c r="AZ988" s="79"/>
      <c r="BA988" s="80"/>
      <c r="BB988" s="79"/>
      <c r="BC988" s="80"/>
      <c r="BD988" s="79"/>
      <c r="BE988" s="38"/>
      <c r="BF988" s="74"/>
      <c r="BG988" s="115"/>
      <c r="BH988" s="115"/>
      <c r="BI988" s="115"/>
      <c r="BJ988" s="115"/>
      <c r="BK988" s="115"/>
      <c r="BL988" s="115"/>
      <c r="BM988" s="115"/>
      <c r="BN988" s="115"/>
      <c r="BO988" s="115"/>
      <c r="BP988" s="115"/>
      <c r="BQ988" s="115"/>
      <c r="BR988" s="115"/>
      <c r="BS988" s="115"/>
      <c r="BT988" s="115"/>
      <c r="BU988" s="115"/>
      <c r="BV988" s="115"/>
      <c r="BW988" s="115"/>
      <c r="BX988" s="115"/>
      <c r="BY988" s="115"/>
      <c r="BZ988" s="115"/>
      <c r="CA988" s="115"/>
      <c r="CB988" s="115"/>
      <c r="CC988" s="115"/>
      <c r="CD988" s="115"/>
      <c r="CE988" s="115"/>
      <c r="CF988" s="115"/>
      <c r="CG988" s="115"/>
      <c r="CH988" s="115"/>
      <c r="CI988" s="115"/>
      <c r="CJ988" s="115"/>
      <c r="CK988" s="115"/>
      <c r="CL988" s="115"/>
      <c r="CM988" s="115"/>
      <c r="CN988" s="115"/>
      <c r="CO988" s="115"/>
      <c r="CP988" s="115"/>
    </row>
    <row r="989" ht="15.75" customHeight="1">
      <c r="A989" s="48" t="s">
        <v>4775</v>
      </c>
      <c r="B989" s="16"/>
      <c r="C989" s="17" t="s">
        <v>84</v>
      </c>
      <c r="D989" s="192" t="s">
        <v>4776</v>
      </c>
      <c r="E989" s="192" t="s">
        <v>4777</v>
      </c>
      <c r="F989" s="118" t="s">
        <v>4778</v>
      </c>
      <c r="G989" s="22" t="s">
        <v>4779</v>
      </c>
      <c r="H989" s="22" t="s">
        <v>128</v>
      </c>
      <c r="I989" s="23" t="s">
        <v>129</v>
      </c>
      <c r="J989" s="24" t="s">
        <v>798</v>
      </c>
      <c r="K989" s="23">
        <v>2.0</v>
      </c>
      <c r="L989" s="23">
        <v>2019.0</v>
      </c>
      <c r="M989" s="25">
        <f t="shared" si="684"/>
        <v>6</v>
      </c>
      <c r="N989" s="26">
        <f t="shared" si="685"/>
        <v>1</v>
      </c>
      <c r="O989" s="27" t="str">
        <f t="shared" si="3"/>
        <v>#N/A</v>
      </c>
      <c r="P989" s="28"/>
      <c r="Q989" s="28"/>
      <c r="R989" s="28"/>
      <c r="S989" s="28"/>
      <c r="T989" s="29">
        <f t="shared" si="686"/>
        <v>433333.3333</v>
      </c>
      <c r="U989" s="28"/>
      <c r="V989" s="30">
        <f t="shared" si="425"/>
        <v>2600000</v>
      </c>
      <c r="W989" s="30"/>
      <c r="X989" s="33"/>
      <c r="Y989" s="33">
        <f t="shared" si="687"/>
        <v>0</v>
      </c>
      <c r="Z989" s="692"/>
      <c r="AA989" s="665"/>
      <c r="AB989" s="36"/>
      <c r="AC989" s="36"/>
      <c r="AD989" s="44"/>
      <c r="AE989" s="456"/>
      <c r="AF989" s="320" t="str">
        <f>HYPERLINK("https://www.crunchbase.com/funding_round/casa-blanca-seed--9b92ad3a","Apr 15, 2021")</f>
        <v>Apr 15, 2021</v>
      </c>
      <c r="AG989" s="38">
        <v>2600000.0</v>
      </c>
      <c r="AH989" s="36"/>
      <c r="AI989" s="159"/>
      <c r="AJ989" s="42"/>
      <c r="AK989" s="38"/>
      <c r="AL989" s="42"/>
      <c r="AM989" s="38"/>
      <c r="AN989" s="44"/>
      <c r="AO989" s="46"/>
      <c r="AP989" s="44"/>
      <c r="AQ989" s="46"/>
      <c r="AR989" s="44"/>
      <c r="AS989" s="44"/>
      <c r="AT989" s="44"/>
      <c r="AU989" s="45"/>
      <c r="AV989" s="44"/>
      <c r="AW989" s="38"/>
      <c r="AX989" s="44"/>
      <c r="AY989" s="38"/>
      <c r="AZ989" s="44"/>
      <c r="BA989" s="45"/>
      <c r="BB989" s="44"/>
      <c r="BC989" s="45"/>
      <c r="BD989" s="44"/>
      <c r="BE989" s="38"/>
      <c r="BF989" s="3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</row>
    <row r="990" ht="15.75" customHeight="1">
      <c r="A990" s="21" t="s">
        <v>4780</v>
      </c>
      <c r="B990" s="68"/>
      <c r="C990" s="69" t="s">
        <v>59</v>
      </c>
      <c r="D990" s="48"/>
      <c r="E990" s="48" t="s">
        <v>4781</v>
      </c>
      <c r="F990" s="173" t="s">
        <v>4782</v>
      </c>
      <c r="G990" s="140"/>
      <c r="H990" s="71" t="s">
        <v>4783</v>
      </c>
      <c r="I990" s="26" t="s">
        <v>1547</v>
      </c>
      <c r="J990" s="155"/>
      <c r="K990" s="74"/>
      <c r="L990" s="26"/>
      <c r="M990" s="25">
        <f t="shared" si="684"/>
        <v>2025</v>
      </c>
      <c r="N990" s="26">
        <f t="shared" si="685"/>
        <v>1</v>
      </c>
      <c r="O990" s="27" t="str">
        <f t="shared" si="3"/>
        <v>#N/A</v>
      </c>
      <c r="P990" s="28"/>
      <c r="Q990" s="28"/>
      <c r="R990" s="28"/>
      <c r="S990" s="28"/>
      <c r="T990" s="29">
        <f t="shared" si="686"/>
        <v>1283.950617</v>
      </c>
      <c r="U990" s="28"/>
      <c r="V990" s="30">
        <f t="shared" si="425"/>
        <v>2600000</v>
      </c>
      <c r="W990" s="30"/>
      <c r="X990" s="32"/>
      <c r="Y990" s="33">
        <f t="shared" si="687"/>
        <v>0</v>
      </c>
      <c r="Z990" s="692"/>
      <c r="AA990" s="665"/>
      <c r="AB990" s="74"/>
      <c r="AC990" s="74"/>
      <c r="AD990" s="79"/>
      <c r="AE990" s="76"/>
      <c r="AF990" s="320" t="str">
        <f>HYPERLINK("https://www.startupdaily.net/2021/10/proptech-startup-procurepro-raises-2-6-million-seed-round/","Oct 4, 2021")</f>
        <v>Oct 4, 2021</v>
      </c>
      <c r="AG990" s="76">
        <v>2600000.0</v>
      </c>
      <c r="AH990" s="74"/>
      <c r="AI990" s="78"/>
      <c r="AJ990" s="79"/>
      <c r="AK990" s="84"/>
      <c r="AL990" s="79"/>
      <c r="AM990" s="84"/>
      <c r="AN990" s="79"/>
      <c r="AO990" s="84"/>
      <c r="AP990" s="79"/>
      <c r="AQ990" s="84"/>
      <c r="AR990" s="79"/>
      <c r="AS990" s="79"/>
      <c r="AT990" s="79"/>
      <c r="AU990" s="80"/>
      <c r="AV990" s="79"/>
      <c r="AW990" s="38"/>
      <c r="AX990" s="79"/>
      <c r="AY990" s="38"/>
      <c r="AZ990" s="79"/>
      <c r="BA990" s="80"/>
      <c r="BB990" s="79"/>
      <c r="BC990" s="80"/>
      <c r="BD990" s="79"/>
      <c r="BE990" s="38"/>
      <c r="BF990" s="74"/>
      <c r="BG990" s="456"/>
      <c r="BH990" s="456"/>
      <c r="BI990" s="456"/>
      <c r="BJ990" s="456"/>
      <c r="BK990" s="456"/>
      <c r="BL990" s="456"/>
      <c r="BM990" s="456"/>
      <c r="BN990" s="456"/>
      <c r="BO990" s="456"/>
      <c r="BP990" s="456"/>
      <c r="BQ990" s="456"/>
      <c r="BR990" s="456"/>
      <c r="BS990" s="456"/>
      <c r="BT990" s="456"/>
      <c r="BU990" s="456"/>
      <c r="BV990" s="456"/>
      <c r="BW990" s="456"/>
      <c r="BX990" s="456"/>
      <c r="BY990" s="456"/>
      <c r="BZ990" s="456"/>
      <c r="CA990" s="456"/>
      <c r="CB990" s="456"/>
      <c r="CC990" s="456"/>
      <c r="CD990" s="456"/>
      <c r="CE990" s="456"/>
      <c r="CF990" s="456"/>
      <c r="CG990" s="456"/>
      <c r="CH990" s="456"/>
      <c r="CI990" s="456"/>
      <c r="CJ990" s="456"/>
      <c r="CK990" s="456"/>
      <c r="CL990" s="456"/>
      <c r="CM990" s="456"/>
      <c r="CN990" s="456"/>
      <c r="CO990" s="456"/>
      <c r="CP990" s="456"/>
    </row>
    <row r="991" ht="15.75" customHeight="1">
      <c r="A991" s="935" t="s">
        <v>4784</v>
      </c>
      <c r="B991" s="694"/>
      <c r="C991" s="116" t="s">
        <v>132</v>
      </c>
      <c r="D991" s="48"/>
      <c r="E991" s="192" t="s">
        <v>4785</v>
      </c>
      <c r="F991" s="118" t="s">
        <v>4786</v>
      </c>
      <c r="G991" s="54"/>
      <c r="H991" s="543" t="s">
        <v>4032</v>
      </c>
      <c r="I991" s="25" t="s">
        <v>73</v>
      </c>
      <c r="J991" s="1446"/>
      <c r="K991" s="25">
        <v>1.0</v>
      </c>
      <c r="L991" s="25">
        <v>2021.0</v>
      </c>
      <c r="M991" s="25"/>
      <c r="N991" s="25"/>
      <c r="O991" s="27" t="str">
        <f t="shared" si="3"/>
        <v>#N/A</v>
      </c>
      <c r="P991" s="55"/>
      <c r="Q991" s="55"/>
      <c r="R991" s="55"/>
      <c r="S991" s="55"/>
      <c r="T991" s="55"/>
      <c r="U991" s="55"/>
      <c r="V991" s="30">
        <f t="shared" si="425"/>
        <v>2600000</v>
      </c>
      <c r="W991" s="30"/>
      <c r="X991" s="597"/>
      <c r="Y991" s="597"/>
      <c r="Z991" s="692"/>
      <c r="AA991" s="665"/>
      <c r="AB991" s="123"/>
      <c r="AC991" s="123"/>
      <c r="AD991" s="322"/>
      <c r="AE991" s="323"/>
      <c r="AF991" s="324" t="str">
        <f>HYPERLINK("https://www.crunchbase.com/funding_round/gravy-bef9-seed--432eee0d","Apr 26, 2022")</f>
        <v>Apr 26, 2022</v>
      </c>
      <c r="AG991" s="325">
        <v>2600000.0</v>
      </c>
      <c r="AH991" s="326"/>
      <c r="AI991" s="327"/>
      <c r="AJ991" s="1447"/>
      <c r="AK991" s="325"/>
      <c r="AL991" s="322"/>
      <c r="AM991" s="323"/>
      <c r="AN991" s="322"/>
      <c r="AO991" s="323"/>
      <c r="AP991" s="322"/>
      <c r="AQ991" s="323"/>
      <c r="AR991" s="322"/>
      <c r="AS991" s="322"/>
      <c r="AT991" s="322"/>
      <c r="AU991" s="335"/>
      <c r="AV991" s="322"/>
      <c r="AW991" s="38"/>
      <c r="AX991" s="322"/>
      <c r="AY991" s="38"/>
      <c r="AZ991" s="322"/>
      <c r="BA991" s="335"/>
      <c r="BB991" s="322"/>
      <c r="BC991" s="335"/>
      <c r="BD991" s="322"/>
      <c r="BE991" s="38"/>
      <c r="BF991" s="326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68"/>
      <c r="CA991" s="68"/>
      <c r="CB991" s="68"/>
      <c r="CC991" s="68"/>
      <c r="CD991" s="68"/>
      <c r="CE991" s="68"/>
      <c r="CF991" s="68"/>
      <c r="CG991" s="68"/>
      <c r="CH991" s="68"/>
      <c r="CI991" s="68"/>
      <c r="CJ991" s="68"/>
      <c r="CK991" s="68"/>
      <c r="CL991" s="68"/>
      <c r="CM991" s="68"/>
      <c r="CN991" s="68"/>
      <c r="CO991" s="68"/>
      <c r="CP991" s="68"/>
    </row>
    <row r="992" ht="15.75" customHeight="1">
      <c r="A992" s="21" t="s">
        <v>4787</v>
      </c>
      <c r="B992" s="68"/>
      <c r="C992" s="69" t="s">
        <v>84</v>
      </c>
      <c r="D992" s="385"/>
      <c r="E992" s="200" t="s">
        <v>4788</v>
      </c>
      <c r="F992" s="565" t="s">
        <v>4789</v>
      </c>
      <c r="G992" s="54"/>
      <c r="H992" s="71" t="s">
        <v>1994</v>
      </c>
      <c r="I992" s="26" t="s">
        <v>639</v>
      </c>
      <c r="J992" s="72"/>
      <c r="K992" s="26"/>
      <c r="L992" s="26">
        <v>2020.0</v>
      </c>
      <c r="M992" s="25"/>
      <c r="N992" s="26"/>
      <c r="O992" s="27" t="str">
        <f t="shared" si="3"/>
        <v>#N/A</v>
      </c>
      <c r="P992" s="273"/>
      <c r="Q992" s="273"/>
      <c r="R992" s="273"/>
      <c r="S992" s="273"/>
      <c r="T992" s="273"/>
      <c r="U992" s="273"/>
      <c r="V992" s="30">
        <f t="shared" si="425"/>
        <v>2600000</v>
      </c>
      <c r="W992" s="30"/>
      <c r="X992" s="73"/>
      <c r="Y992" s="73"/>
      <c r="Z992" s="692"/>
      <c r="AA992" s="665"/>
      <c r="AB992" s="74"/>
      <c r="AC992" s="74"/>
      <c r="AD992" s="79"/>
      <c r="AE992" s="84"/>
      <c r="AF992" s="726">
        <v>44837.0</v>
      </c>
      <c r="AG992" s="76">
        <v>2600000.0</v>
      </c>
      <c r="AH992" s="74"/>
      <c r="AI992" s="78"/>
      <c r="AJ992" s="79"/>
      <c r="AK992" s="76"/>
      <c r="AL992" s="79"/>
      <c r="AM992" s="76"/>
      <c r="AN992" s="79"/>
      <c r="AO992" s="84"/>
      <c r="AP992" s="79"/>
      <c r="AQ992" s="84"/>
      <c r="AR992" s="79"/>
      <c r="AS992" s="79"/>
      <c r="AT992" s="79"/>
      <c r="AU992" s="80"/>
      <c r="AV992" s="79"/>
      <c r="AW992" s="38"/>
      <c r="AX992" s="79"/>
      <c r="AY992" s="38"/>
      <c r="AZ992" s="79"/>
      <c r="BA992" s="80"/>
      <c r="BB992" s="79"/>
      <c r="BC992" s="80"/>
      <c r="BD992" s="79"/>
      <c r="BE992" s="38"/>
      <c r="BF992" s="74"/>
      <c r="BG992" s="115"/>
      <c r="BH992" s="115"/>
      <c r="BI992" s="115"/>
      <c r="BJ992" s="115"/>
      <c r="BK992" s="115"/>
      <c r="BL992" s="115"/>
      <c r="BM992" s="115"/>
      <c r="BN992" s="115"/>
      <c r="BO992" s="115"/>
      <c r="BP992" s="115"/>
      <c r="BQ992" s="115"/>
      <c r="BR992" s="115"/>
      <c r="BS992" s="115"/>
      <c r="BT992" s="115"/>
      <c r="BU992" s="115"/>
      <c r="BV992" s="115"/>
      <c r="BW992" s="115"/>
      <c r="BX992" s="115"/>
      <c r="BY992" s="115"/>
      <c r="BZ992" s="115"/>
      <c r="CA992" s="115"/>
      <c r="CB992" s="115"/>
      <c r="CC992" s="115"/>
      <c r="CD992" s="115"/>
      <c r="CE992" s="115"/>
      <c r="CF992" s="115"/>
      <c r="CG992" s="115"/>
      <c r="CH992" s="115"/>
      <c r="CI992" s="115"/>
      <c r="CJ992" s="115"/>
      <c r="CK992" s="115"/>
      <c r="CL992" s="115"/>
      <c r="CM992" s="115"/>
      <c r="CN992" s="115"/>
      <c r="CO992" s="115"/>
      <c r="CP992" s="115"/>
    </row>
    <row r="993" ht="15.75" customHeight="1">
      <c r="A993" s="21" t="s">
        <v>4790</v>
      </c>
      <c r="B993" s="68"/>
      <c r="C993" s="69" t="s">
        <v>76</v>
      </c>
      <c r="D993" s="337"/>
      <c r="E993" s="138" t="s">
        <v>4791</v>
      </c>
      <c r="F993" s="173" t="s">
        <v>4792</v>
      </c>
      <c r="G993" s="186"/>
      <c r="H993" s="71" t="s">
        <v>1472</v>
      </c>
      <c r="I993" s="26" t="s">
        <v>639</v>
      </c>
      <c r="J993" s="155"/>
      <c r="K993" s="74"/>
      <c r="L993" s="26">
        <v>2021.0</v>
      </c>
      <c r="M993" s="123"/>
      <c r="N993" s="74"/>
      <c r="O993" s="27" t="str">
        <f t="shared" si="3"/>
        <v>#N/A</v>
      </c>
      <c r="P993" s="273"/>
      <c r="Q993" s="273"/>
      <c r="R993" s="273"/>
      <c r="S993" s="273"/>
      <c r="T993" s="273"/>
      <c r="U993" s="273"/>
      <c r="V993" s="30">
        <f t="shared" si="425"/>
        <v>2600000</v>
      </c>
      <c r="W993" s="30"/>
      <c r="X993" s="32"/>
      <c r="Y993" s="32"/>
      <c r="Z993" s="692"/>
      <c r="AA993" s="665"/>
      <c r="AB993" s="74"/>
      <c r="AC993" s="74"/>
      <c r="AD993" s="79"/>
      <c r="AE993" s="84"/>
      <c r="AF993" s="175" t="str">
        <f>HYPERLINK("https://www.crunchbase.com/funding_round/parvis-invest-seed--e2be0d3f","Jun 2, 2022")</f>
        <v>Jun 2, 2022</v>
      </c>
      <c r="AG993" s="76">
        <v>2600000.0</v>
      </c>
      <c r="AH993" s="74"/>
      <c r="AI993" s="78"/>
      <c r="AJ993" s="227"/>
      <c r="AK993" s="76"/>
      <c r="AL993" s="79"/>
      <c r="AM993" s="76"/>
      <c r="AN993" s="79"/>
      <c r="AO993" s="84"/>
      <c r="AP993" s="79"/>
      <c r="AQ993" s="84"/>
      <c r="AR993" s="79"/>
      <c r="AS993" s="79"/>
      <c r="AT993" s="79"/>
      <c r="AU993" s="80"/>
      <c r="AV993" s="79"/>
      <c r="AW993" s="38"/>
      <c r="AX993" s="79"/>
      <c r="AY993" s="38"/>
      <c r="AZ993" s="79"/>
      <c r="BA993" s="80"/>
      <c r="BB993" s="79"/>
      <c r="BC993" s="80"/>
      <c r="BD993" s="79"/>
      <c r="BE993" s="38"/>
      <c r="BF993" s="74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  <c r="BR993" s="68"/>
      <c r="BS993" s="68"/>
      <c r="BT993" s="68"/>
      <c r="BU993" s="68"/>
      <c r="BV993" s="68"/>
      <c r="BW993" s="68"/>
      <c r="BX993" s="68"/>
      <c r="BY993" s="68"/>
      <c r="BZ993" s="68"/>
      <c r="CA993" s="68"/>
      <c r="CB993" s="68"/>
      <c r="CC993" s="68"/>
      <c r="CD993" s="68"/>
      <c r="CE993" s="68"/>
      <c r="CF993" s="68"/>
      <c r="CG993" s="68"/>
      <c r="CH993" s="68"/>
      <c r="CI993" s="68"/>
      <c r="CJ993" s="68"/>
      <c r="CK993" s="68"/>
      <c r="CL993" s="68"/>
      <c r="CM993" s="68"/>
      <c r="CN993" s="68"/>
      <c r="CO993" s="68"/>
      <c r="CP993" s="68"/>
    </row>
    <row r="994" ht="15.75" customHeight="1">
      <c r="A994" s="400" t="s">
        <v>4793</v>
      </c>
      <c r="B994" s="115"/>
      <c r="C994" s="116" t="s">
        <v>132</v>
      </c>
      <c r="D994" s="449"/>
      <c r="E994" s="161" t="s">
        <v>4794</v>
      </c>
      <c r="F994" s="402" t="s">
        <v>4795</v>
      </c>
      <c r="G994" s="286"/>
      <c r="H994" s="119" t="s">
        <v>128</v>
      </c>
      <c r="I994" s="25" t="s">
        <v>129</v>
      </c>
      <c r="J994" s="287"/>
      <c r="K994" s="25">
        <v>2.0</v>
      </c>
      <c r="L994" s="25">
        <v>2016.0</v>
      </c>
      <c r="M994" s="25">
        <f>year(now()) -L994</f>
        <v>9</v>
      </c>
      <c r="N994" s="26">
        <f>counta(AE994,AG994,AI994,AK994,AM994,AO994,AQ994,AS994,AU994,AW994,AY994,BA994,BC994)</f>
        <v>1</v>
      </c>
      <c r="O994" s="27" t="str">
        <f t="shared" si="3"/>
        <v>#N/A</v>
      </c>
      <c r="P994" s="28"/>
      <c r="Q994" s="28"/>
      <c r="R994" s="28"/>
      <c r="S994" s="28"/>
      <c r="T994" s="29">
        <f>V994/M994</f>
        <v>288360</v>
      </c>
      <c r="U994" s="28"/>
      <c r="V994" s="30">
        <f t="shared" si="425"/>
        <v>2595240</v>
      </c>
      <c r="W994" s="30"/>
      <c r="X994" s="597"/>
      <c r="Y994" s="33">
        <f>(max(AE994,AG994,AI994,AK994,AM994,AO994,AQ994,AS994,AU994,AW994,AY994,BA994,BC994)/min(AE994,AG994,AI994,AK994))^(1/M994)-1</f>
        <v>0</v>
      </c>
      <c r="Z994" s="692"/>
      <c r="AA994" s="665"/>
      <c r="AB994" s="123"/>
      <c r="AC994" s="123"/>
      <c r="AD994" s="124"/>
      <c r="AE994" s="125"/>
      <c r="AF994" s="166"/>
      <c r="AG994" s="125"/>
      <c r="AH994" s="123"/>
      <c r="AI994" s="128"/>
      <c r="AJ994" s="455" t="str">
        <f>HYPERLINK("https://www.crunchbase.com/funding_round/thing-technologies-llc-series-a--44ddd05c"," Nov 15, 2019        
")
</f>
        <v> Nov 15, 2019        
</v>
      </c>
      <c r="AK994" s="127">
        <v>2595240.0</v>
      </c>
      <c r="AL994" s="124"/>
      <c r="AM994" s="125"/>
      <c r="AN994" s="124"/>
      <c r="AO994" s="125"/>
      <c r="AP994" s="124"/>
      <c r="AQ994" s="125"/>
      <c r="AR994" s="124"/>
      <c r="AS994" s="124"/>
      <c r="AT994" s="124"/>
      <c r="AU994" s="137"/>
      <c r="AV994" s="124"/>
      <c r="AW994" s="38"/>
      <c r="AX994" s="124"/>
      <c r="AY994" s="38"/>
      <c r="AZ994" s="124"/>
      <c r="BA994" s="137"/>
      <c r="BB994" s="124"/>
      <c r="BC994" s="137"/>
      <c r="BD994" s="124"/>
      <c r="BE994" s="38"/>
      <c r="BF994" s="123"/>
      <c r="BG994" s="1448"/>
      <c r="BH994" s="1448"/>
      <c r="BI994" s="1448"/>
      <c r="BJ994" s="1448"/>
      <c r="BK994" s="1448"/>
      <c r="BL994" s="1448"/>
      <c r="BM994" s="1448"/>
      <c r="BN994" s="1448"/>
      <c r="BO994" s="1448"/>
      <c r="BP994" s="1448"/>
      <c r="BQ994" s="1448"/>
      <c r="BR994" s="1448"/>
      <c r="BS994" s="1448"/>
      <c r="BT994" s="1448"/>
      <c r="BU994" s="1448"/>
      <c r="BV994" s="1448"/>
      <c r="BW994" s="1448"/>
      <c r="BX994" s="1448"/>
      <c r="BY994" s="1448"/>
      <c r="BZ994" s="1448"/>
      <c r="CA994" s="1448"/>
      <c r="CB994" s="1448"/>
      <c r="CC994" s="1448"/>
      <c r="CD994" s="1448"/>
      <c r="CE994" s="1448"/>
      <c r="CF994" s="1448"/>
      <c r="CG994" s="1448"/>
      <c r="CH994" s="1448"/>
      <c r="CI994" s="1448"/>
      <c r="CJ994" s="1448"/>
      <c r="CK994" s="1448"/>
      <c r="CL994" s="1448"/>
      <c r="CM994" s="1448"/>
      <c r="CN994" s="1448"/>
      <c r="CO994" s="1448"/>
      <c r="CP994" s="1448"/>
    </row>
    <row r="995" ht="15.75" customHeight="1">
      <c r="A995" s="47" t="s">
        <v>4796</v>
      </c>
      <c r="C995" s="48" t="s">
        <v>84</v>
      </c>
      <c r="D995" s="351"/>
      <c r="E995" s="49" t="s">
        <v>4797</v>
      </c>
      <c r="F995" s="749" t="s">
        <v>4798</v>
      </c>
      <c r="G995" s="353"/>
      <c r="H995" s="53" t="s">
        <v>1546</v>
      </c>
      <c r="I995" s="54" t="s">
        <v>1547</v>
      </c>
      <c r="J995" s="55"/>
      <c r="K995" s="55"/>
      <c r="L995" s="56">
        <v>2019.0</v>
      </c>
      <c r="M995" s="55"/>
      <c r="N995" s="55"/>
      <c r="O995" s="27" t="str">
        <f t="shared" si="3"/>
        <v>#N/A</v>
      </c>
      <c r="P995" s="55"/>
      <c r="Q995" s="55"/>
      <c r="R995" s="55"/>
      <c r="S995" s="55"/>
      <c r="T995" s="55"/>
      <c r="U995" s="55"/>
      <c r="V995" s="30">
        <f t="shared" si="425"/>
        <v>2546000</v>
      </c>
      <c r="W995" s="30"/>
      <c r="X995" s="58"/>
      <c r="Y995" s="58"/>
      <c r="Z995" s="692"/>
      <c r="AA995" s="665"/>
      <c r="AB995" s="55"/>
      <c r="AC995" s="55"/>
      <c r="AD995" s="355"/>
      <c r="AE995" s="38"/>
      <c r="AF995" s="62">
        <v>44999.0</v>
      </c>
      <c r="AG995" s="38">
        <f>0.67*3800000</f>
        <v>2546000</v>
      </c>
      <c r="AH995" s="55"/>
      <c r="AI995" s="38"/>
      <c r="AJ995" s="55"/>
      <c r="AK995" s="38"/>
      <c r="AL995" s="55"/>
      <c r="AM995" s="38"/>
      <c r="AN995" s="55"/>
      <c r="AO995" s="38"/>
      <c r="AP995" s="356"/>
      <c r="AQ995" s="38"/>
      <c r="AR995" s="55"/>
      <c r="AS995" s="38"/>
      <c r="AT995" s="55"/>
      <c r="AU995" s="38"/>
      <c r="AV995" s="55"/>
      <c r="AW995" s="38"/>
      <c r="AX995" s="55"/>
      <c r="AY995" s="38"/>
      <c r="AZ995" s="55"/>
      <c r="BA995" s="38"/>
      <c r="BB995" s="55"/>
      <c r="BC995" s="38"/>
      <c r="BD995" s="55"/>
      <c r="BE995" s="38"/>
      <c r="BF995" s="55"/>
      <c r="BG995" s="115"/>
      <c r="BH995" s="115"/>
      <c r="BI995" s="115"/>
      <c r="BJ995" s="115"/>
      <c r="BK995" s="115"/>
      <c r="BL995" s="115"/>
      <c r="BM995" s="115"/>
      <c r="BN995" s="115"/>
      <c r="BO995" s="115"/>
      <c r="BP995" s="115"/>
      <c r="BQ995" s="115"/>
      <c r="BR995" s="115"/>
      <c r="BS995" s="115"/>
      <c r="BT995" s="115"/>
      <c r="BU995" s="115"/>
      <c r="BV995" s="115"/>
      <c r="BW995" s="115"/>
      <c r="BX995" s="115"/>
      <c r="BY995" s="115"/>
      <c r="BZ995" s="115"/>
      <c r="CA995" s="115"/>
      <c r="CB995" s="115"/>
      <c r="CC995" s="115"/>
      <c r="CD995" s="115"/>
      <c r="CE995" s="115"/>
      <c r="CF995" s="115"/>
      <c r="CG995" s="115"/>
      <c r="CH995" s="115"/>
      <c r="CI995" s="115"/>
      <c r="CJ995" s="115"/>
      <c r="CK995" s="115"/>
      <c r="CL995" s="115"/>
      <c r="CM995" s="115"/>
      <c r="CN995" s="115"/>
      <c r="CO995" s="115"/>
      <c r="CP995" s="115"/>
    </row>
    <row r="996" ht="15.75" customHeight="1">
      <c r="A996" s="442" t="s">
        <v>4799</v>
      </c>
      <c r="B996" s="16" t="s">
        <v>4800</v>
      </c>
      <c r="C996" s="16" t="s">
        <v>276</v>
      </c>
      <c r="D996" s="184" t="s">
        <v>4801</v>
      </c>
      <c r="E996" s="492" t="s">
        <v>4802</v>
      </c>
      <c r="F996" s="185" t="s">
        <v>4803</v>
      </c>
      <c r="G996" s="317" t="s">
        <v>4804</v>
      </c>
      <c r="H996" s="317" t="s">
        <v>128</v>
      </c>
      <c r="I996" s="36" t="s">
        <v>129</v>
      </c>
      <c r="J996" s="237" t="s">
        <v>689</v>
      </c>
      <c r="K996" s="36">
        <v>3.0</v>
      </c>
      <c r="L996" s="44" t="s">
        <v>723</v>
      </c>
      <c r="M996" s="169" t="str">
        <f t="shared" ref="M996:M1001" si="688">year(now()) -L996</f>
        <v>#VALUE!</v>
      </c>
      <c r="N996" s="26">
        <f t="shared" ref="N996:N1001" si="689">counta(AE996,AG996,AI996,AK996,AM996,AO996,AQ996,AS996,AU996,AW996,AY996,BA996,BC996)</f>
        <v>1</v>
      </c>
      <c r="O996" s="27" t="str">
        <f t="shared" si="3"/>
        <v>#N/A</v>
      </c>
      <c r="P996" s="28"/>
      <c r="Q996" s="28"/>
      <c r="R996" s="28"/>
      <c r="S996" s="28"/>
      <c r="T996" s="28" t="str">
        <f t="shared" ref="T996:T1001" si="690">V996/M996</f>
        <v>#VALUE!</v>
      </c>
      <c r="U996" s="28"/>
      <c r="V996" s="30">
        <f t="shared" si="425"/>
        <v>2500000</v>
      </c>
      <c r="W996" s="30"/>
      <c r="X996" s="847"/>
      <c r="Y996" s="33" t="str">
        <f t="shared" ref="Y996:Y1001" si="691">(max(AE996,AG996,AI996,AK996,AM996,AO996,AQ996,AS996,AU996,AW996,AY996,BA996,BC996)/min(AE996,AG996,AI996,AK996))^(1/M996)-1</f>
        <v>#VALUE!</v>
      </c>
      <c r="Z996" s="692"/>
      <c r="AA996" s="665"/>
      <c r="AB996" s="36"/>
      <c r="AC996" s="36"/>
      <c r="AD996" s="44"/>
      <c r="AE996" s="46"/>
      <c r="AF996" s="1084" t="str">
        <f>HYPERLINK("https://www.crunchbase.com/funding_round/3den-seed--b2459f46","Feb 14, 2019")</f>
        <v>Feb 14, 2019</v>
      </c>
      <c r="AG996" s="38">
        <v>2500000.0</v>
      </c>
      <c r="AH996" s="36"/>
      <c r="AI996" s="46"/>
      <c r="AJ996" s="44"/>
      <c r="AK996" s="46"/>
      <c r="AL996" s="44"/>
      <c r="AM996" s="46"/>
      <c r="AN996" s="44"/>
      <c r="AO996" s="46"/>
      <c r="AP996" s="44"/>
      <c r="AQ996" s="46"/>
      <c r="AR996" s="44"/>
      <c r="AS996" s="44"/>
      <c r="AT996" s="44"/>
      <c r="AU996" s="45"/>
      <c r="AV996" s="44"/>
      <c r="AW996" s="38"/>
      <c r="AX996" s="44"/>
      <c r="AY996" s="38"/>
      <c r="AZ996" s="44"/>
      <c r="BA996" s="45"/>
      <c r="BB996" s="44"/>
      <c r="BC996" s="45"/>
      <c r="BD996" s="44"/>
      <c r="BE996" s="38"/>
      <c r="BF996" s="36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68"/>
      <c r="CA996" s="68"/>
      <c r="CB996" s="68"/>
      <c r="CC996" s="68"/>
      <c r="CD996" s="68"/>
      <c r="CE996" s="68"/>
      <c r="CF996" s="68"/>
      <c r="CG996" s="68"/>
      <c r="CH996" s="68"/>
      <c r="CI996" s="68"/>
      <c r="CJ996" s="68"/>
      <c r="CK996" s="68"/>
      <c r="CL996" s="68"/>
      <c r="CM996" s="68"/>
      <c r="CN996" s="68"/>
      <c r="CO996" s="68"/>
      <c r="CP996" s="68"/>
    </row>
    <row r="997" ht="15.75" customHeight="1">
      <c r="A997" s="21" t="s">
        <v>4805</v>
      </c>
      <c r="B997" s="16"/>
      <c r="C997" s="17" t="s">
        <v>123</v>
      </c>
      <c r="D997" s="18" t="s">
        <v>4806</v>
      </c>
      <c r="E997" s="18" t="s">
        <v>4807</v>
      </c>
      <c r="F997" s="20" t="s">
        <v>4808</v>
      </c>
      <c r="G997" s="54" t="s">
        <v>4809</v>
      </c>
      <c r="H997" s="22" t="s">
        <v>128</v>
      </c>
      <c r="I997" s="23" t="s">
        <v>129</v>
      </c>
      <c r="J997" s="178" t="s">
        <v>4810</v>
      </c>
      <c r="K997" s="23">
        <v>2.0</v>
      </c>
      <c r="L997" s="23">
        <v>2017.0</v>
      </c>
      <c r="M997" s="25">
        <f t="shared" si="688"/>
        <v>8</v>
      </c>
      <c r="N997" s="26">
        <f t="shared" si="689"/>
        <v>1</v>
      </c>
      <c r="O997" s="27" t="str">
        <f t="shared" si="3"/>
        <v>#N/A</v>
      </c>
      <c r="P997" s="28"/>
      <c r="Q997" s="28"/>
      <c r="R997" s="28"/>
      <c r="S997" s="28"/>
      <c r="T997" s="29">
        <f t="shared" si="690"/>
        <v>312500</v>
      </c>
      <c r="U997" s="28"/>
      <c r="V997" s="30">
        <f t="shared" si="425"/>
        <v>2500000</v>
      </c>
      <c r="W997" s="30"/>
      <c r="X997" s="33"/>
      <c r="Y997" s="33">
        <f t="shared" si="691"/>
        <v>0</v>
      </c>
      <c r="Z997" s="692"/>
      <c r="AA997" s="665"/>
      <c r="AB997" s="36"/>
      <c r="AC997" s="36"/>
      <c r="AD997" s="44"/>
      <c r="AE997" s="46"/>
      <c r="AF997" s="320" t="str">
        <f>HYPERLINK("https://www.crunchbase.com/funding_round/avvir-seed--d7ff44b4","Jul 11, 2019")</f>
        <v>Jul 11, 2019</v>
      </c>
      <c r="AG997" s="38">
        <v>2500000.0</v>
      </c>
      <c r="AH997" s="36"/>
      <c r="AI997" s="159"/>
      <c r="AJ997" s="227"/>
      <c r="AK997" s="38"/>
      <c r="AL997" s="227"/>
      <c r="AM997" s="38"/>
      <c r="AN997" s="44"/>
      <c r="AO997" s="46"/>
      <c r="AP997" s="44"/>
      <c r="AQ997" s="46"/>
      <c r="AR997" s="44"/>
      <c r="AS997" s="44"/>
      <c r="AT997" s="44"/>
      <c r="AU997" s="45"/>
      <c r="AV997" s="44"/>
      <c r="AW997" s="38"/>
      <c r="AX997" s="44"/>
      <c r="AY997" s="38"/>
      <c r="AZ997" s="44"/>
      <c r="BA997" s="45"/>
      <c r="BB997" s="44"/>
      <c r="BC997" s="45"/>
      <c r="BD997" s="44"/>
      <c r="BE997" s="38"/>
      <c r="BF997" s="36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68"/>
      <c r="CA997" s="68"/>
      <c r="CB997" s="68"/>
      <c r="CC997" s="68"/>
      <c r="CD997" s="68"/>
      <c r="CE997" s="68"/>
      <c r="CF997" s="68"/>
      <c r="CG997" s="68"/>
      <c r="CH997" s="68"/>
      <c r="CI997" s="68"/>
      <c r="CJ997" s="68"/>
      <c r="CK997" s="68"/>
      <c r="CL997" s="68"/>
      <c r="CM997" s="68"/>
      <c r="CN997" s="68"/>
      <c r="CO997" s="68"/>
      <c r="CP997" s="68"/>
    </row>
    <row r="998" ht="15.75" customHeight="1">
      <c r="A998" s="442" t="s">
        <v>4811</v>
      </c>
      <c r="B998" s="68" t="s">
        <v>4747</v>
      </c>
      <c r="C998" s="69" t="s">
        <v>132</v>
      </c>
      <c r="D998" s="184" t="s">
        <v>4812</v>
      </c>
      <c r="E998" s="184" t="s">
        <v>4813</v>
      </c>
      <c r="F998" s="185" t="s">
        <v>4814</v>
      </c>
      <c r="G998" s="186" t="s">
        <v>4815</v>
      </c>
      <c r="H998" s="186" t="s">
        <v>187</v>
      </c>
      <c r="I998" s="74" t="s">
        <v>2383</v>
      </c>
      <c r="J998" s="155" t="s">
        <v>3382</v>
      </c>
      <c r="K998" s="74">
        <v>1.0</v>
      </c>
      <c r="L998" s="26">
        <v>2016.0</v>
      </c>
      <c r="M998" s="25">
        <f t="shared" si="688"/>
        <v>9</v>
      </c>
      <c r="N998" s="26">
        <f t="shared" si="689"/>
        <v>1</v>
      </c>
      <c r="O998" s="27" t="str">
        <f t="shared" si="3"/>
        <v>#N/A</v>
      </c>
      <c r="P998" s="28"/>
      <c r="Q998" s="28"/>
      <c r="R998" s="28"/>
      <c r="S998" s="28"/>
      <c r="T998" s="29">
        <f t="shared" si="690"/>
        <v>277777.7778</v>
      </c>
      <c r="U998" s="28"/>
      <c r="V998" s="30">
        <f t="shared" si="425"/>
        <v>2500000</v>
      </c>
      <c r="W998" s="30"/>
      <c r="X998" s="32"/>
      <c r="Y998" s="33">
        <f t="shared" si="691"/>
        <v>0</v>
      </c>
      <c r="Z998" s="692"/>
      <c r="AA998" s="665"/>
      <c r="AB998" s="74"/>
      <c r="AC998" s="74"/>
      <c r="AD998" s="44"/>
      <c r="AE998" s="46"/>
      <c r="AF998" s="158" t="str">
        <f>HYPERLINK("https://www.crunchbase.com/organization/enodo"," Dec 31, 2017")</f>
        <v> Dec 31, 2017</v>
      </c>
      <c r="AG998" s="38">
        <v>2500000.0</v>
      </c>
      <c r="AH998" s="36"/>
      <c r="AI998" s="159"/>
      <c r="AJ998" s="44"/>
      <c r="AK998" s="46"/>
      <c r="AL998" s="44"/>
      <c r="AM998" s="46"/>
      <c r="AN998" s="44"/>
      <c r="AO998" s="46"/>
      <c r="AP998" s="44"/>
      <c r="AQ998" s="1052"/>
      <c r="AR998" s="44"/>
      <c r="AS998" s="44"/>
      <c r="AT998" s="44"/>
      <c r="AU998" s="45"/>
      <c r="AV998" s="44"/>
      <c r="AW998" s="38"/>
      <c r="AX998" s="44"/>
      <c r="AY998" s="38"/>
      <c r="AZ998" s="44"/>
      <c r="BA998" s="45"/>
      <c r="BB998" s="44"/>
      <c r="BC998" s="45"/>
      <c r="BD998" s="44"/>
      <c r="BE998" s="38"/>
      <c r="BF998" s="36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  <c r="BR998" s="68"/>
      <c r="BS998" s="68"/>
      <c r="BT998" s="68"/>
      <c r="BU998" s="68"/>
      <c r="BV998" s="68"/>
      <c r="BW998" s="68"/>
      <c r="BX998" s="68"/>
      <c r="BY998" s="68"/>
      <c r="BZ998" s="68"/>
      <c r="CA998" s="68"/>
      <c r="CB998" s="68"/>
      <c r="CC998" s="68"/>
      <c r="CD998" s="68"/>
      <c r="CE998" s="68"/>
      <c r="CF998" s="68"/>
      <c r="CG998" s="68"/>
      <c r="CH998" s="68"/>
      <c r="CI998" s="68"/>
      <c r="CJ998" s="68"/>
      <c r="CK998" s="68"/>
      <c r="CL998" s="68"/>
      <c r="CM998" s="68"/>
      <c r="CN998" s="68"/>
      <c r="CO998" s="68"/>
      <c r="CP998" s="68"/>
    </row>
    <row r="999" ht="15.75" customHeight="1">
      <c r="A999" s="860" t="s">
        <v>4816</v>
      </c>
      <c r="B999" s="68"/>
      <c r="C999" s="69" t="s">
        <v>132</v>
      </c>
      <c r="D999" s="192" t="s">
        <v>4817</v>
      </c>
      <c r="E999" s="192" t="s">
        <v>4818</v>
      </c>
      <c r="F999" s="118" t="s">
        <v>4819</v>
      </c>
      <c r="G999" s="1110"/>
      <c r="H999" s="407" t="s">
        <v>114</v>
      </c>
      <c r="I999" s="26" t="s">
        <v>115</v>
      </c>
      <c r="J999" s="718"/>
      <c r="K999" s="26"/>
      <c r="L999" s="23">
        <v>2016.0</v>
      </c>
      <c r="M999" s="25">
        <f t="shared" si="688"/>
        <v>9</v>
      </c>
      <c r="N999" s="26">
        <f t="shared" si="689"/>
        <v>1</v>
      </c>
      <c r="O999" s="27" t="str">
        <f t="shared" si="3"/>
        <v>#N/A</v>
      </c>
      <c r="P999" s="28"/>
      <c r="Q999" s="28"/>
      <c r="R999" s="28"/>
      <c r="S999" s="28"/>
      <c r="T999" s="29">
        <f t="shared" si="690"/>
        <v>277777.7778</v>
      </c>
      <c r="U999" s="28"/>
      <c r="V999" s="30">
        <f t="shared" si="425"/>
        <v>2500000</v>
      </c>
      <c r="W999" s="30"/>
      <c r="X999" s="73"/>
      <c r="Y999" s="33">
        <f t="shared" si="691"/>
        <v>0</v>
      </c>
      <c r="Z999" s="692"/>
      <c r="AA999" s="665"/>
      <c r="AB999" s="74"/>
      <c r="AC999" s="74"/>
      <c r="AD999" s="79"/>
      <c r="AE999" s="84"/>
      <c r="AF999" s="320">
        <v>43571.0</v>
      </c>
      <c r="AG999" s="76">
        <v>2500000.0</v>
      </c>
      <c r="AH999" s="74"/>
      <c r="AI999" s="78"/>
      <c r="AJ999" s="79"/>
      <c r="AK999" s="84"/>
      <c r="AL999" s="79"/>
      <c r="AM999" s="84"/>
      <c r="AN999" s="79"/>
      <c r="AO999" s="84"/>
      <c r="AP999" s="79"/>
      <c r="AQ999" s="84"/>
      <c r="AR999" s="79"/>
      <c r="AS999" s="79"/>
      <c r="AT999" s="79"/>
      <c r="AU999" s="80"/>
      <c r="AV999" s="79"/>
      <c r="AW999" s="38"/>
      <c r="AX999" s="79"/>
      <c r="AY999" s="38"/>
      <c r="AZ999" s="79"/>
      <c r="BA999" s="80"/>
      <c r="BB999" s="79"/>
      <c r="BC999" s="80"/>
      <c r="BD999" s="79"/>
      <c r="BE999" s="38"/>
      <c r="BF999" s="74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  <c r="BQ999" s="68"/>
      <c r="BR999" s="68"/>
      <c r="BS999" s="68"/>
      <c r="BT999" s="68"/>
      <c r="BU999" s="68"/>
      <c r="BV999" s="68"/>
      <c r="BW999" s="68"/>
      <c r="BX999" s="68"/>
      <c r="BY999" s="68"/>
      <c r="BZ999" s="68"/>
      <c r="CA999" s="68"/>
      <c r="CB999" s="68"/>
      <c r="CC999" s="68"/>
      <c r="CD999" s="68"/>
      <c r="CE999" s="68"/>
      <c r="CF999" s="68"/>
      <c r="CG999" s="68"/>
      <c r="CH999" s="68"/>
      <c r="CI999" s="68"/>
      <c r="CJ999" s="68"/>
      <c r="CK999" s="68"/>
      <c r="CL999" s="68"/>
      <c r="CM999" s="68"/>
      <c r="CN999" s="68"/>
      <c r="CO999" s="68"/>
      <c r="CP999" s="68"/>
    </row>
    <row r="1000" ht="15.75" customHeight="1">
      <c r="A1000" s="21" t="s">
        <v>4820</v>
      </c>
      <c r="B1000" s="68"/>
      <c r="C1000" s="69" t="s">
        <v>84</v>
      </c>
      <c r="D1000" s="867" t="s">
        <v>4821</v>
      </c>
      <c r="E1000" s="138" t="s">
        <v>4822</v>
      </c>
      <c r="F1000" s="177" t="s">
        <v>4823</v>
      </c>
      <c r="G1000" s="71"/>
      <c r="H1000" s="71" t="s">
        <v>128</v>
      </c>
      <c r="I1000" s="26" t="s">
        <v>129</v>
      </c>
      <c r="J1000" s="155"/>
      <c r="K1000" s="26">
        <v>2.0</v>
      </c>
      <c r="L1000" s="26">
        <v>2020.0</v>
      </c>
      <c r="M1000" s="25">
        <f t="shared" si="688"/>
        <v>5</v>
      </c>
      <c r="N1000" s="26">
        <f t="shared" si="689"/>
        <v>1</v>
      </c>
      <c r="O1000" s="27" t="str">
        <f t="shared" si="3"/>
        <v>#N/A</v>
      </c>
      <c r="P1000" s="28"/>
      <c r="Q1000" s="28"/>
      <c r="R1000" s="28"/>
      <c r="S1000" s="28"/>
      <c r="T1000" s="29">
        <f t="shared" si="690"/>
        <v>500000</v>
      </c>
      <c r="U1000" s="28"/>
      <c r="V1000" s="30">
        <f t="shared" si="425"/>
        <v>2500000</v>
      </c>
      <c r="W1000" s="30"/>
      <c r="X1000" s="73"/>
      <c r="Y1000" s="33">
        <f t="shared" si="691"/>
        <v>0</v>
      </c>
      <c r="Z1000" s="692"/>
      <c r="AA1000" s="665"/>
      <c r="AB1000" s="74"/>
      <c r="AC1000" s="74"/>
      <c r="AD1000" s="79"/>
      <c r="AE1000" s="84"/>
      <c r="AF1000" s="175" t="str">
        <f>HYPERLINK("https://www.crunchbase.com/funding_round/pronto-housing-seed--2dbef5fb","Nov 2, 2021")</f>
        <v>Nov 2, 2021</v>
      </c>
      <c r="AG1000" s="76">
        <v>2500000.0</v>
      </c>
      <c r="AH1000" s="74"/>
      <c r="AI1000" s="78"/>
      <c r="AJ1000" s="79"/>
      <c r="AK1000" s="76"/>
      <c r="AL1000" s="279"/>
      <c r="AM1000" s="76"/>
      <c r="AN1000" s="79"/>
      <c r="AO1000" s="84"/>
      <c r="AP1000" s="79"/>
      <c r="AQ1000" s="84"/>
      <c r="AR1000" s="79"/>
      <c r="AS1000" s="79"/>
      <c r="AT1000" s="79"/>
      <c r="AU1000" s="80"/>
      <c r="AV1000" s="79"/>
      <c r="AW1000" s="38"/>
      <c r="AX1000" s="79"/>
      <c r="AY1000" s="38"/>
      <c r="AZ1000" s="79"/>
      <c r="BA1000" s="80"/>
      <c r="BB1000" s="79"/>
      <c r="BC1000" s="80"/>
      <c r="BD1000" s="79"/>
      <c r="BE1000" s="38"/>
      <c r="BF1000" s="74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</row>
    <row r="1001" ht="15.75" customHeight="1">
      <c r="A1001" s="21" t="s">
        <v>4824</v>
      </c>
      <c r="B1001" s="68"/>
      <c r="C1001" s="69" t="s">
        <v>123</v>
      </c>
      <c r="D1001" s="192" t="s">
        <v>4825</v>
      </c>
      <c r="E1001" s="231" t="s">
        <v>4826</v>
      </c>
      <c r="F1001" s="173" t="s">
        <v>4827</v>
      </c>
      <c r="G1001" s="174"/>
      <c r="H1001" s="71" t="s">
        <v>601</v>
      </c>
      <c r="I1001" s="26" t="s">
        <v>129</v>
      </c>
      <c r="J1001" s="155"/>
      <c r="K1001" s="74"/>
      <c r="L1001" s="26">
        <v>2017.0</v>
      </c>
      <c r="M1001" s="25">
        <f t="shared" si="688"/>
        <v>8</v>
      </c>
      <c r="N1001" s="26">
        <f t="shared" si="689"/>
        <v>2</v>
      </c>
      <c r="O1001" s="27" t="str">
        <f t="shared" si="3"/>
        <v>#N/A</v>
      </c>
      <c r="P1001" s="28"/>
      <c r="Q1001" s="28"/>
      <c r="R1001" s="28"/>
      <c r="S1001" s="28"/>
      <c r="T1001" s="29">
        <f t="shared" si="690"/>
        <v>312500</v>
      </c>
      <c r="U1001" s="28"/>
      <c r="V1001" s="30">
        <f t="shared" si="425"/>
        <v>2500000</v>
      </c>
      <c r="W1001" s="30"/>
      <c r="X1001" s="32"/>
      <c r="Y1001" s="33">
        <f t="shared" si="691"/>
        <v>0.189207115</v>
      </c>
      <c r="Z1001" s="692"/>
      <c r="AA1001" s="665"/>
      <c r="AB1001" s="74"/>
      <c r="AC1001" s="74"/>
      <c r="AD1001" s="426" t="str">
        <f>HYPERLINK("https://www.crunchbase.com/funding_round/outlaw-pre-seed--bc51e47c"," 7/21/2017")</f>
        <v> 7/21/2017</v>
      </c>
      <c r="AE1001" s="76">
        <v>500000.0</v>
      </c>
      <c r="AF1001" s="175" t="str">
        <f>HYPERLINK("https://www.crunchbase.com/funding_round/outlaw-seed--c2238b74"," Dec 14, 2018        
")</f>
        <v> Dec 14, 2018        
</v>
      </c>
      <c r="AG1001" s="76">
        <v>2000000.0</v>
      </c>
      <c r="AH1001" s="74"/>
      <c r="AI1001" s="78"/>
      <c r="AJ1001" s="79"/>
      <c r="AK1001" s="84"/>
      <c r="AL1001" s="79"/>
      <c r="AM1001" s="84"/>
      <c r="AN1001" s="79"/>
      <c r="AO1001" s="84"/>
      <c r="AP1001" s="79"/>
      <c r="AQ1001" s="84"/>
      <c r="AR1001" s="79"/>
      <c r="AS1001" s="79"/>
      <c r="AT1001" s="79"/>
      <c r="AU1001" s="80"/>
      <c r="AV1001" s="79"/>
      <c r="AW1001" s="38"/>
      <c r="AX1001" s="79"/>
      <c r="AY1001" s="38"/>
      <c r="AZ1001" s="79"/>
      <c r="BA1001" s="80"/>
      <c r="BB1001" s="79"/>
      <c r="BC1001" s="80"/>
      <c r="BD1001" s="79"/>
      <c r="BE1001" s="38"/>
      <c r="BF1001" s="74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  <c r="BQ1001" s="68"/>
      <c r="BR1001" s="68"/>
      <c r="BS1001" s="68"/>
      <c r="BT1001" s="68"/>
      <c r="BU1001" s="68"/>
      <c r="BV1001" s="68"/>
      <c r="BW1001" s="68"/>
      <c r="BX1001" s="68"/>
      <c r="BY1001" s="68"/>
      <c r="BZ1001" s="68"/>
      <c r="CA1001" s="68"/>
      <c r="CB1001" s="68"/>
      <c r="CC1001" s="68"/>
      <c r="CD1001" s="68"/>
      <c r="CE1001" s="68"/>
      <c r="CF1001" s="68"/>
      <c r="CG1001" s="68"/>
      <c r="CH1001" s="68"/>
      <c r="CI1001" s="68"/>
      <c r="CJ1001" s="68"/>
      <c r="CK1001" s="68"/>
      <c r="CL1001" s="68"/>
      <c r="CM1001" s="68"/>
      <c r="CN1001" s="68"/>
      <c r="CO1001" s="68"/>
      <c r="CP1001" s="68"/>
    </row>
    <row r="1002" ht="15.75" customHeight="1">
      <c r="A1002" s="1421" t="s">
        <v>4828</v>
      </c>
      <c r="B1002" s="534"/>
      <c r="C1002" s="849" t="s">
        <v>123</v>
      </c>
      <c r="D1002" s="162"/>
      <c r="E1002" s="162" t="s">
        <v>4829</v>
      </c>
      <c r="F1002" s="163" t="s">
        <v>4830</v>
      </c>
      <c r="G1002" s="1449" t="s">
        <v>4831</v>
      </c>
      <c r="H1002" s="850" t="s">
        <v>3925</v>
      </c>
      <c r="I1002" s="850" t="s">
        <v>748</v>
      </c>
      <c r="J1002" s="953" t="s">
        <v>4832</v>
      </c>
      <c r="K1002" s="222"/>
      <c r="L1002" s="222">
        <v>2020.0</v>
      </c>
      <c r="M1002" s="222"/>
      <c r="N1002" s="222"/>
      <c r="O1002" s="27" t="str">
        <f t="shared" si="3"/>
        <v>#N/A</v>
      </c>
      <c r="P1002" s="851"/>
      <c r="Q1002" s="851"/>
      <c r="R1002" s="851"/>
      <c r="S1002" s="851"/>
      <c r="T1002" s="851"/>
      <c r="U1002" s="851"/>
      <c r="V1002" s="30">
        <f t="shared" si="425"/>
        <v>2500000</v>
      </c>
      <c r="W1002" s="30"/>
      <c r="X1002" s="852"/>
      <c r="Y1002" s="852"/>
      <c r="Z1002" s="692"/>
      <c r="AA1002" s="665"/>
      <c r="AB1002" s="326"/>
      <c r="AC1002" s="326"/>
      <c r="AD1002" s="853"/>
      <c r="AE1002" s="325"/>
      <c r="AF1002" s="728">
        <v>44833.0</v>
      </c>
      <c r="AG1002" s="325">
        <v>2500000.0</v>
      </c>
      <c r="AH1002" s="326"/>
      <c r="AI1002" s="323"/>
      <c r="AJ1002" s="855"/>
      <c r="AK1002" s="325"/>
      <c r="AL1002" s="855"/>
      <c r="AM1002" s="325"/>
      <c r="AN1002" s="855"/>
      <c r="AO1002" s="325"/>
      <c r="AP1002" s="322"/>
      <c r="AQ1002" s="323"/>
      <c r="AR1002" s="322"/>
      <c r="AS1002" s="322"/>
      <c r="AT1002" s="322"/>
      <c r="AU1002" s="335"/>
      <c r="AV1002" s="322"/>
      <c r="AW1002" s="38"/>
      <c r="AX1002" s="322"/>
      <c r="AY1002" s="38"/>
      <c r="AZ1002" s="322"/>
      <c r="BA1002" s="335"/>
      <c r="BB1002" s="322"/>
      <c r="BC1002" s="335"/>
      <c r="BD1002" s="322"/>
      <c r="BE1002" s="38"/>
      <c r="BF1002" s="326"/>
      <c r="BG1002" s="115"/>
      <c r="BH1002" s="115"/>
      <c r="BI1002" s="115"/>
      <c r="BJ1002" s="115"/>
      <c r="BK1002" s="115"/>
      <c r="BL1002" s="115"/>
      <c r="BM1002" s="115"/>
      <c r="BN1002" s="115"/>
      <c r="BO1002" s="115"/>
      <c r="BP1002" s="115"/>
      <c r="BQ1002" s="115"/>
      <c r="BR1002" s="115"/>
      <c r="BS1002" s="115"/>
      <c r="BT1002" s="115"/>
      <c r="BU1002" s="115"/>
      <c r="BV1002" s="115"/>
      <c r="BW1002" s="115"/>
      <c r="BX1002" s="115"/>
      <c r="BY1002" s="115"/>
      <c r="BZ1002" s="115"/>
      <c r="CA1002" s="115"/>
      <c r="CB1002" s="115"/>
      <c r="CC1002" s="115"/>
      <c r="CD1002" s="115"/>
      <c r="CE1002" s="115"/>
      <c r="CF1002" s="115"/>
      <c r="CG1002" s="115"/>
      <c r="CH1002" s="115"/>
      <c r="CI1002" s="115"/>
      <c r="CJ1002" s="115"/>
      <c r="CK1002" s="115"/>
      <c r="CL1002" s="115"/>
      <c r="CM1002" s="115"/>
      <c r="CN1002" s="115"/>
      <c r="CO1002" s="115"/>
      <c r="CP1002" s="115"/>
    </row>
    <row r="1003" ht="15.75" customHeight="1">
      <c r="A1003" s="931" t="s">
        <v>4833</v>
      </c>
      <c r="B1003" s="116" t="s">
        <v>829</v>
      </c>
      <c r="C1003" s="116" t="s">
        <v>59</v>
      </c>
      <c r="D1003" s="449"/>
      <c r="E1003" s="192" t="s">
        <v>4834</v>
      </c>
      <c r="F1003" s="117" t="s">
        <v>4835</v>
      </c>
      <c r="G1003" s="286"/>
      <c r="H1003" s="119" t="s">
        <v>4836</v>
      </c>
      <c r="I1003" s="25" t="s">
        <v>4837</v>
      </c>
      <c r="J1003" s="287"/>
      <c r="K1003" s="123"/>
      <c r="L1003" s="25">
        <v>2018.0</v>
      </c>
      <c r="M1003" s="25">
        <f>year(now()) -L1003</f>
        <v>7</v>
      </c>
      <c r="N1003" s="26">
        <f>counta(AE1003,AG1003,AI1003,AK1003,AM1003,AO1003,AQ1003,AS1003,AU1003,AW1003,AY1003,BA1003,BC1003)</f>
        <v>1</v>
      </c>
      <c r="O1003" s="27" t="str">
        <f t="shared" si="3"/>
        <v>#N/A</v>
      </c>
      <c r="P1003" s="28"/>
      <c r="Q1003" s="28"/>
      <c r="R1003" s="28"/>
      <c r="S1003" s="28"/>
      <c r="T1003" s="29">
        <f>V1003/M1003</f>
        <v>357142.8571</v>
      </c>
      <c r="U1003" s="28"/>
      <c r="V1003" s="30">
        <f t="shared" si="425"/>
        <v>2500000</v>
      </c>
      <c r="W1003" s="30"/>
      <c r="X1003" s="403"/>
      <c r="Y1003" s="33">
        <f>(max(AE1003,AG1003,AI1003,AK1003,AM1003,AO1003,AQ1003,AS1003,AU1003,AW1003,AY1003,BA1003,BC1003)/min(AE1003,AG1003,AI1003,AK1003))^(1/M1003)-1</f>
        <v>0</v>
      </c>
      <c r="Z1003" s="692"/>
      <c r="AA1003" s="665"/>
      <c r="AB1003" s="123"/>
      <c r="AC1003" s="123"/>
      <c r="AD1003" s="124"/>
      <c r="AE1003" s="125"/>
      <c r="AF1003" s="1450">
        <v>44911.0</v>
      </c>
      <c r="AG1003" s="127">
        <v>2500000.0</v>
      </c>
      <c r="AH1003" s="115"/>
      <c r="AI1003" s="128"/>
      <c r="AJ1003" s="198"/>
      <c r="AK1003" s="125"/>
      <c r="AL1003" s="198"/>
      <c r="AM1003" s="125"/>
      <c r="AN1003" s="198"/>
      <c r="AO1003" s="125"/>
      <c r="AP1003" s="124"/>
      <c r="AQ1003" s="125"/>
      <c r="AR1003" s="124"/>
      <c r="AS1003" s="124"/>
      <c r="AT1003" s="124"/>
      <c r="AU1003" s="137"/>
      <c r="AV1003" s="124"/>
      <c r="AW1003" s="38"/>
      <c r="AX1003" s="124"/>
      <c r="AY1003" s="38"/>
      <c r="AZ1003" s="124"/>
      <c r="BA1003" s="137"/>
      <c r="BB1003" s="124"/>
      <c r="BC1003" s="137"/>
      <c r="BD1003" s="124"/>
      <c r="BE1003" s="38"/>
      <c r="BF1003" s="123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68"/>
      <c r="BR1003" s="68"/>
      <c r="BS1003" s="68"/>
      <c r="BT1003" s="68"/>
      <c r="BU1003" s="68"/>
      <c r="BV1003" s="68"/>
      <c r="BW1003" s="68"/>
      <c r="BX1003" s="68"/>
      <c r="BY1003" s="68"/>
      <c r="BZ1003" s="68"/>
      <c r="CA1003" s="68"/>
      <c r="CB1003" s="68"/>
      <c r="CC1003" s="68"/>
      <c r="CD1003" s="68"/>
      <c r="CE1003" s="68"/>
      <c r="CF1003" s="68"/>
      <c r="CG1003" s="68"/>
      <c r="CH1003" s="68"/>
      <c r="CI1003" s="68"/>
      <c r="CJ1003" s="68"/>
      <c r="CK1003" s="68"/>
      <c r="CL1003" s="68"/>
      <c r="CM1003" s="68"/>
      <c r="CN1003" s="68"/>
      <c r="CO1003" s="68"/>
      <c r="CP1003" s="68"/>
    </row>
    <row r="1004" ht="15.75" customHeight="1">
      <c r="A1004" s="47" t="s">
        <v>4838</v>
      </c>
      <c r="C1004" s="48" t="s">
        <v>76</v>
      </c>
      <c r="D1004" s="1434"/>
      <c r="E1004" s="1451" t="s">
        <v>4839</v>
      </c>
      <c r="F1004" s="1436" t="s">
        <v>4840</v>
      </c>
      <c r="G1004" s="353"/>
      <c r="H1004" s="53" t="s">
        <v>4841</v>
      </c>
      <c r="I1004" s="54" t="s">
        <v>257</v>
      </c>
      <c r="J1004" s="55"/>
      <c r="K1004" s="54">
        <v>3.0</v>
      </c>
      <c r="L1004" s="56">
        <v>2022.0</v>
      </c>
      <c r="M1004" s="55"/>
      <c r="N1004" s="55"/>
      <c r="O1004" s="27" t="str">
        <f t="shared" si="3"/>
        <v>#N/A</v>
      </c>
      <c r="P1004" s="55"/>
      <c r="Q1004" s="55"/>
      <c r="R1004" s="55"/>
      <c r="S1004" s="55"/>
      <c r="T1004" s="55"/>
      <c r="U1004" s="55"/>
      <c r="V1004" s="30">
        <f t="shared" si="425"/>
        <v>2500000</v>
      </c>
      <c r="W1004" s="30"/>
      <c r="X1004" s="58"/>
      <c r="Y1004" s="58"/>
      <c r="Z1004" s="692"/>
      <c r="AA1004" s="665"/>
      <c r="AB1004" s="55"/>
      <c r="AC1004" s="55"/>
      <c r="AD1004" s="355"/>
      <c r="AE1004" s="55"/>
      <c r="AF1004" s="623">
        <v>44901.0</v>
      </c>
      <c r="AG1004" s="38">
        <v>2500000.0</v>
      </c>
      <c r="AI1004" s="55"/>
      <c r="AK1004" s="55"/>
      <c r="AM1004" s="55"/>
      <c r="AO1004" s="55"/>
      <c r="AP1004" s="356"/>
      <c r="AQ1004" s="356"/>
      <c r="AR1004" s="55"/>
      <c r="AS1004" s="55"/>
      <c r="AT1004" s="55"/>
      <c r="AU1004" s="722"/>
      <c r="AV1004" s="55"/>
      <c r="AW1004" s="38"/>
      <c r="AX1004" s="55"/>
      <c r="AY1004" s="38"/>
      <c r="AZ1004" s="55"/>
      <c r="BA1004" s="722"/>
      <c r="BB1004" s="55"/>
      <c r="BC1004" s="722"/>
      <c r="BD1004" s="55"/>
      <c r="BE1004" s="38"/>
      <c r="BF1004" s="55"/>
      <c r="BG1004" s="16"/>
      <c r="BH1004" s="16"/>
      <c r="BI1004" s="16"/>
      <c r="BJ1004" s="16"/>
      <c r="BK1004" s="16"/>
      <c r="BL1004" s="16"/>
      <c r="BM1004" s="16"/>
      <c r="BN1004" s="16"/>
      <c r="BO1004" s="16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6"/>
      <c r="CA1004" s="16"/>
      <c r="CB1004" s="16"/>
      <c r="CC1004" s="16"/>
      <c r="CD1004" s="16"/>
      <c r="CE1004" s="16"/>
      <c r="CF1004" s="16"/>
      <c r="CG1004" s="16"/>
      <c r="CH1004" s="16"/>
      <c r="CI1004" s="16"/>
      <c r="CJ1004" s="16"/>
      <c r="CK1004" s="16"/>
      <c r="CL1004" s="16"/>
      <c r="CM1004" s="16"/>
      <c r="CN1004" s="16"/>
      <c r="CO1004" s="16"/>
      <c r="CP1004" s="16"/>
    </row>
    <row r="1005" ht="15.75" customHeight="1">
      <c r="A1005" s="47" t="s">
        <v>4842</v>
      </c>
      <c r="C1005" s="48" t="s">
        <v>68</v>
      </c>
      <c r="D1005" s="351"/>
      <c r="E1005" s="617" t="s">
        <v>4843</v>
      </c>
      <c r="F1005" s="1438" t="s">
        <v>4844</v>
      </c>
      <c r="G1005" s="353"/>
      <c r="H1005" s="53" t="s">
        <v>450</v>
      </c>
      <c r="I1005" s="54" t="s">
        <v>450</v>
      </c>
      <c r="J1005" s="55"/>
      <c r="K1005" s="54">
        <v>1.0</v>
      </c>
      <c r="L1005" s="56">
        <v>2020.0</v>
      </c>
      <c r="M1005" s="55"/>
      <c r="N1005" s="55"/>
      <c r="O1005" s="27" t="str">
        <f t="shared" si="3"/>
        <v>#N/A</v>
      </c>
      <c r="P1005" s="55"/>
      <c r="Q1005" s="55"/>
      <c r="R1005" s="55"/>
      <c r="S1005" s="55"/>
      <c r="T1005" s="55"/>
      <c r="U1005" s="55"/>
      <c r="V1005" s="30">
        <f t="shared" si="425"/>
        <v>2500000</v>
      </c>
      <c r="W1005" s="30"/>
      <c r="X1005" s="58"/>
      <c r="Y1005" s="58"/>
      <c r="Z1005" s="692"/>
      <c r="AA1005" s="665"/>
      <c r="AB1005" s="55"/>
      <c r="AC1005" s="55"/>
      <c r="AD1005" s="355"/>
      <c r="AE1005" s="55"/>
      <c r="AF1005" s="623">
        <v>44918.0</v>
      </c>
      <c r="AG1005" s="38">
        <v>2500000.0</v>
      </c>
      <c r="AI1005" s="55"/>
      <c r="AK1005" s="55"/>
      <c r="AM1005" s="55"/>
      <c r="AO1005" s="55"/>
      <c r="AP1005" s="356"/>
      <c r="AQ1005" s="356"/>
      <c r="AR1005" s="55"/>
      <c r="AS1005" s="55"/>
      <c r="AT1005" s="55"/>
      <c r="AU1005" s="722"/>
      <c r="AV1005" s="55"/>
      <c r="AW1005" s="38"/>
      <c r="AX1005" s="55"/>
      <c r="AY1005" s="38"/>
      <c r="AZ1005" s="55"/>
      <c r="BA1005" s="722"/>
      <c r="BB1005" s="55"/>
      <c r="BC1005" s="722"/>
      <c r="BD1005" s="55"/>
      <c r="BE1005" s="38"/>
      <c r="BF1005" s="55"/>
      <c r="BG1005" s="16"/>
      <c r="BH1005" s="16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  <c r="CD1005" s="16"/>
      <c r="CE1005" s="16"/>
      <c r="CF1005" s="16"/>
      <c r="CG1005" s="16"/>
      <c r="CH1005" s="16"/>
      <c r="CI1005" s="16"/>
      <c r="CJ1005" s="16"/>
      <c r="CK1005" s="16"/>
      <c r="CL1005" s="16"/>
      <c r="CM1005" s="16"/>
      <c r="CN1005" s="16"/>
      <c r="CO1005" s="16"/>
      <c r="CP1005" s="16"/>
    </row>
    <row r="1006" ht="15.75" customHeight="1">
      <c r="A1006" s="47" t="s">
        <v>4845</v>
      </c>
      <c r="C1006" s="48" t="s">
        <v>68</v>
      </c>
      <c r="D1006" s="49" t="s">
        <v>4846</v>
      </c>
      <c r="E1006" s="49" t="s">
        <v>4847</v>
      </c>
      <c r="F1006" s="749" t="s">
        <v>4848</v>
      </c>
      <c r="G1006" s="353"/>
      <c r="H1006" s="53" t="s">
        <v>64</v>
      </c>
      <c r="I1006" s="54" t="s">
        <v>65</v>
      </c>
      <c r="J1006" s="55"/>
      <c r="K1006" s="54">
        <v>2.0</v>
      </c>
      <c r="L1006" s="56">
        <v>2021.0</v>
      </c>
      <c r="M1006" s="55"/>
      <c r="N1006" s="55"/>
      <c r="O1006" s="27" t="str">
        <f t="shared" si="3"/>
        <v>#N/A</v>
      </c>
      <c r="P1006" s="55"/>
      <c r="Q1006" s="55"/>
      <c r="R1006" s="55"/>
      <c r="S1006" s="55"/>
      <c r="T1006" s="55"/>
      <c r="U1006" s="55"/>
      <c r="V1006" s="30">
        <f t="shared" si="425"/>
        <v>2500000</v>
      </c>
      <c r="W1006" s="30"/>
      <c r="X1006" s="58"/>
      <c r="Y1006" s="58"/>
      <c r="Z1006" s="692"/>
      <c r="AA1006" s="665"/>
      <c r="AB1006" s="55"/>
      <c r="AC1006" s="55"/>
      <c r="AD1006" s="880">
        <v>44950.0</v>
      </c>
      <c r="AE1006" s="38">
        <v>2500000.0</v>
      </c>
      <c r="AF1006" s="355"/>
      <c r="AG1006" s="55"/>
      <c r="AH1006" s="55"/>
      <c r="AI1006" s="55"/>
      <c r="AJ1006" s="55"/>
      <c r="AK1006" s="55"/>
      <c r="AL1006" s="55"/>
      <c r="AM1006" s="55"/>
      <c r="AN1006" s="55"/>
      <c r="AO1006" s="55"/>
      <c r="AP1006" s="356"/>
      <c r="AQ1006" s="38"/>
      <c r="AR1006" s="55"/>
      <c r="AS1006" s="38"/>
      <c r="AT1006" s="55"/>
      <c r="AU1006" s="38"/>
      <c r="AV1006" s="55"/>
      <c r="AW1006" s="38"/>
      <c r="AX1006" s="55"/>
      <c r="AY1006" s="38"/>
      <c r="AZ1006" s="55"/>
      <c r="BA1006" s="722"/>
      <c r="BB1006" s="55"/>
      <c r="BC1006" s="38"/>
      <c r="BD1006" s="55"/>
      <c r="BE1006" s="38"/>
      <c r="BF1006" s="55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  <c r="BQ1006" s="68"/>
      <c r="BR1006" s="68"/>
      <c r="BS1006" s="68"/>
      <c r="BT1006" s="68"/>
      <c r="BU1006" s="68"/>
      <c r="BV1006" s="68"/>
      <c r="BW1006" s="68"/>
      <c r="BX1006" s="68"/>
      <c r="BY1006" s="68"/>
      <c r="BZ1006" s="68"/>
      <c r="CA1006" s="68"/>
      <c r="CB1006" s="68"/>
      <c r="CC1006" s="68"/>
      <c r="CD1006" s="68"/>
      <c r="CE1006" s="68"/>
      <c r="CF1006" s="68"/>
      <c r="CG1006" s="68"/>
      <c r="CH1006" s="68"/>
      <c r="CI1006" s="68"/>
      <c r="CJ1006" s="68"/>
      <c r="CK1006" s="68"/>
      <c r="CL1006" s="68"/>
      <c r="CM1006" s="68"/>
      <c r="CN1006" s="68"/>
      <c r="CO1006" s="68"/>
      <c r="CP1006" s="68"/>
    </row>
    <row r="1007" ht="15.75" customHeight="1">
      <c r="A1007" s="47" t="s">
        <v>4849</v>
      </c>
      <c r="C1007" s="48" t="s">
        <v>713</v>
      </c>
      <c r="D1007" s="617" t="s">
        <v>4850</v>
      </c>
      <c r="E1007" s="49" t="s">
        <v>4851</v>
      </c>
      <c r="F1007" s="352" t="s">
        <v>4852</v>
      </c>
      <c r="G1007" s="353"/>
      <c r="H1007" s="53" t="s">
        <v>4358</v>
      </c>
      <c r="I1007" s="54" t="s">
        <v>272</v>
      </c>
      <c r="J1007" s="55"/>
      <c r="K1007" s="54">
        <v>2.0</v>
      </c>
      <c r="L1007" s="56">
        <v>2021.0</v>
      </c>
      <c r="M1007" s="55"/>
      <c r="N1007" s="55"/>
      <c r="O1007" s="27" t="str">
        <f t="shared" si="3"/>
        <v>#N/A</v>
      </c>
      <c r="P1007" s="55"/>
      <c r="Q1007" s="55"/>
      <c r="R1007" s="55"/>
      <c r="S1007" s="55"/>
      <c r="T1007" s="55"/>
      <c r="U1007" s="55"/>
      <c r="V1007" s="30">
        <f t="shared" si="425"/>
        <v>2500000</v>
      </c>
      <c r="W1007" s="30"/>
      <c r="X1007" s="58"/>
      <c r="Y1007" s="58"/>
      <c r="Z1007" s="692"/>
      <c r="AA1007" s="665"/>
      <c r="AB1007" s="55"/>
      <c r="AC1007" s="55"/>
      <c r="AD1007" s="62">
        <v>44987.0</v>
      </c>
      <c r="AE1007" s="38">
        <v>2500000.0</v>
      </c>
      <c r="AF1007" s="355"/>
      <c r="AG1007" s="38"/>
      <c r="AH1007" s="55"/>
      <c r="AI1007" s="38"/>
      <c r="AJ1007" s="55"/>
      <c r="AK1007" s="38"/>
      <c r="AL1007" s="55"/>
      <c r="AM1007" s="38"/>
      <c r="AN1007" s="55"/>
      <c r="AO1007" s="38"/>
      <c r="AP1007" s="356"/>
      <c r="AQ1007" s="38"/>
      <c r="AR1007" s="55"/>
      <c r="AS1007" s="38"/>
      <c r="AT1007" s="55"/>
      <c r="AU1007" s="38"/>
      <c r="AV1007" s="55"/>
      <c r="AW1007" s="38"/>
      <c r="AX1007" s="55"/>
      <c r="AY1007" s="38"/>
      <c r="AZ1007" s="55"/>
      <c r="BA1007" s="38"/>
      <c r="BB1007" s="55"/>
      <c r="BC1007" s="38"/>
      <c r="BD1007" s="55"/>
      <c r="BE1007" s="38"/>
      <c r="BF1007" s="55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  <c r="BQ1007" s="68"/>
      <c r="BR1007" s="68"/>
      <c r="BS1007" s="68"/>
      <c r="BT1007" s="68"/>
      <c r="BU1007" s="68"/>
      <c r="BV1007" s="68"/>
      <c r="BW1007" s="68"/>
      <c r="BX1007" s="68"/>
      <c r="BY1007" s="68"/>
      <c r="BZ1007" s="68"/>
      <c r="CA1007" s="68"/>
      <c r="CB1007" s="68"/>
      <c r="CC1007" s="68"/>
      <c r="CD1007" s="68"/>
      <c r="CE1007" s="68"/>
      <c r="CF1007" s="68"/>
      <c r="CG1007" s="68"/>
      <c r="CH1007" s="68"/>
      <c r="CI1007" s="68"/>
      <c r="CJ1007" s="68"/>
      <c r="CK1007" s="68"/>
      <c r="CL1007" s="68"/>
      <c r="CM1007" s="68"/>
      <c r="CN1007" s="68"/>
      <c r="CO1007" s="68"/>
      <c r="CP1007" s="68"/>
    </row>
    <row r="1008" ht="15.75" customHeight="1">
      <c r="A1008" s="47" t="s">
        <v>4853</v>
      </c>
      <c r="C1008" s="48" t="s">
        <v>132</v>
      </c>
      <c r="D1008" s="351"/>
      <c r="E1008" s="617" t="s">
        <v>4854</v>
      </c>
      <c r="F1008" s="749" t="s">
        <v>4855</v>
      </c>
      <c r="G1008" s="353"/>
      <c r="H1008" s="53" t="s">
        <v>4856</v>
      </c>
      <c r="I1008" s="54" t="s">
        <v>4857</v>
      </c>
      <c r="J1008" s="55"/>
      <c r="K1008" s="54">
        <v>2.0</v>
      </c>
      <c r="L1008" s="56">
        <v>2023.0</v>
      </c>
      <c r="M1008" s="55"/>
      <c r="N1008" s="55"/>
      <c r="O1008" s="27" t="str">
        <f t="shared" si="3"/>
        <v>#N/A</v>
      </c>
      <c r="P1008" s="55"/>
      <c r="Q1008" s="55"/>
      <c r="R1008" s="55"/>
      <c r="S1008" s="55"/>
      <c r="T1008" s="55"/>
      <c r="U1008" s="55"/>
      <c r="V1008" s="30">
        <f t="shared" si="425"/>
        <v>2500000</v>
      </c>
      <c r="W1008" s="30"/>
      <c r="X1008" s="58"/>
      <c r="Y1008" s="58"/>
      <c r="Z1008" s="692"/>
      <c r="AA1008" s="665"/>
      <c r="AB1008" s="55"/>
      <c r="AC1008" s="55"/>
      <c r="AD1008" s="62">
        <v>45005.0</v>
      </c>
      <c r="AE1008" s="38">
        <v>2500000.0</v>
      </c>
      <c r="AF1008" s="355"/>
      <c r="AG1008" s="38"/>
      <c r="AH1008" s="55"/>
      <c r="AI1008" s="38"/>
      <c r="AJ1008" s="55"/>
      <c r="AK1008" s="38"/>
      <c r="AL1008" s="55"/>
      <c r="AM1008" s="38"/>
      <c r="AN1008" s="55"/>
      <c r="AO1008" s="38"/>
      <c r="AP1008" s="356"/>
      <c r="AQ1008" s="38"/>
      <c r="AR1008" s="55"/>
      <c r="AS1008" s="38"/>
      <c r="AT1008" s="55"/>
      <c r="AU1008" s="38"/>
      <c r="AV1008" s="55"/>
      <c r="AW1008" s="38"/>
      <c r="AX1008" s="55"/>
      <c r="AY1008" s="38"/>
      <c r="AZ1008" s="55"/>
      <c r="BA1008" s="38"/>
      <c r="BB1008" s="55"/>
      <c r="BC1008" s="38"/>
      <c r="BD1008" s="55"/>
      <c r="BE1008" s="38"/>
      <c r="BF1008" s="55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  <c r="BQ1008" s="68"/>
      <c r="BR1008" s="68"/>
      <c r="BS1008" s="68"/>
      <c r="BT1008" s="68"/>
      <c r="BU1008" s="68"/>
      <c r="BV1008" s="68"/>
      <c r="BW1008" s="68"/>
      <c r="BX1008" s="68"/>
      <c r="BY1008" s="68"/>
      <c r="BZ1008" s="68"/>
      <c r="CA1008" s="68"/>
      <c r="CB1008" s="68"/>
      <c r="CC1008" s="68"/>
      <c r="CD1008" s="68"/>
      <c r="CE1008" s="68"/>
      <c r="CF1008" s="68"/>
      <c r="CG1008" s="68"/>
      <c r="CH1008" s="68"/>
      <c r="CI1008" s="68"/>
      <c r="CJ1008" s="68"/>
      <c r="CK1008" s="68"/>
      <c r="CL1008" s="68"/>
      <c r="CM1008" s="68"/>
      <c r="CN1008" s="68"/>
      <c r="CO1008" s="68"/>
      <c r="CP1008" s="68"/>
    </row>
    <row r="1009" ht="15.75" customHeight="1">
      <c r="A1009" s="400" t="s">
        <v>4858</v>
      </c>
      <c r="B1009" s="116" t="s">
        <v>4859</v>
      </c>
      <c r="C1009" s="116" t="s">
        <v>132</v>
      </c>
      <c r="D1009" s="540" t="s">
        <v>4860</v>
      </c>
      <c r="E1009" s="540" t="s">
        <v>4861</v>
      </c>
      <c r="F1009" s="1416" t="s">
        <v>4862</v>
      </c>
      <c r="G1009" s="604" t="s">
        <v>4863</v>
      </c>
      <c r="H1009" s="119" t="s">
        <v>328</v>
      </c>
      <c r="I1009" s="25" t="s">
        <v>1788</v>
      </c>
      <c r="J1009" s="120" t="s">
        <v>4864</v>
      </c>
      <c r="K1009" s="25">
        <v>1.0</v>
      </c>
      <c r="L1009" s="25">
        <v>2016.0</v>
      </c>
      <c r="M1009" s="25">
        <f t="shared" ref="M1009:M1013" si="692">year(now()) -L1009</f>
        <v>9</v>
      </c>
      <c r="N1009" s="26">
        <f t="shared" ref="N1009:N1013" si="693">counta(AE1009,AG1009,AI1009,AK1009,AM1009,AO1009,AQ1009,AS1009,AU1009,AW1009,AY1009,BA1009,BC1009)</f>
        <v>2</v>
      </c>
      <c r="O1009" s="27" t="str">
        <f t="shared" si="3"/>
        <v>#N/A</v>
      </c>
      <c r="P1009" s="28"/>
      <c r="Q1009" s="28"/>
      <c r="R1009" s="28"/>
      <c r="S1009" s="28"/>
      <c r="T1009" s="29">
        <f t="shared" ref="T1009:T1013" si="694">V1009/M1009</f>
        <v>270000</v>
      </c>
      <c r="U1009" s="28"/>
      <c r="V1009" s="30">
        <f t="shared" si="425"/>
        <v>2430000</v>
      </c>
      <c r="W1009" s="30"/>
      <c r="X1009" s="597"/>
      <c r="Y1009" s="33">
        <f t="shared" ref="Y1009:Y1013" si="695">(max(AE1009,AG1009,AI1009,AK1009,AM1009,AO1009,AQ1009,AS1009,AU1009,AW1009,AY1009,BA1009,BC1009)/min(AE1009,AG1009,AI1009,AK1009))^(1/M1009)-1</f>
        <v>0.1237225762</v>
      </c>
      <c r="Z1009" s="692"/>
      <c r="AA1009" s="665"/>
      <c r="AB1009" s="123"/>
      <c r="AC1009" s="123"/>
      <c r="AD1009" s="124"/>
      <c r="AE1009" s="125"/>
      <c r="AF1009" s="126" t="str">
        <f>HYPERLINK("https://www.crunchbase.com/funding_round/spaceflow-seed--d2db5c40","Apr 24, 2018")</f>
        <v>Apr 24, 2018</v>
      </c>
      <c r="AG1009" s="127">
        <v>630000.0</v>
      </c>
      <c r="AH1009" s="1452" t="str">
        <f>HYPERLINK("https://www.crunchbase.com/funding_round/spaceflow-series-unknown--d24cca18","Aug 6, 2019")</f>
        <v>Aug 6, 2019</v>
      </c>
      <c r="AI1009" s="1453">
        <v>1800000.0</v>
      </c>
      <c r="AJ1009" s="124"/>
      <c r="AK1009" s="125"/>
      <c r="AL1009" s="124"/>
      <c r="AM1009" s="125"/>
      <c r="AN1009" s="124"/>
      <c r="AO1009" s="125"/>
      <c r="AP1009" s="124"/>
      <c r="AQ1009" s="125"/>
      <c r="AR1009" s="124"/>
      <c r="AS1009" s="124"/>
      <c r="AT1009" s="124"/>
      <c r="AU1009" s="137"/>
      <c r="AV1009" s="124"/>
      <c r="AW1009" s="38"/>
      <c r="AX1009" s="124"/>
      <c r="AY1009" s="38"/>
      <c r="AZ1009" s="124"/>
      <c r="BA1009" s="137"/>
      <c r="BB1009" s="124"/>
      <c r="BC1009" s="137"/>
      <c r="BD1009" s="124"/>
      <c r="BE1009" s="38"/>
      <c r="BF1009" s="123"/>
      <c r="BG1009" s="16"/>
      <c r="BH1009" s="16"/>
      <c r="BI1009" s="16"/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6"/>
      <c r="CA1009" s="16"/>
      <c r="CB1009" s="16"/>
      <c r="CC1009" s="16"/>
      <c r="CD1009" s="16"/>
      <c r="CE1009" s="16"/>
      <c r="CF1009" s="16"/>
      <c r="CG1009" s="16"/>
      <c r="CH1009" s="16"/>
      <c r="CI1009" s="16"/>
      <c r="CJ1009" s="16"/>
      <c r="CK1009" s="16"/>
      <c r="CL1009" s="16"/>
      <c r="CM1009" s="16"/>
      <c r="CN1009" s="16"/>
      <c r="CO1009" s="16"/>
      <c r="CP1009" s="16"/>
    </row>
    <row r="1010" ht="15.75" customHeight="1">
      <c r="A1010" s="1162" t="s">
        <v>4865</v>
      </c>
      <c r="B1010" s="16"/>
      <c r="C1010" s="17" t="s">
        <v>207</v>
      </c>
      <c r="D1010" s="236" t="s">
        <v>4866</v>
      </c>
      <c r="E1010" s="18" t="s">
        <v>4867</v>
      </c>
      <c r="F1010" s="493"/>
      <c r="G1010" s="22"/>
      <c r="H1010" s="22" t="s">
        <v>99</v>
      </c>
      <c r="I1010" s="23" t="s">
        <v>100</v>
      </c>
      <c r="J1010" s="24"/>
      <c r="K1010" s="23"/>
      <c r="L1010" s="23">
        <v>2012.0</v>
      </c>
      <c r="M1010" s="25">
        <f t="shared" si="692"/>
        <v>13</v>
      </c>
      <c r="N1010" s="26">
        <f t="shared" si="693"/>
        <v>1</v>
      </c>
      <c r="O1010" s="27" t="str">
        <f t="shared" si="3"/>
        <v>#N/A</v>
      </c>
      <c r="P1010" s="28"/>
      <c r="Q1010" s="28"/>
      <c r="R1010" s="28"/>
      <c r="S1010" s="28"/>
      <c r="T1010" s="29">
        <f t="shared" si="694"/>
        <v>184615.3846</v>
      </c>
      <c r="U1010" s="28"/>
      <c r="V1010" s="30">
        <f t="shared" si="425"/>
        <v>2400000</v>
      </c>
      <c r="W1010" s="30"/>
      <c r="X1010" s="33"/>
      <c r="Y1010" s="33">
        <f t="shared" si="695"/>
        <v>0</v>
      </c>
      <c r="Z1010" s="692"/>
      <c r="AA1010" s="665"/>
      <c r="AB1010" s="36"/>
      <c r="AC1010" s="36"/>
      <c r="AD1010" s="1102"/>
      <c r="AE1010" s="1103"/>
      <c r="AF1010" s="320">
        <v>42577.0</v>
      </c>
      <c r="AG1010" s="1104">
        <v>2400000.0</v>
      </c>
      <c r="AH1010" s="1105"/>
      <c r="AI1010" s="1106"/>
      <c r="AJ1010" s="1454"/>
      <c r="AK1010" s="1104"/>
      <c r="AL1010" s="37"/>
      <c r="AM1010" s="1104"/>
      <c r="AN1010" s="44"/>
      <c r="AO1010" s="36"/>
      <c r="AP1010" s="44"/>
      <c r="AQ1010" s="36"/>
      <c r="AR1010" s="44"/>
      <c r="AS1010" s="44"/>
      <c r="AT1010" s="44"/>
      <c r="AU1010" s="45"/>
      <c r="AV1010" s="44"/>
      <c r="AW1010" s="38"/>
      <c r="AX1010" s="44"/>
      <c r="AY1010" s="38"/>
      <c r="AZ1010" s="44"/>
      <c r="BA1010" s="45"/>
      <c r="BB1010" s="44"/>
      <c r="BC1010" s="45"/>
      <c r="BD1010" s="44"/>
      <c r="BE1010" s="38"/>
      <c r="BF1010" s="36"/>
      <c r="BG1010" s="16"/>
      <c r="BH1010" s="16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  <c r="CD1010" s="16"/>
      <c r="CE1010" s="16"/>
      <c r="CF1010" s="16"/>
      <c r="CG1010" s="16"/>
      <c r="CH1010" s="16"/>
      <c r="CI1010" s="16"/>
      <c r="CJ1010" s="16"/>
      <c r="CK1010" s="16"/>
      <c r="CL1010" s="16"/>
      <c r="CM1010" s="16"/>
      <c r="CN1010" s="16"/>
      <c r="CO1010" s="16"/>
      <c r="CP1010" s="16"/>
    </row>
    <row r="1011" ht="15.75" customHeight="1">
      <c r="A1011" s="245" t="s">
        <v>4868</v>
      </c>
      <c r="B1011" s="16"/>
      <c r="C1011" s="17" t="s">
        <v>207</v>
      </c>
      <c r="D1011" s="236" t="s">
        <v>3222</v>
      </c>
      <c r="E1011" s="236" t="s">
        <v>4869</v>
      </c>
      <c r="F1011" s="316" t="s">
        <v>4870</v>
      </c>
      <c r="G1011" s="317"/>
      <c r="H1011" s="22" t="s">
        <v>129</v>
      </c>
      <c r="I1011" s="23" t="s">
        <v>129</v>
      </c>
      <c r="J1011" s="237"/>
      <c r="K1011" s="36"/>
      <c r="L1011" s="23">
        <v>2018.0</v>
      </c>
      <c r="M1011" s="25">
        <f t="shared" si="692"/>
        <v>7</v>
      </c>
      <c r="N1011" s="26">
        <f t="shared" si="693"/>
        <v>1</v>
      </c>
      <c r="O1011" s="27" t="str">
        <f t="shared" si="3"/>
        <v>#N/A</v>
      </c>
      <c r="P1011" s="28"/>
      <c r="Q1011" s="28"/>
      <c r="R1011" s="28"/>
      <c r="S1011" s="28"/>
      <c r="T1011" s="29">
        <f t="shared" si="694"/>
        <v>342857.1429</v>
      </c>
      <c r="U1011" s="28"/>
      <c r="V1011" s="30">
        <f t="shared" si="425"/>
        <v>2400000</v>
      </c>
      <c r="W1011" s="30"/>
      <c r="X1011" s="847"/>
      <c r="Y1011" s="33">
        <f t="shared" si="695"/>
        <v>0</v>
      </c>
      <c r="Z1011" s="692"/>
      <c r="AA1011" s="665"/>
      <c r="AB1011" s="36"/>
      <c r="AC1011" s="36"/>
      <c r="AD1011" s="44"/>
      <c r="AE1011" s="46"/>
      <c r="AF1011" s="320">
        <v>43780.0</v>
      </c>
      <c r="AG1011" s="38">
        <v>2400000.0</v>
      </c>
      <c r="AH1011" s="36"/>
      <c r="AI1011" s="159"/>
      <c r="AJ1011" s="37"/>
      <c r="AK1011" s="46"/>
      <c r="AL1011" s="44"/>
      <c r="AM1011" s="46"/>
      <c r="AN1011" s="37"/>
      <c r="AO1011" s="46"/>
      <c r="AP1011" s="44"/>
      <c r="AQ1011" s="46"/>
      <c r="AR1011" s="44"/>
      <c r="AS1011" s="44"/>
      <c r="AT1011" s="44"/>
      <c r="AU1011" s="45"/>
      <c r="AV1011" s="44"/>
      <c r="AW1011" s="38"/>
      <c r="AX1011" s="44"/>
      <c r="AY1011" s="38"/>
      <c r="AZ1011" s="44"/>
      <c r="BA1011" s="45"/>
      <c r="BB1011" s="44"/>
      <c r="BC1011" s="45"/>
      <c r="BD1011" s="44"/>
      <c r="BE1011" s="38"/>
      <c r="BF1011" s="36"/>
      <c r="BG1011" s="68"/>
      <c r="BH1011" s="68"/>
      <c r="BI1011" s="68"/>
      <c r="BJ1011" s="68"/>
      <c r="BK1011" s="68"/>
      <c r="BL1011" s="68"/>
      <c r="BM1011" s="68"/>
      <c r="BN1011" s="68"/>
      <c r="BO1011" s="68"/>
      <c r="BP1011" s="68"/>
      <c r="BQ1011" s="68"/>
      <c r="BR1011" s="68"/>
      <c r="BS1011" s="68"/>
      <c r="BT1011" s="68"/>
      <c r="BU1011" s="68"/>
      <c r="BV1011" s="68"/>
      <c r="BW1011" s="68"/>
      <c r="BX1011" s="68"/>
      <c r="BY1011" s="68"/>
      <c r="BZ1011" s="68"/>
      <c r="CA1011" s="68"/>
      <c r="CB1011" s="68"/>
      <c r="CC1011" s="68"/>
      <c r="CD1011" s="68"/>
      <c r="CE1011" s="68"/>
      <c r="CF1011" s="68"/>
      <c r="CG1011" s="68"/>
      <c r="CH1011" s="68"/>
      <c r="CI1011" s="68"/>
      <c r="CJ1011" s="68"/>
      <c r="CK1011" s="68"/>
      <c r="CL1011" s="68"/>
      <c r="CM1011" s="68"/>
      <c r="CN1011" s="68"/>
      <c r="CO1011" s="68"/>
      <c r="CP1011" s="68"/>
    </row>
    <row r="1012" ht="15.75" customHeight="1">
      <c r="A1012" s="860" t="s">
        <v>4871</v>
      </c>
      <c r="B1012" s="115"/>
      <c r="C1012" s="116" t="s">
        <v>1257</v>
      </c>
      <c r="D1012" s="192" t="s">
        <v>4872</v>
      </c>
      <c r="E1012" s="192" t="s">
        <v>4873</v>
      </c>
      <c r="F1012" s="118" t="s">
        <v>4874</v>
      </c>
      <c r="G1012" s="286"/>
      <c r="H1012" s="119" t="s">
        <v>1065</v>
      </c>
      <c r="I1012" s="25" t="s">
        <v>639</v>
      </c>
      <c r="J1012" s="287"/>
      <c r="K1012" s="74"/>
      <c r="L1012" s="25">
        <v>2016.0</v>
      </c>
      <c r="M1012" s="25">
        <f t="shared" si="692"/>
        <v>9</v>
      </c>
      <c r="N1012" s="26">
        <f t="shared" si="693"/>
        <v>1</v>
      </c>
      <c r="O1012" s="27" t="str">
        <f t="shared" si="3"/>
        <v>#N/A</v>
      </c>
      <c r="P1012" s="28"/>
      <c r="Q1012" s="28"/>
      <c r="R1012" s="28"/>
      <c r="S1012" s="28"/>
      <c r="T1012" s="29">
        <f t="shared" si="694"/>
        <v>266666.6667</v>
      </c>
      <c r="U1012" s="28"/>
      <c r="V1012" s="30">
        <f t="shared" si="425"/>
        <v>2400000</v>
      </c>
      <c r="W1012" s="30"/>
      <c r="X1012" s="32"/>
      <c r="Y1012" s="33">
        <f t="shared" si="695"/>
        <v>0</v>
      </c>
      <c r="Z1012" s="692"/>
      <c r="AA1012" s="665"/>
      <c r="AB1012" s="123"/>
      <c r="AC1012" s="123"/>
      <c r="AD1012" s="1368"/>
      <c r="AE1012" s="1369"/>
      <c r="AF1012" s="320">
        <v>44054.0</v>
      </c>
      <c r="AG1012" s="127">
        <v>2400000.0</v>
      </c>
      <c r="AH1012" s="123"/>
      <c r="AI1012" s="128"/>
      <c r="AJ1012" s="124"/>
      <c r="AK1012" s="125"/>
      <c r="AL1012" s="124"/>
      <c r="AM1012" s="125"/>
      <c r="AN1012" s="124"/>
      <c r="AO1012" s="125"/>
      <c r="AP1012" s="124"/>
      <c r="AQ1012" s="125"/>
      <c r="AR1012" s="124"/>
      <c r="AS1012" s="124"/>
      <c r="AT1012" s="124"/>
      <c r="AU1012" s="137"/>
      <c r="AV1012" s="124"/>
      <c r="AW1012" s="38"/>
      <c r="AX1012" s="124"/>
      <c r="AY1012" s="38"/>
      <c r="AZ1012" s="124"/>
      <c r="BA1012" s="137"/>
      <c r="BB1012" s="124"/>
      <c r="BC1012" s="137"/>
      <c r="BD1012" s="124"/>
      <c r="BE1012" s="38"/>
      <c r="BF1012" s="123"/>
      <c r="BG1012" s="16"/>
      <c r="BH1012" s="16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  <c r="CD1012" s="16"/>
      <c r="CE1012" s="16"/>
      <c r="CF1012" s="16"/>
      <c r="CG1012" s="16"/>
      <c r="CH1012" s="16"/>
      <c r="CI1012" s="16"/>
      <c r="CJ1012" s="16"/>
      <c r="CK1012" s="16"/>
      <c r="CL1012" s="16"/>
      <c r="CM1012" s="16"/>
      <c r="CN1012" s="16"/>
      <c r="CO1012" s="16"/>
      <c r="CP1012" s="16"/>
    </row>
    <row r="1013" ht="15.75" customHeight="1">
      <c r="A1013" s="442" t="s">
        <v>4875</v>
      </c>
      <c r="B1013" s="68"/>
      <c r="C1013" s="858" t="s">
        <v>1007</v>
      </c>
      <c r="D1013" s="200" t="s">
        <v>4876</v>
      </c>
      <c r="E1013" s="200" t="s">
        <v>4877</v>
      </c>
      <c r="F1013" s="177" t="s">
        <v>4878</v>
      </c>
      <c r="G1013" s="140" t="s">
        <v>3273</v>
      </c>
      <c r="H1013" s="186" t="s">
        <v>128</v>
      </c>
      <c r="I1013" s="74" t="s">
        <v>156</v>
      </c>
      <c r="J1013" s="155"/>
      <c r="K1013" s="26">
        <v>1.0</v>
      </c>
      <c r="L1013" s="26">
        <v>2013.0</v>
      </c>
      <c r="M1013" s="25">
        <f t="shared" si="692"/>
        <v>12</v>
      </c>
      <c r="N1013" s="26">
        <f t="shared" si="693"/>
        <v>1</v>
      </c>
      <c r="O1013" s="27" t="str">
        <f t="shared" si="3"/>
        <v>#N/A</v>
      </c>
      <c r="P1013" s="28"/>
      <c r="Q1013" s="28"/>
      <c r="R1013" s="28"/>
      <c r="S1013" s="28"/>
      <c r="T1013" s="29">
        <f t="shared" si="694"/>
        <v>200000</v>
      </c>
      <c r="U1013" s="28"/>
      <c r="V1013" s="30">
        <f t="shared" si="425"/>
        <v>2400000</v>
      </c>
      <c r="W1013" s="30"/>
      <c r="X1013" s="73"/>
      <c r="Y1013" s="33">
        <f t="shared" si="695"/>
        <v>0</v>
      </c>
      <c r="Z1013" s="692"/>
      <c r="AA1013" s="665"/>
      <c r="AB1013" s="74"/>
      <c r="AC1013" s="74"/>
      <c r="AD1013" s="79"/>
      <c r="AE1013" s="84"/>
      <c r="AF1013" s="175" t="str">
        <f>HYPERLINK("https://www.crunchbase.com/organization/rentlogic#section-funding-rounds"," May 15, 2018")</f>
        <v> May 15, 2018</v>
      </c>
      <c r="AG1013" s="76">
        <v>2400000.0</v>
      </c>
      <c r="AH1013" s="74"/>
      <c r="AI1013" s="78"/>
      <c r="AJ1013" s="79"/>
      <c r="AK1013" s="84"/>
      <c r="AL1013" s="79"/>
      <c r="AM1013" s="84"/>
      <c r="AN1013" s="79"/>
      <c r="AO1013" s="84"/>
      <c r="AP1013" s="79"/>
      <c r="AQ1013" s="84"/>
      <c r="AR1013" s="79"/>
      <c r="AS1013" s="79"/>
      <c r="AT1013" s="79"/>
      <c r="AU1013" s="80"/>
      <c r="AV1013" s="79"/>
      <c r="AW1013" s="38"/>
      <c r="AX1013" s="79"/>
      <c r="AY1013" s="38"/>
      <c r="AZ1013" s="79"/>
      <c r="BA1013" s="80"/>
      <c r="BB1013" s="79"/>
      <c r="BC1013" s="80"/>
      <c r="BD1013" s="79"/>
      <c r="BE1013" s="38"/>
      <c r="BF1013" s="74"/>
      <c r="BG1013" s="16"/>
      <c r="BH1013" s="16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  <c r="CD1013" s="16"/>
      <c r="CE1013" s="16"/>
      <c r="CF1013" s="16"/>
      <c r="CG1013" s="16"/>
      <c r="CH1013" s="16"/>
      <c r="CI1013" s="16"/>
      <c r="CJ1013" s="16"/>
      <c r="CK1013" s="16"/>
      <c r="CL1013" s="16"/>
      <c r="CM1013" s="16"/>
      <c r="CN1013" s="16"/>
      <c r="CO1013" s="16"/>
      <c r="CP1013" s="16"/>
    </row>
    <row r="1014" ht="15.75" customHeight="1">
      <c r="A1014" s="400" t="s">
        <v>4879</v>
      </c>
      <c r="B1014" s="115"/>
      <c r="C1014" s="116" t="s">
        <v>84</v>
      </c>
      <c r="D1014" s="449"/>
      <c r="E1014" s="161" t="s">
        <v>4880</v>
      </c>
      <c r="F1014" s="402" t="s">
        <v>4881</v>
      </c>
      <c r="G1014" s="286"/>
      <c r="H1014" s="119" t="s">
        <v>371</v>
      </c>
      <c r="I1014" s="25" t="s">
        <v>372</v>
      </c>
      <c r="J1014" s="287"/>
      <c r="K1014" s="25">
        <v>2.0</v>
      </c>
      <c r="L1014" s="25">
        <v>2018.0</v>
      </c>
      <c r="M1014" s="123"/>
      <c r="N1014" s="123"/>
      <c r="O1014" s="27" t="str">
        <f t="shared" si="3"/>
        <v>#N/A</v>
      </c>
      <c r="P1014" s="55"/>
      <c r="Q1014" s="55"/>
      <c r="R1014" s="55"/>
      <c r="S1014" s="55"/>
      <c r="T1014" s="55"/>
      <c r="U1014" s="55"/>
      <c r="V1014" s="30">
        <f t="shared" si="425"/>
        <v>2400000</v>
      </c>
      <c r="W1014" s="30"/>
      <c r="X1014" s="403"/>
      <c r="Y1014" s="403"/>
      <c r="Z1014" s="692"/>
      <c r="AA1014" s="665"/>
      <c r="AB1014" s="123"/>
      <c r="AC1014" s="123"/>
      <c r="AD1014" s="404">
        <v>44531.0</v>
      </c>
      <c r="AE1014" s="335">
        <v>400000.0</v>
      </c>
      <c r="AF1014" s="62">
        <v>44865.0</v>
      </c>
      <c r="AG1014" s="335">
        <v>2000000.0</v>
      </c>
      <c r="AH1014" s="123"/>
      <c r="AI1014" s="123"/>
      <c r="AJ1014" s="123"/>
      <c r="AK1014" s="123"/>
      <c r="AL1014" s="123"/>
      <c r="AM1014" s="123"/>
      <c r="AN1014" s="123"/>
      <c r="AO1014" s="123"/>
      <c r="AP1014" s="123"/>
      <c r="AQ1014" s="123"/>
      <c r="AR1014" s="123"/>
      <c r="AS1014" s="123"/>
      <c r="AT1014" s="123"/>
      <c r="AU1014" s="137"/>
      <c r="AV1014" s="123"/>
      <c r="AW1014" s="38"/>
      <c r="AX1014" s="123"/>
      <c r="AY1014" s="38"/>
      <c r="AZ1014" s="123"/>
      <c r="BA1014" s="137"/>
      <c r="BB1014" s="123"/>
      <c r="BC1014" s="137"/>
      <c r="BD1014" s="123"/>
      <c r="BE1014" s="38"/>
      <c r="BF1014" s="123"/>
      <c r="BG1014" s="68"/>
      <c r="BH1014" s="68"/>
      <c r="BI1014" s="68"/>
      <c r="BJ1014" s="68"/>
      <c r="BK1014" s="68"/>
      <c r="BL1014" s="68"/>
      <c r="BM1014" s="68"/>
      <c r="BN1014" s="68"/>
      <c r="BO1014" s="68"/>
      <c r="BP1014" s="68"/>
      <c r="BQ1014" s="68"/>
      <c r="BR1014" s="68"/>
      <c r="BS1014" s="68"/>
      <c r="BT1014" s="68"/>
      <c r="BU1014" s="68"/>
      <c r="BV1014" s="68"/>
      <c r="BW1014" s="68"/>
      <c r="BX1014" s="68"/>
      <c r="BY1014" s="68"/>
      <c r="BZ1014" s="68"/>
      <c r="CA1014" s="68"/>
      <c r="CB1014" s="68"/>
      <c r="CC1014" s="68"/>
      <c r="CD1014" s="68"/>
      <c r="CE1014" s="68"/>
      <c r="CF1014" s="68"/>
      <c r="CG1014" s="68"/>
      <c r="CH1014" s="68"/>
      <c r="CI1014" s="68"/>
      <c r="CJ1014" s="68"/>
      <c r="CK1014" s="68"/>
      <c r="CL1014" s="68"/>
      <c r="CM1014" s="68"/>
      <c r="CN1014" s="68"/>
      <c r="CO1014" s="68"/>
      <c r="CP1014" s="68"/>
    </row>
    <row r="1015" ht="15.75" customHeight="1">
      <c r="A1015" s="47" t="s">
        <v>4882</v>
      </c>
      <c r="C1015" s="48" t="s">
        <v>84</v>
      </c>
      <c r="D1015" s="351"/>
      <c r="E1015" s="49" t="s">
        <v>4883</v>
      </c>
      <c r="F1015" s="352" t="s">
        <v>4884</v>
      </c>
      <c r="G1015" s="353"/>
      <c r="H1015" s="53" t="s">
        <v>4623</v>
      </c>
      <c r="I1015" s="54" t="s">
        <v>4624</v>
      </c>
      <c r="J1015" s="55"/>
      <c r="K1015" s="55"/>
      <c r="L1015" s="56">
        <v>2021.0</v>
      </c>
      <c r="M1015" s="55"/>
      <c r="N1015" s="55"/>
      <c r="O1015" s="27" t="str">
        <f t="shared" si="3"/>
        <v>#N/A</v>
      </c>
      <c r="P1015" s="55"/>
      <c r="Q1015" s="55"/>
      <c r="R1015" s="55"/>
      <c r="S1015" s="55"/>
      <c r="T1015" s="55"/>
      <c r="U1015" s="55"/>
      <c r="V1015" s="30">
        <f t="shared" si="425"/>
        <v>2400000</v>
      </c>
      <c r="W1015" s="30"/>
      <c r="X1015" s="58"/>
      <c r="Y1015" s="58"/>
      <c r="Z1015" s="692"/>
      <c r="AA1015" s="665"/>
      <c r="AB1015" s="55"/>
      <c r="AC1015" s="55"/>
      <c r="AD1015" s="880">
        <v>44713.0</v>
      </c>
      <c r="AE1015" s="38">
        <v>100000.0</v>
      </c>
      <c r="AF1015" s="62">
        <v>44960.0</v>
      </c>
      <c r="AG1015" s="38">
        <v>2300000.0</v>
      </c>
      <c r="AH1015" s="55"/>
      <c r="AI1015" s="38"/>
      <c r="AJ1015" s="55"/>
      <c r="AK1015" s="38"/>
      <c r="AL1015" s="55"/>
      <c r="AM1015" s="38"/>
      <c r="AN1015" s="55"/>
      <c r="AO1015" s="38"/>
      <c r="AP1015" s="356"/>
      <c r="AQ1015" s="38"/>
      <c r="AR1015" s="55"/>
      <c r="AS1015" s="38"/>
      <c r="AT1015" s="55"/>
      <c r="AU1015" s="38"/>
      <c r="AV1015" s="55"/>
      <c r="AW1015" s="38"/>
      <c r="AX1015" s="55"/>
      <c r="AY1015" s="38"/>
      <c r="AZ1015" s="55"/>
      <c r="BA1015" s="38"/>
      <c r="BB1015" s="55"/>
      <c r="BC1015" s="38"/>
      <c r="BD1015" s="55"/>
      <c r="BE1015" s="38"/>
      <c r="BF1015" s="55"/>
      <c r="BG1015" s="68"/>
      <c r="BH1015" s="68"/>
      <c r="BI1015" s="68"/>
      <c r="BJ1015" s="68"/>
      <c r="BK1015" s="68"/>
      <c r="BL1015" s="68"/>
      <c r="BM1015" s="68"/>
      <c r="BN1015" s="68"/>
      <c r="BO1015" s="68"/>
      <c r="BP1015" s="68"/>
      <c r="BQ1015" s="68"/>
      <c r="BR1015" s="68"/>
      <c r="BS1015" s="68"/>
      <c r="BT1015" s="68"/>
      <c r="BU1015" s="68"/>
      <c r="BV1015" s="68"/>
      <c r="BW1015" s="68"/>
      <c r="BX1015" s="68"/>
      <c r="BY1015" s="68"/>
      <c r="BZ1015" s="68"/>
      <c r="CA1015" s="68"/>
      <c r="CB1015" s="68"/>
      <c r="CC1015" s="68"/>
      <c r="CD1015" s="68"/>
      <c r="CE1015" s="68"/>
      <c r="CF1015" s="68"/>
      <c r="CG1015" s="68"/>
      <c r="CH1015" s="68"/>
      <c r="CI1015" s="68"/>
      <c r="CJ1015" s="68"/>
      <c r="CK1015" s="68"/>
      <c r="CL1015" s="68"/>
      <c r="CM1015" s="68"/>
      <c r="CN1015" s="68"/>
      <c r="CO1015" s="68"/>
      <c r="CP1015" s="68"/>
    </row>
    <row r="1016" ht="15.75" customHeight="1">
      <c r="A1016" s="47" t="s">
        <v>4885</v>
      </c>
      <c r="C1016" s="48" t="s">
        <v>132</v>
      </c>
      <c r="D1016" s="351"/>
      <c r="E1016" s="49" t="s">
        <v>4886</v>
      </c>
      <c r="F1016" s="352" t="s">
        <v>4887</v>
      </c>
      <c r="G1016" s="353"/>
      <c r="H1016" s="53" t="s">
        <v>4888</v>
      </c>
      <c r="I1016" s="54" t="s">
        <v>1384</v>
      </c>
      <c r="J1016" s="55"/>
      <c r="K1016" s="55"/>
      <c r="L1016" s="56">
        <v>2005.0</v>
      </c>
      <c r="M1016" s="55"/>
      <c r="N1016" s="55"/>
      <c r="O1016" s="27" t="str">
        <f t="shared" si="3"/>
        <v>#N/A</v>
      </c>
      <c r="P1016" s="55"/>
      <c r="Q1016" s="55"/>
      <c r="R1016" s="55"/>
      <c r="S1016" s="55"/>
      <c r="T1016" s="55"/>
      <c r="U1016" s="55"/>
      <c r="V1016" s="30">
        <f t="shared" si="425"/>
        <v>2375000</v>
      </c>
      <c r="W1016" s="30"/>
      <c r="X1016" s="58"/>
      <c r="Y1016" s="58"/>
      <c r="Z1016" s="692"/>
      <c r="AA1016" s="665"/>
      <c r="AB1016" s="55"/>
      <c r="AC1016" s="55"/>
      <c r="AD1016" s="880">
        <v>43536.0</v>
      </c>
      <c r="AE1016" s="38">
        <v>600000.0</v>
      </c>
      <c r="AF1016" s="62">
        <v>44553.0</v>
      </c>
      <c r="AG1016" s="38">
        <v>575000.0</v>
      </c>
      <c r="AH1016" s="62">
        <v>44960.0</v>
      </c>
      <c r="AI1016" s="38">
        <v>1200000.0</v>
      </c>
      <c r="AJ1016" s="55"/>
      <c r="AK1016" s="38"/>
      <c r="AL1016" s="55"/>
      <c r="AM1016" s="38"/>
      <c r="AN1016" s="55"/>
      <c r="AO1016" s="38"/>
      <c r="AP1016" s="356"/>
      <c r="AQ1016" s="38"/>
      <c r="AR1016" s="55"/>
      <c r="AS1016" s="38"/>
      <c r="AT1016" s="55"/>
      <c r="AU1016" s="38"/>
      <c r="AV1016" s="55"/>
      <c r="AW1016" s="38"/>
      <c r="AX1016" s="55"/>
      <c r="AY1016" s="38"/>
      <c r="AZ1016" s="55"/>
      <c r="BA1016" s="38"/>
      <c r="BB1016" s="55"/>
      <c r="BC1016" s="38"/>
      <c r="BD1016" s="55"/>
      <c r="BE1016" s="38"/>
      <c r="BF1016" s="55"/>
      <c r="BG1016" s="16"/>
      <c r="BH1016" s="16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  <c r="CD1016" s="16"/>
      <c r="CE1016" s="16"/>
      <c r="CF1016" s="16"/>
      <c r="CG1016" s="16"/>
      <c r="CH1016" s="16"/>
      <c r="CI1016" s="16"/>
      <c r="CJ1016" s="16"/>
      <c r="CK1016" s="16"/>
      <c r="CL1016" s="16"/>
      <c r="CM1016" s="16"/>
      <c r="CN1016" s="16"/>
      <c r="CO1016" s="16"/>
      <c r="CP1016" s="16"/>
    </row>
    <row r="1017" ht="15.75" customHeight="1">
      <c r="A1017" s="666" t="s">
        <v>4889</v>
      </c>
      <c r="B1017" s="115" t="s">
        <v>4164</v>
      </c>
      <c r="C1017" s="116" t="s">
        <v>207</v>
      </c>
      <c r="D1017" s="667" t="s">
        <v>4890</v>
      </c>
      <c r="E1017" s="667" t="s">
        <v>4891</v>
      </c>
      <c r="F1017" s="668" t="s">
        <v>4892</v>
      </c>
      <c r="G1017" s="286" t="s">
        <v>4893</v>
      </c>
      <c r="H1017" s="286" t="s">
        <v>1065</v>
      </c>
      <c r="I1017" s="123" t="s">
        <v>4894</v>
      </c>
      <c r="J1017" s="287"/>
      <c r="K1017" s="123">
        <v>3.0</v>
      </c>
      <c r="L1017" s="25">
        <v>2014.0</v>
      </c>
      <c r="M1017" s="25">
        <f>year(now()) -L1017</f>
        <v>11</v>
      </c>
      <c r="N1017" s="26">
        <f>counta(AE1017,AG1017,AI1017,AK1017,AM1017,AO1017,AQ1017,AS1017,AU1017,AW1017,AY1017,BA1017,BC1017)</f>
        <v>1</v>
      </c>
      <c r="O1017" s="27" t="str">
        <f t="shared" si="3"/>
        <v>#N/A</v>
      </c>
      <c r="P1017" s="28"/>
      <c r="Q1017" s="28"/>
      <c r="R1017" s="28"/>
      <c r="S1017" s="28"/>
      <c r="T1017" s="29">
        <f>V1017/M1017</f>
        <v>215419.8645</v>
      </c>
      <c r="U1017" s="28"/>
      <c r="V1017" s="30">
        <f t="shared" si="425"/>
        <v>2369618.51</v>
      </c>
      <c r="W1017" s="30"/>
      <c r="X1017" s="403"/>
      <c r="Y1017" s="33">
        <f>(max(AE1017,AG1017,AI1017,AK1017,AM1017,AO1017,AQ1017,AS1017,AU1017,AW1017,AY1017,BA1017,BC1017)/min(AE1017,AG1017,AI1017,AK1017))^(1/M1017)-1</f>
        <v>0</v>
      </c>
      <c r="Z1017" s="692"/>
      <c r="AA1017" s="665"/>
      <c r="AB1017" s="123"/>
      <c r="AC1017" s="123"/>
      <c r="AD1017" s="169"/>
      <c r="AE1017" s="127"/>
      <c r="AF1017" s="126" t="str">
        <f>HYPERLINK("https://www.crunchbase.com/funding_round/innerspace-technology-inc-seed--5a34382c"," 2/15/2017")</f>
        <v> 2/15/2017</v>
      </c>
      <c r="AG1017" s="127">
        <v>2369618.51</v>
      </c>
      <c r="AH1017" s="123"/>
      <c r="AI1017" s="128"/>
      <c r="AJ1017" s="124"/>
      <c r="AK1017" s="125"/>
      <c r="AL1017" s="124"/>
      <c r="AM1017" s="125"/>
      <c r="AN1017" s="124"/>
      <c r="AO1017" s="125"/>
      <c r="AP1017" s="124"/>
      <c r="AQ1017" s="125"/>
      <c r="AR1017" s="124"/>
      <c r="AS1017" s="124"/>
      <c r="AT1017" s="124"/>
      <c r="AU1017" s="137"/>
      <c r="AV1017" s="124"/>
      <c r="AW1017" s="38"/>
      <c r="AX1017" s="124"/>
      <c r="AY1017" s="38"/>
      <c r="AZ1017" s="124"/>
      <c r="BA1017" s="137"/>
      <c r="BB1017" s="124"/>
      <c r="BC1017" s="137"/>
      <c r="BD1017" s="124"/>
      <c r="BE1017" s="38"/>
      <c r="BF1017" s="123"/>
      <c r="BG1017" s="68"/>
      <c r="BH1017" s="68"/>
      <c r="BI1017" s="68"/>
      <c r="BJ1017" s="68"/>
      <c r="BK1017" s="68"/>
      <c r="BL1017" s="68"/>
      <c r="BM1017" s="68"/>
      <c r="BN1017" s="68"/>
      <c r="BO1017" s="68"/>
      <c r="BP1017" s="68"/>
      <c r="BQ1017" s="68"/>
      <c r="BR1017" s="68"/>
      <c r="BS1017" s="68"/>
      <c r="BT1017" s="68"/>
      <c r="BU1017" s="68"/>
      <c r="BV1017" s="68"/>
      <c r="BW1017" s="68"/>
      <c r="BX1017" s="68"/>
      <c r="BY1017" s="68"/>
      <c r="BZ1017" s="68"/>
      <c r="CA1017" s="68"/>
      <c r="CB1017" s="68"/>
      <c r="CC1017" s="68"/>
      <c r="CD1017" s="68"/>
      <c r="CE1017" s="68"/>
      <c r="CF1017" s="68"/>
      <c r="CG1017" s="68"/>
      <c r="CH1017" s="68"/>
      <c r="CI1017" s="68"/>
      <c r="CJ1017" s="68"/>
      <c r="CK1017" s="68"/>
      <c r="CL1017" s="68"/>
      <c r="CM1017" s="68"/>
      <c r="CN1017" s="68"/>
      <c r="CO1017" s="68"/>
      <c r="CP1017" s="68"/>
    </row>
    <row r="1018" ht="15.75" customHeight="1">
      <c r="A1018" s="47" t="s">
        <v>4895</v>
      </c>
      <c r="C1018" s="48" t="s">
        <v>132</v>
      </c>
      <c r="D1018" s="351"/>
      <c r="E1018" s="617" t="s">
        <v>4896</v>
      </c>
      <c r="F1018" s="352" t="s">
        <v>4897</v>
      </c>
      <c r="G1018" s="353"/>
      <c r="H1018" s="53" t="s">
        <v>99</v>
      </c>
      <c r="I1018" s="54" t="s">
        <v>100</v>
      </c>
      <c r="J1018" s="55"/>
      <c r="K1018" s="54">
        <v>2.0</v>
      </c>
      <c r="L1018" s="961"/>
      <c r="M1018" s="55"/>
      <c r="N1018" s="55"/>
      <c r="O1018" s="27" t="str">
        <f t="shared" si="3"/>
        <v>#N/A</v>
      </c>
      <c r="P1018" s="55"/>
      <c r="Q1018" s="55"/>
      <c r="R1018" s="55"/>
      <c r="S1018" s="55"/>
      <c r="T1018" s="55"/>
      <c r="U1018" s="55"/>
      <c r="V1018" s="30">
        <f t="shared" si="425"/>
        <v>2332000</v>
      </c>
      <c r="W1018" s="30"/>
      <c r="X1018" s="58"/>
      <c r="Y1018" s="58"/>
      <c r="Z1018" s="692"/>
      <c r="AA1018" s="665"/>
      <c r="AB1018" s="55"/>
      <c r="AC1018" s="55"/>
      <c r="AD1018" s="355"/>
      <c r="AE1018" s="38"/>
      <c r="AF1018" s="62">
        <v>45000.0</v>
      </c>
      <c r="AG1018" s="38">
        <f>2200000*1.06</f>
        <v>2332000</v>
      </c>
      <c r="AH1018" s="55"/>
      <c r="AI1018" s="38"/>
      <c r="AJ1018" s="55"/>
      <c r="AK1018" s="38"/>
      <c r="AL1018" s="55"/>
      <c r="AM1018" s="38"/>
      <c r="AN1018" s="55"/>
      <c r="AO1018" s="38"/>
      <c r="AP1018" s="356"/>
      <c r="AQ1018" s="38"/>
      <c r="AR1018" s="55"/>
      <c r="AS1018" s="38"/>
      <c r="AT1018" s="55"/>
      <c r="AU1018" s="38"/>
      <c r="AV1018" s="55"/>
      <c r="AW1018" s="38"/>
      <c r="AX1018" s="55"/>
      <c r="AY1018" s="38"/>
      <c r="AZ1018" s="55"/>
      <c r="BA1018" s="38"/>
      <c r="BB1018" s="55"/>
      <c r="BC1018" s="38"/>
      <c r="BD1018" s="55"/>
      <c r="BE1018" s="38"/>
      <c r="BF1018" s="55"/>
      <c r="BG1018" s="16"/>
      <c r="BH1018" s="16"/>
      <c r="BI1018" s="16"/>
      <c r="BJ1018" s="16"/>
      <c r="BK1018" s="16"/>
      <c r="BL1018" s="16"/>
      <c r="BM1018" s="16"/>
      <c r="BN1018" s="16"/>
      <c r="BO1018" s="16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6"/>
      <c r="CA1018" s="16"/>
      <c r="CB1018" s="16"/>
      <c r="CC1018" s="16"/>
      <c r="CD1018" s="16"/>
      <c r="CE1018" s="16"/>
      <c r="CF1018" s="16"/>
      <c r="CG1018" s="16"/>
      <c r="CH1018" s="16"/>
      <c r="CI1018" s="16"/>
      <c r="CJ1018" s="16"/>
      <c r="CK1018" s="16"/>
      <c r="CL1018" s="16"/>
      <c r="CM1018" s="16"/>
      <c r="CN1018" s="16"/>
      <c r="CO1018" s="16"/>
      <c r="CP1018" s="16"/>
    </row>
    <row r="1019" ht="15.75" customHeight="1">
      <c r="A1019" s="1162" t="s">
        <v>4898</v>
      </c>
      <c r="B1019" s="16"/>
      <c r="C1019" s="17" t="s">
        <v>123</v>
      </c>
      <c r="D1019" s="192" t="s">
        <v>4899</v>
      </c>
      <c r="E1019" s="236" t="s">
        <v>4900</v>
      </c>
      <c r="F1019" s="20" t="s">
        <v>4901</v>
      </c>
      <c r="G1019" s="317"/>
      <c r="H1019" s="22" t="s">
        <v>108</v>
      </c>
      <c r="I1019" s="23" t="s">
        <v>4902</v>
      </c>
      <c r="J1019" s="237"/>
      <c r="K1019" s="36"/>
      <c r="L1019" s="23">
        <v>2014.0</v>
      </c>
      <c r="M1019" s="25">
        <f t="shared" ref="M1019:M1023" si="696">year(now()) -L1019</f>
        <v>11</v>
      </c>
      <c r="N1019" s="26">
        <f t="shared" ref="N1019:N1023" si="697">counta(AE1019,AG1019,AI1019,AK1019,AM1019,AO1019,AQ1019,AS1019,AU1019,AW1019,AY1019,BA1019,BC1019)</f>
        <v>1</v>
      </c>
      <c r="O1019" s="27" t="str">
        <f t="shared" si="3"/>
        <v>#N/A</v>
      </c>
      <c r="P1019" s="28"/>
      <c r="Q1019" s="28"/>
      <c r="R1019" s="28"/>
      <c r="S1019" s="28"/>
      <c r="T1019" s="29">
        <f t="shared" ref="T1019:T1023" si="698">V1019/M1019</f>
        <v>209090.9091</v>
      </c>
      <c r="U1019" s="28"/>
      <c r="V1019" s="30">
        <f t="shared" si="425"/>
        <v>2300000</v>
      </c>
      <c r="W1019" s="30"/>
      <c r="X1019" s="847"/>
      <c r="Y1019" s="33">
        <f t="shared" ref="Y1019:Y1023" si="699">(max(AE1019,AG1019,AI1019,AK1019,AM1019,AO1019,AQ1019,AS1019,AU1019,AW1019,AY1019,BA1019,BC1019)/min(AE1019,AG1019,AI1019,AK1019))^(1/M1019)-1</f>
        <v>0</v>
      </c>
      <c r="Z1019" s="692"/>
      <c r="AA1019" s="665"/>
      <c r="AB1019" s="36"/>
      <c r="AC1019" s="36"/>
      <c r="AD1019" s="44"/>
      <c r="AE1019" s="38"/>
      <c r="AF1019" s="320">
        <v>42717.0</v>
      </c>
      <c r="AG1019" s="38">
        <v>2300000.0</v>
      </c>
      <c r="AH1019" s="36"/>
      <c r="AI1019" s="159"/>
      <c r="AJ1019" s="44"/>
      <c r="AK1019" s="46"/>
      <c r="AL1019" s="44"/>
      <c r="AM1019" s="46"/>
      <c r="AN1019" s="44"/>
      <c r="AO1019" s="46"/>
      <c r="AP1019" s="44"/>
      <c r="AQ1019" s="46"/>
      <c r="AR1019" s="44"/>
      <c r="AS1019" s="44"/>
      <c r="AT1019" s="44"/>
      <c r="AU1019" s="45"/>
      <c r="AV1019" s="44"/>
      <c r="AW1019" s="38"/>
      <c r="AX1019" s="44"/>
      <c r="AY1019" s="38"/>
      <c r="AZ1019" s="44"/>
      <c r="BA1019" s="45"/>
      <c r="BB1019" s="44"/>
      <c r="BC1019" s="45"/>
      <c r="BD1019" s="44"/>
      <c r="BE1019" s="38"/>
      <c r="BF1019" s="36"/>
      <c r="BG1019" s="16"/>
      <c r="BH1019" s="16"/>
      <c r="BI1019" s="16"/>
      <c r="BJ1019" s="16"/>
      <c r="BK1019" s="16"/>
      <c r="BL1019" s="16"/>
      <c r="BM1019" s="16"/>
      <c r="BN1019" s="16"/>
      <c r="BO1019" s="16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6"/>
      <c r="CA1019" s="16"/>
      <c r="CB1019" s="16"/>
      <c r="CC1019" s="16"/>
      <c r="CD1019" s="16"/>
      <c r="CE1019" s="16"/>
      <c r="CF1019" s="16"/>
      <c r="CG1019" s="16"/>
      <c r="CH1019" s="16"/>
      <c r="CI1019" s="16"/>
      <c r="CJ1019" s="16"/>
      <c r="CK1019" s="16"/>
      <c r="CL1019" s="16"/>
      <c r="CM1019" s="16"/>
      <c r="CN1019" s="16"/>
      <c r="CO1019" s="16"/>
      <c r="CP1019" s="16"/>
    </row>
    <row r="1020" ht="15.75" customHeight="1">
      <c r="A1020" s="48" t="s">
        <v>4903</v>
      </c>
      <c r="B1020" s="68"/>
      <c r="C1020" s="69" t="s">
        <v>59</v>
      </c>
      <c r="D1020" s="48"/>
      <c r="E1020" s="192" t="s">
        <v>4904</v>
      </c>
      <c r="F1020" s="118" t="s">
        <v>4905</v>
      </c>
      <c r="G1020" s="71"/>
      <c r="H1020" s="71" t="s">
        <v>1918</v>
      </c>
      <c r="I1020" s="26" t="s">
        <v>1384</v>
      </c>
      <c r="J1020" s="155"/>
      <c r="K1020" s="26">
        <v>2.0</v>
      </c>
      <c r="L1020" s="26">
        <v>2019.0</v>
      </c>
      <c r="M1020" s="25">
        <f t="shared" si="696"/>
        <v>6</v>
      </c>
      <c r="N1020" s="26">
        <f t="shared" si="697"/>
        <v>1</v>
      </c>
      <c r="O1020" s="27" t="str">
        <f t="shared" si="3"/>
        <v>#N/A</v>
      </c>
      <c r="P1020" s="28"/>
      <c r="Q1020" s="28"/>
      <c r="R1020" s="28"/>
      <c r="S1020" s="28"/>
      <c r="T1020" s="29">
        <f t="shared" si="698"/>
        <v>383333.3333</v>
      </c>
      <c r="U1020" s="28"/>
      <c r="V1020" s="30">
        <f t="shared" si="425"/>
        <v>2300000</v>
      </c>
      <c r="W1020" s="30"/>
      <c r="X1020" s="73"/>
      <c r="Y1020" s="33">
        <f t="shared" si="699"/>
        <v>0</v>
      </c>
      <c r="Z1020" s="692"/>
      <c r="AA1020" s="665"/>
      <c r="AB1020" s="74"/>
      <c r="AC1020" s="74"/>
      <c r="AD1020" s="44"/>
      <c r="AE1020" s="46"/>
      <c r="AF1020" s="158" t="str">
        <f>HYPERLINK("https://www.crunchbase.com/funding_round/expetitle-seed--85b28cf5","Sep 28, 2021")</f>
        <v>Sep 28, 2021</v>
      </c>
      <c r="AG1020" s="38">
        <v>2300000.0</v>
      </c>
      <c r="AH1020" s="36"/>
      <c r="AI1020" s="159"/>
      <c r="AJ1020" s="44"/>
      <c r="AK1020" s="46"/>
      <c r="AL1020" s="44"/>
      <c r="AM1020" s="46"/>
      <c r="AN1020" s="44"/>
      <c r="AO1020" s="46"/>
      <c r="AP1020" s="44"/>
      <c r="AQ1020" s="46"/>
      <c r="AR1020" s="44"/>
      <c r="AS1020" s="44"/>
      <c r="AT1020" s="44"/>
      <c r="AU1020" s="45"/>
      <c r="AV1020" s="44"/>
      <c r="AW1020" s="38"/>
      <c r="AX1020" s="44"/>
      <c r="AY1020" s="38"/>
      <c r="AZ1020" s="44"/>
      <c r="BA1020" s="45"/>
      <c r="BB1020" s="44"/>
      <c r="BC1020" s="45"/>
      <c r="BD1020" s="44"/>
      <c r="BE1020" s="38"/>
      <c r="BF1020" s="36"/>
      <c r="BG1020" s="115"/>
      <c r="BH1020" s="115"/>
      <c r="BI1020" s="115"/>
      <c r="BJ1020" s="115"/>
      <c r="BK1020" s="115"/>
      <c r="BL1020" s="115"/>
      <c r="BM1020" s="115"/>
      <c r="BN1020" s="115"/>
      <c r="BO1020" s="115"/>
      <c r="BP1020" s="115"/>
      <c r="BQ1020" s="115"/>
      <c r="BR1020" s="115"/>
      <c r="BS1020" s="115"/>
      <c r="BT1020" s="115"/>
      <c r="BU1020" s="115"/>
      <c r="BV1020" s="115"/>
      <c r="BW1020" s="115"/>
      <c r="BX1020" s="115"/>
      <c r="BY1020" s="115"/>
      <c r="BZ1020" s="115"/>
      <c r="CA1020" s="115"/>
      <c r="CB1020" s="115"/>
      <c r="CC1020" s="115"/>
      <c r="CD1020" s="115"/>
      <c r="CE1020" s="115"/>
      <c r="CF1020" s="115"/>
      <c r="CG1020" s="115"/>
      <c r="CH1020" s="115"/>
      <c r="CI1020" s="115"/>
      <c r="CJ1020" s="115"/>
      <c r="CK1020" s="115"/>
      <c r="CL1020" s="115"/>
      <c r="CM1020" s="115"/>
      <c r="CN1020" s="115"/>
      <c r="CO1020" s="115"/>
      <c r="CP1020" s="115"/>
    </row>
    <row r="1021" ht="15.75" customHeight="1">
      <c r="A1021" s="442" t="s">
        <v>4906</v>
      </c>
      <c r="B1021" s="68"/>
      <c r="C1021" s="858" t="s">
        <v>1007</v>
      </c>
      <c r="D1021" s="184" t="s">
        <v>4907</v>
      </c>
      <c r="E1021" s="184" t="s">
        <v>4908</v>
      </c>
      <c r="F1021" s="185" t="s">
        <v>4909</v>
      </c>
      <c r="G1021" s="186" t="s">
        <v>4910</v>
      </c>
      <c r="H1021" s="186" t="s">
        <v>357</v>
      </c>
      <c r="I1021" s="74" t="s">
        <v>660</v>
      </c>
      <c r="J1021" s="155" t="s">
        <v>851</v>
      </c>
      <c r="K1021" s="74">
        <v>3.0</v>
      </c>
      <c r="L1021" s="26">
        <v>2015.0</v>
      </c>
      <c r="M1021" s="25">
        <f t="shared" si="696"/>
        <v>10</v>
      </c>
      <c r="N1021" s="26">
        <f t="shared" si="697"/>
        <v>1</v>
      </c>
      <c r="O1021" s="27" t="str">
        <f t="shared" si="3"/>
        <v>#N/A</v>
      </c>
      <c r="P1021" s="28"/>
      <c r="Q1021" s="28"/>
      <c r="R1021" s="28"/>
      <c r="S1021" s="28"/>
      <c r="T1021" s="29">
        <f t="shared" si="698"/>
        <v>230000</v>
      </c>
      <c r="U1021" s="28"/>
      <c r="V1021" s="30">
        <f t="shared" si="425"/>
        <v>2300000</v>
      </c>
      <c r="W1021" s="30"/>
      <c r="X1021" s="32"/>
      <c r="Y1021" s="33">
        <f t="shared" si="699"/>
        <v>0</v>
      </c>
      <c r="Z1021" s="692"/>
      <c r="AA1021" s="665"/>
      <c r="AB1021" s="74"/>
      <c r="AC1021" s="74"/>
      <c r="AD1021" s="75">
        <v>44225.0</v>
      </c>
      <c r="AE1021" s="46"/>
      <c r="AF1021" s="726">
        <v>44874.0</v>
      </c>
      <c r="AG1021" s="1141">
        <v>2300000.0</v>
      </c>
      <c r="AH1021" s="36"/>
      <c r="AI1021" s="159"/>
      <c r="AJ1021" s="44"/>
      <c r="AK1021" s="46"/>
      <c r="AL1021" s="44"/>
      <c r="AM1021" s="1052"/>
      <c r="AN1021" s="44"/>
      <c r="AO1021" s="46"/>
      <c r="AP1021" s="44"/>
      <c r="AQ1021" s="46"/>
      <c r="AR1021" s="44"/>
      <c r="AS1021" s="44"/>
      <c r="AT1021" s="44"/>
      <c r="AU1021" s="45"/>
      <c r="AV1021" s="44"/>
      <c r="AW1021" s="38"/>
      <c r="AX1021" s="44"/>
      <c r="AY1021" s="38"/>
      <c r="AZ1021" s="44"/>
      <c r="BA1021" s="45"/>
      <c r="BB1021" s="44"/>
      <c r="BC1021" s="45"/>
      <c r="BD1021" s="44"/>
      <c r="BE1021" s="38"/>
      <c r="BF1021" s="36"/>
      <c r="BG1021" s="534"/>
      <c r="BH1021" s="534"/>
      <c r="BI1021" s="534"/>
      <c r="BJ1021" s="534"/>
      <c r="BK1021" s="534"/>
      <c r="BL1021" s="534"/>
      <c r="BM1021" s="534"/>
      <c r="BN1021" s="534"/>
      <c r="BO1021" s="534"/>
      <c r="BP1021" s="534"/>
      <c r="BQ1021" s="534"/>
      <c r="BR1021" s="534"/>
      <c r="BS1021" s="534"/>
      <c r="BT1021" s="534"/>
      <c r="BU1021" s="534"/>
      <c r="BV1021" s="534"/>
      <c r="BW1021" s="534"/>
      <c r="BX1021" s="534"/>
      <c r="BY1021" s="534"/>
      <c r="BZ1021" s="534"/>
      <c r="CA1021" s="534"/>
      <c r="CB1021" s="534"/>
      <c r="CC1021" s="534"/>
      <c r="CD1021" s="534"/>
      <c r="CE1021" s="534"/>
      <c r="CF1021" s="534"/>
      <c r="CG1021" s="534"/>
      <c r="CH1021" s="534"/>
      <c r="CI1021" s="534"/>
      <c r="CJ1021" s="534"/>
      <c r="CK1021" s="534"/>
      <c r="CL1021" s="534"/>
      <c r="CM1021" s="534"/>
      <c r="CN1021" s="534"/>
      <c r="CO1021" s="534"/>
      <c r="CP1021" s="534"/>
    </row>
    <row r="1022" ht="15.75" customHeight="1">
      <c r="A1022" s="21" t="s">
        <v>4911</v>
      </c>
      <c r="B1022" s="68"/>
      <c r="C1022" s="69" t="s">
        <v>123</v>
      </c>
      <c r="D1022" s="138" t="s">
        <v>4912</v>
      </c>
      <c r="E1022" s="540" t="s">
        <v>4913</v>
      </c>
      <c r="F1022" s="118" t="s">
        <v>4914</v>
      </c>
      <c r="G1022" s="54" t="s">
        <v>4915</v>
      </c>
      <c r="H1022" s="71" t="s">
        <v>99</v>
      </c>
      <c r="I1022" s="1455" t="s">
        <v>100</v>
      </c>
      <c r="J1022" s="155"/>
      <c r="K1022" s="26">
        <v>4.0</v>
      </c>
      <c r="L1022" s="26">
        <v>2016.0</v>
      </c>
      <c r="M1022" s="25">
        <f t="shared" si="696"/>
        <v>9</v>
      </c>
      <c r="N1022" s="26">
        <f t="shared" si="697"/>
        <v>1</v>
      </c>
      <c r="O1022" s="27" t="str">
        <f t="shared" si="3"/>
        <v>#N/A</v>
      </c>
      <c r="P1022" s="28"/>
      <c r="Q1022" s="28"/>
      <c r="R1022" s="28"/>
      <c r="S1022" s="28"/>
      <c r="T1022" s="29">
        <f t="shared" si="698"/>
        <v>252022.2222</v>
      </c>
      <c r="U1022" s="28"/>
      <c r="V1022" s="30">
        <f t="shared" si="425"/>
        <v>2268200</v>
      </c>
      <c r="W1022" s="30"/>
      <c r="X1022" s="73"/>
      <c r="Y1022" s="33">
        <f t="shared" si="699"/>
        <v>0</v>
      </c>
      <c r="Z1022" s="692"/>
      <c r="AA1022" s="665"/>
      <c r="AB1022" s="74"/>
      <c r="AC1022" s="74"/>
      <c r="AD1022" s="79"/>
      <c r="AE1022" s="84"/>
      <c r="AF1022" s="175" t="str">
        <f>HYPERLINK("https://www.crunchbase.com/funding_round/realxdata-seed--0f1442f7","Jun 1, 2018")</f>
        <v>Jun 1, 2018</v>
      </c>
      <c r="AG1022" s="76">
        <v>2268200.0</v>
      </c>
      <c r="AH1022" s="74"/>
      <c r="AI1022" s="78"/>
      <c r="AJ1022" s="181" t="str">
        <f>HYPERLINK("https://www.crunchbase.com/funding_round/realxdata-series-a--aa028126","Dec 2, 2019")</f>
        <v>Dec 2, 2019</v>
      </c>
      <c r="AK1022" s="76"/>
      <c r="AL1022" s="79"/>
      <c r="AM1022" s="84"/>
      <c r="AN1022" s="79"/>
      <c r="AO1022" s="84"/>
      <c r="AP1022" s="79"/>
      <c r="AQ1022" s="84"/>
      <c r="AR1022" s="79"/>
      <c r="AS1022" s="79"/>
      <c r="AT1022" s="79"/>
      <c r="AU1022" s="80"/>
      <c r="AV1022" s="79"/>
      <c r="AW1022" s="38"/>
      <c r="AX1022" s="79"/>
      <c r="AY1022" s="38"/>
      <c r="AZ1022" s="79"/>
      <c r="BA1022" s="80"/>
      <c r="BB1022" s="79"/>
      <c r="BC1022" s="80"/>
      <c r="BD1022" s="79"/>
      <c r="BE1022" s="38"/>
      <c r="BF1022" s="74"/>
      <c r="BG1022" s="16"/>
      <c r="BH1022" s="16"/>
      <c r="BI1022" s="16"/>
      <c r="BJ1022" s="16"/>
      <c r="BK1022" s="16"/>
      <c r="BL1022" s="16"/>
      <c r="BM1022" s="16"/>
      <c r="BN1022" s="16"/>
      <c r="BO1022" s="16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6"/>
      <c r="CA1022" s="16"/>
      <c r="CB1022" s="16"/>
      <c r="CC1022" s="16"/>
      <c r="CD1022" s="16"/>
      <c r="CE1022" s="16"/>
      <c r="CF1022" s="16"/>
      <c r="CG1022" s="16"/>
      <c r="CH1022" s="16"/>
      <c r="CI1022" s="16"/>
      <c r="CJ1022" s="16"/>
      <c r="CK1022" s="16"/>
      <c r="CL1022" s="16"/>
      <c r="CM1022" s="16"/>
      <c r="CN1022" s="16"/>
      <c r="CO1022" s="16"/>
      <c r="CP1022" s="16"/>
    </row>
    <row r="1023" ht="15.75" customHeight="1">
      <c r="A1023" s="21" t="s">
        <v>4916</v>
      </c>
      <c r="B1023" s="68"/>
      <c r="C1023" s="69" t="s">
        <v>132</v>
      </c>
      <c r="D1023" s="337"/>
      <c r="E1023" s="200" t="s">
        <v>4917</v>
      </c>
      <c r="F1023" s="173" t="s">
        <v>4918</v>
      </c>
      <c r="G1023" s="71" t="s">
        <v>4919</v>
      </c>
      <c r="H1023" s="71" t="s">
        <v>357</v>
      </c>
      <c r="I1023" s="26" t="s">
        <v>358</v>
      </c>
      <c r="J1023" s="72" t="s">
        <v>851</v>
      </c>
      <c r="K1023" s="26">
        <v>2.0</v>
      </c>
      <c r="L1023" s="26">
        <v>2009.0</v>
      </c>
      <c r="M1023" s="25">
        <f t="shared" si="696"/>
        <v>16</v>
      </c>
      <c r="N1023" s="26">
        <f t="shared" si="697"/>
        <v>2</v>
      </c>
      <c r="O1023" s="27" t="str">
        <f t="shared" si="3"/>
        <v>#N/A</v>
      </c>
      <c r="P1023" s="28"/>
      <c r="Q1023" s="28"/>
      <c r="R1023" s="28"/>
      <c r="S1023" s="28"/>
      <c r="T1023" s="29">
        <f t="shared" si="698"/>
        <v>140625</v>
      </c>
      <c r="U1023" s="28"/>
      <c r="V1023" s="30">
        <f t="shared" si="425"/>
        <v>2250000</v>
      </c>
      <c r="W1023" s="30"/>
      <c r="X1023" s="73"/>
      <c r="Y1023" s="33">
        <f t="shared" si="699"/>
        <v>0.04427378243</v>
      </c>
      <c r="Z1023" s="692"/>
      <c r="AA1023" s="665"/>
      <c r="AB1023" s="74"/>
      <c r="AC1023" s="74"/>
      <c r="AD1023" s="79"/>
      <c r="AE1023" s="84"/>
      <c r="AF1023" s="175" t="str">
        <f>HYPERLINK("https://www.crunchbase.com/organization/turningart#section-funding-rounds"," May 23,2011")</f>
        <v> May 23,2011</v>
      </c>
      <c r="AG1023" s="76">
        <v>750000.0</v>
      </c>
      <c r="AH1023" s="1456" t="str">
        <f>HYPERLINK("https://www.crunchbase.com/funding_round/turningart-series-unknown--6967fb4d","May 23, 2012")</f>
        <v>May 23, 2012</v>
      </c>
      <c r="AI1023" s="435">
        <v>1500000.0</v>
      </c>
      <c r="AJ1023" s="279"/>
      <c r="AK1023" s="76"/>
      <c r="AL1023" s="79"/>
      <c r="AM1023" s="84"/>
      <c r="AN1023" s="79"/>
      <c r="AO1023" s="84"/>
      <c r="AP1023" s="79"/>
      <c r="AQ1023" s="84"/>
      <c r="AR1023" s="79"/>
      <c r="AS1023" s="79"/>
      <c r="AT1023" s="79"/>
      <c r="AU1023" s="80"/>
      <c r="AV1023" s="79"/>
      <c r="AW1023" s="38"/>
      <c r="AX1023" s="79"/>
      <c r="AY1023" s="38"/>
      <c r="AZ1023" s="79"/>
      <c r="BA1023" s="80"/>
      <c r="BB1023" s="79"/>
      <c r="BC1023" s="80"/>
      <c r="BD1023" s="79"/>
      <c r="BE1023" s="38"/>
      <c r="BF1023" s="74"/>
      <c r="BG1023" s="16"/>
      <c r="BH1023" s="16"/>
      <c r="BI1023" s="16"/>
      <c r="BJ1023" s="16"/>
      <c r="BK1023" s="16"/>
      <c r="BL1023" s="16"/>
      <c r="BM1023" s="16"/>
      <c r="BN1023" s="16"/>
      <c r="BO1023" s="16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6"/>
      <c r="CA1023" s="16"/>
      <c r="CB1023" s="16"/>
      <c r="CC1023" s="16"/>
      <c r="CD1023" s="16"/>
      <c r="CE1023" s="16"/>
      <c r="CF1023" s="16"/>
      <c r="CG1023" s="16"/>
      <c r="CH1023" s="16"/>
      <c r="CI1023" s="16"/>
      <c r="CJ1023" s="16"/>
      <c r="CK1023" s="16"/>
      <c r="CL1023" s="16"/>
      <c r="CM1023" s="16"/>
      <c r="CN1023" s="16"/>
      <c r="CO1023" s="16"/>
      <c r="CP1023" s="16"/>
    </row>
    <row r="1024" ht="15.75" customHeight="1">
      <c r="A1024" s="21" t="s">
        <v>4920</v>
      </c>
      <c r="B1024" s="68"/>
      <c r="C1024" s="69" t="s">
        <v>84</v>
      </c>
      <c r="D1024" s="269"/>
      <c r="E1024" s="270" t="s">
        <v>4921</v>
      </c>
      <c r="F1024" s="173" t="s">
        <v>4922</v>
      </c>
      <c r="G1024" s="71"/>
      <c r="H1024" s="71" t="s">
        <v>271</v>
      </c>
      <c r="I1024" s="26" t="s">
        <v>272</v>
      </c>
      <c r="J1024" s="155"/>
      <c r="K1024" s="26">
        <v>3.0</v>
      </c>
      <c r="L1024" s="26">
        <v>2022.0</v>
      </c>
      <c r="M1024" s="25"/>
      <c r="N1024" s="26"/>
      <c r="O1024" s="27" t="str">
        <f t="shared" si="3"/>
        <v>#N/A</v>
      </c>
      <c r="P1024" s="273"/>
      <c r="Q1024" s="273"/>
      <c r="R1024" s="273"/>
      <c r="S1024" s="273"/>
      <c r="T1024" s="273"/>
      <c r="U1024" s="273"/>
      <c r="V1024" s="30">
        <f t="shared" si="425"/>
        <v>2250000</v>
      </c>
      <c r="W1024" s="30"/>
      <c r="X1024" s="73"/>
      <c r="Y1024" s="73"/>
      <c r="Z1024" s="692"/>
      <c r="AA1024" s="665"/>
      <c r="AB1024" s="74"/>
      <c r="AC1024" s="74"/>
      <c r="AD1024" s="44"/>
      <c r="AE1024" s="46"/>
      <c r="AF1024" s="1457">
        <v>44817.0</v>
      </c>
      <c r="AG1024" s="38">
        <v>2250000.0</v>
      </c>
      <c r="AH1024" s="36"/>
      <c r="AI1024" s="159"/>
      <c r="AJ1024" s="37"/>
      <c r="AK1024" s="38"/>
      <c r="AL1024" s="44"/>
      <c r="AM1024" s="38"/>
      <c r="AN1024" s="44"/>
      <c r="AO1024" s="46"/>
      <c r="AP1024" s="44"/>
      <c r="AQ1024" s="46"/>
      <c r="AR1024" s="44"/>
      <c r="AS1024" s="44"/>
      <c r="AT1024" s="44"/>
      <c r="AU1024" s="45"/>
      <c r="AV1024" s="44"/>
      <c r="AW1024" s="38"/>
      <c r="AX1024" s="44"/>
      <c r="AY1024" s="38"/>
      <c r="AZ1024" s="44"/>
      <c r="BA1024" s="45"/>
      <c r="BB1024" s="44"/>
      <c r="BC1024" s="45"/>
      <c r="BD1024" s="44"/>
      <c r="BE1024" s="38"/>
      <c r="BF1024" s="36"/>
      <c r="BG1024" s="16"/>
      <c r="BH1024" s="16"/>
      <c r="BI1024" s="16"/>
      <c r="BJ1024" s="16"/>
      <c r="BK1024" s="16"/>
      <c r="BL1024" s="16"/>
      <c r="BM1024" s="16"/>
      <c r="BN1024" s="16"/>
      <c r="BO1024" s="16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6"/>
      <c r="CA1024" s="16"/>
      <c r="CB1024" s="16"/>
      <c r="CC1024" s="16"/>
      <c r="CD1024" s="16"/>
      <c r="CE1024" s="16"/>
      <c r="CF1024" s="16"/>
      <c r="CG1024" s="16"/>
      <c r="CH1024" s="16"/>
      <c r="CI1024" s="16"/>
      <c r="CJ1024" s="16"/>
      <c r="CK1024" s="16"/>
      <c r="CL1024" s="16"/>
      <c r="CM1024" s="16"/>
      <c r="CN1024" s="16"/>
      <c r="CO1024" s="16"/>
      <c r="CP1024" s="16"/>
    </row>
    <row r="1025" ht="15.75" customHeight="1">
      <c r="A1025" s="21" t="s">
        <v>4923</v>
      </c>
      <c r="B1025" s="68"/>
      <c r="C1025" s="69" t="s">
        <v>207</v>
      </c>
      <c r="D1025" s="200" t="s">
        <v>4924</v>
      </c>
      <c r="E1025" s="200" t="s">
        <v>4925</v>
      </c>
      <c r="F1025" s="154" t="s">
        <v>4926</v>
      </c>
      <c r="G1025" s="140" t="s">
        <v>4927</v>
      </c>
      <c r="H1025" s="140" t="s">
        <v>4928</v>
      </c>
      <c r="I1025" s="74"/>
      <c r="J1025" s="718" t="s">
        <v>4929</v>
      </c>
      <c r="K1025" s="26">
        <v>5.0</v>
      </c>
      <c r="L1025" s="26">
        <v>2013.0</v>
      </c>
      <c r="M1025" s="25">
        <f t="shared" ref="M1025:M1027" si="700">year(now()) -L1025</f>
        <v>12</v>
      </c>
      <c r="N1025" s="26">
        <f t="shared" ref="N1025:N1027" si="701">counta(AE1025,AG1025,AI1025,AK1025,AM1025,AO1025,AQ1025,AS1025,AU1025,AW1025,AY1025,BA1025,BC1025)</f>
        <v>1</v>
      </c>
      <c r="O1025" s="27" t="str">
        <f t="shared" si="3"/>
        <v>#N/A</v>
      </c>
      <c r="P1025" s="28"/>
      <c r="Q1025" s="28"/>
      <c r="R1025" s="28"/>
      <c r="S1025" s="28"/>
      <c r="T1025" s="29">
        <f t="shared" ref="T1025:T1027" si="702">V1025/M1025</f>
        <v>187241.6667</v>
      </c>
      <c r="U1025" s="28"/>
      <c r="V1025" s="30">
        <f t="shared" si="425"/>
        <v>2246900</v>
      </c>
      <c r="W1025" s="30"/>
      <c r="X1025" s="73"/>
      <c r="Y1025" s="33">
        <f t="shared" ref="Y1025:Y1027" si="703">(max(AE1025,AG1025,AI1025,AK1025,AM1025,AO1025,AQ1025,AS1025,AU1025,AW1025,AY1025,BA1025,BC1025)/min(AE1025,AG1025,AI1025,AK1025))^(1/M1025)-1</f>
        <v>0</v>
      </c>
      <c r="Z1025" s="692"/>
      <c r="AA1025" s="665"/>
      <c r="AB1025" s="74"/>
      <c r="AC1025" s="74"/>
      <c r="AD1025" s="37"/>
      <c r="AE1025" s="38"/>
      <c r="AF1025" s="158" t="str">
        <f>HYPERLINK("https://www.crunchbase.com/funding_round/geniebelt-seed--cff769e8"," 9/12/2016")</f>
        <v> 9/12/2016</v>
      </c>
      <c r="AG1025" s="38">
        <v>2246900.0</v>
      </c>
      <c r="AH1025" s="36"/>
      <c r="AI1025" s="159"/>
      <c r="AJ1025" s="44"/>
      <c r="AK1025" s="46"/>
      <c r="AL1025" s="44"/>
      <c r="AM1025" s="46"/>
      <c r="AN1025" s="1071"/>
      <c r="AO1025" s="46"/>
      <c r="AP1025" s="44"/>
      <c r="AQ1025" s="46"/>
      <c r="AR1025" s="44"/>
      <c r="AS1025" s="44"/>
      <c r="AT1025" s="44"/>
      <c r="AU1025" s="45"/>
      <c r="AV1025" s="44"/>
      <c r="AW1025" s="38"/>
      <c r="AX1025" s="44"/>
      <c r="AY1025" s="38"/>
      <c r="AZ1025" s="44"/>
      <c r="BA1025" s="45"/>
      <c r="BB1025" s="44"/>
      <c r="BC1025" s="45"/>
      <c r="BD1025" s="44"/>
      <c r="BE1025" s="38"/>
      <c r="BF1025" s="36"/>
      <c r="BG1025" s="534"/>
      <c r="BH1025" s="534"/>
      <c r="BI1025" s="534"/>
      <c r="BJ1025" s="534"/>
      <c r="BK1025" s="534"/>
      <c r="BL1025" s="534"/>
      <c r="BM1025" s="534"/>
      <c r="BN1025" s="534"/>
      <c r="BO1025" s="534"/>
      <c r="BP1025" s="534"/>
      <c r="BQ1025" s="534"/>
      <c r="BR1025" s="534"/>
      <c r="BS1025" s="534"/>
      <c r="BT1025" s="534"/>
      <c r="BU1025" s="534"/>
      <c r="BV1025" s="534"/>
      <c r="BW1025" s="534"/>
      <c r="BX1025" s="534"/>
      <c r="BY1025" s="534"/>
      <c r="BZ1025" s="534"/>
      <c r="CA1025" s="534"/>
      <c r="CB1025" s="534"/>
      <c r="CC1025" s="534"/>
      <c r="CD1025" s="534"/>
      <c r="CE1025" s="534"/>
      <c r="CF1025" s="534"/>
      <c r="CG1025" s="534"/>
      <c r="CH1025" s="534"/>
      <c r="CI1025" s="534"/>
      <c r="CJ1025" s="534"/>
      <c r="CK1025" s="534"/>
      <c r="CL1025" s="534"/>
      <c r="CM1025" s="534"/>
      <c r="CN1025" s="534"/>
      <c r="CO1025" s="534"/>
      <c r="CP1025" s="534"/>
    </row>
    <row r="1026" ht="15.75" customHeight="1">
      <c r="A1026" s="860" t="s">
        <v>4930</v>
      </c>
      <c r="B1026" s="68"/>
      <c r="C1026" s="69" t="s">
        <v>84</v>
      </c>
      <c r="D1026" s="192" t="s">
        <v>4931</v>
      </c>
      <c r="E1026" s="192" t="s">
        <v>4932</v>
      </c>
      <c r="F1026" s="118" t="s">
        <v>4933</v>
      </c>
      <c r="G1026" s="140"/>
      <c r="H1026" s="71" t="s">
        <v>129</v>
      </c>
      <c r="I1026" s="26" t="s">
        <v>156</v>
      </c>
      <c r="J1026" s="514"/>
      <c r="K1026" s="74"/>
      <c r="L1026" s="26">
        <v>2015.0</v>
      </c>
      <c r="M1026" s="25">
        <f t="shared" si="700"/>
        <v>10</v>
      </c>
      <c r="N1026" s="26">
        <f t="shared" si="701"/>
        <v>1</v>
      </c>
      <c r="O1026" s="27" t="str">
        <f t="shared" si="3"/>
        <v>#N/A</v>
      </c>
      <c r="P1026" s="28"/>
      <c r="Q1026" s="28"/>
      <c r="R1026" s="28"/>
      <c r="S1026" s="28"/>
      <c r="T1026" s="29">
        <f t="shared" si="702"/>
        <v>220000</v>
      </c>
      <c r="U1026" s="28"/>
      <c r="V1026" s="30">
        <f t="shared" si="425"/>
        <v>2200000</v>
      </c>
      <c r="W1026" s="30"/>
      <c r="X1026" s="32"/>
      <c r="Y1026" s="33">
        <f t="shared" si="703"/>
        <v>0</v>
      </c>
      <c r="Z1026" s="692"/>
      <c r="AA1026" s="665"/>
      <c r="AB1026" s="74"/>
      <c r="AC1026" s="74"/>
      <c r="AD1026" s="79"/>
      <c r="AE1026" s="76"/>
      <c r="AF1026" s="320">
        <v>43689.0</v>
      </c>
      <c r="AG1026" s="76">
        <v>2200000.0</v>
      </c>
      <c r="AH1026" s="74"/>
      <c r="AI1026" s="78"/>
      <c r="AJ1026" s="79"/>
      <c r="AK1026" s="84"/>
      <c r="AL1026" s="79"/>
      <c r="AM1026" s="84"/>
      <c r="AN1026" s="79"/>
      <c r="AO1026" s="84"/>
      <c r="AP1026" s="79"/>
      <c r="AQ1026" s="84"/>
      <c r="AR1026" s="79"/>
      <c r="AS1026" s="79"/>
      <c r="AT1026" s="79"/>
      <c r="AU1026" s="80"/>
      <c r="AV1026" s="79"/>
      <c r="AW1026" s="38"/>
      <c r="AX1026" s="79"/>
      <c r="AY1026" s="38"/>
      <c r="AZ1026" s="79"/>
      <c r="BA1026" s="80"/>
      <c r="BB1026" s="79"/>
      <c r="BC1026" s="80"/>
      <c r="BD1026" s="79"/>
      <c r="BE1026" s="38"/>
      <c r="BF1026" s="74"/>
      <c r="BG1026" s="534"/>
      <c r="BH1026" s="534"/>
      <c r="BI1026" s="534"/>
      <c r="BJ1026" s="534"/>
      <c r="BK1026" s="534"/>
      <c r="BL1026" s="534"/>
      <c r="BM1026" s="534"/>
      <c r="BN1026" s="534"/>
      <c r="BO1026" s="534"/>
      <c r="BP1026" s="534"/>
      <c r="BQ1026" s="534"/>
      <c r="BR1026" s="534"/>
      <c r="BS1026" s="534"/>
      <c r="BT1026" s="534"/>
      <c r="BU1026" s="534"/>
      <c r="BV1026" s="534"/>
      <c r="BW1026" s="534"/>
      <c r="BX1026" s="534"/>
      <c r="BY1026" s="534"/>
      <c r="BZ1026" s="534"/>
      <c r="CA1026" s="534"/>
      <c r="CB1026" s="534"/>
      <c r="CC1026" s="534"/>
      <c r="CD1026" s="534"/>
      <c r="CE1026" s="534"/>
      <c r="CF1026" s="534"/>
      <c r="CG1026" s="534"/>
      <c r="CH1026" s="534"/>
      <c r="CI1026" s="534"/>
      <c r="CJ1026" s="534"/>
      <c r="CK1026" s="534"/>
      <c r="CL1026" s="534"/>
      <c r="CM1026" s="534"/>
      <c r="CN1026" s="534"/>
      <c r="CO1026" s="534"/>
      <c r="CP1026" s="534"/>
    </row>
    <row r="1027" ht="15.75" customHeight="1">
      <c r="A1027" s="21" t="s">
        <v>4934</v>
      </c>
      <c r="B1027" s="68"/>
      <c r="C1027" s="69" t="s">
        <v>267</v>
      </c>
      <c r="D1027" s="270" t="s">
        <v>4935</v>
      </c>
      <c r="E1027" s="270" t="s">
        <v>4936</v>
      </c>
      <c r="F1027" s="757" t="s">
        <v>4937</v>
      </c>
      <c r="G1027" s="71" t="s">
        <v>4938</v>
      </c>
      <c r="H1027" s="71" t="s">
        <v>365</v>
      </c>
      <c r="I1027" s="26" t="s">
        <v>65</v>
      </c>
      <c r="J1027" s="72" t="s">
        <v>4939</v>
      </c>
      <c r="K1027" s="26" t="s">
        <v>723</v>
      </c>
      <c r="L1027" s="26">
        <v>2017.0</v>
      </c>
      <c r="M1027" s="25">
        <f t="shared" si="700"/>
        <v>8</v>
      </c>
      <c r="N1027" s="26">
        <f t="shared" si="701"/>
        <v>1</v>
      </c>
      <c r="O1027" s="27" t="str">
        <f t="shared" si="3"/>
        <v>#N/A</v>
      </c>
      <c r="P1027" s="28"/>
      <c r="Q1027" s="28"/>
      <c r="R1027" s="28"/>
      <c r="S1027" s="28"/>
      <c r="T1027" s="29">
        <f t="shared" si="702"/>
        <v>275000</v>
      </c>
      <c r="U1027" s="28"/>
      <c r="V1027" s="30">
        <f t="shared" si="425"/>
        <v>2200000</v>
      </c>
      <c r="W1027" s="30"/>
      <c r="X1027" s="73"/>
      <c r="Y1027" s="33">
        <f t="shared" si="703"/>
        <v>0</v>
      </c>
      <c r="Z1027" s="692"/>
      <c r="AA1027" s="665"/>
      <c r="AB1027" s="74"/>
      <c r="AC1027" s="74"/>
      <c r="AD1027" s="79"/>
      <c r="AE1027" s="84"/>
      <c r="AF1027" s="175" t="str">
        <f>HYPERLINK("https://www.crunchbase.com/funding_round/warehouse-exchange-seed--121415ae"," May 28, 2020")</f>
        <v> May 28, 2020</v>
      </c>
      <c r="AG1027" s="76">
        <v>2200000.0</v>
      </c>
      <c r="AH1027" s="74"/>
      <c r="AI1027" s="78"/>
      <c r="AJ1027" s="79"/>
      <c r="AK1027" s="84"/>
      <c r="AL1027" s="79"/>
      <c r="AM1027" s="84"/>
      <c r="AN1027" s="79"/>
      <c r="AO1027" s="84"/>
      <c r="AP1027" s="79"/>
      <c r="AQ1027" s="84"/>
      <c r="AR1027" s="79"/>
      <c r="AS1027" s="79"/>
      <c r="AT1027" s="79"/>
      <c r="AU1027" s="80"/>
      <c r="AV1027" s="79"/>
      <c r="AW1027" s="38"/>
      <c r="AX1027" s="79"/>
      <c r="AY1027" s="38"/>
      <c r="AZ1027" s="79"/>
      <c r="BA1027" s="80"/>
      <c r="BB1027" s="79"/>
      <c r="BC1027" s="80"/>
      <c r="BD1027" s="79"/>
      <c r="BE1027" s="38"/>
      <c r="BF1027" s="74"/>
      <c r="BG1027" s="16"/>
      <c r="BH1027" s="16"/>
      <c r="BI1027" s="16"/>
      <c r="BJ1027" s="16"/>
      <c r="BK1027" s="16"/>
      <c r="BL1027" s="16"/>
      <c r="BM1027" s="16"/>
      <c r="BN1027" s="16"/>
      <c r="BO1027" s="16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6"/>
      <c r="CA1027" s="16"/>
      <c r="CB1027" s="16"/>
      <c r="CC1027" s="16"/>
      <c r="CD1027" s="16"/>
      <c r="CE1027" s="16"/>
      <c r="CF1027" s="16"/>
      <c r="CG1027" s="16"/>
      <c r="CH1027" s="16"/>
      <c r="CI1027" s="16"/>
      <c r="CJ1027" s="16"/>
      <c r="CK1027" s="16"/>
      <c r="CL1027" s="16"/>
      <c r="CM1027" s="16"/>
      <c r="CN1027" s="16"/>
      <c r="CO1027" s="16"/>
      <c r="CP1027" s="16"/>
    </row>
    <row r="1028" ht="15.75" customHeight="1">
      <c r="A1028" s="400" t="s">
        <v>4940</v>
      </c>
      <c r="B1028" s="115"/>
      <c r="C1028" s="116" t="s">
        <v>132</v>
      </c>
      <c r="D1028" s="449"/>
      <c r="E1028" s="161" t="s">
        <v>4941</v>
      </c>
      <c r="F1028" s="402" t="s">
        <v>4942</v>
      </c>
      <c r="G1028" s="286"/>
      <c r="H1028" s="119" t="s">
        <v>4943</v>
      </c>
      <c r="I1028" s="25" t="s">
        <v>329</v>
      </c>
      <c r="J1028" s="287"/>
      <c r="K1028" s="25">
        <v>2.0</v>
      </c>
      <c r="L1028" s="25">
        <v>2018.0</v>
      </c>
      <c r="M1028" s="123"/>
      <c r="N1028" s="123"/>
      <c r="O1028" s="27" t="str">
        <f t="shared" si="3"/>
        <v>#N/A</v>
      </c>
      <c r="P1028" s="55"/>
      <c r="Q1028" s="55"/>
      <c r="R1028" s="55"/>
      <c r="S1028" s="55"/>
      <c r="T1028" s="55"/>
      <c r="U1028" s="55"/>
      <c r="V1028" s="30">
        <f t="shared" si="425"/>
        <v>3875800</v>
      </c>
      <c r="W1028" s="31">
        <v>1000000.0</v>
      </c>
      <c r="X1028" s="403"/>
      <c r="Y1028" s="403"/>
      <c r="Z1028" s="692"/>
      <c r="AA1028" s="665"/>
      <c r="AB1028" s="123"/>
      <c r="AC1028" s="123"/>
      <c r="AD1028" s="404">
        <v>44105.0</v>
      </c>
      <c r="AE1028" s="123"/>
      <c r="AF1028" s="880">
        <v>44872.0</v>
      </c>
      <c r="AG1028" s="1342">
        <v>2200000.0</v>
      </c>
      <c r="AH1028" s="123"/>
      <c r="AI1028" s="123"/>
      <c r="AJ1028" s="123"/>
      <c r="AK1028" s="123"/>
      <c r="AL1028" s="123"/>
      <c r="AM1028" s="123"/>
      <c r="AN1028" s="123"/>
      <c r="AO1028" s="123"/>
      <c r="AP1028" s="123"/>
      <c r="AQ1028" s="123"/>
      <c r="AR1028" s="123"/>
      <c r="AS1028" s="123"/>
      <c r="AT1028" s="123"/>
      <c r="AU1028" s="137"/>
      <c r="AV1028" s="123"/>
      <c r="AW1028" s="38"/>
      <c r="AX1028" s="123"/>
      <c r="AY1028" s="38"/>
      <c r="AZ1028" s="724">
        <v>45049.0</v>
      </c>
      <c r="BA1028" s="137">
        <f>1330000*1.26</f>
        <v>1675800</v>
      </c>
      <c r="BB1028" s="123"/>
      <c r="BC1028" s="137"/>
      <c r="BD1028" s="123"/>
      <c r="BE1028" s="38"/>
      <c r="BF1028" s="123"/>
      <c r="BG1028" s="16"/>
      <c r="BH1028" s="16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  <c r="CD1028" s="16"/>
      <c r="CE1028" s="16"/>
      <c r="CF1028" s="16"/>
      <c r="CG1028" s="16"/>
      <c r="CH1028" s="16"/>
      <c r="CI1028" s="16"/>
      <c r="CJ1028" s="16"/>
      <c r="CK1028" s="16"/>
      <c r="CL1028" s="16"/>
      <c r="CM1028" s="16"/>
      <c r="CN1028" s="16"/>
      <c r="CO1028" s="16"/>
      <c r="CP1028" s="16"/>
    </row>
    <row r="1029" ht="15.75" customHeight="1">
      <c r="A1029" s="47" t="s">
        <v>4944</v>
      </c>
      <c r="C1029" s="48" t="s">
        <v>84</v>
      </c>
      <c r="D1029" s="49" t="s">
        <v>4945</v>
      </c>
      <c r="E1029" s="617" t="s">
        <v>4946</v>
      </c>
      <c r="F1029" s="352" t="s">
        <v>4947</v>
      </c>
      <c r="G1029" s="353"/>
      <c r="H1029" s="53" t="s">
        <v>4948</v>
      </c>
      <c r="I1029" s="54" t="s">
        <v>2489</v>
      </c>
      <c r="J1029" s="55"/>
      <c r="K1029" s="55"/>
      <c r="L1029" s="56">
        <v>2021.0</v>
      </c>
      <c r="M1029" s="55"/>
      <c r="N1029" s="55"/>
      <c r="O1029" s="27" t="str">
        <f t="shared" si="3"/>
        <v>#N/A</v>
      </c>
      <c r="P1029" s="55"/>
      <c r="Q1029" s="55"/>
      <c r="R1029" s="55"/>
      <c r="S1029" s="55"/>
      <c r="T1029" s="55"/>
      <c r="U1029" s="55"/>
      <c r="V1029" s="30">
        <f t="shared" si="425"/>
        <v>2200000</v>
      </c>
      <c r="W1029" s="30"/>
      <c r="X1029" s="58"/>
      <c r="Y1029" s="58"/>
      <c r="Z1029" s="692"/>
      <c r="AA1029" s="665"/>
      <c r="AB1029" s="55"/>
      <c r="AC1029" s="55"/>
      <c r="AD1029" s="453"/>
      <c r="AE1029" s="55"/>
      <c r="AF1029" s="62">
        <v>44951.0</v>
      </c>
      <c r="AG1029" s="38">
        <v>2200000.0</v>
      </c>
      <c r="AH1029" s="55"/>
      <c r="AI1029" s="55"/>
      <c r="AJ1029" s="55"/>
      <c r="AK1029" s="55"/>
      <c r="AL1029" s="55"/>
      <c r="AM1029" s="55"/>
      <c r="AN1029" s="55"/>
      <c r="AO1029" s="55"/>
      <c r="AP1029" s="356"/>
      <c r="AQ1029" s="38"/>
      <c r="AR1029" s="55"/>
      <c r="AS1029" s="38"/>
      <c r="AT1029" s="55"/>
      <c r="AU1029" s="38"/>
      <c r="AV1029" s="55"/>
      <c r="AW1029" s="38"/>
      <c r="AX1029" s="55"/>
      <c r="AY1029" s="38"/>
      <c r="AZ1029" s="55"/>
      <c r="BA1029" s="722"/>
      <c r="BB1029" s="55"/>
      <c r="BC1029" s="38"/>
      <c r="BD1029" s="55"/>
      <c r="BE1029" s="38"/>
      <c r="BF1029" s="55"/>
      <c r="BG1029" s="16"/>
      <c r="BH1029" s="16"/>
      <c r="BI1029" s="16"/>
      <c r="BJ1029" s="16"/>
      <c r="BK1029" s="16"/>
      <c r="BL1029" s="16"/>
      <c r="BM1029" s="16"/>
      <c r="BN1029" s="16"/>
      <c r="BO1029" s="16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6"/>
      <c r="CA1029" s="16"/>
      <c r="CB1029" s="16"/>
      <c r="CC1029" s="16"/>
      <c r="CD1029" s="16"/>
      <c r="CE1029" s="16"/>
      <c r="CF1029" s="16"/>
      <c r="CG1029" s="16"/>
      <c r="CH1029" s="16"/>
      <c r="CI1029" s="16"/>
      <c r="CJ1029" s="16"/>
      <c r="CK1029" s="16"/>
      <c r="CL1029" s="16"/>
      <c r="CM1029" s="16"/>
      <c r="CN1029" s="16"/>
      <c r="CO1029" s="16"/>
      <c r="CP1029" s="16"/>
    </row>
    <row r="1030" ht="15.75" customHeight="1">
      <c r="A1030" s="400" t="s">
        <v>4949</v>
      </c>
      <c r="B1030" s="116" t="s">
        <v>4950</v>
      </c>
      <c r="C1030" s="116" t="s">
        <v>132</v>
      </c>
      <c r="D1030" s="161" t="s">
        <v>4951</v>
      </c>
      <c r="E1030" s="161" t="s">
        <v>4952</v>
      </c>
      <c r="F1030" s="1339" t="s">
        <v>4953</v>
      </c>
      <c r="G1030" s="119"/>
      <c r="H1030" s="119" t="s">
        <v>194</v>
      </c>
      <c r="I1030" s="25" t="s">
        <v>195</v>
      </c>
      <c r="J1030" s="120"/>
      <c r="K1030" s="25">
        <v>2.0</v>
      </c>
      <c r="L1030" s="25">
        <v>2016.0</v>
      </c>
      <c r="M1030" s="25">
        <f>year(now()) -L1030</f>
        <v>9</v>
      </c>
      <c r="N1030" s="26">
        <f>counta(AE1030,AG1030,AI1030,AK1030,AM1030,AO1030,AQ1030,AS1030,AU1030,AW1030,AY1030,BA1030,BC1030)</f>
        <v>1</v>
      </c>
      <c r="O1030" s="27" t="str">
        <f t="shared" si="3"/>
        <v>#N/A</v>
      </c>
      <c r="P1030" s="28"/>
      <c r="Q1030" s="28"/>
      <c r="R1030" s="28"/>
      <c r="S1030" s="28"/>
      <c r="T1030" s="29">
        <f>V1030/M1030</f>
        <v>240766.6667</v>
      </c>
      <c r="U1030" s="28"/>
      <c r="V1030" s="30">
        <f t="shared" si="425"/>
        <v>2166900</v>
      </c>
      <c r="W1030" s="30"/>
      <c r="X1030" s="597"/>
      <c r="Y1030" s="33">
        <f>(max(AE1030,AG1030,AI1030,AK1030,AM1030,AO1030,AQ1030,AS1030,AU1030,AW1030,AY1030,BA1030,BC1030)/min(AE1030,AG1030,AI1030,AK1030))^(1/M1030)-1</f>
        <v>0</v>
      </c>
      <c r="Z1030" s="692"/>
      <c r="AA1030" s="665"/>
      <c r="AB1030" s="123"/>
      <c r="AC1030" s="123"/>
      <c r="AD1030" s="124"/>
      <c r="AE1030" s="125"/>
      <c r="AF1030" s="194" t="str">
        <f>HYPERLINK("https://www.crunchbase.com/funding_round/scaled-robotics-seed--79f30502","Feb 3, 2020")</f>
        <v>Feb 3, 2020</v>
      </c>
      <c r="AG1030" s="127">
        <v>2166900.0</v>
      </c>
      <c r="AH1030" s="1458"/>
      <c r="AI1030" s="1459"/>
      <c r="AJ1030" s="25"/>
      <c r="AK1030" s="165"/>
      <c r="AL1030" s="124"/>
      <c r="AM1030" s="125"/>
      <c r="AN1030" s="124"/>
      <c r="AO1030" s="125"/>
      <c r="AP1030" s="124"/>
      <c r="AQ1030" s="125"/>
      <c r="AR1030" s="124"/>
      <c r="AS1030" s="124"/>
      <c r="AT1030" s="124"/>
      <c r="AU1030" s="137"/>
      <c r="AV1030" s="124"/>
      <c r="AW1030" s="38"/>
      <c r="AX1030" s="124"/>
      <c r="AY1030" s="38"/>
      <c r="AZ1030" s="124"/>
      <c r="BA1030" s="137"/>
      <c r="BB1030" s="124"/>
      <c r="BC1030" s="137"/>
      <c r="BD1030" s="124"/>
      <c r="BE1030" s="38"/>
      <c r="BF1030" s="123"/>
      <c r="BG1030" s="16"/>
      <c r="BH1030" s="16"/>
      <c r="BI1030" s="16"/>
      <c r="BJ1030" s="16"/>
      <c r="BK1030" s="16"/>
      <c r="BL1030" s="16"/>
      <c r="BM1030" s="16"/>
      <c r="BN1030" s="16"/>
      <c r="BO1030" s="16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6"/>
      <c r="CA1030" s="16"/>
      <c r="CB1030" s="16"/>
      <c r="CC1030" s="16"/>
      <c r="CD1030" s="16"/>
      <c r="CE1030" s="16"/>
      <c r="CF1030" s="16"/>
      <c r="CG1030" s="16"/>
      <c r="CH1030" s="16"/>
      <c r="CI1030" s="16"/>
      <c r="CJ1030" s="16"/>
      <c r="CK1030" s="16"/>
      <c r="CL1030" s="16"/>
      <c r="CM1030" s="16"/>
      <c r="CN1030" s="16"/>
      <c r="CO1030" s="16"/>
      <c r="CP1030" s="16"/>
    </row>
    <row r="1031" ht="15.75" customHeight="1">
      <c r="A1031" s="400" t="s">
        <v>4954</v>
      </c>
      <c r="B1031" s="115"/>
      <c r="C1031" s="116" t="s">
        <v>68</v>
      </c>
      <c r="D1031" s="401" t="s">
        <v>4955</v>
      </c>
      <c r="E1031" s="401" t="s">
        <v>4956</v>
      </c>
      <c r="F1031" s="402" t="s">
        <v>4957</v>
      </c>
      <c r="G1031" s="119" t="s">
        <v>4958</v>
      </c>
      <c r="H1031" s="119" t="s">
        <v>4959</v>
      </c>
      <c r="I1031" s="25" t="s">
        <v>2742</v>
      </c>
      <c r="J1031" s="120" t="s">
        <v>4960</v>
      </c>
      <c r="K1031" s="25">
        <v>4.0</v>
      </c>
      <c r="L1031" s="25">
        <v>2019.0</v>
      </c>
      <c r="M1031" s="123"/>
      <c r="N1031" s="123"/>
      <c r="O1031" s="27" t="str">
        <f t="shared" si="3"/>
        <v>#N/A</v>
      </c>
      <c r="P1031" s="55"/>
      <c r="Q1031" s="55"/>
      <c r="R1031" s="55"/>
      <c r="S1031" s="55"/>
      <c r="T1031" s="55"/>
      <c r="U1031" s="55"/>
      <c r="V1031" s="30">
        <f t="shared" si="425"/>
        <v>2165800</v>
      </c>
      <c r="W1031" s="30"/>
      <c r="X1031" s="403"/>
      <c r="Y1031" s="403"/>
      <c r="Z1031" s="692"/>
      <c r="AA1031" s="665"/>
      <c r="AB1031" s="123"/>
      <c r="AC1031" s="123"/>
      <c r="AD1031" s="404">
        <v>44578.0</v>
      </c>
      <c r="AE1031" s="127">
        <v>2000000.0</v>
      </c>
      <c r="AF1031" s="452"/>
      <c r="AG1031" s="125"/>
      <c r="AH1031" s="123"/>
      <c r="AI1031" s="128"/>
      <c r="AJ1031" s="123"/>
      <c r="AK1031" s="123"/>
      <c r="AL1031" s="123"/>
      <c r="AM1031" s="123"/>
      <c r="AN1031" s="123"/>
      <c r="AO1031" s="123"/>
      <c r="AP1031" s="881"/>
      <c r="AQ1031" s="123"/>
      <c r="AR1031" s="123"/>
      <c r="AS1031" s="123"/>
      <c r="AT1031" s="123"/>
      <c r="AU1031" s="137"/>
      <c r="AV1031" s="123"/>
      <c r="AW1031" s="38"/>
      <c r="AX1031" s="123"/>
      <c r="AY1031" s="38"/>
      <c r="AZ1031" s="404">
        <v>44243.0</v>
      </c>
      <c r="BA1031" s="170">
        <v>165800.0</v>
      </c>
      <c r="BB1031" s="123"/>
      <c r="BC1031" s="137"/>
      <c r="BD1031" s="123"/>
      <c r="BE1031" s="38"/>
      <c r="BF1031" s="123"/>
      <c r="BG1031" s="16"/>
      <c r="BH1031" s="16"/>
      <c r="BI1031" s="16"/>
      <c r="BJ1031" s="16"/>
      <c r="BK1031" s="16"/>
      <c r="BL1031" s="16"/>
      <c r="BM1031" s="16"/>
      <c r="BN1031" s="16"/>
      <c r="BO1031" s="16"/>
      <c r="BP1031" s="16"/>
      <c r="BQ1031" s="16"/>
      <c r="BR1031" s="16"/>
      <c r="BS1031" s="16"/>
      <c r="BT1031" s="16"/>
      <c r="BU1031" s="16"/>
      <c r="BV1031" s="16"/>
      <c r="BW1031" s="16"/>
      <c r="BX1031" s="16"/>
      <c r="BY1031" s="16"/>
      <c r="BZ1031" s="16"/>
      <c r="CA1031" s="16"/>
      <c r="CB1031" s="16"/>
      <c r="CC1031" s="16"/>
      <c r="CD1031" s="16"/>
      <c r="CE1031" s="16"/>
      <c r="CF1031" s="16"/>
      <c r="CG1031" s="16"/>
      <c r="CH1031" s="16"/>
      <c r="CI1031" s="16"/>
      <c r="CJ1031" s="16"/>
      <c r="CK1031" s="16"/>
      <c r="CL1031" s="16"/>
      <c r="CM1031" s="16"/>
      <c r="CN1031" s="16"/>
      <c r="CO1031" s="16"/>
      <c r="CP1031" s="16"/>
    </row>
    <row r="1032" ht="15.75" customHeight="1">
      <c r="A1032" s="21" t="s">
        <v>4961</v>
      </c>
      <c r="B1032" s="17"/>
      <c r="C1032" s="17" t="s">
        <v>267</v>
      </c>
      <c r="D1032" s="231" t="s">
        <v>4962</v>
      </c>
      <c r="E1032" s="231" t="s">
        <v>4963</v>
      </c>
      <c r="F1032" s="177" t="s">
        <v>4964</v>
      </c>
      <c r="G1032" s="22"/>
      <c r="H1032" s="22"/>
      <c r="I1032" s="23"/>
      <c r="J1032" s="24"/>
      <c r="K1032" s="74" t="s">
        <v>723</v>
      </c>
      <c r="L1032" s="23">
        <v>2018.0</v>
      </c>
      <c r="M1032" s="25">
        <f t="shared" ref="M1032:M1033" si="704">year(now()) -L1032</f>
        <v>7</v>
      </c>
      <c r="N1032" s="26">
        <f t="shared" ref="N1032:N1033" si="705">counta(AE1032,AG1032,AI1032,AK1032,AM1032,AO1032,AQ1032,AS1032,AU1032,AW1032,AY1032,BA1032,BC1032)</f>
        <v>1</v>
      </c>
      <c r="O1032" s="27" t="str">
        <f t="shared" si="3"/>
        <v>#N/A</v>
      </c>
      <c r="P1032" s="28"/>
      <c r="Q1032" s="28"/>
      <c r="R1032" s="28"/>
      <c r="S1032" s="28"/>
      <c r="T1032" s="29">
        <f t="shared" ref="T1032:T1033" si="706">V1032/M1032</f>
        <v>309108.5714</v>
      </c>
      <c r="U1032" s="28"/>
      <c r="V1032" s="30">
        <f t="shared" si="425"/>
        <v>2163760</v>
      </c>
      <c r="W1032" s="30"/>
      <c r="X1032" s="32"/>
      <c r="Y1032" s="33">
        <f t="shared" ref="Y1032:Y1033" si="707">(max(AE1032,AG1032,AI1032,AK1032,AM1032,AO1032,AQ1032,AS1032,AU1032,AW1032,AY1032,BA1032,BC1032)/min(AE1032,AG1032,AI1032,AK1032))^(1/M1032)-1</f>
        <v>0</v>
      </c>
      <c r="Z1032" s="692"/>
      <c r="AA1032" s="665"/>
      <c r="AB1032" s="36"/>
      <c r="AC1032" s="36"/>
      <c r="AD1032" s="44"/>
      <c r="AE1032" s="46"/>
      <c r="AF1032" s="918" t="str">
        <f>HYPERLINK("https://www.crunchbase.com/funding_round/construyo-seed--c5d66b47"," 5/12/2020")</f>
        <v> 5/12/2020</v>
      </c>
      <c r="AG1032" s="38">
        <v>2163760.0</v>
      </c>
      <c r="AH1032" s="36"/>
      <c r="AI1032" s="159"/>
      <c r="AJ1032" s="37"/>
      <c r="AK1032" s="38"/>
      <c r="AL1032" s="44"/>
      <c r="AM1032" s="46"/>
      <c r="AN1032" s="44"/>
      <c r="AO1032" s="46"/>
      <c r="AP1032" s="44"/>
      <c r="AQ1032" s="46"/>
      <c r="AR1032" s="44"/>
      <c r="AS1032" s="44"/>
      <c r="AT1032" s="44"/>
      <c r="AU1032" s="45"/>
      <c r="AV1032" s="44"/>
      <c r="AW1032" s="38"/>
      <c r="AX1032" s="44"/>
      <c r="AY1032" s="38"/>
      <c r="AZ1032" s="44"/>
      <c r="BA1032" s="45"/>
      <c r="BB1032" s="44"/>
      <c r="BC1032" s="45"/>
      <c r="BD1032" s="44"/>
      <c r="BE1032" s="38"/>
      <c r="BF1032" s="36"/>
      <c r="BG1032" s="16"/>
      <c r="BH1032" s="16"/>
      <c r="BI1032" s="16"/>
      <c r="BJ1032" s="16"/>
      <c r="BK1032" s="16"/>
      <c r="BL1032" s="16"/>
      <c r="BM1032" s="16"/>
      <c r="BN1032" s="16"/>
      <c r="BO1032" s="16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6"/>
      <c r="CA1032" s="16"/>
      <c r="CB1032" s="16"/>
      <c r="CC1032" s="16"/>
      <c r="CD1032" s="16"/>
      <c r="CE1032" s="16"/>
      <c r="CF1032" s="16"/>
      <c r="CG1032" s="16"/>
      <c r="CH1032" s="16"/>
      <c r="CI1032" s="16"/>
      <c r="CJ1032" s="16"/>
      <c r="CK1032" s="16"/>
      <c r="CL1032" s="16"/>
      <c r="CM1032" s="16"/>
      <c r="CN1032" s="16"/>
      <c r="CO1032" s="16"/>
      <c r="CP1032" s="16"/>
    </row>
    <row r="1033" ht="15.75" customHeight="1">
      <c r="A1033" s="442" t="s">
        <v>4965</v>
      </c>
      <c r="B1033" s="16" t="s">
        <v>4966</v>
      </c>
      <c r="C1033" s="16" t="s">
        <v>207</v>
      </c>
      <c r="D1033" s="184" t="s">
        <v>4967</v>
      </c>
      <c r="E1033" s="184" t="s">
        <v>4968</v>
      </c>
      <c r="F1033" s="185" t="s">
        <v>4969</v>
      </c>
      <c r="G1033" s="442" t="s">
        <v>4970</v>
      </c>
      <c r="H1033" s="317" t="s">
        <v>4971</v>
      </c>
      <c r="I1033" s="23" t="s">
        <v>4972</v>
      </c>
      <c r="J1033" s="1460" t="s">
        <v>4973</v>
      </c>
      <c r="K1033" s="36">
        <v>2.0</v>
      </c>
      <c r="L1033" s="23">
        <v>2016.0</v>
      </c>
      <c r="M1033" s="25">
        <f t="shared" si="704"/>
        <v>9</v>
      </c>
      <c r="N1033" s="26">
        <f t="shared" si="705"/>
        <v>2</v>
      </c>
      <c r="O1033" s="27" t="str">
        <f t="shared" si="3"/>
        <v>#N/A</v>
      </c>
      <c r="P1033" s="28"/>
      <c r="Q1033" s="28"/>
      <c r="R1033" s="28"/>
      <c r="S1033" s="28"/>
      <c r="T1033" s="29">
        <f t="shared" si="706"/>
        <v>238333.3333</v>
      </c>
      <c r="U1033" s="28"/>
      <c r="V1033" s="30">
        <f t="shared" si="425"/>
        <v>2145000</v>
      </c>
      <c r="W1033" s="30"/>
      <c r="X1033" s="847"/>
      <c r="Y1033" s="33">
        <f t="shared" si="707"/>
        <v>0.1605839107</v>
      </c>
      <c r="Z1033" s="692"/>
      <c r="AA1033" s="665"/>
      <c r="AB1033" s="36" t="s">
        <v>3073</v>
      </c>
      <c r="AC1033" s="36"/>
      <c r="AD1033" s="228" t="str">
        <f>HYPERLINK("https://www.crunchbase.com/organization/booqed-ltd#section-funding-rounds"," Sep 18, 2018")</f>
        <v> Sep 18, 2018</v>
      </c>
      <c r="AE1033" s="38">
        <v>445000.0</v>
      </c>
      <c r="AF1033" s="158" t="str">
        <f>HYPERLINK("https://www.crunchbase.com/funding_round/booqed-ltd-seed--7dee700c","Oct 14, 2019")</f>
        <v>Oct 14, 2019</v>
      </c>
      <c r="AG1033" s="38">
        <v>1700000.0</v>
      </c>
      <c r="AH1033" s="36"/>
      <c r="AI1033" s="159"/>
      <c r="AJ1033" s="44"/>
      <c r="AK1033" s="46"/>
      <c r="AL1033" s="44"/>
      <c r="AM1033" s="46"/>
      <c r="AN1033" s="44"/>
      <c r="AO1033" s="46"/>
      <c r="AP1033" s="44"/>
      <c r="AQ1033" s="46"/>
      <c r="AR1033" s="44"/>
      <c r="AS1033" s="44"/>
      <c r="AT1033" s="44"/>
      <c r="AU1033" s="45"/>
      <c r="AV1033" s="44"/>
      <c r="AW1033" s="38"/>
      <c r="AX1033" s="44"/>
      <c r="AY1033" s="38"/>
      <c r="AZ1033" s="44"/>
      <c r="BA1033" s="45"/>
      <c r="BB1033" s="44"/>
      <c r="BC1033" s="45"/>
      <c r="BD1033" s="44"/>
      <c r="BE1033" s="38"/>
      <c r="BF1033" s="36"/>
      <c r="BG1033" s="16"/>
      <c r="BH1033" s="16"/>
      <c r="BI1033" s="16"/>
      <c r="BJ1033" s="16"/>
      <c r="BK1033" s="16"/>
      <c r="BL1033" s="16"/>
      <c r="BM1033" s="16"/>
      <c r="BN1033" s="16"/>
      <c r="BO1033" s="16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6"/>
      <c r="CA1033" s="16"/>
      <c r="CB1033" s="16"/>
      <c r="CC1033" s="16"/>
      <c r="CD1033" s="16"/>
      <c r="CE1033" s="16"/>
      <c r="CF1033" s="16"/>
      <c r="CG1033" s="16"/>
      <c r="CH1033" s="16"/>
      <c r="CI1033" s="16"/>
      <c r="CJ1033" s="16"/>
      <c r="CK1033" s="16"/>
      <c r="CL1033" s="16"/>
      <c r="CM1033" s="16"/>
      <c r="CN1033" s="16"/>
      <c r="CO1033" s="16"/>
      <c r="CP1033" s="16"/>
    </row>
    <row r="1034" ht="15.75" customHeight="1">
      <c r="A1034" s="21" t="s">
        <v>4974</v>
      </c>
      <c r="B1034" s="68"/>
      <c r="C1034" s="69" t="s">
        <v>190</v>
      </c>
      <c r="D1034" s="138" t="s">
        <v>4975</v>
      </c>
      <c r="E1034" s="200" t="s">
        <v>4976</v>
      </c>
      <c r="F1034" s="1049" t="s">
        <v>4977</v>
      </c>
      <c r="G1034" s="174"/>
      <c r="H1034" s="71" t="s">
        <v>2927</v>
      </c>
      <c r="I1034" s="26" t="s">
        <v>257</v>
      </c>
      <c r="J1034" s="514"/>
      <c r="K1034" s="26">
        <v>3.0</v>
      </c>
      <c r="L1034" s="26">
        <v>2015.0</v>
      </c>
      <c r="M1034" s="25"/>
      <c r="N1034" s="26"/>
      <c r="O1034" s="27" t="str">
        <f t="shared" si="3"/>
        <v>#N/A</v>
      </c>
      <c r="P1034" s="273"/>
      <c r="Q1034" s="273"/>
      <c r="R1034" s="273"/>
      <c r="S1034" s="273"/>
      <c r="T1034" s="273"/>
      <c r="U1034" s="273"/>
      <c r="V1034" s="30">
        <f t="shared" si="425"/>
        <v>2136800</v>
      </c>
      <c r="W1034" s="30"/>
      <c r="X1034" s="73"/>
      <c r="Y1034" s="73"/>
      <c r="Z1034" s="692"/>
      <c r="AA1034" s="665"/>
      <c r="AB1034" s="74"/>
      <c r="AC1034" s="74"/>
      <c r="AD1034" s="79"/>
      <c r="AE1034" s="84"/>
      <c r="AF1034" s="1461">
        <v>44223.0</v>
      </c>
      <c r="AG1034" s="76">
        <f>1400000+736800</f>
        <v>2136800</v>
      </c>
      <c r="AH1034" s="74"/>
      <c r="AI1034" s="78"/>
      <c r="AJ1034" s="279"/>
      <c r="AK1034" s="76"/>
      <c r="AL1034" s="79"/>
      <c r="AM1034" s="76"/>
      <c r="AN1034" s="79"/>
      <c r="AO1034" s="76"/>
      <c r="AP1034" s="79"/>
      <c r="AQ1034" s="84"/>
      <c r="AR1034" s="79"/>
      <c r="AS1034" s="79"/>
      <c r="AT1034" s="79"/>
      <c r="AU1034" s="80"/>
      <c r="AV1034" s="79"/>
      <c r="AW1034" s="38"/>
      <c r="AX1034" s="79"/>
      <c r="AY1034" s="38"/>
      <c r="AZ1034" s="79"/>
      <c r="BA1034" s="80"/>
      <c r="BB1034" s="79"/>
      <c r="BC1034" s="80"/>
      <c r="BD1034" s="79"/>
      <c r="BE1034" s="38"/>
      <c r="BF1034" s="74"/>
      <c r="BG1034" s="68"/>
      <c r="BH1034" s="68"/>
      <c r="BI1034" s="68"/>
      <c r="BJ1034" s="68"/>
      <c r="BK1034" s="68"/>
      <c r="BL1034" s="68"/>
      <c r="BM1034" s="68"/>
      <c r="BN1034" s="68"/>
      <c r="BO1034" s="68"/>
      <c r="BP1034" s="68"/>
      <c r="BQ1034" s="68"/>
      <c r="BR1034" s="68"/>
      <c r="BS1034" s="68"/>
      <c r="BT1034" s="68"/>
      <c r="BU1034" s="68"/>
      <c r="BV1034" s="68"/>
      <c r="BW1034" s="68"/>
      <c r="BX1034" s="68"/>
      <c r="BY1034" s="68"/>
      <c r="BZ1034" s="68"/>
      <c r="CA1034" s="68"/>
      <c r="CB1034" s="68"/>
      <c r="CC1034" s="68"/>
      <c r="CD1034" s="68"/>
      <c r="CE1034" s="68"/>
      <c r="CF1034" s="68"/>
      <c r="CG1034" s="68"/>
      <c r="CH1034" s="68"/>
      <c r="CI1034" s="68"/>
      <c r="CJ1034" s="68"/>
      <c r="CK1034" s="68"/>
      <c r="CL1034" s="68"/>
      <c r="CM1034" s="68"/>
      <c r="CN1034" s="68"/>
      <c r="CO1034" s="68"/>
      <c r="CP1034" s="68"/>
    </row>
    <row r="1035" ht="15.75" customHeight="1">
      <c r="A1035" s="1462" t="s">
        <v>4978</v>
      </c>
      <c r="B1035" s="1463"/>
      <c r="C1035" s="1463" t="s">
        <v>132</v>
      </c>
      <c r="D1035" s="1464"/>
      <c r="E1035" s="1465" t="s">
        <v>4979</v>
      </c>
      <c r="F1035" s="1466" t="s">
        <v>4980</v>
      </c>
      <c r="G1035" s="1467"/>
      <c r="H1035" s="1468" t="s">
        <v>271</v>
      </c>
      <c r="I1035" s="1469" t="s">
        <v>272</v>
      </c>
      <c r="J1035" s="1470"/>
      <c r="K1035" s="1469">
        <v>2.0</v>
      </c>
      <c r="L1035" s="1471">
        <v>2020.0</v>
      </c>
      <c r="M1035" s="25"/>
      <c r="N1035" s="1469"/>
      <c r="O1035" s="27" t="str">
        <f t="shared" si="3"/>
        <v>#N/A</v>
      </c>
      <c r="P1035" s="1472"/>
      <c r="Q1035" s="1472"/>
      <c r="R1035" s="1472"/>
      <c r="S1035" s="1472"/>
      <c r="T1035" s="1472"/>
      <c r="U1035" s="1472"/>
      <c r="V1035" s="30">
        <f t="shared" si="425"/>
        <v>2125000</v>
      </c>
      <c r="W1035" s="30"/>
      <c r="X1035" s="1473"/>
      <c r="Y1035" s="1473"/>
      <c r="Z1035" s="692"/>
      <c r="AA1035" s="665"/>
      <c r="AB1035" s="1474"/>
      <c r="AC1035" s="1474"/>
      <c r="AD1035" s="1475">
        <v>44439.0</v>
      </c>
      <c r="AE1035" s="1476">
        <v>125000.0</v>
      </c>
      <c r="AF1035" s="1477">
        <v>44783.0</v>
      </c>
      <c r="AG1035" s="1476">
        <v>2000000.0</v>
      </c>
      <c r="AH1035" s="1478"/>
      <c r="AI1035" s="1479"/>
      <c r="AJ1035" s="1480"/>
      <c r="AK1035" s="1481"/>
      <c r="AL1035" s="1482"/>
      <c r="AM1035" s="1476"/>
      <c r="AN1035" s="1482"/>
      <c r="AO1035" s="1476"/>
      <c r="AP1035" s="1482"/>
      <c r="AQ1035" s="1476"/>
      <c r="AR1035" s="1482"/>
      <c r="AS1035" s="1482"/>
      <c r="AT1035" s="1482"/>
      <c r="AU1035" s="1483"/>
      <c r="AV1035" s="1482"/>
      <c r="AW1035" s="38"/>
      <c r="AX1035" s="1482"/>
      <c r="AY1035" s="38"/>
      <c r="AZ1035" s="1482"/>
      <c r="BA1035" s="1483"/>
      <c r="BB1035" s="1482"/>
      <c r="BC1035" s="1483"/>
      <c r="BD1035" s="1482"/>
      <c r="BE1035" s="38"/>
      <c r="BF1035" s="1474"/>
      <c r="BG1035" s="68"/>
      <c r="BH1035" s="68"/>
      <c r="BI1035" s="68"/>
      <c r="BJ1035" s="68"/>
      <c r="BK1035" s="68"/>
      <c r="BL1035" s="68"/>
      <c r="BM1035" s="68"/>
      <c r="BN1035" s="68"/>
      <c r="BO1035" s="68"/>
      <c r="BP1035" s="68"/>
      <c r="BQ1035" s="68"/>
      <c r="BR1035" s="68"/>
      <c r="BS1035" s="68"/>
      <c r="BT1035" s="68"/>
      <c r="BU1035" s="68"/>
      <c r="BV1035" s="68"/>
      <c r="BW1035" s="68"/>
      <c r="BX1035" s="68"/>
      <c r="BY1035" s="68"/>
      <c r="BZ1035" s="68"/>
      <c r="CA1035" s="68"/>
      <c r="CB1035" s="68"/>
      <c r="CC1035" s="68"/>
      <c r="CD1035" s="68"/>
      <c r="CE1035" s="68"/>
      <c r="CF1035" s="68"/>
      <c r="CG1035" s="68"/>
      <c r="CH1035" s="68"/>
      <c r="CI1035" s="68"/>
      <c r="CJ1035" s="68"/>
      <c r="CK1035" s="68"/>
      <c r="CL1035" s="68"/>
      <c r="CM1035" s="68"/>
      <c r="CN1035" s="68"/>
      <c r="CO1035" s="68"/>
      <c r="CP1035" s="68"/>
    </row>
    <row r="1036" ht="15.75" customHeight="1">
      <c r="A1036" s="866" t="s">
        <v>4981</v>
      </c>
      <c r="B1036" s="16"/>
      <c r="C1036" s="17" t="s">
        <v>84</v>
      </c>
      <c r="D1036" s="337"/>
      <c r="E1036" s="18" t="s">
        <v>4982</v>
      </c>
      <c r="F1036" s="20" t="s">
        <v>4983</v>
      </c>
      <c r="G1036" s="317"/>
      <c r="H1036" s="22" t="s">
        <v>3015</v>
      </c>
      <c r="I1036" s="23" t="s">
        <v>4984</v>
      </c>
      <c r="J1036" s="237"/>
      <c r="K1036" s="36"/>
      <c r="L1036" s="23">
        <v>2018.0</v>
      </c>
      <c r="M1036" s="25">
        <f t="shared" ref="M1036:M1039" si="708">year(now()) -L1036</f>
        <v>7</v>
      </c>
      <c r="N1036" s="26">
        <f t="shared" ref="N1036:N1039" si="709">counta(AE1036,AG1036,AI1036,AK1036,AM1036,AO1036,AQ1036,AS1036,AU1036,AW1036,AY1036,BA1036,BC1036)</f>
        <v>1</v>
      </c>
      <c r="O1036" s="27" t="str">
        <f t="shared" si="3"/>
        <v>#N/A</v>
      </c>
      <c r="P1036" s="28"/>
      <c r="Q1036" s="28"/>
      <c r="R1036" s="28"/>
      <c r="S1036" s="28"/>
      <c r="T1036" s="29">
        <f t="shared" ref="T1036:T1039" si="710">V1036/M1036</f>
        <v>300000</v>
      </c>
      <c r="U1036" s="28"/>
      <c r="V1036" s="30">
        <f t="shared" si="425"/>
        <v>2100000</v>
      </c>
      <c r="W1036" s="30"/>
      <c r="X1036" s="847"/>
      <c r="Y1036" s="33">
        <f t="shared" ref="Y1036:Y1039" si="711">(max(AE1036,AG1036,AI1036,AK1036,AM1036,AO1036,AQ1036,AS1036,AU1036,AW1036,AY1036,BA1036,BC1036)/min(AE1036,AG1036,AI1036,AK1036))^(1/M1036)-1</f>
        <v>0</v>
      </c>
      <c r="Z1036" s="692"/>
      <c r="AA1036" s="665"/>
      <c r="AB1036" s="36"/>
      <c r="AC1036" s="36"/>
      <c r="AD1036" s="37"/>
      <c r="AE1036" s="38"/>
      <c r="AF1036" s="158" t="str">
        <f>HYPERLINK("https://www.crunchbase.com/funding_round/audience-town-seed--82c795b7","Feb 10, 2021")</f>
        <v>Feb 10, 2021</v>
      </c>
      <c r="AG1036" s="38">
        <v>2100000.0</v>
      </c>
      <c r="AH1036" s="40"/>
      <c r="AI1036" s="41"/>
      <c r="AJ1036" s="37"/>
      <c r="AK1036" s="38"/>
      <c r="AL1036" s="44"/>
      <c r="AM1036" s="46"/>
      <c r="AN1036" s="44"/>
      <c r="AO1036" s="46"/>
      <c r="AP1036" s="44"/>
      <c r="AQ1036" s="46"/>
      <c r="AR1036" s="44"/>
      <c r="AS1036" s="44"/>
      <c r="AT1036" s="44"/>
      <c r="AU1036" s="45"/>
      <c r="AV1036" s="44"/>
      <c r="AW1036" s="38"/>
      <c r="AX1036" s="44"/>
      <c r="AY1036" s="38"/>
      <c r="AZ1036" s="44"/>
      <c r="BA1036" s="45"/>
      <c r="BB1036" s="44"/>
      <c r="BC1036" s="45"/>
      <c r="BD1036" s="44"/>
      <c r="BE1036" s="38"/>
      <c r="BF1036" s="36"/>
      <c r="BG1036" s="16"/>
      <c r="BH1036" s="16"/>
      <c r="BI1036" s="16"/>
      <c r="BJ1036" s="16"/>
      <c r="BK1036" s="16"/>
      <c r="BL1036" s="16"/>
      <c r="BM1036" s="16"/>
      <c r="BN1036" s="16"/>
      <c r="BO1036" s="16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6"/>
      <c r="CA1036" s="16"/>
      <c r="CB1036" s="16"/>
      <c r="CC1036" s="16"/>
      <c r="CD1036" s="16"/>
      <c r="CE1036" s="16"/>
      <c r="CF1036" s="16"/>
      <c r="CG1036" s="16"/>
      <c r="CH1036" s="16"/>
      <c r="CI1036" s="16"/>
      <c r="CJ1036" s="16"/>
      <c r="CK1036" s="16"/>
      <c r="CL1036" s="16"/>
      <c r="CM1036" s="16"/>
      <c r="CN1036" s="16"/>
      <c r="CO1036" s="16"/>
      <c r="CP1036" s="16"/>
    </row>
    <row r="1037" ht="15.75" customHeight="1">
      <c r="A1037" s="931" t="s">
        <v>4985</v>
      </c>
      <c r="B1037" s="115"/>
      <c r="C1037" s="116" t="s">
        <v>59</v>
      </c>
      <c r="D1037" s="192" t="s">
        <v>4986</v>
      </c>
      <c r="E1037" s="192" t="s">
        <v>4987</v>
      </c>
      <c r="F1037" s="756" t="s">
        <v>4988</v>
      </c>
      <c r="G1037" s="286"/>
      <c r="H1037" s="119" t="s">
        <v>4989</v>
      </c>
      <c r="I1037" s="25" t="s">
        <v>4990</v>
      </c>
      <c r="J1037" s="287"/>
      <c r="K1037" s="123"/>
      <c r="L1037" s="25">
        <v>2013.0</v>
      </c>
      <c r="M1037" s="25">
        <f t="shared" si="708"/>
        <v>12</v>
      </c>
      <c r="N1037" s="26">
        <f t="shared" si="709"/>
        <v>1</v>
      </c>
      <c r="O1037" s="27" t="str">
        <f t="shared" si="3"/>
        <v>#N/A</v>
      </c>
      <c r="P1037" s="28"/>
      <c r="Q1037" s="28"/>
      <c r="R1037" s="28"/>
      <c r="S1037" s="28"/>
      <c r="T1037" s="29">
        <f t="shared" si="710"/>
        <v>175000</v>
      </c>
      <c r="U1037" s="28"/>
      <c r="V1037" s="30">
        <f t="shared" si="425"/>
        <v>2100000</v>
      </c>
      <c r="W1037" s="30"/>
      <c r="X1037" s="403"/>
      <c r="Y1037" s="33">
        <f t="shared" si="711"/>
        <v>0</v>
      </c>
      <c r="Z1037" s="692"/>
      <c r="AA1037" s="665"/>
      <c r="AB1037" s="123"/>
      <c r="AC1037" s="123"/>
      <c r="AD1037" s="124"/>
      <c r="AE1037" s="125"/>
      <c r="AF1037" s="320">
        <v>42594.0</v>
      </c>
      <c r="AG1037" s="127">
        <v>2100000.0</v>
      </c>
      <c r="AH1037" s="123"/>
      <c r="AI1037" s="128"/>
      <c r="AJ1037" s="124"/>
      <c r="AK1037" s="125"/>
      <c r="AL1037" s="124"/>
      <c r="AM1037" s="125"/>
      <c r="AN1037" s="124"/>
      <c r="AO1037" s="125"/>
      <c r="AP1037" s="124"/>
      <c r="AQ1037" s="125"/>
      <c r="AR1037" s="124"/>
      <c r="AS1037" s="124"/>
      <c r="AT1037" s="124"/>
      <c r="AU1037" s="137"/>
      <c r="AV1037" s="124"/>
      <c r="AW1037" s="38"/>
      <c r="AX1037" s="124"/>
      <c r="AY1037" s="38"/>
      <c r="AZ1037" s="124"/>
      <c r="BA1037" s="137"/>
      <c r="BB1037" s="124"/>
      <c r="BC1037" s="137"/>
      <c r="BD1037" s="124"/>
      <c r="BE1037" s="38"/>
      <c r="BF1037" s="123"/>
      <c r="BG1037" s="16"/>
      <c r="BH1037" s="16"/>
      <c r="BI1037" s="16"/>
      <c r="BJ1037" s="16"/>
      <c r="BK1037" s="16"/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6"/>
      <c r="CA1037" s="16"/>
      <c r="CB1037" s="16"/>
      <c r="CC1037" s="16"/>
      <c r="CD1037" s="16"/>
      <c r="CE1037" s="16"/>
      <c r="CF1037" s="16"/>
      <c r="CG1037" s="16"/>
      <c r="CH1037" s="16"/>
      <c r="CI1037" s="16"/>
      <c r="CJ1037" s="16"/>
      <c r="CK1037" s="16"/>
      <c r="CL1037" s="16"/>
      <c r="CM1037" s="16"/>
      <c r="CN1037" s="16"/>
      <c r="CO1037" s="16"/>
      <c r="CP1037" s="16"/>
    </row>
    <row r="1038" ht="15.75" customHeight="1">
      <c r="A1038" s="1484" t="s">
        <v>4991</v>
      </c>
      <c r="B1038" s="68"/>
      <c r="C1038" s="69" t="s">
        <v>132</v>
      </c>
      <c r="D1038" s="337"/>
      <c r="E1038" s="192" t="s">
        <v>4992</v>
      </c>
      <c r="F1038" s="1485" t="s">
        <v>4991</v>
      </c>
      <c r="G1038" s="186"/>
      <c r="H1038" s="71" t="s">
        <v>148</v>
      </c>
      <c r="I1038" s="26" t="s">
        <v>1338</v>
      </c>
      <c r="J1038" s="155"/>
      <c r="K1038" s="74"/>
      <c r="L1038" s="26">
        <v>2016.0</v>
      </c>
      <c r="M1038" s="25">
        <f t="shared" si="708"/>
        <v>9</v>
      </c>
      <c r="N1038" s="26">
        <f t="shared" si="709"/>
        <v>1</v>
      </c>
      <c r="O1038" s="27" t="str">
        <f t="shared" si="3"/>
        <v>#N/A</v>
      </c>
      <c r="P1038" s="28"/>
      <c r="Q1038" s="28"/>
      <c r="R1038" s="28"/>
      <c r="S1038" s="28"/>
      <c r="T1038" s="29">
        <f t="shared" si="710"/>
        <v>233333.3333</v>
      </c>
      <c r="U1038" s="28"/>
      <c r="V1038" s="30">
        <f t="shared" si="425"/>
        <v>2100000</v>
      </c>
      <c r="W1038" s="30"/>
      <c r="X1038" s="32"/>
      <c r="Y1038" s="33">
        <f t="shared" si="711"/>
        <v>0</v>
      </c>
      <c r="Z1038" s="692"/>
      <c r="AA1038" s="665"/>
      <c r="AB1038" s="74"/>
      <c r="AC1038" s="74"/>
      <c r="AD1038" s="79"/>
      <c r="AE1038" s="76"/>
      <c r="AF1038" s="320">
        <v>42534.0</v>
      </c>
      <c r="AG1038" s="76">
        <v>2100000.0</v>
      </c>
      <c r="AH1038" s="74"/>
      <c r="AI1038" s="78"/>
      <c r="AJ1038" s="279"/>
      <c r="AK1038" s="84"/>
      <c r="AL1038" s="79"/>
      <c r="AM1038" s="84"/>
      <c r="AN1038" s="79"/>
      <c r="AO1038" s="84"/>
      <c r="AP1038" s="79"/>
      <c r="AQ1038" s="84"/>
      <c r="AR1038" s="79"/>
      <c r="AS1038" s="79"/>
      <c r="AT1038" s="79"/>
      <c r="AU1038" s="80"/>
      <c r="AV1038" s="79"/>
      <c r="AW1038" s="38"/>
      <c r="AX1038" s="79"/>
      <c r="AY1038" s="38"/>
      <c r="AZ1038" s="79"/>
      <c r="BA1038" s="80"/>
      <c r="BB1038" s="79"/>
      <c r="BC1038" s="80"/>
      <c r="BD1038" s="79"/>
      <c r="BE1038" s="38"/>
      <c r="BF1038" s="74"/>
      <c r="BG1038" s="16"/>
      <c r="BH1038" s="16"/>
      <c r="BI1038" s="16"/>
      <c r="BJ1038" s="16"/>
      <c r="BK1038" s="16"/>
      <c r="BL1038" s="16"/>
      <c r="BM1038" s="16"/>
      <c r="BN1038" s="16"/>
      <c r="BO1038" s="16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6"/>
      <c r="CA1038" s="16"/>
      <c r="CB1038" s="16"/>
      <c r="CC1038" s="16"/>
      <c r="CD1038" s="16"/>
      <c r="CE1038" s="16"/>
      <c r="CF1038" s="16"/>
      <c r="CG1038" s="16"/>
      <c r="CH1038" s="16"/>
      <c r="CI1038" s="16"/>
      <c r="CJ1038" s="16"/>
      <c r="CK1038" s="16"/>
      <c r="CL1038" s="16"/>
      <c r="CM1038" s="16"/>
      <c r="CN1038" s="16"/>
      <c r="CO1038" s="16"/>
      <c r="CP1038" s="16"/>
    </row>
    <row r="1039" ht="15.75" customHeight="1">
      <c r="A1039" s="21" t="s">
        <v>4993</v>
      </c>
      <c r="B1039" s="68"/>
      <c r="C1039" s="69" t="s">
        <v>4994</v>
      </c>
      <c r="D1039" s="270" t="s">
        <v>4995</v>
      </c>
      <c r="E1039" s="270" t="s">
        <v>4996</v>
      </c>
      <c r="F1039" s="841" t="s">
        <v>4997</v>
      </c>
      <c r="G1039" s="71" t="s">
        <v>80</v>
      </c>
      <c r="H1039" s="71" t="s">
        <v>80</v>
      </c>
      <c r="I1039" s="26" t="s">
        <v>65</v>
      </c>
      <c r="J1039" s="155"/>
      <c r="K1039" s="26">
        <v>4.0</v>
      </c>
      <c r="L1039" s="142">
        <v>2015.0</v>
      </c>
      <c r="M1039" s="25">
        <f t="shared" si="708"/>
        <v>10</v>
      </c>
      <c r="N1039" s="26">
        <f t="shared" si="709"/>
        <v>1</v>
      </c>
      <c r="O1039" s="27" t="str">
        <f t="shared" si="3"/>
        <v>#N/A</v>
      </c>
      <c r="P1039" s="28"/>
      <c r="Q1039" s="28"/>
      <c r="R1039" s="28"/>
      <c r="S1039" s="28"/>
      <c r="T1039" s="29">
        <f t="shared" si="710"/>
        <v>210000</v>
      </c>
      <c r="U1039" s="28"/>
      <c r="V1039" s="30">
        <f t="shared" si="425"/>
        <v>2100000</v>
      </c>
      <c r="W1039" s="30"/>
      <c r="X1039" s="73"/>
      <c r="Y1039" s="33">
        <f t="shared" si="711"/>
        <v>0</v>
      </c>
      <c r="Z1039" s="692"/>
      <c r="AA1039" s="665"/>
      <c r="AB1039" s="74"/>
      <c r="AC1039" s="74"/>
      <c r="AD1039" s="79"/>
      <c r="AE1039" s="84"/>
      <c r="AF1039" s="856" t="str">
        <f>HYPERLINK("https://www.crunchbase.com/funding_round/swiftmile-inc-seed--bca0fb05","Sep 21, 2019")</f>
        <v>Sep 21, 2019</v>
      </c>
      <c r="AG1039" s="76">
        <v>2100000.0</v>
      </c>
      <c r="AH1039" s="74"/>
      <c r="AI1039" s="78"/>
      <c r="AJ1039" s="279"/>
      <c r="AK1039" s="76"/>
      <c r="AL1039" s="857" t="str">
        <f>HYPERLINK("https://techcrunch.com/2020/07/08/swiftmile-raises-5-million-round-led-by-thayer-ventures-for-micromobility-charging-stations/"," 5000000")</f>
        <v> 5000000</v>
      </c>
      <c r="AM1039" s="84"/>
      <c r="AN1039" s="79"/>
      <c r="AO1039" s="84"/>
      <c r="AP1039" s="79"/>
      <c r="AQ1039" s="84"/>
      <c r="AR1039" s="79"/>
      <c r="AS1039" s="79"/>
      <c r="AT1039" s="79"/>
      <c r="AU1039" s="80"/>
      <c r="AV1039" s="79"/>
      <c r="AW1039" s="38"/>
      <c r="AX1039" s="79"/>
      <c r="AY1039" s="38"/>
      <c r="AZ1039" s="79"/>
      <c r="BA1039" s="80"/>
      <c r="BB1039" s="79"/>
      <c r="BC1039" s="80"/>
      <c r="BD1039" s="79"/>
      <c r="BE1039" s="38"/>
      <c r="BF1039" s="74"/>
      <c r="BG1039" s="16"/>
      <c r="BH1039" s="16"/>
      <c r="BI1039" s="16"/>
      <c r="BJ1039" s="16"/>
      <c r="BK1039" s="16"/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6"/>
      <c r="CA1039" s="16"/>
      <c r="CB1039" s="16"/>
      <c r="CC1039" s="16"/>
      <c r="CD1039" s="16"/>
      <c r="CE1039" s="16"/>
      <c r="CF1039" s="16"/>
      <c r="CG1039" s="16"/>
      <c r="CH1039" s="16"/>
      <c r="CI1039" s="16"/>
      <c r="CJ1039" s="16"/>
      <c r="CK1039" s="16"/>
      <c r="CL1039" s="16"/>
      <c r="CM1039" s="16"/>
      <c r="CN1039" s="16"/>
      <c r="CO1039" s="16"/>
      <c r="CP1039" s="16"/>
    </row>
    <row r="1040" ht="15.75" customHeight="1">
      <c r="A1040" s="747" t="s">
        <v>4998</v>
      </c>
      <c r="B1040" s="68"/>
      <c r="C1040" s="69" t="s">
        <v>132</v>
      </c>
      <c r="D1040" s="138" t="s">
        <v>4999</v>
      </c>
      <c r="E1040" s="192" t="s">
        <v>5000</v>
      </c>
      <c r="F1040" s="118" t="s">
        <v>5001</v>
      </c>
      <c r="G1040" s="186"/>
      <c r="H1040" s="71" t="s">
        <v>128</v>
      </c>
      <c r="I1040" s="26" t="s">
        <v>129</v>
      </c>
      <c r="J1040" s="237"/>
      <c r="K1040" s="74"/>
      <c r="L1040" s="26">
        <v>2015.0</v>
      </c>
      <c r="M1040" s="123"/>
      <c r="N1040" s="74"/>
      <c r="O1040" s="27" t="str">
        <f t="shared" si="3"/>
        <v>#N/A</v>
      </c>
      <c r="P1040" s="28"/>
      <c r="Q1040" s="28"/>
      <c r="R1040" s="28"/>
      <c r="S1040" s="28"/>
      <c r="T1040" s="28"/>
      <c r="U1040" s="28"/>
      <c r="V1040" s="30">
        <f t="shared" si="425"/>
        <v>2100000</v>
      </c>
      <c r="W1040" s="30"/>
      <c r="X1040" s="32"/>
      <c r="Y1040" s="32"/>
      <c r="Z1040" s="692"/>
      <c r="AA1040" s="665"/>
      <c r="AB1040" s="74"/>
      <c r="AC1040" s="74"/>
      <c r="AD1040" s="79"/>
      <c r="AE1040" s="84"/>
      <c r="AF1040" s="914" t="str">
        <f>HYPERLINK("https://techcrunch.com/2022/02/01/whose-your-landlord-raises-2-1m-for-its-rental-review-and-data-service/","Feb 1, 2022")</f>
        <v>Feb 1, 2022</v>
      </c>
      <c r="AG1040" s="76">
        <v>2100000.0</v>
      </c>
      <c r="AH1040" s="74"/>
      <c r="AI1040" s="78"/>
      <c r="AJ1040" s="79"/>
      <c r="AK1040" s="84"/>
      <c r="AL1040" s="279"/>
      <c r="AM1040" s="76"/>
      <c r="AN1040" s="79"/>
      <c r="AO1040" s="84"/>
      <c r="AP1040" s="79"/>
      <c r="AQ1040" s="84"/>
      <c r="AR1040" s="79"/>
      <c r="AS1040" s="79"/>
      <c r="AT1040" s="79"/>
      <c r="AU1040" s="80"/>
      <c r="AV1040" s="79"/>
      <c r="AW1040" s="38"/>
      <c r="AX1040" s="79"/>
      <c r="AY1040" s="38"/>
      <c r="AZ1040" s="79"/>
      <c r="BA1040" s="80"/>
      <c r="BB1040" s="79"/>
      <c r="BC1040" s="80"/>
      <c r="BD1040" s="79"/>
      <c r="BE1040" s="38"/>
      <c r="BF1040" s="74"/>
      <c r="BG1040" s="16"/>
      <c r="BH1040" s="16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  <c r="CD1040" s="16"/>
      <c r="CE1040" s="16"/>
      <c r="CF1040" s="16"/>
      <c r="CG1040" s="16"/>
      <c r="CH1040" s="16"/>
      <c r="CI1040" s="16"/>
      <c r="CJ1040" s="16"/>
      <c r="CK1040" s="16"/>
      <c r="CL1040" s="16"/>
      <c r="CM1040" s="16"/>
      <c r="CN1040" s="16"/>
      <c r="CO1040" s="16"/>
      <c r="CP1040" s="16"/>
    </row>
    <row r="1041" ht="15.75" customHeight="1">
      <c r="A1041" s="47" t="s">
        <v>5002</v>
      </c>
      <c r="B1041" s="68"/>
      <c r="C1041" s="69" t="s">
        <v>267</v>
      </c>
      <c r="D1041" s="192" t="s">
        <v>5003</v>
      </c>
      <c r="E1041" s="192" t="s">
        <v>5004</v>
      </c>
      <c r="F1041" s="118" t="s">
        <v>5005</v>
      </c>
      <c r="G1041" s="407"/>
      <c r="H1041" s="26" t="s">
        <v>2095</v>
      </c>
      <c r="I1041" s="26" t="s">
        <v>748</v>
      </c>
      <c r="J1041" s="155"/>
      <c r="K1041" s="26">
        <v>3.0</v>
      </c>
      <c r="L1041" s="26">
        <v>2020.0</v>
      </c>
      <c r="M1041" s="25"/>
      <c r="N1041" s="26"/>
      <c r="O1041" s="27" t="str">
        <f t="shared" si="3"/>
        <v>#N/A</v>
      </c>
      <c r="P1041" s="273"/>
      <c r="Q1041" s="273"/>
      <c r="R1041" s="273"/>
      <c r="S1041" s="273"/>
      <c r="T1041" s="273"/>
      <c r="U1041" s="273"/>
      <c r="V1041" s="30">
        <f t="shared" si="425"/>
        <v>2010000</v>
      </c>
      <c r="W1041" s="30"/>
      <c r="X1041" s="73"/>
      <c r="Y1041" s="73"/>
      <c r="Z1041" s="692"/>
      <c r="AA1041" s="665"/>
      <c r="AB1041" s="74"/>
      <c r="AC1041" s="74"/>
      <c r="AD1041" s="181" t="str">
        <f>HYPERLINK("https://www.crunchbase.com/funding_round/modulize-pre-seed--e1800190","Nov 16, 2020")</f>
        <v>Nov 16, 2020</v>
      </c>
      <c r="AE1041" s="76">
        <v>110000.0</v>
      </c>
      <c r="AF1041" s="225" t="str">
        <f>HYPERLINK("https://www.crunchbase.com/funding_round/modulize-seed--c00184a8","Apr 4, 2022")</f>
        <v>Apr 4, 2022</v>
      </c>
      <c r="AG1041" s="76">
        <v>1900000.0</v>
      </c>
      <c r="AH1041" s="960"/>
      <c r="AI1041" s="78"/>
      <c r="AJ1041" s="42"/>
      <c r="AK1041" s="76"/>
      <c r="AL1041" s="42"/>
      <c r="AM1041" s="76"/>
      <c r="AN1041" s="42"/>
      <c r="AO1041" s="76"/>
      <c r="AP1041" s="79"/>
      <c r="AQ1041" s="84"/>
      <c r="AR1041" s="79"/>
      <c r="AS1041" s="79"/>
      <c r="AT1041" s="79"/>
      <c r="AU1041" s="80"/>
      <c r="AV1041" s="79"/>
      <c r="AW1041" s="38"/>
      <c r="AX1041" s="79"/>
      <c r="AY1041" s="38"/>
      <c r="AZ1041" s="79"/>
      <c r="BA1041" s="80"/>
      <c r="BB1041" s="79"/>
      <c r="BC1041" s="80"/>
      <c r="BD1041" s="79"/>
      <c r="BE1041" s="38"/>
      <c r="BF1041" s="74"/>
      <c r="BG1041" s="16"/>
      <c r="BH1041" s="16"/>
      <c r="BI1041" s="16"/>
      <c r="BJ1041" s="16"/>
      <c r="BK1041" s="16"/>
      <c r="BL1041" s="16"/>
      <c r="BM1041" s="16"/>
      <c r="BN1041" s="16"/>
      <c r="BO1041" s="16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6"/>
      <c r="CA1041" s="16"/>
      <c r="CB1041" s="16"/>
      <c r="CC1041" s="16"/>
      <c r="CD1041" s="16"/>
      <c r="CE1041" s="16"/>
      <c r="CF1041" s="16"/>
      <c r="CG1041" s="16"/>
      <c r="CH1041" s="16"/>
      <c r="CI1041" s="16"/>
      <c r="CJ1041" s="16"/>
      <c r="CK1041" s="16"/>
      <c r="CL1041" s="16"/>
      <c r="CM1041" s="16"/>
      <c r="CN1041" s="16"/>
      <c r="CO1041" s="16"/>
      <c r="CP1041" s="16"/>
    </row>
    <row r="1042" ht="15.75" customHeight="1">
      <c r="A1042" s="866" t="s">
        <v>5006</v>
      </c>
      <c r="B1042" s="16"/>
      <c r="C1042" s="17" t="s">
        <v>132</v>
      </c>
      <c r="D1042" s="236" t="s">
        <v>5007</v>
      </c>
      <c r="E1042" s="18" t="s">
        <v>5008</v>
      </c>
      <c r="F1042" s="20" t="s">
        <v>5009</v>
      </c>
      <c r="G1042" s="810"/>
      <c r="H1042" s="810" t="s">
        <v>129</v>
      </c>
      <c r="I1042" s="23" t="s">
        <v>156</v>
      </c>
      <c r="J1042" s="24"/>
      <c r="K1042" s="23"/>
      <c r="L1042" s="712">
        <v>2010.0</v>
      </c>
      <c r="M1042" s="25">
        <f t="shared" ref="M1042:M1052" si="712">year(now()) -L1042</f>
        <v>15</v>
      </c>
      <c r="N1042" s="26">
        <f t="shared" ref="N1042:N1052" si="713">counta(AE1042,AG1042,AI1042,AK1042,AM1042,AO1042,AQ1042,AS1042,AU1042,AW1042,AY1042,BA1042,BC1042)</f>
        <v>1</v>
      </c>
      <c r="O1042" s="27" t="str">
        <f t="shared" si="3"/>
        <v>#N/A</v>
      </c>
      <c r="P1042" s="28"/>
      <c r="Q1042" s="28"/>
      <c r="R1042" s="28"/>
      <c r="S1042" s="28"/>
      <c r="T1042" s="29">
        <f t="shared" ref="T1042:T1052" si="714">V1042/M1042</f>
        <v>133333.3333</v>
      </c>
      <c r="U1042" s="28"/>
      <c r="V1042" s="30">
        <f t="shared" si="425"/>
        <v>2000000</v>
      </c>
      <c r="W1042" s="30"/>
      <c r="X1042" s="33"/>
      <c r="Y1042" s="33">
        <f t="shared" ref="Y1042:Y1052" si="715">(max(AE1042,AG1042,AI1042,AK1042,AM1042,AO1042,AQ1042,AS1042,AU1042,AW1042,AY1042,BA1042,BC1042)/min(AE1042,AG1042,AI1042,AK1042))^(1/M1042)-1</f>
        <v>0</v>
      </c>
      <c r="Z1042" s="692"/>
      <c r="AA1042" s="665"/>
      <c r="AB1042" s="36"/>
      <c r="AC1042" s="36"/>
      <c r="AD1042" s="37"/>
      <c r="AE1042" s="38"/>
      <c r="AF1042" s="320">
        <v>40483.0</v>
      </c>
      <c r="AG1042" s="38">
        <v>2000000.0</v>
      </c>
      <c r="AH1042" s="36"/>
      <c r="AI1042" s="46"/>
      <c r="AJ1042" s="37"/>
      <c r="AK1042" s="38"/>
      <c r="AL1042" s="37"/>
      <c r="AM1042" s="38"/>
      <c r="AN1042" s="44"/>
      <c r="AO1042" s="46"/>
      <c r="AP1042" s="967"/>
      <c r="AQ1042" s="968"/>
      <c r="AR1042" s="967"/>
      <c r="AS1042" s="38"/>
      <c r="AT1042" s="44"/>
      <c r="AU1042" s="45"/>
      <c r="AV1042" s="44"/>
      <c r="AW1042" s="38"/>
      <c r="AX1042" s="44"/>
      <c r="AY1042" s="38"/>
      <c r="AZ1042" s="44"/>
      <c r="BA1042" s="45"/>
      <c r="BB1042" s="44"/>
      <c r="BC1042" s="45"/>
      <c r="BD1042" s="44"/>
      <c r="BE1042" s="38"/>
      <c r="BF1042" s="36"/>
      <c r="BG1042" s="16"/>
      <c r="BH1042" s="16"/>
      <c r="BI1042" s="16"/>
      <c r="BJ1042" s="16"/>
      <c r="BK1042" s="16"/>
      <c r="BL1042" s="16"/>
      <c r="BM1042" s="16"/>
      <c r="BN1042" s="16"/>
      <c r="BO1042" s="16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6"/>
      <c r="CA1042" s="16"/>
      <c r="CB1042" s="16"/>
      <c r="CC1042" s="16"/>
      <c r="CD1042" s="16"/>
      <c r="CE1042" s="16"/>
      <c r="CF1042" s="16"/>
      <c r="CG1042" s="16"/>
      <c r="CH1042" s="16"/>
      <c r="CI1042" s="16"/>
      <c r="CJ1042" s="16"/>
      <c r="CK1042" s="16"/>
      <c r="CL1042" s="16"/>
      <c r="CM1042" s="16"/>
      <c r="CN1042" s="16"/>
      <c r="CO1042" s="16"/>
      <c r="CP1042" s="16"/>
    </row>
    <row r="1043" ht="15.75" customHeight="1">
      <c r="A1043" s="21" t="s">
        <v>5010</v>
      </c>
      <c r="B1043" s="16"/>
      <c r="C1043" s="17" t="s">
        <v>123</v>
      </c>
      <c r="D1043" s="236" t="s">
        <v>5011</v>
      </c>
      <c r="E1043" s="18" t="s">
        <v>5012</v>
      </c>
      <c r="F1043" s="565" t="s">
        <v>5013</v>
      </c>
      <c r="G1043" s="317"/>
      <c r="H1043" s="317" t="s">
        <v>64</v>
      </c>
      <c r="I1043" s="36" t="s">
        <v>65</v>
      </c>
      <c r="J1043" s="237"/>
      <c r="K1043" s="36"/>
      <c r="L1043" s="23">
        <v>2016.0</v>
      </c>
      <c r="M1043" s="25">
        <f t="shared" si="712"/>
        <v>9</v>
      </c>
      <c r="N1043" s="26">
        <f t="shared" si="713"/>
        <v>1</v>
      </c>
      <c r="O1043" s="27" t="str">
        <f t="shared" si="3"/>
        <v>#N/A</v>
      </c>
      <c r="P1043" s="28"/>
      <c r="Q1043" s="28"/>
      <c r="R1043" s="28"/>
      <c r="S1043" s="28"/>
      <c r="T1043" s="29">
        <f t="shared" si="714"/>
        <v>222222.2222</v>
      </c>
      <c r="U1043" s="28"/>
      <c r="V1043" s="30">
        <f t="shared" si="425"/>
        <v>2000000</v>
      </c>
      <c r="W1043" s="30"/>
      <c r="X1043" s="847"/>
      <c r="Y1043" s="33">
        <f t="shared" si="715"/>
        <v>0</v>
      </c>
      <c r="Z1043" s="692"/>
      <c r="AA1043" s="665"/>
      <c r="AB1043" s="36"/>
      <c r="AC1043" s="36"/>
      <c r="AD1043" s="37"/>
      <c r="AE1043" s="38"/>
      <c r="AF1043" s="320">
        <v>43067.0</v>
      </c>
      <c r="AG1043" s="38">
        <v>2000000.0</v>
      </c>
      <c r="AH1043" s="886"/>
      <c r="AI1043" s="38"/>
      <c r="AJ1043" s="37"/>
      <c r="AK1043" s="38"/>
      <c r="AL1043" s="37"/>
      <c r="AM1043" s="38"/>
      <c r="AN1043" s="37"/>
      <c r="AO1043" s="38"/>
      <c r="AP1043" s="37"/>
      <c r="AQ1043" s="715"/>
      <c r="AR1043" s="44"/>
      <c r="AS1043" s="44"/>
      <c r="AT1043" s="44"/>
      <c r="AU1043" s="45"/>
      <c r="AV1043" s="44"/>
      <c r="AW1043" s="38"/>
      <c r="AX1043" s="44"/>
      <c r="AY1043" s="38"/>
      <c r="AZ1043" s="44"/>
      <c r="BA1043" s="45"/>
      <c r="BB1043" s="44"/>
      <c r="BC1043" s="45"/>
      <c r="BD1043" s="44"/>
      <c r="BE1043" s="38"/>
      <c r="BF1043" s="36"/>
      <c r="BG1043" s="16"/>
      <c r="BH1043" s="16"/>
      <c r="BI1043" s="16"/>
      <c r="BJ1043" s="16"/>
      <c r="BK1043" s="16"/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6"/>
      <c r="CA1043" s="16"/>
      <c r="CB1043" s="16"/>
      <c r="CC1043" s="16"/>
      <c r="CD1043" s="16"/>
      <c r="CE1043" s="16"/>
      <c r="CF1043" s="16"/>
      <c r="CG1043" s="16"/>
      <c r="CH1043" s="16"/>
      <c r="CI1043" s="16"/>
      <c r="CJ1043" s="16"/>
      <c r="CK1043" s="16"/>
      <c r="CL1043" s="16"/>
      <c r="CM1043" s="16"/>
      <c r="CN1043" s="16"/>
      <c r="CO1043" s="16"/>
      <c r="CP1043" s="16"/>
    </row>
    <row r="1044" ht="15.75" customHeight="1">
      <c r="A1044" s="1486" t="s">
        <v>5014</v>
      </c>
      <c r="B1044" s="534"/>
      <c r="C1044" s="849" t="s">
        <v>123</v>
      </c>
      <c r="D1044" s="192" t="s">
        <v>5015</v>
      </c>
      <c r="E1044" s="192" t="s">
        <v>5016</v>
      </c>
      <c r="F1044" s="1487" t="s">
        <v>5017</v>
      </c>
      <c r="G1044" s="690"/>
      <c r="H1044" s="850" t="s">
        <v>99</v>
      </c>
      <c r="I1044" s="222" t="s">
        <v>100</v>
      </c>
      <c r="J1044" s="691"/>
      <c r="K1044" s="326"/>
      <c r="L1044" s="222">
        <v>2012.0</v>
      </c>
      <c r="M1044" s="25">
        <f t="shared" si="712"/>
        <v>13</v>
      </c>
      <c r="N1044" s="26">
        <f t="shared" si="713"/>
        <v>1</v>
      </c>
      <c r="O1044" s="27" t="str">
        <f t="shared" si="3"/>
        <v>#N/A</v>
      </c>
      <c r="P1044" s="28"/>
      <c r="Q1044" s="28"/>
      <c r="R1044" s="28"/>
      <c r="S1044" s="28"/>
      <c r="T1044" s="29">
        <f t="shared" si="714"/>
        <v>153846.1538</v>
      </c>
      <c r="U1044" s="28"/>
      <c r="V1044" s="30">
        <f t="shared" si="425"/>
        <v>2000000</v>
      </c>
      <c r="W1044" s="30"/>
      <c r="X1044" s="1488"/>
      <c r="Y1044" s="33" t="str">
        <f t="shared" si="715"/>
        <v>#DIV/0!</v>
      </c>
      <c r="Z1044" s="692"/>
      <c r="AA1044" s="665"/>
      <c r="AB1044" s="326"/>
      <c r="AC1044" s="326"/>
      <c r="AD1044" s="322"/>
      <c r="AE1044" s="323"/>
      <c r="AF1044" s="868"/>
      <c r="AG1044" s="323"/>
      <c r="AH1044" s="326"/>
      <c r="AI1044" s="323"/>
      <c r="AJ1044" s="322"/>
      <c r="AK1044" s="323"/>
      <c r="AL1044" s="227">
        <v>43502.0</v>
      </c>
      <c r="AM1044" s="954">
        <v>2000000.0</v>
      </c>
      <c r="AN1044" s="227"/>
      <c r="AO1044" s="325"/>
      <c r="AP1044" s="322"/>
      <c r="AQ1044" s="323"/>
      <c r="AR1044" s="322"/>
      <c r="AS1044" s="322"/>
      <c r="AT1044" s="322"/>
      <c r="AU1044" s="335"/>
      <c r="AV1044" s="322"/>
      <c r="AW1044" s="38"/>
      <c r="AX1044" s="322"/>
      <c r="AY1044" s="38"/>
      <c r="AZ1044" s="322"/>
      <c r="BA1044" s="335"/>
      <c r="BB1044" s="322"/>
      <c r="BC1044" s="335"/>
      <c r="BD1044" s="322"/>
      <c r="BE1044" s="38"/>
      <c r="BF1044" s="326"/>
      <c r="BG1044" s="16"/>
      <c r="BH1044" s="16"/>
      <c r="BI1044" s="16"/>
      <c r="BJ1044" s="16"/>
      <c r="BK1044" s="16"/>
      <c r="BL1044" s="16"/>
      <c r="BM1044" s="16"/>
      <c r="BN1044" s="16"/>
      <c r="BO1044" s="16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6"/>
      <c r="CA1044" s="16"/>
      <c r="CB1044" s="16"/>
      <c r="CC1044" s="16"/>
      <c r="CD1044" s="16"/>
      <c r="CE1044" s="16"/>
      <c r="CF1044" s="16"/>
      <c r="CG1044" s="16"/>
      <c r="CH1044" s="16"/>
      <c r="CI1044" s="16"/>
      <c r="CJ1044" s="16"/>
      <c r="CK1044" s="16"/>
      <c r="CL1044" s="16"/>
      <c r="CM1044" s="16"/>
      <c r="CN1044" s="16"/>
      <c r="CO1044" s="16"/>
      <c r="CP1044" s="16"/>
    </row>
    <row r="1045" ht="15.75" customHeight="1">
      <c r="A1045" s="866" t="s">
        <v>5018</v>
      </c>
      <c r="B1045" s="16"/>
      <c r="C1045" s="17" t="s">
        <v>123</v>
      </c>
      <c r="D1045" s="184" t="s">
        <v>5019</v>
      </c>
      <c r="E1045" s="184" t="s">
        <v>5020</v>
      </c>
      <c r="F1045" s="185" t="s">
        <v>5021</v>
      </c>
      <c r="G1045" s="317" t="s">
        <v>5022</v>
      </c>
      <c r="H1045" s="317" t="s">
        <v>128</v>
      </c>
      <c r="I1045" s="36" t="s">
        <v>128</v>
      </c>
      <c r="J1045" s="237"/>
      <c r="K1045" s="36">
        <v>2.0</v>
      </c>
      <c r="L1045" s="23">
        <v>2016.0</v>
      </c>
      <c r="M1045" s="25">
        <f t="shared" si="712"/>
        <v>9</v>
      </c>
      <c r="N1045" s="26">
        <f t="shared" si="713"/>
        <v>1</v>
      </c>
      <c r="O1045" s="27" t="str">
        <f t="shared" si="3"/>
        <v>#N/A</v>
      </c>
      <c r="P1045" s="28"/>
      <c r="Q1045" s="28"/>
      <c r="R1045" s="28"/>
      <c r="S1045" s="28"/>
      <c r="T1045" s="29">
        <f t="shared" si="714"/>
        <v>222222.2222</v>
      </c>
      <c r="U1045" s="28"/>
      <c r="V1045" s="30">
        <f t="shared" si="425"/>
        <v>2000000</v>
      </c>
      <c r="W1045" s="30"/>
      <c r="X1045" s="847"/>
      <c r="Y1045" s="33">
        <f t="shared" si="715"/>
        <v>0</v>
      </c>
      <c r="Z1045" s="692"/>
      <c r="AA1045" s="665"/>
      <c r="AB1045" s="36"/>
      <c r="AC1045" s="36"/>
      <c r="AD1045" s="44"/>
      <c r="AE1045" s="46"/>
      <c r="AF1045" s="158" t="str">
        <f>HYPERLINK("https://www.crunchbase.com/organization/compound#section-funding-rounds"," Jul 31, 2019")</f>
        <v> Jul 31, 2019</v>
      </c>
      <c r="AG1045" s="887">
        <v>2000000.0</v>
      </c>
      <c r="AH1045" s="36"/>
      <c r="AI1045" s="159"/>
      <c r="AJ1045" s="44"/>
      <c r="AK1045" s="46"/>
      <c r="AL1045" s="44"/>
      <c r="AM1045" s="46"/>
      <c r="AN1045" s="44"/>
      <c r="AO1045" s="46"/>
      <c r="AP1045" s="44"/>
      <c r="AQ1045" s="46"/>
      <c r="AR1045" s="44"/>
      <c r="AS1045" s="44"/>
      <c r="AT1045" s="44"/>
      <c r="AU1045" s="45"/>
      <c r="AV1045" s="44"/>
      <c r="AW1045" s="38"/>
      <c r="AX1045" s="44"/>
      <c r="AY1045" s="38"/>
      <c r="AZ1045" s="44"/>
      <c r="BA1045" s="45"/>
      <c r="BB1045" s="44"/>
      <c r="BC1045" s="45"/>
      <c r="BD1045" s="44"/>
      <c r="BE1045" s="38"/>
      <c r="BF1045" s="36"/>
      <c r="BG1045" s="1489"/>
      <c r="BH1045" s="1489"/>
      <c r="BI1045" s="1489"/>
      <c r="BJ1045" s="1489"/>
      <c r="BK1045" s="1489"/>
      <c r="BL1045" s="1489"/>
      <c r="BM1045" s="1489"/>
      <c r="BN1045" s="1489"/>
      <c r="BO1045" s="1489"/>
      <c r="BP1045" s="1489"/>
      <c r="BQ1045" s="1489"/>
      <c r="BR1045" s="1489"/>
      <c r="BS1045" s="1489"/>
      <c r="BT1045" s="1489"/>
      <c r="BU1045" s="1489"/>
      <c r="BV1045" s="1489"/>
      <c r="BW1045" s="1489"/>
      <c r="BX1045" s="1489"/>
      <c r="BY1045" s="1489"/>
      <c r="BZ1045" s="1489"/>
      <c r="CA1045" s="1489"/>
      <c r="CB1045" s="1489"/>
      <c r="CC1045" s="1489"/>
      <c r="CD1045" s="1489"/>
      <c r="CE1045" s="1489"/>
      <c r="CF1045" s="1489"/>
      <c r="CG1045" s="1489"/>
      <c r="CH1045" s="1489"/>
      <c r="CI1045" s="1489"/>
      <c r="CJ1045" s="1489"/>
      <c r="CK1045" s="1489"/>
      <c r="CL1045" s="1489"/>
      <c r="CM1045" s="1489"/>
      <c r="CN1045" s="1489"/>
      <c r="CO1045" s="1489"/>
      <c r="CP1045" s="1489"/>
    </row>
    <row r="1046" ht="15.75" customHeight="1">
      <c r="A1046" s="21" t="s">
        <v>5023</v>
      </c>
      <c r="B1046" s="68"/>
      <c r="C1046" s="69" t="s">
        <v>123</v>
      </c>
      <c r="D1046" s="192" t="s">
        <v>5024</v>
      </c>
      <c r="E1046" s="192" t="s">
        <v>5025</v>
      </c>
      <c r="F1046" s="118" t="s">
        <v>5026</v>
      </c>
      <c r="G1046" s="186"/>
      <c r="H1046" s="71" t="s">
        <v>129</v>
      </c>
      <c r="I1046" s="26" t="s">
        <v>129</v>
      </c>
      <c r="J1046" s="155"/>
      <c r="K1046" s="74"/>
      <c r="L1046" s="26">
        <v>2015.0</v>
      </c>
      <c r="M1046" s="25">
        <f t="shared" si="712"/>
        <v>10</v>
      </c>
      <c r="N1046" s="26">
        <f t="shared" si="713"/>
        <v>1</v>
      </c>
      <c r="O1046" s="27" t="str">
        <f t="shared" si="3"/>
        <v>#N/A</v>
      </c>
      <c r="P1046" s="28"/>
      <c r="Q1046" s="28"/>
      <c r="R1046" s="28"/>
      <c r="S1046" s="28"/>
      <c r="T1046" s="29">
        <f t="shared" si="714"/>
        <v>200000</v>
      </c>
      <c r="U1046" s="28"/>
      <c r="V1046" s="30">
        <f t="shared" si="425"/>
        <v>2000000</v>
      </c>
      <c r="W1046" s="30"/>
      <c r="X1046" s="32"/>
      <c r="Y1046" s="33">
        <f t="shared" si="715"/>
        <v>0</v>
      </c>
      <c r="Z1046" s="692"/>
      <c r="AA1046" s="665"/>
      <c r="AB1046" s="74"/>
      <c r="AC1046" s="74"/>
      <c r="AD1046" s="44"/>
      <c r="AE1046" s="46"/>
      <c r="AF1046" s="320">
        <v>43131.0</v>
      </c>
      <c r="AG1046" s="38">
        <v>2000000.0</v>
      </c>
      <c r="AH1046" s="36"/>
      <c r="AI1046" s="159"/>
      <c r="AJ1046" s="44"/>
      <c r="AK1046" s="46"/>
      <c r="AL1046" s="44"/>
      <c r="AM1046" s="46"/>
      <c r="AN1046" s="44"/>
      <c r="AO1046" s="46"/>
      <c r="AP1046" s="44"/>
      <c r="AQ1046" s="46"/>
      <c r="AR1046" s="44"/>
      <c r="AS1046" s="44"/>
      <c r="AT1046" s="44"/>
      <c r="AU1046" s="45"/>
      <c r="AV1046" s="44"/>
      <c r="AW1046" s="38"/>
      <c r="AX1046" s="44"/>
      <c r="AY1046" s="38"/>
      <c r="AZ1046" s="44"/>
      <c r="BA1046" s="45"/>
      <c r="BB1046" s="44"/>
      <c r="BC1046" s="45"/>
      <c r="BD1046" s="44"/>
      <c r="BE1046" s="38"/>
      <c r="BF1046" s="36"/>
      <c r="BG1046" s="66"/>
      <c r="BH1046" s="66"/>
      <c r="BI1046" s="66"/>
      <c r="BJ1046" s="66"/>
      <c r="BK1046" s="66"/>
      <c r="BL1046" s="66"/>
      <c r="BM1046" s="66"/>
      <c r="BN1046" s="66"/>
      <c r="BO1046" s="66"/>
      <c r="BP1046" s="66"/>
      <c r="BQ1046" s="66"/>
      <c r="BR1046" s="66"/>
      <c r="BS1046" s="66"/>
      <c r="BT1046" s="66"/>
      <c r="BU1046" s="66"/>
      <c r="BV1046" s="66"/>
      <c r="BW1046" s="66"/>
      <c r="BX1046" s="66"/>
      <c r="BY1046" s="66"/>
      <c r="BZ1046" s="66"/>
      <c r="CA1046" s="66"/>
      <c r="CB1046" s="66"/>
      <c r="CC1046" s="66"/>
      <c r="CD1046" s="66"/>
      <c r="CE1046" s="66"/>
      <c r="CF1046" s="66"/>
      <c r="CG1046" s="66"/>
      <c r="CH1046" s="66"/>
      <c r="CI1046" s="66"/>
      <c r="CJ1046" s="66"/>
      <c r="CK1046" s="66"/>
      <c r="CL1046" s="66"/>
      <c r="CM1046" s="66"/>
      <c r="CN1046" s="66"/>
      <c r="CO1046" s="66"/>
      <c r="CP1046" s="66"/>
    </row>
    <row r="1047" ht="15.75" customHeight="1">
      <c r="A1047" s="442" t="s">
        <v>5027</v>
      </c>
      <c r="B1047" s="68" t="s">
        <v>301</v>
      </c>
      <c r="C1047" s="69" t="s">
        <v>513</v>
      </c>
      <c r="D1047" s="184" t="s">
        <v>5028</v>
      </c>
      <c r="E1047" s="184" t="s">
        <v>5029</v>
      </c>
      <c r="F1047" s="185" t="s">
        <v>5030</v>
      </c>
      <c r="G1047" s="186" t="s">
        <v>5031</v>
      </c>
      <c r="H1047" s="186" t="s">
        <v>128</v>
      </c>
      <c r="I1047" s="74" t="s">
        <v>3189</v>
      </c>
      <c r="J1047" s="155" t="s">
        <v>5032</v>
      </c>
      <c r="K1047" s="74">
        <v>2.0</v>
      </c>
      <c r="L1047" s="26">
        <v>2015.0</v>
      </c>
      <c r="M1047" s="25">
        <f t="shared" si="712"/>
        <v>10</v>
      </c>
      <c r="N1047" s="26">
        <f t="shared" si="713"/>
        <v>1</v>
      </c>
      <c r="O1047" s="27" t="str">
        <f t="shared" si="3"/>
        <v>#N/A</v>
      </c>
      <c r="P1047" s="28"/>
      <c r="Q1047" s="28"/>
      <c r="R1047" s="28"/>
      <c r="S1047" s="28"/>
      <c r="T1047" s="29">
        <f t="shared" si="714"/>
        <v>200000</v>
      </c>
      <c r="U1047" s="28"/>
      <c r="V1047" s="30">
        <f t="shared" si="425"/>
        <v>2000000</v>
      </c>
      <c r="W1047" s="30"/>
      <c r="X1047" s="32"/>
      <c r="Y1047" s="33">
        <f t="shared" si="715"/>
        <v>0</v>
      </c>
      <c r="Z1047" s="692"/>
      <c r="AA1047" s="665"/>
      <c r="AB1047" s="74"/>
      <c r="AC1047" s="74"/>
      <c r="AD1047" s="44"/>
      <c r="AE1047" s="46"/>
      <c r="AF1047" s="158" t="str">
        <f>HYPERLINK("https://www.crunchbase.com/organization/goby-2"," Oct 5, 2016")</f>
        <v> Oct 5, 2016</v>
      </c>
      <c r="AG1047" s="38">
        <v>2000000.0</v>
      </c>
      <c r="AH1047" s="36"/>
      <c r="AI1047" s="159"/>
      <c r="AJ1047" s="44"/>
      <c r="AK1047" s="46"/>
      <c r="AL1047" s="44"/>
      <c r="AM1047" s="46"/>
      <c r="AN1047" s="44"/>
      <c r="AO1047" s="46"/>
      <c r="AP1047" s="44"/>
      <c r="AQ1047" s="46"/>
      <c r="AR1047" s="44"/>
      <c r="AS1047" s="44"/>
      <c r="AT1047" s="44"/>
      <c r="AU1047" s="45"/>
      <c r="AV1047" s="44"/>
      <c r="AW1047" s="38"/>
      <c r="AX1047" s="44"/>
      <c r="AY1047" s="38"/>
      <c r="AZ1047" s="44"/>
      <c r="BA1047" s="45"/>
      <c r="BB1047" s="44"/>
      <c r="BC1047" s="45"/>
      <c r="BD1047" s="44"/>
      <c r="BE1047" s="38"/>
      <c r="BF1047" s="36"/>
      <c r="BG1047" s="1144"/>
      <c r="BH1047" s="1144"/>
      <c r="BI1047" s="1144"/>
      <c r="BJ1047" s="1144"/>
      <c r="BK1047" s="1144"/>
      <c r="BL1047" s="1144"/>
      <c r="BM1047" s="1144"/>
      <c r="BN1047" s="1144"/>
      <c r="BO1047" s="1144"/>
      <c r="BP1047" s="1144"/>
      <c r="BQ1047" s="1144"/>
      <c r="BR1047" s="1144"/>
      <c r="BS1047" s="1144"/>
      <c r="BT1047" s="1144"/>
      <c r="BU1047" s="1144"/>
      <c r="BV1047" s="1144"/>
      <c r="BW1047" s="1144"/>
      <c r="BX1047" s="1144"/>
      <c r="BY1047" s="1144"/>
      <c r="BZ1047" s="1144"/>
      <c r="CA1047" s="1144"/>
      <c r="CB1047" s="1144"/>
      <c r="CC1047" s="1144"/>
      <c r="CD1047" s="1144"/>
      <c r="CE1047" s="1144"/>
      <c r="CF1047" s="1144"/>
      <c r="CG1047" s="1144"/>
      <c r="CH1047" s="1144"/>
      <c r="CI1047" s="1144"/>
      <c r="CJ1047" s="1144"/>
      <c r="CK1047" s="1144"/>
      <c r="CL1047" s="1144"/>
      <c r="CM1047" s="1144"/>
      <c r="CN1047" s="1144"/>
      <c r="CO1047" s="1144"/>
      <c r="CP1047" s="1144"/>
    </row>
    <row r="1048" ht="15.75" customHeight="1">
      <c r="A1048" s="47" t="s">
        <v>5033</v>
      </c>
      <c r="B1048" s="115"/>
      <c r="C1048" s="116" t="s">
        <v>59</v>
      </c>
      <c r="D1048" s="48"/>
      <c r="E1048" s="48"/>
      <c r="F1048" s="118" t="s">
        <v>5034</v>
      </c>
      <c r="G1048" s="286"/>
      <c r="H1048" s="119" t="s">
        <v>5035</v>
      </c>
      <c r="I1048" s="25" t="s">
        <v>5036</v>
      </c>
      <c r="J1048" s="287"/>
      <c r="K1048" s="123"/>
      <c r="L1048" s="25">
        <v>2020.0</v>
      </c>
      <c r="M1048" s="25">
        <f t="shared" si="712"/>
        <v>5</v>
      </c>
      <c r="N1048" s="26">
        <f t="shared" si="713"/>
        <v>1</v>
      </c>
      <c r="O1048" s="27" t="str">
        <f t="shared" si="3"/>
        <v>#N/A</v>
      </c>
      <c r="P1048" s="28"/>
      <c r="Q1048" s="28"/>
      <c r="R1048" s="28"/>
      <c r="S1048" s="28"/>
      <c r="T1048" s="29">
        <f t="shared" si="714"/>
        <v>400000</v>
      </c>
      <c r="U1048" s="28"/>
      <c r="V1048" s="30">
        <f t="shared" si="425"/>
        <v>2000000</v>
      </c>
      <c r="W1048" s="30"/>
      <c r="X1048" s="403"/>
      <c r="Y1048" s="33">
        <f t="shared" si="715"/>
        <v>0</v>
      </c>
      <c r="Z1048" s="692"/>
      <c r="AA1048" s="665"/>
      <c r="AB1048" s="123"/>
      <c r="AC1048" s="123"/>
      <c r="AD1048" s="124"/>
      <c r="AE1048" s="125"/>
      <c r="AF1048" s="126" t="str">
        <f>HYPERLINK("https://www.ibj.com/articles/real-estate-tech-startup-shaker-lands-2m-in-seed-funding","Nov 10, 2021")</f>
        <v>Nov 10, 2021</v>
      </c>
      <c r="AG1048" s="127">
        <v>2000000.0</v>
      </c>
      <c r="AH1048" s="123"/>
      <c r="AI1048" s="128"/>
      <c r="AJ1048" s="124"/>
      <c r="AK1048" s="125"/>
      <c r="AL1048" s="124"/>
      <c r="AM1048" s="125"/>
      <c r="AN1048" s="124"/>
      <c r="AO1048" s="125"/>
      <c r="AP1048" s="124"/>
      <c r="AQ1048" s="125"/>
      <c r="AR1048" s="124"/>
      <c r="AS1048" s="124"/>
      <c r="AT1048" s="124"/>
      <c r="AU1048" s="137"/>
      <c r="AV1048" s="124"/>
      <c r="AW1048" s="38"/>
      <c r="AX1048" s="124"/>
      <c r="AY1048" s="38"/>
      <c r="AZ1048" s="124"/>
      <c r="BA1048" s="137"/>
      <c r="BB1048" s="124"/>
      <c r="BC1048" s="137"/>
      <c r="BD1048" s="124"/>
      <c r="BE1048" s="38"/>
      <c r="BF1048" s="123"/>
      <c r="BG1048" s="1490"/>
      <c r="BH1048" s="1490"/>
      <c r="BI1048" s="1490"/>
      <c r="BJ1048" s="1490"/>
      <c r="BK1048" s="1490"/>
      <c r="BL1048" s="1490"/>
      <c r="BM1048" s="1490"/>
      <c r="BN1048" s="1490"/>
      <c r="BO1048" s="1490"/>
      <c r="BP1048" s="1490"/>
      <c r="BQ1048" s="1490"/>
      <c r="BR1048" s="1490"/>
      <c r="BS1048" s="1490"/>
      <c r="BT1048" s="1490"/>
      <c r="BU1048" s="1490"/>
      <c r="BV1048" s="1490"/>
      <c r="BW1048" s="1490"/>
      <c r="BX1048" s="1490"/>
      <c r="BY1048" s="1490"/>
      <c r="BZ1048" s="1490"/>
      <c r="CA1048" s="1490"/>
      <c r="CB1048" s="1490"/>
      <c r="CC1048" s="1490"/>
      <c r="CD1048" s="1490"/>
      <c r="CE1048" s="1490"/>
      <c r="CF1048" s="1490"/>
      <c r="CG1048" s="1490"/>
      <c r="CH1048" s="1490"/>
      <c r="CI1048" s="1490"/>
      <c r="CJ1048" s="1490"/>
      <c r="CK1048" s="1490"/>
      <c r="CL1048" s="1490"/>
      <c r="CM1048" s="1490"/>
      <c r="CN1048" s="1490"/>
      <c r="CO1048" s="1490"/>
      <c r="CP1048" s="1490"/>
    </row>
    <row r="1049" ht="15.75" customHeight="1">
      <c r="A1049" s="21" t="s">
        <v>5037</v>
      </c>
      <c r="B1049" s="68"/>
      <c r="C1049" s="69" t="s">
        <v>132</v>
      </c>
      <c r="D1049" s="200" t="s">
        <v>5038</v>
      </c>
      <c r="E1049" s="200" t="s">
        <v>5039</v>
      </c>
      <c r="F1049" s="841" t="s">
        <v>5040</v>
      </c>
      <c r="G1049" s="71" t="s">
        <v>5041</v>
      </c>
      <c r="H1049" s="71" t="s">
        <v>357</v>
      </c>
      <c r="I1049" s="26" t="s">
        <v>358</v>
      </c>
      <c r="J1049" s="72" t="s">
        <v>851</v>
      </c>
      <c r="K1049" s="26">
        <v>3.0</v>
      </c>
      <c r="L1049" s="26">
        <v>2017.0</v>
      </c>
      <c r="M1049" s="25">
        <f t="shared" si="712"/>
        <v>8</v>
      </c>
      <c r="N1049" s="26">
        <f t="shared" si="713"/>
        <v>1</v>
      </c>
      <c r="O1049" s="27" t="str">
        <f t="shared" si="3"/>
        <v>#N/A</v>
      </c>
      <c r="P1049" s="28"/>
      <c r="Q1049" s="28"/>
      <c r="R1049" s="28"/>
      <c r="S1049" s="28"/>
      <c r="T1049" s="29">
        <f t="shared" si="714"/>
        <v>250000</v>
      </c>
      <c r="U1049" s="28"/>
      <c r="V1049" s="30">
        <f t="shared" si="425"/>
        <v>2000000</v>
      </c>
      <c r="W1049" s="30"/>
      <c r="X1049" s="73"/>
      <c r="Y1049" s="33">
        <f t="shared" si="715"/>
        <v>0</v>
      </c>
      <c r="Z1049" s="692"/>
      <c r="AA1049" s="665"/>
      <c r="AB1049" s="74"/>
      <c r="AC1049" s="74"/>
      <c r="AD1049" s="79"/>
      <c r="AE1049" s="84"/>
      <c r="AF1049" s="175" t="str">
        <f>HYPERLINK("https://www.crunchbase.com/organization/toweriq#section-funding-rounds"," Jul 16, 2018")</f>
        <v> Jul 16, 2018</v>
      </c>
      <c r="AG1049" s="76">
        <v>2000000.0</v>
      </c>
      <c r="AH1049" s="74"/>
      <c r="AI1049" s="78"/>
      <c r="AJ1049" s="79"/>
      <c r="AK1049" s="84"/>
      <c r="AL1049" s="79"/>
      <c r="AM1049" s="84"/>
      <c r="AN1049" s="79"/>
      <c r="AO1049" s="84"/>
      <c r="AP1049" s="79"/>
      <c r="AQ1049" s="84"/>
      <c r="AR1049" s="79"/>
      <c r="AS1049" s="79"/>
      <c r="AT1049" s="79"/>
      <c r="AU1049" s="80"/>
      <c r="AV1049" s="79"/>
      <c r="AW1049" s="38"/>
      <c r="AX1049" s="79"/>
      <c r="AY1049" s="38"/>
      <c r="AZ1049" s="79"/>
      <c r="BA1049" s="80"/>
      <c r="BB1049" s="79"/>
      <c r="BC1049" s="80"/>
      <c r="BD1049" s="79"/>
      <c r="BE1049" s="38"/>
      <c r="BF1049" s="74"/>
      <c r="BG1049" s="66"/>
      <c r="BH1049" s="66"/>
      <c r="BI1049" s="66"/>
      <c r="BJ1049" s="66"/>
      <c r="BK1049" s="66"/>
      <c r="BL1049" s="66"/>
      <c r="BM1049" s="66"/>
      <c r="BN1049" s="66"/>
      <c r="BO1049" s="66"/>
      <c r="BP1049" s="66"/>
      <c r="BQ1049" s="66"/>
      <c r="BR1049" s="66"/>
      <c r="BS1049" s="66"/>
      <c r="BT1049" s="66"/>
      <c r="BU1049" s="66"/>
      <c r="BV1049" s="66"/>
      <c r="BW1049" s="66"/>
      <c r="BX1049" s="66"/>
      <c r="BY1049" s="66"/>
      <c r="BZ1049" s="66"/>
      <c r="CA1049" s="66"/>
      <c r="CB1049" s="66"/>
      <c r="CC1049" s="66"/>
      <c r="CD1049" s="66"/>
      <c r="CE1049" s="66"/>
      <c r="CF1049" s="66"/>
      <c r="CG1049" s="66"/>
      <c r="CH1049" s="66"/>
      <c r="CI1049" s="66"/>
      <c r="CJ1049" s="66"/>
      <c r="CK1049" s="66"/>
      <c r="CL1049" s="66"/>
      <c r="CM1049" s="66"/>
      <c r="CN1049" s="66"/>
      <c r="CO1049" s="66"/>
      <c r="CP1049" s="66"/>
    </row>
    <row r="1050" ht="15.75" customHeight="1">
      <c r="A1050" s="686" t="s">
        <v>5042</v>
      </c>
      <c r="B1050" s="68" t="s">
        <v>5043</v>
      </c>
      <c r="C1050" s="68" t="s">
        <v>132</v>
      </c>
      <c r="D1050" s="184" t="s">
        <v>5044</v>
      </c>
      <c r="E1050" s="184" t="s">
        <v>5045</v>
      </c>
      <c r="F1050" s="185" t="s">
        <v>5046</v>
      </c>
      <c r="G1050" s="186" t="s">
        <v>5047</v>
      </c>
      <c r="H1050" s="186" t="s">
        <v>3446</v>
      </c>
      <c r="I1050" s="74" t="s">
        <v>73</v>
      </c>
      <c r="J1050" s="237" t="s">
        <v>3448</v>
      </c>
      <c r="K1050" s="74">
        <v>1.0</v>
      </c>
      <c r="L1050" s="26">
        <v>2017.0</v>
      </c>
      <c r="M1050" s="25">
        <f t="shared" si="712"/>
        <v>8</v>
      </c>
      <c r="N1050" s="26">
        <f t="shared" si="713"/>
        <v>1</v>
      </c>
      <c r="O1050" s="27" t="str">
        <f t="shared" si="3"/>
        <v>#N/A</v>
      </c>
      <c r="P1050" s="28"/>
      <c r="Q1050" s="28"/>
      <c r="R1050" s="28"/>
      <c r="S1050" s="28"/>
      <c r="T1050" s="29">
        <f t="shared" si="714"/>
        <v>250000</v>
      </c>
      <c r="U1050" s="28"/>
      <c r="V1050" s="30">
        <f t="shared" si="425"/>
        <v>2000000</v>
      </c>
      <c r="W1050" s="30"/>
      <c r="X1050" s="32"/>
      <c r="Y1050" s="33">
        <f t="shared" si="715"/>
        <v>0</v>
      </c>
      <c r="Z1050" s="692"/>
      <c r="AA1050" s="665"/>
      <c r="AB1050" s="74"/>
      <c r="AC1050" s="74"/>
      <c r="AD1050" s="279"/>
      <c r="AE1050" s="76"/>
      <c r="AF1050" s="175" t="str">
        <f>HYPERLINK("https://www.crunchbase.com/funding_round/casaiq-seed--7b3b55e6"," Jul 17, 2017        
")</f>
        <v> Jul 17, 2017        
</v>
      </c>
      <c r="AG1050" s="76">
        <v>2000000.0</v>
      </c>
      <c r="AH1050" s="74"/>
      <c r="AI1050" s="78"/>
      <c r="AJ1050" s="79"/>
      <c r="AK1050" s="84"/>
      <c r="AL1050" s="79"/>
      <c r="AM1050" s="84"/>
      <c r="AN1050" s="79"/>
      <c r="AO1050" s="84"/>
      <c r="AP1050" s="79"/>
      <c r="AQ1050" s="84"/>
      <c r="AR1050" s="79"/>
      <c r="AS1050" s="79"/>
      <c r="AT1050" s="79"/>
      <c r="AU1050" s="80"/>
      <c r="AV1050" s="79"/>
      <c r="AW1050" s="38"/>
      <c r="AX1050" s="79"/>
      <c r="AY1050" s="38"/>
      <c r="AZ1050" s="79"/>
      <c r="BA1050" s="80"/>
      <c r="BB1050" s="79"/>
      <c r="BC1050" s="80"/>
      <c r="BD1050" s="79"/>
      <c r="BE1050" s="38"/>
      <c r="BF1050" s="74"/>
      <c r="BG1050" s="16"/>
      <c r="BH1050" s="16"/>
      <c r="BI1050" s="16"/>
      <c r="BJ1050" s="16"/>
      <c r="BK1050" s="16"/>
      <c r="BL1050" s="16"/>
      <c r="BM1050" s="16"/>
      <c r="BN1050" s="16"/>
      <c r="BO1050" s="16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6"/>
      <c r="CA1050" s="16"/>
      <c r="CB1050" s="16"/>
      <c r="CC1050" s="16"/>
      <c r="CD1050" s="16"/>
      <c r="CE1050" s="16"/>
      <c r="CF1050" s="16"/>
      <c r="CG1050" s="16"/>
      <c r="CH1050" s="16"/>
      <c r="CI1050" s="16"/>
      <c r="CJ1050" s="16"/>
      <c r="CK1050" s="16"/>
      <c r="CL1050" s="16"/>
      <c r="CM1050" s="16"/>
      <c r="CN1050" s="16"/>
      <c r="CO1050" s="16"/>
      <c r="CP1050" s="16"/>
    </row>
    <row r="1051" ht="15.75" customHeight="1">
      <c r="A1051" s="442" t="s">
        <v>5048</v>
      </c>
      <c r="B1051" s="68" t="s">
        <v>846</v>
      </c>
      <c r="C1051" s="69" t="s">
        <v>84</v>
      </c>
      <c r="D1051" s="337" t="s">
        <v>5049</v>
      </c>
      <c r="E1051" s="337" t="s">
        <v>5050</v>
      </c>
      <c r="F1051" s="185" t="s">
        <v>5051</v>
      </c>
      <c r="G1051" s="54" t="s">
        <v>5052</v>
      </c>
      <c r="H1051" s="186" t="s">
        <v>163</v>
      </c>
      <c r="I1051" s="74" t="s">
        <v>164</v>
      </c>
      <c r="J1051" s="72" t="s">
        <v>5053</v>
      </c>
      <c r="K1051" s="74">
        <v>2.0</v>
      </c>
      <c r="L1051" s="26">
        <v>2014.0</v>
      </c>
      <c r="M1051" s="25">
        <f t="shared" si="712"/>
        <v>11</v>
      </c>
      <c r="N1051" s="26">
        <f t="shared" si="713"/>
        <v>2</v>
      </c>
      <c r="O1051" s="27" t="str">
        <f t="shared" si="3"/>
        <v>#N/A</v>
      </c>
      <c r="P1051" s="28"/>
      <c r="Q1051" s="28"/>
      <c r="R1051" s="28"/>
      <c r="S1051" s="28"/>
      <c r="T1051" s="29">
        <f t="shared" si="714"/>
        <v>181818.1818</v>
      </c>
      <c r="U1051" s="28"/>
      <c r="V1051" s="30">
        <f t="shared" si="425"/>
        <v>2000000</v>
      </c>
      <c r="W1051" s="30"/>
      <c r="X1051" s="32"/>
      <c r="Y1051" s="33">
        <f t="shared" si="715"/>
        <v>0.0800713224</v>
      </c>
      <c r="Z1051" s="692"/>
      <c r="AA1051" s="665"/>
      <c r="AB1051" s="74"/>
      <c r="AC1051" s="74"/>
      <c r="AD1051" s="181" t="str">
        <f>HYPERLINK("https://www.crunchbase.com/organization/transit-screen#section-funding-rounds","Mar 12, 2015")</f>
        <v>Mar 12, 2015</v>
      </c>
      <c r="AE1051" s="84">
        <v>600000.0</v>
      </c>
      <c r="AF1051" s="175" t="str">
        <f>HYPERLINK("https://www.crunchbase.com/funding_round/transit-screen-seed--fa8a9cb0","Mar 1, 2016")</f>
        <v>Mar 1, 2016</v>
      </c>
      <c r="AG1051" s="84">
        <v>1400000.0</v>
      </c>
      <c r="AH1051" s="74"/>
      <c r="AI1051" s="78"/>
      <c r="AJ1051" s="79"/>
      <c r="AK1051" s="84"/>
      <c r="AL1051" s="79"/>
      <c r="AM1051" s="84"/>
      <c r="AN1051" s="79"/>
      <c r="AO1051" s="84"/>
      <c r="AP1051" s="79"/>
      <c r="AQ1051" s="84"/>
      <c r="AR1051" s="79"/>
      <c r="AS1051" s="79"/>
      <c r="AT1051" s="79"/>
      <c r="AU1051" s="80"/>
      <c r="AV1051" s="79"/>
      <c r="AW1051" s="38"/>
      <c r="AX1051" s="79"/>
      <c r="AY1051" s="38"/>
      <c r="AZ1051" s="79"/>
      <c r="BA1051" s="80"/>
      <c r="BB1051" s="79"/>
      <c r="BC1051" s="80"/>
      <c r="BD1051" s="79"/>
      <c r="BE1051" s="38"/>
      <c r="BF1051" s="74"/>
      <c r="BG1051" s="534"/>
      <c r="BH1051" s="534"/>
      <c r="BI1051" s="534"/>
      <c r="BJ1051" s="534"/>
      <c r="BK1051" s="534"/>
      <c r="BL1051" s="534"/>
      <c r="BM1051" s="534"/>
      <c r="BN1051" s="534"/>
      <c r="BO1051" s="534"/>
      <c r="BP1051" s="534"/>
      <c r="BQ1051" s="534"/>
      <c r="BR1051" s="534"/>
      <c r="BS1051" s="534"/>
      <c r="BT1051" s="534"/>
      <c r="BU1051" s="534"/>
      <c r="BV1051" s="534"/>
      <c r="BW1051" s="534"/>
      <c r="BX1051" s="534"/>
      <c r="BY1051" s="534"/>
      <c r="BZ1051" s="534"/>
      <c r="CA1051" s="534"/>
      <c r="CB1051" s="534"/>
      <c r="CC1051" s="534"/>
      <c r="CD1051" s="534"/>
      <c r="CE1051" s="534"/>
      <c r="CF1051" s="534"/>
      <c r="CG1051" s="534"/>
      <c r="CH1051" s="534"/>
      <c r="CI1051" s="534"/>
      <c r="CJ1051" s="534"/>
      <c r="CK1051" s="534"/>
      <c r="CL1051" s="534"/>
      <c r="CM1051" s="534"/>
      <c r="CN1051" s="534"/>
      <c r="CO1051" s="534"/>
      <c r="CP1051" s="534"/>
    </row>
    <row r="1052" ht="15.75" customHeight="1">
      <c r="A1052" s="866" t="s">
        <v>5054</v>
      </c>
      <c r="B1052" s="16"/>
      <c r="C1052" s="17" t="s">
        <v>123</v>
      </c>
      <c r="D1052" s="236" t="s">
        <v>5055</v>
      </c>
      <c r="E1052" s="236" t="s">
        <v>5056</v>
      </c>
      <c r="F1052" s="236" t="s">
        <v>5057</v>
      </c>
      <c r="G1052" s="317"/>
      <c r="H1052" s="22" t="s">
        <v>357</v>
      </c>
      <c r="I1052" s="23" t="s">
        <v>518</v>
      </c>
      <c r="J1052" s="237"/>
      <c r="K1052" s="23">
        <v>1.0</v>
      </c>
      <c r="L1052" s="23"/>
      <c r="M1052" s="25">
        <f t="shared" si="712"/>
        <v>2025</v>
      </c>
      <c r="N1052" s="26">
        <f t="shared" si="713"/>
        <v>1</v>
      </c>
      <c r="O1052" s="27" t="str">
        <f t="shared" si="3"/>
        <v>#N/A</v>
      </c>
      <c r="P1052" s="28"/>
      <c r="Q1052" s="28"/>
      <c r="R1052" s="28"/>
      <c r="S1052" s="28"/>
      <c r="T1052" s="29">
        <f t="shared" si="714"/>
        <v>987.654321</v>
      </c>
      <c r="U1052" s="28"/>
      <c r="V1052" s="30">
        <f t="shared" si="425"/>
        <v>2000000</v>
      </c>
      <c r="W1052" s="30"/>
      <c r="X1052" s="33"/>
      <c r="Y1052" s="33">
        <f t="shared" si="715"/>
        <v>0</v>
      </c>
      <c r="Z1052" s="692"/>
      <c r="AA1052" s="665"/>
      <c r="AB1052" s="36"/>
      <c r="AC1052" s="36"/>
      <c r="AD1052" s="755" t="str">
        <f>HYPERLINK("https://www.crunchbase.com/funding_round/bldup-pre-seed--0b430624","Aug 10, 2021")</f>
        <v>Aug 10, 2021</v>
      </c>
      <c r="AE1052" s="38">
        <v>2000000.0</v>
      </c>
      <c r="AF1052" s="39"/>
      <c r="AG1052" s="38"/>
      <c r="AH1052" s="36"/>
      <c r="AI1052" s="159"/>
      <c r="AJ1052" s="44"/>
      <c r="AK1052" s="46"/>
      <c r="AL1052" s="44"/>
      <c r="AM1052" s="46"/>
      <c r="AN1052" s="44"/>
      <c r="AO1052" s="46"/>
      <c r="AP1052" s="1138"/>
      <c r="AQ1052" s="38"/>
      <c r="AR1052" s="44"/>
      <c r="AS1052" s="44"/>
      <c r="AT1052" s="44"/>
      <c r="AU1052" s="45"/>
      <c r="AV1052" s="44"/>
      <c r="AW1052" s="38"/>
      <c r="AX1052" s="44"/>
      <c r="AY1052" s="38"/>
      <c r="AZ1052" s="44"/>
      <c r="BA1052" s="45"/>
      <c r="BB1052" s="44"/>
      <c r="BC1052" s="45"/>
      <c r="BD1052" s="44"/>
      <c r="BE1052" s="38"/>
      <c r="BF1052" s="36"/>
      <c r="BG1052" s="1312"/>
      <c r="BH1052" s="1312"/>
      <c r="BI1052" s="1312"/>
      <c r="BJ1052" s="1312"/>
      <c r="BK1052" s="1312"/>
      <c r="BL1052" s="1312"/>
      <c r="BM1052" s="1312"/>
      <c r="BN1052" s="1312"/>
      <c r="BO1052" s="1312"/>
      <c r="BP1052" s="1312"/>
      <c r="BQ1052" s="1312"/>
      <c r="BR1052" s="1312"/>
      <c r="BS1052" s="1312"/>
      <c r="BT1052" s="1312"/>
      <c r="BU1052" s="1312"/>
      <c r="BV1052" s="1312"/>
      <c r="BW1052" s="1312"/>
      <c r="BX1052" s="1312"/>
      <c r="BY1052" s="1312"/>
      <c r="BZ1052" s="1312"/>
      <c r="CA1052" s="1312"/>
      <c r="CB1052" s="1312"/>
      <c r="CC1052" s="1312"/>
      <c r="CD1052" s="1312"/>
      <c r="CE1052" s="1312"/>
      <c r="CF1052" s="1312"/>
      <c r="CG1052" s="1312"/>
      <c r="CH1052" s="1312"/>
      <c r="CI1052" s="1312"/>
      <c r="CJ1052" s="1312"/>
      <c r="CK1052" s="1312"/>
      <c r="CL1052" s="1312"/>
      <c r="CM1052" s="1312"/>
      <c r="CN1052" s="1312"/>
      <c r="CO1052" s="1312"/>
      <c r="CP1052" s="1312"/>
    </row>
    <row r="1053" ht="15.75" customHeight="1">
      <c r="A1053" s="47" t="s">
        <v>5058</v>
      </c>
      <c r="B1053" s="115"/>
      <c r="C1053" s="116" t="s">
        <v>403</v>
      </c>
      <c r="D1053" s="48"/>
      <c r="E1053" s="192" t="s">
        <v>5059</v>
      </c>
      <c r="F1053" s="192" t="s">
        <v>5060</v>
      </c>
      <c r="G1053" s="286"/>
      <c r="H1053" s="119" t="s">
        <v>80</v>
      </c>
      <c r="I1053" s="25" t="s">
        <v>65</v>
      </c>
      <c r="J1053" s="287"/>
      <c r="K1053" s="25">
        <v>1.0</v>
      </c>
      <c r="L1053" s="25">
        <v>2020.0</v>
      </c>
      <c r="M1053" s="25"/>
      <c r="N1053" s="25"/>
      <c r="O1053" s="27" t="str">
        <f t="shared" si="3"/>
        <v>#N/A</v>
      </c>
      <c r="P1053" s="55"/>
      <c r="Q1053" s="55"/>
      <c r="R1053" s="55"/>
      <c r="S1053" s="55"/>
      <c r="T1053" s="55"/>
      <c r="U1053" s="55"/>
      <c r="V1053" s="30">
        <f t="shared" si="425"/>
        <v>2000000</v>
      </c>
      <c r="W1053" s="30"/>
      <c r="X1053" s="597"/>
      <c r="Y1053" s="597"/>
      <c r="Z1053" s="692"/>
      <c r="AA1053" s="665"/>
      <c r="AB1053" s="123"/>
      <c r="AC1053" s="123"/>
      <c r="AD1053" s="198"/>
      <c r="AE1053" s="125"/>
      <c r="AF1053" s="126" t="str">
        <f>HYPERLINK("https://www.crunchbase.com/funding_round/showplace-seed--1618d633","Jun 7, 2022")</f>
        <v>Jun 7, 2022</v>
      </c>
      <c r="AG1053" s="127">
        <v>2000000.0</v>
      </c>
      <c r="AH1053" s="123"/>
      <c r="AI1053" s="128"/>
      <c r="AJ1053" s="169"/>
      <c r="AK1053" s="127"/>
      <c r="AL1053" s="169"/>
      <c r="AM1053" s="127"/>
      <c r="AN1053" s="124"/>
      <c r="AO1053" s="125"/>
      <c r="AP1053" s="124"/>
      <c r="AQ1053" s="125"/>
      <c r="AR1053" s="124"/>
      <c r="AS1053" s="124"/>
      <c r="AT1053" s="124"/>
      <c r="AU1053" s="137"/>
      <c r="AV1053" s="124"/>
      <c r="AW1053" s="38"/>
      <c r="AX1053" s="124"/>
      <c r="AY1053" s="38"/>
      <c r="AZ1053" s="124"/>
      <c r="BA1053" s="137"/>
      <c r="BB1053" s="124"/>
      <c r="BC1053" s="137"/>
      <c r="BD1053" s="124"/>
      <c r="BE1053" s="38"/>
      <c r="BF1053" s="123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</row>
    <row r="1054" ht="15.75" customHeight="1">
      <c r="A1054" s="400" t="s">
        <v>5061</v>
      </c>
      <c r="B1054" s="115"/>
      <c r="C1054" s="116" t="s">
        <v>76</v>
      </c>
      <c r="D1054" s="449"/>
      <c r="E1054" s="161" t="s">
        <v>5062</v>
      </c>
      <c r="F1054" s="161" t="s">
        <v>5063</v>
      </c>
      <c r="G1054" s="286"/>
      <c r="H1054" s="119" t="s">
        <v>128</v>
      </c>
      <c r="I1054" s="25" t="s">
        <v>129</v>
      </c>
      <c r="J1054" s="287"/>
      <c r="K1054" s="123"/>
      <c r="L1054" s="25">
        <v>2019.0</v>
      </c>
      <c r="M1054" s="123"/>
      <c r="N1054" s="123"/>
      <c r="O1054" s="27" t="str">
        <f t="shared" si="3"/>
        <v>#N/A</v>
      </c>
      <c r="P1054" s="55"/>
      <c r="Q1054" s="55"/>
      <c r="R1054" s="55"/>
      <c r="S1054" s="55"/>
      <c r="T1054" s="55"/>
      <c r="U1054" s="55"/>
      <c r="V1054" s="30">
        <f t="shared" si="425"/>
        <v>2000000</v>
      </c>
      <c r="W1054" s="31">
        <v>500000.0</v>
      </c>
      <c r="X1054" s="403"/>
      <c r="Y1054" s="403"/>
      <c r="Z1054" s="692"/>
      <c r="AA1054" s="665"/>
      <c r="AB1054" s="123"/>
      <c r="AC1054" s="123"/>
      <c r="AD1054" s="623">
        <v>44888.0</v>
      </c>
      <c r="AE1054" s="38">
        <v>2000000.0</v>
      </c>
      <c r="AF1054" s="355"/>
      <c r="AG1054" s="38"/>
      <c r="AH1054" s="123"/>
      <c r="AI1054" s="123"/>
      <c r="AJ1054" s="123"/>
      <c r="AK1054" s="123"/>
      <c r="AL1054" s="123"/>
      <c r="AM1054" s="123"/>
      <c r="AN1054" s="123"/>
      <c r="AO1054" s="123"/>
      <c r="AP1054" s="123"/>
      <c r="AQ1054" s="123"/>
      <c r="AR1054" s="123"/>
      <c r="AS1054" s="123"/>
      <c r="AT1054" s="123"/>
      <c r="AU1054" s="137"/>
      <c r="AV1054" s="123"/>
      <c r="AW1054" s="38"/>
      <c r="AX1054" s="123"/>
      <c r="AY1054" s="38"/>
      <c r="AZ1054" s="123"/>
      <c r="BA1054" s="137"/>
      <c r="BB1054" s="123"/>
      <c r="BC1054" s="137"/>
      <c r="BD1054" s="123"/>
      <c r="BE1054" s="38"/>
      <c r="BF1054" s="123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</row>
    <row r="1055" ht="15.75" customHeight="1">
      <c r="A1055" s="47" t="s">
        <v>5064</v>
      </c>
      <c r="C1055" s="48" t="s">
        <v>76</v>
      </c>
      <c r="D1055" s="49" t="s">
        <v>5065</v>
      </c>
      <c r="E1055" s="49" t="s">
        <v>5066</v>
      </c>
      <c r="F1055" s="1438" t="s">
        <v>5067</v>
      </c>
      <c r="G1055" s="353"/>
      <c r="H1055" s="53" t="s">
        <v>1918</v>
      </c>
      <c r="I1055" s="54" t="s">
        <v>1384</v>
      </c>
      <c r="J1055" s="55"/>
      <c r="K1055" s="54">
        <v>1.0</v>
      </c>
      <c r="L1055" s="56">
        <v>2016.0</v>
      </c>
      <c r="M1055" s="55"/>
      <c r="N1055" s="55"/>
      <c r="O1055" s="27" t="str">
        <f t="shared" si="3"/>
        <v>#N/A</v>
      </c>
      <c r="P1055" s="55"/>
      <c r="Q1055" s="55"/>
      <c r="R1055" s="55"/>
      <c r="S1055" s="55"/>
      <c r="T1055" s="55"/>
      <c r="U1055" s="55"/>
      <c r="V1055" s="30">
        <f t="shared" si="425"/>
        <v>2000000</v>
      </c>
      <c r="W1055" s="30"/>
      <c r="X1055" s="58"/>
      <c r="Y1055" s="58"/>
      <c r="Z1055" s="692"/>
      <c r="AA1055" s="665"/>
      <c r="AB1055" s="55"/>
      <c r="AC1055" s="55"/>
      <c r="AD1055" s="1491"/>
      <c r="AE1055" s="38"/>
      <c r="AF1055" s="62">
        <v>44956.0</v>
      </c>
      <c r="AG1055" s="38">
        <v>2000000.0</v>
      </c>
      <c r="AH1055" s="55"/>
      <c r="AI1055" s="38"/>
      <c r="AJ1055" s="55"/>
      <c r="AK1055" s="38"/>
      <c r="AL1055" s="55"/>
      <c r="AM1055" s="38"/>
      <c r="AN1055" s="55"/>
      <c r="AO1055" s="38"/>
      <c r="AP1055" s="356"/>
      <c r="AQ1055" s="38"/>
      <c r="AR1055" s="55"/>
      <c r="AS1055" s="38"/>
      <c r="AT1055" s="55"/>
      <c r="AU1055" s="38"/>
      <c r="AV1055" s="55"/>
      <c r="AW1055" s="38"/>
      <c r="AX1055" s="55"/>
      <c r="AY1055" s="38"/>
      <c r="AZ1055" s="55"/>
      <c r="BA1055" s="38"/>
      <c r="BB1055" s="55"/>
      <c r="BC1055" s="38"/>
      <c r="BD1055" s="55"/>
      <c r="BE1055" s="38"/>
      <c r="BF1055" s="55"/>
      <c r="BG1055" s="534"/>
      <c r="BH1055" s="534"/>
      <c r="BI1055" s="534"/>
      <c r="BJ1055" s="534"/>
      <c r="BK1055" s="534"/>
      <c r="BL1055" s="534"/>
      <c r="BM1055" s="534"/>
      <c r="BN1055" s="534"/>
      <c r="BO1055" s="534"/>
      <c r="BP1055" s="534"/>
      <c r="BQ1055" s="534"/>
      <c r="BR1055" s="534"/>
      <c r="BS1055" s="534"/>
      <c r="BT1055" s="534"/>
      <c r="BU1055" s="534"/>
      <c r="BV1055" s="534"/>
      <c r="BW1055" s="534"/>
      <c r="BX1055" s="534"/>
      <c r="BY1055" s="534"/>
      <c r="BZ1055" s="534"/>
      <c r="CA1055" s="534"/>
      <c r="CB1055" s="534"/>
      <c r="CC1055" s="534"/>
      <c r="CD1055" s="534"/>
      <c r="CE1055" s="534"/>
      <c r="CF1055" s="534"/>
      <c r="CG1055" s="534"/>
      <c r="CH1055" s="534"/>
      <c r="CI1055" s="534"/>
      <c r="CJ1055" s="534"/>
      <c r="CK1055" s="534"/>
      <c r="CL1055" s="534"/>
      <c r="CM1055" s="534"/>
      <c r="CN1055" s="534"/>
      <c r="CO1055" s="534"/>
      <c r="CP1055" s="534"/>
    </row>
    <row r="1056" ht="15.75" customHeight="1">
      <c r="A1056" s="47" t="s">
        <v>5068</v>
      </c>
      <c r="C1056" s="48" t="s">
        <v>68</v>
      </c>
      <c r="D1056" s="351"/>
      <c r="E1056" s="617" t="s">
        <v>5069</v>
      </c>
      <c r="F1056" s="352" t="s">
        <v>5070</v>
      </c>
      <c r="G1056" s="353"/>
      <c r="H1056" s="53" t="s">
        <v>5071</v>
      </c>
      <c r="I1056" s="54" t="s">
        <v>2010</v>
      </c>
      <c r="J1056" s="55"/>
      <c r="K1056" s="55"/>
      <c r="L1056" s="961"/>
      <c r="M1056" s="55"/>
      <c r="N1056" s="55"/>
      <c r="O1056" s="27" t="str">
        <f t="shared" si="3"/>
        <v>#N/A</v>
      </c>
      <c r="P1056" s="55"/>
      <c r="Q1056" s="55"/>
      <c r="R1056" s="55"/>
      <c r="S1056" s="55"/>
      <c r="T1056" s="55"/>
      <c r="U1056" s="55"/>
      <c r="V1056" s="30">
        <f t="shared" si="425"/>
        <v>1944000</v>
      </c>
      <c r="W1056" s="30"/>
      <c r="X1056" s="58"/>
      <c r="Y1056" s="58"/>
      <c r="Z1056" s="692"/>
      <c r="AA1056" s="665"/>
      <c r="AB1056" s="55"/>
      <c r="AC1056" s="55"/>
      <c r="AD1056" s="355"/>
      <c r="AE1056" s="38"/>
      <c r="AF1056" s="62">
        <v>45013.0</v>
      </c>
      <c r="AG1056" s="38">
        <f>1.08*1800000</f>
        <v>1944000</v>
      </c>
      <c r="AH1056" s="55"/>
      <c r="AI1056" s="38"/>
      <c r="AJ1056" s="55"/>
      <c r="AK1056" s="38"/>
      <c r="AL1056" s="55"/>
      <c r="AM1056" s="38"/>
      <c r="AN1056" s="55"/>
      <c r="AO1056" s="38"/>
      <c r="AP1056" s="356"/>
      <c r="AQ1056" s="38"/>
      <c r="AR1056" s="55"/>
      <c r="AS1056" s="38"/>
      <c r="AT1056" s="55"/>
      <c r="AU1056" s="38"/>
      <c r="AV1056" s="55"/>
      <c r="AW1056" s="38"/>
      <c r="AX1056" s="55"/>
      <c r="AY1056" s="38"/>
      <c r="AZ1056" s="55"/>
      <c r="BA1056" s="38"/>
      <c r="BB1056" s="55"/>
      <c r="BC1056" s="38"/>
      <c r="BD1056" s="55"/>
      <c r="BE1056" s="38"/>
      <c r="BF1056" s="55"/>
      <c r="BG1056" s="16"/>
      <c r="BH1056" s="16"/>
      <c r="BI1056" s="16"/>
      <c r="BJ1056" s="16"/>
      <c r="BK1056" s="16"/>
      <c r="BL1056" s="16"/>
      <c r="BM1056" s="16"/>
      <c r="BN1056" s="16"/>
      <c r="BO1056" s="16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6"/>
      <c r="CA1056" s="16"/>
      <c r="CB1056" s="16"/>
      <c r="CC1056" s="16"/>
      <c r="CD1056" s="16"/>
      <c r="CE1056" s="16"/>
      <c r="CF1056" s="16"/>
      <c r="CG1056" s="16"/>
      <c r="CH1056" s="16"/>
      <c r="CI1056" s="16"/>
      <c r="CJ1056" s="16"/>
      <c r="CK1056" s="16"/>
      <c r="CL1056" s="16"/>
      <c r="CM1056" s="16"/>
      <c r="CN1056" s="16"/>
      <c r="CO1056" s="16"/>
      <c r="CP1056" s="16"/>
    </row>
    <row r="1057" ht="15.75" customHeight="1">
      <c r="A1057" s="442" t="s">
        <v>5072</v>
      </c>
      <c r="B1057" s="68" t="s">
        <v>3914</v>
      </c>
      <c r="C1057" s="68" t="s">
        <v>59</v>
      </c>
      <c r="D1057" s="337" t="s">
        <v>5073</v>
      </c>
      <c r="E1057" s="337" t="s">
        <v>5074</v>
      </c>
      <c r="F1057" s="185" t="s">
        <v>5075</v>
      </c>
      <c r="G1057" s="186"/>
      <c r="H1057" s="186" t="s">
        <v>328</v>
      </c>
      <c r="I1057" s="74"/>
      <c r="J1057" s="155"/>
      <c r="K1057" s="74">
        <v>2.0</v>
      </c>
      <c r="L1057" s="26">
        <v>2015.0</v>
      </c>
      <c r="M1057" s="25">
        <f t="shared" ref="M1057:M1059" si="716">year(now()) -L1057</f>
        <v>10</v>
      </c>
      <c r="N1057" s="26">
        <f t="shared" ref="N1057:N1059" si="717">counta(AE1057,AG1057,AI1057,AK1057,AM1057,AO1057,AQ1057,AS1057,AU1057,AW1057,AY1057,BA1057,BC1057)</f>
        <v>1</v>
      </c>
      <c r="O1057" s="27" t="str">
        <f t="shared" si="3"/>
        <v>#N/A</v>
      </c>
      <c r="P1057" s="28"/>
      <c r="Q1057" s="28"/>
      <c r="R1057" s="28"/>
      <c r="S1057" s="28"/>
      <c r="T1057" s="29">
        <f t="shared" ref="T1057:T1059" si="718">V1057/M1057</f>
        <v>190011.6</v>
      </c>
      <c r="U1057" s="28"/>
      <c r="V1057" s="30">
        <f t="shared" si="425"/>
        <v>1900116</v>
      </c>
      <c r="W1057" s="30"/>
      <c r="X1057" s="32"/>
      <c r="Y1057" s="33">
        <f t="shared" ref="Y1057:Y1059" si="719">(max(AE1057,AG1057,AI1057,AK1057,AM1057,AO1057,AQ1057,AS1057,AU1057,AW1057,AY1057,BA1057,BC1057)/min(AE1057,AG1057,AI1057,AK1057))^(1/M1057)-1</f>
        <v>0</v>
      </c>
      <c r="Z1057" s="692"/>
      <c r="AA1057" s="665"/>
      <c r="AB1057" s="74"/>
      <c r="AC1057" s="74"/>
      <c r="AD1057" s="79"/>
      <c r="AE1057" s="84"/>
      <c r="AF1057" s="175" t="str">
        <f>HYPERLINK("https://www.crunchbase.com/organization/realla#section-overview2"," Jun 6, 2016")</f>
        <v> Jun 6, 2016</v>
      </c>
      <c r="AG1057" s="76">
        <v>1900116.0</v>
      </c>
      <c r="AH1057" s="74"/>
      <c r="AI1057" s="78"/>
      <c r="AJ1057" s="79"/>
      <c r="AK1057" s="84"/>
      <c r="AL1057" s="79"/>
      <c r="AM1057" s="84"/>
      <c r="AN1057" s="79"/>
      <c r="AO1057" s="84"/>
      <c r="AP1057" s="79"/>
      <c r="AQ1057" s="84"/>
      <c r="AR1057" s="79"/>
      <c r="AS1057" s="79"/>
      <c r="AT1057" s="79"/>
      <c r="AU1057" s="80"/>
      <c r="AV1057" s="79"/>
      <c r="AW1057" s="38"/>
      <c r="AX1057" s="79"/>
      <c r="AY1057" s="38"/>
      <c r="AZ1057" s="79"/>
      <c r="BA1057" s="80"/>
      <c r="BB1057" s="79"/>
      <c r="BC1057" s="80"/>
      <c r="BD1057" s="79">
        <v>43385.0</v>
      </c>
      <c r="BE1057" s="38"/>
      <c r="BF1057" s="74" t="s">
        <v>960</v>
      </c>
      <c r="BG1057" s="16"/>
      <c r="BH1057" s="16"/>
      <c r="BI1057" s="16"/>
      <c r="BJ1057" s="16"/>
      <c r="BK1057" s="16"/>
      <c r="BL1057" s="16"/>
      <c r="BM1057" s="16"/>
      <c r="BN1057" s="16"/>
      <c r="BO1057" s="16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6"/>
      <c r="CA1057" s="16"/>
      <c r="CB1057" s="16"/>
      <c r="CC1057" s="16"/>
      <c r="CD1057" s="16"/>
      <c r="CE1057" s="16"/>
      <c r="CF1057" s="16"/>
      <c r="CG1057" s="16"/>
      <c r="CH1057" s="16"/>
      <c r="CI1057" s="16"/>
      <c r="CJ1057" s="16"/>
      <c r="CK1057" s="16"/>
      <c r="CL1057" s="16"/>
      <c r="CM1057" s="16"/>
      <c r="CN1057" s="16"/>
      <c r="CO1057" s="16"/>
      <c r="CP1057" s="16"/>
    </row>
    <row r="1058" ht="15.75" customHeight="1">
      <c r="A1058" s="21" t="s">
        <v>5076</v>
      </c>
      <c r="B1058" s="68"/>
      <c r="C1058" s="69" t="s">
        <v>123</v>
      </c>
      <c r="D1058" s="138" t="s">
        <v>5077</v>
      </c>
      <c r="E1058" s="138" t="s">
        <v>5078</v>
      </c>
      <c r="F1058" s="173" t="s">
        <v>5079</v>
      </c>
      <c r="G1058" s="186"/>
      <c r="H1058" s="186"/>
      <c r="I1058" s="74"/>
      <c r="J1058" s="155"/>
      <c r="K1058" s="26">
        <v>1.0</v>
      </c>
      <c r="L1058" s="26">
        <v>2016.0</v>
      </c>
      <c r="M1058" s="25">
        <f t="shared" si="716"/>
        <v>9</v>
      </c>
      <c r="N1058" s="26">
        <f t="shared" si="717"/>
        <v>1</v>
      </c>
      <c r="O1058" s="27" t="str">
        <f t="shared" si="3"/>
        <v>#N/A</v>
      </c>
      <c r="P1058" s="28"/>
      <c r="Q1058" s="28"/>
      <c r="R1058" s="28"/>
      <c r="S1058" s="28"/>
      <c r="T1058" s="29">
        <f t="shared" si="718"/>
        <v>211111.1111</v>
      </c>
      <c r="U1058" s="28"/>
      <c r="V1058" s="30">
        <f t="shared" si="425"/>
        <v>1900000</v>
      </c>
      <c r="W1058" s="30"/>
      <c r="X1058" s="73"/>
      <c r="Y1058" s="33">
        <f t="shared" si="719"/>
        <v>0</v>
      </c>
      <c r="Z1058" s="692"/>
      <c r="AA1058" s="665"/>
      <c r="AB1058" s="74"/>
      <c r="AC1058" s="74"/>
      <c r="AD1058" s="79"/>
      <c r="AE1058" s="84"/>
      <c r="AF1058" s="856" t="str">
        <f>HYPERLINK("https://www.crunchbase.com/funding_round/monograph-seed--5d211245"," 3/10/2020")</f>
        <v> 3/10/2020</v>
      </c>
      <c r="AG1058" s="76">
        <v>1900000.0</v>
      </c>
      <c r="AH1058" s="74"/>
      <c r="AI1058" s="78"/>
      <c r="AJ1058" s="79"/>
      <c r="AK1058" s="84"/>
      <c r="AL1058" s="79"/>
      <c r="AM1058" s="84"/>
      <c r="AN1058" s="79"/>
      <c r="AO1058" s="84"/>
      <c r="AP1058" s="79"/>
      <c r="AQ1058" s="84"/>
      <c r="AR1058" s="79"/>
      <c r="AS1058" s="79"/>
      <c r="AT1058" s="79"/>
      <c r="AU1058" s="80"/>
      <c r="AV1058" s="79"/>
      <c r="AW1058" s="38"/>
      <c r="AX1058" s="79"/>
      <c r="AY1058" s="38"/>
      <c r="AZ1058" s="79"/>
      <c r="BA1058" s="80"/>
      <c r="BB1058" s="79"/>
      <c r="BC1058" s="80"/>
      <c r="BD1058" s="79"/>
      <c r="BE1058" s="38"/>
      <c r="BF1058" s="74"/>
      <c r="BG1058" s="16"/>
      <c r="BH1058" s="16"/>
      <c r="BI1058" s="16"/>
      <c r="BJ1058" s="16"/>
      <c r="BK1058" s="16"/>
      <c r="BL1058" s="16"/>
      <c r="BM1058" s="16"/>
      <c r="BN1058" s="16"/>
      <c r="BO1058" s="16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6"/>
      <c r="CA1058" s="16"/>
      <c r="CB1058" s="16"/>
      <c r="CC1058" s="16"/>
      <c r="CD1058" s="16"/>
      <c r="CE1058" s="16"/>
      <c r="CF1058" s="16"/>
      <c r="CG1058" s="16"/>
      <c r="CH1058" s="16"/>
      <c r="CI1058" s="16"/>
      <c r="CJ1058" s="16"/>
      <c r="CK1058" s="16"/>
      <c r="CL1058" s="16"/>
      <c r="CM1058" s="16"/>
      <c r="CN1058" s="16"/>
      <c r="CO1058" s="16"/>
      <c r="CP1058" s="16"/>
    </row>
    <row r="1059" ht="15.75" customHeight="1">
      <c r="A1059" s="21" t="s">
        <v>5080</v>
      </c>
      <c r="B1059" s="68"/>
      <c r="C1059" s="69" t="s">
        <v>132</v>
      </c>
      <c r="D1059" s="380"/>
      <c r="E1059" s="200" t="s">
        <v>5081</v>
      </c>
      <c r="F1059" s="173" t="s">
        <v>5082</v>
      </c>
      <c r="G1059" s="186"/>
      <c r="H1059" s="71" t="s">
        <v>128</v>
      </c>
      <c r="I1059" s="26" t="s">
        <v>129</v>
      </c>
      <c r="J1059" s="155"/>
      <c r="K1059" s="26">
        <v>2.0</v>
      </c>
      <c r="L1059" s="26">
        <v>2020.0</v>
      </c>
      <c r="M1059" s="25">
        <f t="shared" si="716"/>
        <v>5</v>
      </c>
      <c r="N1059" s="26">
        <f t="shared" si="717"/>
        <v>1</v>
      </c>
      <c r="O1059" s="27" t="str">
        <f t="shared" si="3"/>
        <v>#N/A</v>
      </c>
      <c r="P1059" s="28"/>
      <c r="Q1059" s="28"/>
      <c r="R1059" s="28"/>
      <c r="S1059" s="28"/>
      <c r="T1059" s="29">
        <f t="shared" si="718"/>
        <v>380000</v>
      </c>
      <c r="U1059" s="28"/>
      <c r="V1059" s="30">
        <f t="shared" si="425"/>
        <v>1900000</v>
      </c>
      <c r="W1059" s="30"/>
      <c r="X1059" s="73"/>
      <c r="Y1059" s="33">
        <f t="shared" si="719"/>
        <v>0</v>
      </c>
      <c r="Z1059" s="692"/>
      <c r="AA1059" s="665"/>
      <c r="AB1059" s="74"/>
      <c r="AC1059" s="74"/>
      <c r="AD1059" s="79"/>
      <c r="AE1059" s="84"/>
      <c r="AF1059" s="175" t="str">
        <f>HYPERLINK("https://therealdeal.com/2021/09/29/startup-wants-to-demystify-real-estate-tax-breaks/","Sep 29th, 2021")</f>
        <v>Sep 29th, 2021</v>
      </c>
      <c r="AG1059" s="76">
        <v>1900000.0</v>
      </c>
      <c r="AH1059" s="74"/>
      <c r="AI1059" s="78"/>
      <c r="AJ1059" s="79"/>
      <c r="AK1059" s="76"/>
      <c r="AL1059" s="279"/>
      <c r="AM1059" s="76"/>
      <c r="AN1059" s="279"/>
      <c r="AO1059" s="76"/>
      <c r="AP1059" s="79"/>
      <c r="AQ1059" s="84"/>
      <c r="AR1059" s="79"/>
      <c r="AS1059" s="79"/>
      <c r="AT1059" s="79"/>
      <c r="AU1059" s="80"/>
      <c r="AV1059" s="79"/>
      <c r="AW1059" s="38"/>
      <c r="AX1059" s="79"/>
      <c r="AY1059" s="38"/>
      <c r="AZ1059" s="79"/>
      <c r="BA1059" s="80"/>
      <c r="BB1059" s="79"/>
      <c r="BC1059" s="80"/>
      <c r="BD1059" s="79"/>
      <c r="BE1059" s="38"/>
      <c r="BF1059" s="74"/>
      <c r="BG1059" s="16"/>
      <c r="BH1059" s="16"/>
      <c r="BI1059" s="16"/>
      <c r="BJ1059" s="16"/>
      <c r="BK1059" s="16"/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6"/>
      <c r="CA1059" s="16"/>
      <c r="CB1059" s="16"/>
      <c r="CC1059" s="16"/>
      <c r="CD1059" s="16"/>
      <c r="CE1059" s="16"/>
      <c r="CF1059" s="16"/>
      <c r="CG1059" s="16"/>
      <c r="CH1059" s="16"/>
      <c r="CI1059" s="16"/>
      <c r="CJ1059" s="16"/>
      <c r="CK1059" s="16"/>
      <c r="CL1059" s="16"/>
      <c r="CM1059" s="16"/>
      <c r="CN1059" s="16"/>
      <c r="CO1059" s="16"/>
      <c r="CP1059" s="16"/>
    </row>
    <row r="1060" ht="15.75" customHeight="1">
      <c r="A1060" s="400" t="s">
        <v>5083</v>
      </c>
      <c r="B1060" s="68"/>
      <c r="C1060" s="69" t="s">
        <v>123</v>
      </c>
      <c r="D1060" s="388" t="s">
        <v>5084</v>
      </c>
      <c r="E1060" s="388" t="s">
        <v>5085</v>
      </c>
      <c r="F1060" s="389" t="s">
        <v>5086</v>
      </c>
      <c r="G1060" s="186"/>
      <c r="H1060" s="71" t="s">
        <v>673</v>
      </c>
      <c r="I1060" s="26" t="s">
        <v>674</v>
      </c>
      <c r="J1060" s="155"/>
      <c r="K1060" s="26">
        <v>2.0</v>
      </c>
      <c r="L1060" s="26">
        <v>2021.0</v>
      </c>
      <c r="M1060" s="25"/>
      <c r="N1060" s="26"/>
      <c r="O1060" s="27" t="str">
        <f t="shared" si="3"/>
        <v>#N/A</v>
      </c>
      <c r="P1060" s="273"/>
      <c r="Q1060" s="273"/>
      <c r="R1060" s="273"/>
      <c r="S1060" s="273"/>
      <c r="T1060" s="273"/>
      <c r="U1060" s="273"/>
      <c r="V1060" s="30">
        <f t="shared" si="425"/>
        <v>1900000</v>
      </c>
      <c r="W1060" s="30"/>
      <c r="X1060" s="73"/>
      <c r="Y1060" s="73"/>
      <c r="Z1060" s="692"/>
      <c r="AA1060" s="665"/>
      <c r="AB1060" s="74"/>
      <c r="AC1060" s="74"/>
      <c r="AD1060" s="391">
        <v>44727.0</v>
      </c>
      <c r="AE1060" s="1492">
        <f>1900000</f>
        <v>1900000</v>
      </c>
      <c r="AF1060" s="338"/>
      <c r="AG1060" s="84"/>
      <c r="AH1060" s="74"/>
      <c r="AI1060" s="78"/>
      <c r="AJ1060" s="79"/>
      <c r="AK1060" s="84"/>
      <c r="AL1060" s="79"/>
      <c r="AM1060" s="84"/>
      <c r="AN1060" s="79"/>
      <c r="AO1060" s="84"/>
      <c r="AP1060" s="79"/>
      <c r="AQ1060" s="84"/>
      <c r="AR1060" s="79"/>
      <c r="AS1060" s="79"/>
      <c r="AT1060" s="79"/>
      <c r="AU1060" s="80"/>
      <c r="AV1060" s="79"/>
      <c r="AW1060" s="38"/>
      <c r="AX1060" s="79"/>
      <c r="AY1060" s="38"/>
      <c r="AZ1060" s="79"/>
      <c r="BA1060" s="80"/>
      <c r="BB1060" s="79"/>
      <c r="BC1060" s="80"/>
      <c r="BD1060" s="79"/>
      <c r="BE1060" s="38"/>
      <c r="BF1060" s="74"/>
      <c r="BG1060" s="16"/>
      <c r="BH1060" s="16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  <c r="CD1060" s="16"/>
      <c r="CE1060" s="16"/>
      <c r="CF1060" s="16"/>
      <c r="CG1060" s="16"/>
      <c r="CH1060" s="16"/>
      <c r="CI1060" s="16"/>
      <c r="CJ1060" s="16"/>
      <c r="CK1060" s="16"/>
      <c r="CL1060" s="16"/>
      <c r="CM1060" s="16"/>
      <c r="CN1060" s="16"/>
      <c r="CO1060" s="16"/>
      <c r="CP1060" s="16"/>
    </row>
    <row r="1061" ht="15.75" customHeight="1">
      <c r="A1061" s="47" t="s">
        <v>5087</v>
      </c>
      <c r="C1061" s="48" t="s">
        <v>68</v>
      </c>
      <c r="D1061" s="351"/>
      <c r="E1061" s="49" t="s">
        <v>5088</v>
      </c>
      <c r="F1061" s="352" t="s">
        <v>5089</v>
      </c>
      <c r="G1061" s="353"/>
      <c r="H1061" s="53" t="s">
        <v>5090</v>
      </c>
      <c r="I1061" s="54" t="s">
        <v>4837</v>
      </c>
      <c r="J1061" s="55"/>
      <c r="K1061" s="54">
        <v>3.0</v>
      </c>
      <c r="L1061" s="56">
        <v>2018.0</v>
      </c>
      <c r="M1061" s="55"/>
      <c r="N1061" s="55"/>
      <c r="O1061" s="27" t="str">
        <f t="shared" si="3"/>
        <v>#N/A</v>
      </c>
      <c r="P1061" s="55"/>
      <c r="Q1061" s="55"/>
      <c r="R1061" s="55"/>
      <c r="S1061" s="55"/>
      <c r="T1061" s="55"/>
      <c r="U1061" s="55"/>
      <c r="V1061" s="30">
        <f t="shared" si="425"/>
        <v>1900000</v>
      </c>
      <c r="W1061" s="30"/>
      <c r="X1061" s="58"/>
      <c r="Y1061" s="58"/>
      <c r="Z1061" s="692"/>
      <c r="AA1061" s="665"/>
      <c r="AB1061" s="55"/>
      <c r="AC1061" s="55"/>
      <c r="AD1061" s="355"/>
      <c r="AE1061" s="55"/>
      <c r="AF1061" s="62">
        <v>44916.0</v>
      </c>
      <c r="AG1061" s="38">
        <v>1900000.0</v>
      </c>
      <c r="AH1061" s="55"/>
      <c r="AI1061" s="55"/>
      <c r="AJ1061" s="55"/>
      <c r="AK1061" s="55"/>
      <c r="AL1061" s="55"/>
      <c r="AM1061" s="55"/>
      <c r="AN1061" s="55"/>
      <c r="AO1061" s="55"/>
      <c r="AP1061" s="356"/>
      <c r="AQ1061" s="356"/>
      <c r="AR1061" s="55"/>
      <c r="AS1061" s="55"/>
      <c r="AT1061" s="55"/>
      <c r="AU1061" s="722"/>
      <c r="AV1061" s="55"/>
      <c r="AW1061" s="38"/>
      <c r="AX1061" s="55"/>
      <c r="AY1061" s="38"/>
      <c r="AZ1061" s="55"/>
      <c r="BA1061" s="722"/>
      <c r="BB1061" s="55"/>
      <c r="BC1061" s="722"/>
      <c r="BD1061" s="55"/>
      <c r="BE1061" s="38"/>
      <c r="BF1061" s="55"/>
      <c r="BG1061" s="16"/>
      <c r="BH1061" s="16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  <c r="CD1061" s="16"/>
      <c r="CE1061" s="16"/>
      <c r="CF1061" s="16"/>
      <c r="CG1061" s="16"/>
      <c r="CH1061" s="16"/>
      <c r="CI1061" s="16"/>
      <c r="CJ1061" s="16"/>
      <c r="CK1061" s="16"/>
      <c r="CL1061" s="16"/>
      <c r="CM1061" s="16"/>
      <c r="CN1061" s="16"/>
      <c r="CO1061" s="16"/>
      <c r="CP1061" s="16"/>
    </row>
    <row r="1062" ht="15.75" customHeight="1">
      <c r="A1062" s="442" t="s">
        <v>5091</v>
      </c>
      <c r="B1062" s="68" t="s">
        <v>5092</v>
      </c>
      <c r="C1062" s="69" t="s">
        <v>132</v>
      </c>
      <c r="D1062" s="184" t="s">
        <v>5093</v>
      </c>
      <c r="E1062" s="184" t="s">
        <v>5094</v>
      </c>
      <c r="F1062" s="185" t="s">
        <v>5095</v>
      </c>
      <c r="G1062" s="186" t="s">
        <v>5096</v>
      </c>
      <c r="H1062" s="186" t="s">
        <v>128</v>
      </c>
      <c r="I1062" s="74" t="s">
        <v>156</v>
      </c>
      <c r="J1062" s="155" t="s">
        <v>3000</v>
      </c>
      <c r="K1062" s="74">
        <v>2.0</v>
      </c>
      <c r="L1062" s="26">
        <v>2014.0</v>
      </c>
      <c r="M1062" s="25">
        <f>year(now()) -L1062</f>
        <v>11</v>
      </c>
      <c r="N1062" s="26">
        <f>counta(AE1062,AG1062,AI1062,AK1062,AM1062,AO1062,AQ1062,AS1062,AU1062,AW1062,AY1062,BA1062,BC1062)</f>
        <v>1</v>
      </c>
      <c r="O1062" s="27" t="str">
        <f t="shared" si="3"/>
        <v>#N/A</v>
      </c>
      <c r="P1062" s="28"/>
      <c r="Q1062" s="28"/>
      <c r="R1062" s="28"/>
      <c r="S1062" s="28"/>
      <c r="T1062" s="29">
        <f>V1062/M1062</f>
        <v>163636.3636</v>
      </c>
      <c r="U1062" s="28"/>
      <c r="V1062" s="30">
        <f t="shared" si="425"/>
        <v>1800000</v>
      </c>
      <c r="W1062" s="30"/>
      <c r="X1062" s="32"/>
      <c r="Y1062" s="33">
        <f>(max(AE1062,AG1062,AI1062,AK1062,AM1062,AO1062,AQ1062,AS1062,AU1062,AW1062,AY1062,BA1062,BC1062)/min(AE1062,AG1062,AI1062,AK1062))^(1/M1062)-1</f>
        <v>0</v>
      </c>
      <c r="Z1062" s="692"/>
      <c r="AA1062" s="665"/>
      <c r="AB1062" s="74"/>
      <c r="AC1062" s="74"/>
      <c r="AD1062" s="37"/>
      <c r="AE1062" s="38"/>
      <c r="AF1062" s="158" t="str">
        <f>HYPERLINK("https://www.crunchbase.com/funding_round/geocv-seed--e41579dd"," Apr 11, 2017        
2)")</f>
        <v> Apr 11, 2017        
2)</v>
      </c>
      <c r="AG1062" s="38">
        <v>1800000.0</v>
      </c>
      <c r="AH1062" s="886"/>
      <c r="AI1062" s="41"/>
      <c r="AJ1062" s="37"/>
      <c r="AK1062" s="38"/>
      <c r="AL1062" s="44"/>
      <c r="AM1062" s="46"/>
      <c r="AN1062" s="44"/>
      <c r="AO1062" s="46"/>
      <c r="AP1062" s="44"/>
      <c r="AQ1062" s="46"/>
      <c r="AR1062" s="44"/>
      <c r="AS1062" s="44"/>
      <c r="AT1062" s="44"/>
      <c r="AU1062" s="45"/>
      <c r="AV1062" s="44"/>
      <c r="AW1062" s="38"/>
      <c r="AX1062" s="44"/>
      <c r="AY1062" s="38"/>
      <c r="AZ1062" s="44"/>
      <c r="BA1062" s="45"/>
      <c r="BB1062" s="44"/>
      <c r="BC1062" s="45"/>
      <c r="BD1062" s="44"/>
      <c r="BE1062" s="38"/>
      <c r="BF1062" s="36"/>
      <c r="BG1062" s="16"/>
      <c r="BH1062" s="16"/>
      <c r="BI1062" s="16"/>
      <c r="BJ1062" s="16"/>
      <c r="BK1062" s="16"/>
      <c r="BL1062" s="16"/>
      <c r="BM1062" s="16"/>
      <c r="BN1062" s="16"/>
      <c r="BO1062" s="16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6"/>
      <c r="CA1062" s="16"/>
      <c r="CB1062" s="16"/>
      <c r="CC1062" s="16"/>
      <c r="CD1062" s="16"/>
      <c r="CE1062" s="16"/>
      <c r="CF1062" s="16"/>
      <c r="CG1062" s="16"/>
      <c r="CH1062" s="16"/>
      <c r="CI1062" s="16"/>
      <c r="CJ1062" s="16"/>
      <c r="CK1062" s="16"/>
      <c r="CL1062" s="16"/>
      <c r="CM1062" s="16"/>
      <c r="CN1062" s="16"/>
      <c r="CO1062" s="16"/>
      <c r="CP1062" s="16"/>
    </row>
    <row r="1063" ht="15.75" customHeight="1">
      <c r="A1063" s="1493" t="s">
        <v>5097</v>
      </c>
      <c r="B1063" s="16"/>
      <c r="C1063" s="17" t="s">
        <v>513</v>
      </c>
      <c r="D1063" s="48"/>
      <c r="E1063" s="1167" t="s">
        <v>5098</v>
      </c>
      <c r="F1063" s="20" t="s">
        <v>5099</v>
      </c>
      <c r="G1063" s="22"/>
      <c r="H1063" s="22" t="s">
        <v>2505</v>
      </c>
      <c r="I1063" s="23" t="s">
        <v>2506</v>
      </c>
      <c r="J1063" s="24"/>
      <c r="K1063" s="23">
        <v>2.0</v>
      </c>
      <c r="L1063" s="23">
        <v>2022.0</v>
      </c>
      <c r="M1063" s="222"/>
      <c r="N1063" s="23"/>
      <c r="O1063" s="27" t="str">
        <f t="shared" si="3"/>
        <v>#N/A</v>
      </c>
      <c r="P1063" s="28"/>
      <c r="Q1063" s="28"/>
      <c r="R1063" s="28"/>
      <c r="S1063" s="28"/>
      <c r="T1063" s="28"/>
      <c r="U1063" s="28"/>
      <c r="V1063" s="30">
        <f t="shared" si="425"/>
        <v>1800000</v>
      </c>
      <c r="W1063" s="30"/>
      <c r="X1063" s="33"/>
      <c r="Y1063" s="33"/>
      <c r="Z1063" s="692"/>
      <c r="AA1063" s="665"/>
      <c r="AB1063" s="36"/>
      <c r="AC1063" s="36"/>
      <c r="AD1063" s="75">
        <v>44819.0</v>
      </c>
      <c r="AE1063" s="38">
        <v>1800000.0</v>
      </c>
      <c r="AF1063" s="39"/>
      <c r="AG1063" s="38"/>
      <c r="AH1063" s="226"/>
      <c r="AI1063" s="38"/>
      <c r="AJ1063" s="37"/>
      <c r="AK1063" s="38"/>
      <c r="AL1063" s="37"/>
      <c r="AM1063" s="38"/>
      <c r="AN1063" s="44"/>
      <c r="AO1063" s="46"/>
      <c r="AP1063" s="44"/>
      <c r="AQ1063" s="46"/>
      <c r="AR1063" s="44"/>
      <c r="AS1063" s="44"/>
      <c r="AT1063" s="44"/>
      <c r="AU1063" s="45"/>
      <c r="AV1063" s="44"/>
      <c r="AW1063" s="38"/>
      <c r="AX1063" s="44"/>
      <c r="AY1063" s="38"/>
      <c r="AZ1063" s="44"/>
      <c r="BA1063" s="45"/>
      <c r="BB1063" s="44"/>
      <c r="BC1063" s="45"/>
      <c r="BD1063" s="44"/>
      <c r="BE1063" s="38"/>
      <c r="BF1063" s="36"/>
      <c r="BG1063" s="16"/>
      <c r="BH1063" s="16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  <c r="CD1063" s="16"/>
      <c r="CE1063" s="16"/>
      <c r="CF1063" s="16"/>
      <c r="CG1063" s="16"/>
      <c r="CH1063" s="16"/>
      <c r="CI1063" s="16"/>
      <c r="CJ1063" s="16"/>
      <c r="CK1063" s="16"/>
      <c r="CL1063" s="16"/>
      <c r="CM1063" s="16"/>
      <c r="CN1063" s="16"/>
      <c r="CO1063" s="16"/>
      <c r="CP1063" s="16"/>
    </row>
    <row r="1064" ht="15.75" customHeight="1">
      <c r="A1064" s="935" t="s">
        <v>5100</v>
      </c>
      <c r="B1064" s="69"/>
      <c r="C1064" s="69" t="s">
        <v>123</v>
      </c>
      <c r="D1064" s="48"/>
      <c r="E1064" s="388" t="s">
        <v>5101</v>
      </c>
      <c r="F1064" s="389" t="s">
        <v>5102</v>
      </c>
      <c r="G1064" s="71"/>
      <c r="H1064" s="71" t="s">
        <v>5103</v>
      </c>
      <c r="I1064" s="26" t="s">
        <v>2010</v>
      </c>
      <c r="J1064" s="155"/>
      <c r="K1064" s="26">
        <v>2.0</v>
      </c>
      <c r="L1064" s="26">
        <v>2017.0</v>
      </c>
      <c r="M1064" s="25"/>
      <c r="N1064" s="26"/>
      <c r="O1064" s="27" t="str">
        <f t="shared" si="3"/>
        <v>#N/A</v>
      </c>
      <c r="P1064" s="273"/>
      <c r="Q1064" s="273"/>
      <c r="R1064" s="273"/>
      <c r="S1064" s="273"/>
      <c r="T1064" s="273"/>
      <c r="U1064" s="273"/>
      <c r="V1064" s="30">
        <f t="shared" si="425"/>
        <v>1700000</v>
      </c>
      <c r="W1064" s="30"/>
      <c r="X1064" s="73"/>
      <c r="Y1064" s="73"/>
      <c r="Z1064" s="692"/>
      <c r="AA1064" s="665"/>
      <c r="AB1064" s="74"/>
      <c r="AC1064" s="74"/>
      <c r="AD1064" s="44"/>
      <c r="AE1064" s="46"/>
      <c r="AF1064" s="885">
        <v>44734.0</v>
      </c>
      <c r="AG1064" s="46">
        <f>1700000</f>
        <v>1700000</v>
      </c>
      <c r="AH1064" s="36"/>
      <c r="AI1064" s="159"/>
      <c r="AJ1064" s="44"/>
      <c r="AK1064" s="46"/>
      <c r="AL1064" s="44"/>
      <c r="AM1064" s="46"/>
      <c r="AN1064" s="44"/>
      <c r="AO1064" s="46"/>
      <c r="AP1064" s="44"/>
      <c r="AQ1064" s="46"/>
      <c r="AR1064" s="44"/>
      <c r="AS1064" s="44"/>
      <c r="AT1064" s="44"/>
      <c r="AU1064" s="45"/>
      <c r="AV1064" s="44"/>
      <c r="AW1064" s="38"/>
      <c r="AX1064" s="44"/>
      <c r="AY1064" s="38"/>
      <c r="AZ1064" s="44"/>
      <c r="BA1064" s="45"/>
      <c r="BB1064" s="44"/>
      <c r="BC1064" s="45"/>
      <c r="BD1064" s="44"/>
      <c r="BE1064" s="38"/>
      <c r="BF1064" s="36"/>
      <c r="BG1064" s="16"/>
      <c r="BH1064" s="16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  <c r="CD1064" s="16"/>
      <c r="CE1064" s="16"/>
      <c r="CF1064" s="16"/>
      <c r="CG1064" s="16"/>
      <c r="CH1064" s="16"/>
      <c r="CI1064" s="16"/>
      <c r="CJ1064" s="16"/>
      <c r="CK1064" s="16"/>
      <c r="CL1064" s="16"/>
      <c r="CM1064" s="16"/>
      <c r="CN1064" s="16"/>
      <c r="CO1064" s="16"/>
      <c r="CP1064" s="16"/>
    </row>
    <row r="1065" ht="15.75" customHeight="1">
      <c r="A1065" s="47" t="s">
        <v>5104</v>
      </c>
      <c r="B1065" s="69"/>
      <c r="C1065" s="69" t="s">
        <v>84</v>
      </c>
      <c r="D1065" s="48"/>
      <c r="E1065" s="192" t="s">
        <v>5105</v>
      </c>
      <c r="F1065" s="428" t="s">
        <v>5106</v>
      </c>
      <c r="G1065" s="71"/>
      <c r="H1065" s="71" t="s">
        <v>5107</v>
      </c>
      <c r="I1065" s="26" t="s">
        <v>329</v>
      </c>
      <c r="J1065" s="72"/>
      <c r="K1065" s="26">
        <v>2.0</v>
      </c>
      <c r="L1065" s="26">
        <v>2015.0</v>
      </c>
      <c r="M1065" s="25"/>
      <c r="N1065" s="26"/>
      <c r="O1065" s="27" t="str">
        <f t="shared" si="3"/>
        <v>#N/A</v>
      </c>
      <c r="P1065" s="28"/>
      <c r="Q1065" s="28"/>
      <c r="R1065" s="28"/>
      <c r="S1065" s="28"/>
      <c r="T1065" s="28"/>
      <c r="U1065" s="28"/>
      <c r="V1065" s="30">
        <f t="shared" si="425"/>
        <v>1700000</v>
      </c>
      <c r="W1065" s="30"/>
      <c r="X1065" s="73"/>
      <c r="Y1065" s="73"/>
      <c r="Z1065" s="692"/>
      <c r="AA1065" s="665"/>
      <c r="AB1065" s="74"/>
      <c r="AC1065" s="74"/>
      <c r="AD1065" s="79"/>
      <c r="AE1065" s="84"/>
      <c r="AF1065" s="175" t="str">
        <f>HYPERLINK("https://www.crunchbase.com/funding_round/just-move-in-seed--af3642a0","Jan 14, 2019")</f>
        <v>Jan 14, 2019</v>
      </c>
      <c r="AG1065" s="1494">
        <v>1700000.0</v>
      </c>
      <c r="AH1065" s="74"/>
      <c r="AI1065" s="78"/>
      <c r="AJ1065" s="227"/>
      <c r="AK1065" s="76"/>
      <c r="AL1065" s="79"/>
      <c r="AM1065" s="84"/>
      <c r="AN1065" s="79"/>
      <c r="AO1065" s="84"/>
      <c r="AP1065" s="79"/>
      <c r="AQ1065" s="84"/>
      <c r="AR1065" s="79"/>
      <c r="AS1065" s="79"/>
      <c r="AT1065" s="79"/>
      <c r="AU1065" s="80"/>
      <c r="AV1065" s="79"/>
      <c r="AW1065" s="38"/>
      <c r="AX1065" s="79"/>
      <c r="AY1065" s="38"/>
      <c r="AZ1065" s="79"/>
      <c r="BA1065" s="80"/>
      <c r="BB1065" s="79"/>
      <c r="BC1065" s="80"/>
      <c r="BD1065" s="79"/>
      <c r="BE1065" s="38"/>
      <c r="BF1065" s="74"/>
      <c r="BG1065" s="16"/>
      <c r="BH1065" s="16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  <c r="CD1065" s="16"/>
      <c r="CE1065" s="16"/>
      <c r="CF1065" s="16"/>
      <c r="CG1065" s="16"/>
      <c r="CH1065" s="16"/>
      <c r="CI1065" s="16"/>
      <c r="CJ1065" s="16"/>
      <c r="CK1065" s="16"/>
      <c r="CL1065" s="16"/>
      <c r="CM1065" s="16"/>
      <c r="CN1065" s="16"/>
      <c r="CO1065" s="16"/>
      <c r="CP1065" s="16"/>
    </row>
    <row r="1066" ht="15.75" customHeight="1">
      <c r="A1066" s="47" t="s">
        <v>5108</v>
      </c>
      <c r="B1066" s="115"/>
      <c r="C1066" s="116" t="s">
        <v>84</v>
      </c>
      <c r="D1066" s="48"/>
      <c r="E1066" s="117" t="s">
        <v>5109</v>
      </c>
      <c r="F1066" s="118" t="s">
        <v>5110</v>
      </c>
      <c r="G1066" s="54"/>
      <c r="H1066" s="119" t="s">
        <v>5111</v>
      </c>
      <c r="I1066" s="25" t="s">
        <v>188</v>
      </c>
      <c r="J1066" s="120"/>
      <c r="K1066" s="25">
        <v>3.0</v>
      </c>
      <c r="L1066" s="25">
        <v>2019.0</v>
      </c>
      <c r="M1066" s="25"/>
      <c r="N1066" s="25"/>
      <c r="O1066" s="27" t="str">
        <f t="shared" si="3"/>
        <v>#N/A</v>
      </c>
      <c r="P1066" s="55"/>
      <c r="Q1066" s="55"/>
      <c r="R1066" s="55"/>
      <c r="S1066" s="55"/>
      <c r="T1066" s="55"/>
      <c r="U1066" s="55"/>
      <c r="V1066" s="30">
        <f t="shared" si="425"/>
        <v>1700000</v>
      </c>
      <c r="W1066" s="30"/>
      <c r="X1066" s="597"/>
      <c r="Y1066" s="597"/>
      <c r="Z1066" s="692"/>
      <c r="AA1066" s="665"/>
      <c r="AB1066" s="123"/>
      <c r="AC1066" s="123"/>
      <c r="AD1066" s="124"/>
      <c r="AE1066" s="125"/>
      <c r="AF1066" s="126" t="str">
        <f>HYPERLINK("https://angel.co/today/stories/s-i-container-builds-raises-1-7m-in-seed-funding-63391?email_uid=2506807522&amp;utm_campaign=today-digest-daily&amp;utm_content=s-i-container-builds-raises-1-7m-in-seed&amp;utm_medium=email&amp;utm_source=today-digest-daily&amp;utm_term=","May 3, 2022")</f>
        <v>May 3, 2022</v>
      </c>
      <c r="AG1066" s="127">
        <v>1700000.0</v>
      </c>
      <c r="AH1066" s="123"/>
      <c r="AI1066" s="128"/>
      <c r="AJ1066" s="180"/>
      <c r="AK1066" s="127"/>
      <c r="AL1066" s="169"/>
      <c r="AM1066" s="127"/>
      <c r="AN1066" s="124"/>
      <c r="AO1066" s="127"/>
      <c r="AP1066" s="124"/>
      <c r="AQ1066" s="127"/>
      <c r="AR1066" s="124"/>
      <c r="AS1066" s="124"/>
      <c r="AT1066" s="124"/>
      <c r="AU1066" s="137"/>
      <c r="AV1066" s="124"/>
      <c r="AW1066" s="38"/>
      <c r="AX1066" s="124"/>
      <c r="AY1066" s="38"/>
      <c r="AZ1066" s="124"/>
      <c r="BA1066" s="137"/>
      <c r="BB1066" s="124"/>
      <c r="BC1066" s="137"/>
      <c r="BD1066" s="124"/>
      <c r="BE1066" s="38"/>
      <c r="BF1066" s="123"/>
      <c r="BG1066" s="16"/>
      <c r="BH1066" s="16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  <c r="CD1066" s="16"/>
      <c r="CE1066" s="16"/>
      <c r="CF1066" s="16"/>
      <c r="CG1066" s="16"/>
      <c r="CH1066" s="16"/>
      <c r="CI1066" s="16"/>
      <c r="CJ1066" s="16"/>
      <c r="CK1066" s="16"/>
      <c r="CL1066" s="16"/>
      <c r="CM1066" s="16"/>
      <c r="CN1066" s="16"/>
      <c r="CO1066" s="16"/>
      <c r="CP1066" s="16"/>
    </row>
    <row r="1067" ht="15.75" customHeight="1">
      <c r="A1067" s="47" t="s">
        <v>5112</v>
      </c>
      <c r="B1067" s="68"/>
      <c r="C1067" s="69" t="s">
        <v>68</v>
      </c>
      <c r="D1067" s="380"/>
      <c r="E1067" s="192" t="s">
        <v>5113</v>
      </c>
      <c r="F1067" s="54"/>
      <c r="G1067" s="71" t="s">
        <v>5114</v>
      </c>
      <c r="H1067" s="71" t="s">
        <v>328</v>
      </c>
      <c r="I1067" s="26" t="s">
        <v>329</v>
      </c>
      <c r="J1067" s="72" t="s">
        <v>5115</v>
      </c>
      <c r="K1067" s="74"/>
      <c r="L1067" s="26"/>
      <c r="M1067" s="123"/>
      <c r="N1067" s="74"/>
      <c r="O1067" s="27" t="str">
        <f t="shared" si="3"/>
        <v>#N/A</v>
      </c>
      <c r="P1067" s="273"/>
      <c r="Q1067" s="273"/>
      <c r="R1067" s="273"/>
      <c r="S1067" s="273"/>
      <c r="T1067" s="273"/>
      <c r="U1067" s="273"/>
      <c r="V1067" s="30">
        <f t="shared" si="425"/>
        <v>1700000</v>
      </c>
      <c r="W1067" s="30"/>
      <c r="X1067" s="32"/>
      <c r="Y1067" s="32"/>
      <c r="Z1067" s="692"/>
      <c r="AA1067" s="665"/>
      <c r="AB1067" s="74"/>
      <c r="AC1067" s="74"/>
      <c r="AD1067" s="79"/>
      <c r="AE1067" s="84"/>
      <c r="AF1067" s="885">
        <v>44747.0</v>
      </c>
      <c r="AG1067" s="76">
        <v>1700000.0</v>
      </c>
      <c r="AH1067" s="74"/>
      <c r="AI1067" s="78"/>
      <c r="AJ1067" s="79"/>
      <c r="AK1067" s="84"/>
      <c r="AL1067" s="79"/>
      <c r="AM1067" s="84"/>
      <c r="AN1067" s="79"/>
      <c r="AO1067" s="84"/>
      <c r="AP1067" s="79"/>
      <c r="AQ1067" s="84"/>
      <c r="AR1067" s="79"/>
      <c r="AS1067" s="79"/>
      <c r="AT1067" s="79"/>
      <c r="AU1067" s="80"/>
      <c r="AV1067" s="79"/>
      <c r="AW1067" s="38"/>
      <c r="AX1067" s="79"/>
      <c r="AY1067" s="38"/>
      <c r="AZ1067" s="79"/>
      <c r="BA1067" s="80"/>
      <c r="BB1067" s="79"/>
      <c r="BC1067" s="80"/>
      <c r="BD1067" s="79"/>
      <c r="BE1067" s="38"/>
      <c r="BF1067" s="74"/>
      <c r="BG1067" s="16"/>
      <c r="BH1067" s="16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  <c r="CD1067" s="16"/>
      <c r="CE1067" s="16"/>
      <c r="CF1067" s="16"/>
      <c r="CG1067" s="16"/>
      <c r="CH1067" s="16"/>
      <c r="CI1067" s="16"/>
      <c r="CJ1067" s="16"/>
      <c r="CK1067" s="16"/>
      <c r="CL1067" s="16"/>
      <c r="CM1067" s="16"/>
      <c r="CN1067" s="16"/>
      <c r="CO1067" s="16"/>
      <c r="CP1067" s="16"/>
    </row>
    <row r="1068" ht="15.75" customHeight="1">
      <c r="A1068" s="931" t="s">
        <v>5116</v>
      </c>
      <c r="B1068" s="68"/>
      <c r="C1068" s="69" t="s">
        <v>1186</v>
      </c>
      <c r="D1068" s="192" t="s">
        <v>5117</v>
      </c>
      <c r="E1068" s="192" t="s">
        <v>5118</v>
      </c>
      <c r="F1068" s="118" t="s">
        <v>5119</v>
      </c>
      <c r="G1068" s="186"/>
      <c r="H1068" s="71" t="s">
        <v>771</v>
      </c>
      <c r="I1068" s="26" t="s">
        <v>1985</v>
      </c>
      <c r="J1068" s="155"/>
      <c r="K1068" s="74"/>
      <c r="L1068" s="26">
        <v>2018.0</v>
      </c>
      <c r="M1068" s="25">
        <f>year(now()) -L1068</f>
        <v>7</v>
      </c>
      <c r="N1068" s="26">
        <f>counta(AE1068,AG1068,AI1068,AK1068,AM1068,AO1068,AQ1068,AS1068,AU1068,AW1068,AY1068,BA1068,BC1068)</f>
        <v>2</v>
      </c>
      <c r="O1068" s="27" t="str">
        <f t="shared" si="3"/>
        <v>#N/A</v>
      </c>
      <c r="P1068" s="28"/>
      <c r="Q1068" s="28"/>
      <c r="R1068" s="28"/>
      <c r="S1068" s="28"/>
      <c r="T1068" s="29">
        <f>V1068/M1068</f>
        <v>238571.4286</v>
      </c>
      <c r="U1068" s="28"/>
      <c r="V1068" s="30">
        <f t="shared" si="425"/>
        <v>1670000</v>
      </c>
      <c r="W1068" s="30"/>
      <c r="X1068" s="32"/>
      <c r="Y1068" s="33">
        <f>(max(AE1068,AG1068,AI1068,AK1068,AM1068,AO1068,AQ1068,AS1068,AU1068,AW1068,AY1068,BA1068,BC1068)/min(AE1068,AG1068,AI1068,AK1068))^(1/M1068)-1</f>
        <v>0.1966388259</v>
      </c>
      <c r="Z1068" s="692"/>
      <c r="AA1068" s="665"/>
      <c r="AB1068" s="74"/>
      <c r="AC1068" s="74"/>
      <c r="AD1068" s="227">
        <v>43862.0</v>
      </c>
      <c r="AE1068" s="76">
        <v>370000.0</v>
      </c>
      <c r="AF1068" s="320">
        <v>44041.0</v>
      </c>
      <c r="AG1068" s="76">
        <v>1300000.0</v>
      </c>
      <c r="AH1068" s="74"/>
      <c r="AI1068" s="78"/>
      <c r="AJ1068" s="79"/>
      <c r="AK1068" s="84"/>
      <c r="AL1068" s="79"/>
      <c r="AM1068" s="84"/>
      <c r="AN1068" s="79"/>
      <c r="AO1068" s="84"/>
      <c r="AP1068" s="79"/>
      <c r="AQ1068" s="84"/>
      <c r="AR1068" s="79"/>
      <c r="AS1068" s="79"/>
      <c r="AT1068" s="79"/>
      <c r="AU1068" s="80"/>
      <c r="AV1068" s="79"/>
      <c r="AW1068" s="38"/>
      <c r="AX1068" s="79"/>
      <c r="AY1068" s="38"/>
      <c r="AZ1068" s="79"/>
      <c r="BA1068" s="80"/>
      <c r="BB1068" s="79"/>
      <c r="BC1068" s="80"/>
      <c r="BD1068" s="79"/>
      <c r="BE1068" s="38"/>
      <c r="BF1068" s="74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  <c r="CD1068" s="16"/>
      <c r="CE1068" s="16"/>
      <c r="CF1068" s="16"/>
      <c r="CG1068" s="16"/>
      <c r="CH1068" s="16"/>
      <c r="CI1068" s="16"/>
      <c r="CJ1068" s="16"/>
      <c r="CK1068" s="16"/>
      <c r="CL1068" s="16"/>
      <c r="CM1068" s="16"/>
      <c r="CN1068" s="16"/>
      <c r="CO1068" s="16"/>
      <c r="CP1068" s="16"/>
    </row>
    <row r="1069" ht="15.75" customHeight="1">
      <c r="A1069" s="47" t="s">
        <v>5120</v>
      </c>
      <c r="C1069" s="48" t="s">
        <v>84</v>
      </c>
      <c r="D1069" s="351"/>
      <c r="E1069" s="617" t="s">
        <v>5121</v>
      </c>
      <c r="F1069" s="352" t="s">
        <v>5122</v>
      </c>
      <c r="G1069" s="353"/>
      <c r="H1069" s="53" t="s">
        <v>5123</v>
      </c>
      <c r="I1069" s="54" t="s">
        <v>89</v>
      </c>
      <c r="J1069" s="55"/>
      <c r="K1069" s="54">
        <v>2.0</v>
      </c>
      <c r="L1069" s="56">
        <v>2021.0</v>
      </c>
      <c r="M1069" s="55"/>
      <c r="N1069" s="55"/>
      <c r="O1069" s="27" t="str">
        <f t="shared" si="3"/>
        <v>#N/A</v>
      </c>
      <c r="P1069" s="55"/>
      <c r="Q1069" s="55"/>
      <c r="R1069" s="55"/>
      <c r="S1069" s="55"/>
      <c r="T1069" s="55"/>
      <c r="U1069" s="55"/>
      <c r="V1069" s="30">
        <f t="shared" si="425"/>
        <v>1651000</v>
      </c>
      <c r="W1069" s="30"/>
      <c r="X1069" s="58"/>
      <c r="Y1069" s="58"/>
      <c r="Z1069" s="692"/>
      <c r="AA1069" s="665"/>
      <c r="AB1069" s="55"/>
      <c r="AC1069" s="55"/>
      <c r="AD1069" s="62">
        <v>44676.0</v>
      </c>
      <c r="AE1069" s="38">
        <v>451000.0</v>
      </c>
      <c r="AF1069" s="62">
        <v>44915.0</v>
      </c>
      <c r="AG1069" s="38">
        <v>1200000.0</v>
      </c>
      <c r="AH1069" s="55"/>
      <c r="AI1069" s="55"/>
      <c r="AJ1069" s="55"/>
      <c r="AK1069" s="55"/>
      <c r="AL1069" s="55"/>
      <c r="AM1069" s="55"/>
      <c r="AN1069" s="55"/>
      <c r="AO1069" s="55"/>
      <c r="AP1069" s="356"/>
      <c r="AQ1069" s="356"/>
      <c r="AR1069" s="55"/>
      <c r="AS1069" s="55"/>
      <c r="AT1069" s="55"/>
      <c r="AU1069" s="722"/>
      <c r="AV1069" s="55"/>
      <c r="AW1069" s="38"/>
      <c r="AX1069" s="55"/>
      <c r="AY1069" s="38"/>
      <c r="AZ1069" s="55"/>
      <c r="BA1069" s="722"/>
      <c r="BB1069" s="55"/>
      <c r="BC1069" s="722"/>
      <c r="BD1069" s="55"/>
      <c r="BE1069" s="38"/>
      <c r="BF1069" s="55"/>
      <c r="BG1069" s="534"/>
      <c r="BH1069" s="534"/>
      <c r="BI1069" s="534"/>
      <c r="BJ1069" s="534"/>
      <c r="BK1069" s="534"/>
      <c r="BL1069" s="534"/>
      <c r="BM1069" s="534"/>
      <c r="BN1069" s="534"/>
      <c r="BO1069" s="534"/>
      <c r="BP1069" s="534"/>
      <c r="BQ1069" s="534"/>
      <c r="BR1069" s="534"/>
      <c r="BS1069" s="534"/>
      <c r="BT1069" s="534"/>
      <c r="BU1069" s="534"/>
      <c r="BV1069" s="534"/>
      <c r="BW1069" s="534"/>
      <c r="BX1069" s="534"/>
      <c r="BY1069" s="534"/>
      <c r="BZ1069" s="534"/>
      <c r="CA1069" s="534"/>
      <c r="CB1069" s="534"/>
      <c r="CC1069" s="534"/>
      <c r="CD1069" s="534"/>
      <c r="CE1069" s="534"/>
      <c r="CF1069" s="534"/>
      <c r="CG1069" s="534"/>
      <c r="CH1069" s="534"/>
      <c r="CI1069" s="534"/>
      <c r="CJ1069" s="534"/>
      <c r="CK1069" s="534"/>
      <c r="CL1069" s="534"/>
      <c r="CM1069" s="534"/>
      <c r="CN1069" s="534"/>
      <c r="CO1069" s="534"/>
      <c r="CP1069" s="534"/>
    </row>
    <row r="1070" ht="15.75" customHeight="1">
      <c r="A1070" s="21" t="s">
        <v>5124</v>
      </c>
      <c r="B1070" s="1495" t="s">
        <v>5125</v>
      </c>
      <c r="C1070" s="17" t="s">
        <v>5126</v>
      </c>
      <c r="D1070" s="200" t="s">
        <v>5127</v>
      </c>
      <c r="E1070" s="492" t="s">
        <v>5128</v>
      </c>
      <c r="F1070" s="154" t="s">
        <v>5129</v>
      </c>
      <c r="G1070" s="679" t="s">
        <v>5130</v>
      </c>
      <c r="H1070" s="22" t="s">
        <v>328</v>
      </c>
      <c r="I1070" s="23" t="s">
        <v>329</v>
      </c>
      <c r="J1070" s="24" t="s">
        <v>5131</v>
      </c>
      <c r="K1070" s="23">
        <v>2.0</v>
      </c>
      <c r="L1070" s="23">
        <v>2017.0</v>
      </c>
      <c r="M1070" s="25">
        <f t="shared" ref="M1070:M1074" si="720">year(now()) -L1070</f>
        <v>8</v>
      </c>
      <c r="N1070" s="26">
        <f t="shared" ref="N1070:N1074" si="721">counta(AE1070,AG1070,AI1070,AK1070,AM1070,AO1070,AQ1070,AS1070,AU1070,AW1070,AY1070,BA1070,BC1070)</f>
        <v>1</v>
      </c>
      <c r="O1070" s="27" t="str">
        <f t="shared" si="3"/>
        <v>#N/A</v>
      </c>
      <c r="P1070" s="28"/>
      <c r="Q1070" s="28"/>
      <c r="R1070" s="28"/>
      <c r="S1070" s="28"/>
      <c r="T1070" s="29">
        <f t="shared" ref="T1070:T1074" si="722">V1070/M1070</f>
        <v>204375.25</v>
      </c>
      <c r="U1070" s="28"/>
      <c r="V1070" s="30">
        <f t="shared" si="425"/>
        <v>1635002</v>
      </c>
      <c r="W1070" s="30"/>
      <c r="X1070" s="33"/>
      <c r="Y1070" s="33">
        <f t="shared" ref="Y1070:Y1074" si="723">(max(AE1070,AG1070,AI1070,AK1070,AM1070,AO1070,AQ1070,AS1070,AU1070,AW1070,AY1070,BA1070,BC1070)/min(AE1070,AG1070,AI1070,AK1070))^(1/M1070)-1</f>
        <v>0</v>
      </c>
      <c r="Z1070" s="692"/>
      <c r="AA1070" s="665"/>
      <c r="AB1070" s="36"/>
      <c r="AC1070" s="1040"/>
      <c r="AD1070" s="898"/>
      <c r="AE1070" s="24"/>
      <c r="AF1070" s="1496" t="str">
        <f>HYPERLINK("https://www.crunchbase.com/funding_round/askporter-seed--1642b4cc"," Aug 1, 2019")</f>
        <v> Aug 1, 2019</v>
      </c>
      <c r="AG1070" s="38">
        <v>1635002.0</v>
      </c>
      <c r="AH1070" s="1042"/>
      <c r="AI1070" s="38"/>
      <c r="AJ1070" s="44"/>
      <c r="AK1070" s="46"/>
      <c r="AL1070" s="44"/>
      <c r="AM1070" s="46"/>
      <c r="AN1070" s="44"/>
      <c r="AO1070" s="46"/>
      <c r="AP1070" s="44"/>
      <c r="AQ1070" s="46"/>
      <c r="AR1070" s="44"/>
      <c r="AS1070" s="44"/>
      <c r="AT1070" s="44"/>
      <c r="AU1070" s="45"/>
      <c r="AV1070" s="44"/>
      <c r="AW1070" s="38"/>
      <c r="AX1070" s="44"/>
      <c r="AY1070" s="38"/>
      <c r="AZ1070" s="44"/>
      <c r="BA1070" s="45"/>
      <c r="BB1070" s="44"/>
      <c r="BC1070" s="45"/>
      <c r="BD1070" s="44"/>
      <c r="BE1070" s="38"/>
      <c r="BF1070" s="36"/>
      <c r="BG1070" s="115"/>
      <c r="BH1070" s="115"/>
      <c r="BI1070" s="115"/>
      <c r="BJ1070" s="115"/>
      <c r="BK1070" s="115"/>
      <c r="BL1070" s="115"/>
      <c r="BM1070" s="115"/>
      <c r="BN1070" s="115"/>
      <c r="BO1070" s="115"/>
      <c r="BP1070" s="115"/>
      <c r="BQ1070" s="115"/>
      <c r="BR1070" s="115"/>
      <c r="BS1070" s="115"/>
      <c r="BT1070" s="115"/>
      <c r="BU1070" s="115"/>
      <c r="BV1070" s="115"/>
      <c r="BW1070" s="115"/>
      <c r="BX1070" s="115"/>
      <c r="BY1070" s="115"/>
      <c r="BZ1070" s="115"/>
      <c r="CA1070" s="115"/>
      <c r="CB1070" s="115"/>
      <c r="CC1070" s="115"/>
      <c r="CD1070" s="115"/>
      <c r="CE1070" s="115"/>
      <c r="CF1070" s="115"/>
      <c r="CG1070" s="115"/>
      <c r="CH1070" s="115"/>
      <c r="CI1070" s="115"/>
      <c r="CJ1070" s="115"/>
      <c r="CK1070" s="115"/>
      <c r="CL1070" s="115"/>
      <c r="CM1070" s="115"/>
      <c r="CN1070" s="115"/>
      <c r="CO1070" s="115"/>
      <c r="CP1070" s="115"/>
    </row>
    <row r="1071" ht="15.75" customHeight="1">
      <c r="A1071" s="1162" t="s">
        <v>5132</v>
      </c>
      <c r="B1071" s="16"/>
      <c r="C1071" s="17" t="s">
        <v>123</v>
      </c>
      <c r="D1071" s="236" t="s">
        <v>5133</v>
      </c>
      <c r="E1071" s="236" t="s">
        <v>5134</v>
      </c>
      <c r="F1071" s="803" t="s">
        <v>5135</v>
      </c>
      <c r="G1071" s="22"/>
      <c r="H1071" s="22" t="s">
        <v>114</v>
      </c>
      <c r="I1071" s="23" t="s">
        <v>115</v>
      </c>
      <c r="J1071" s="24"/>
      <c r="K1071" s="74"/>
      <c r="L1071" s="23">
        <v>2011.0</v>
      </c>
      <c r="M1071" s="25">
        <f t="shared" si="720"/>
        <v>14</v>
      </c>
      <c r="N1071" s="26">
        <f t="shared" si="721"/>
        <v>2</v>
      </c>
      <c r="O1071" s="27" t="str">
        <f t="shared" si="3"/>
        <v>#N/A</v>
      </c>
      <c r="P1071" s="28"/>
      <c r="Q1071" s="28"/>
      <c r="R1071" s="28"/>
      <c r="S1071" s="28"/>
      <c r="T1071" s="29">
        <f t="shared" si="722"/>
        <v>116785.7143</v>
      </c>
      <c r="U1071" s="28"/>
      <c r="V1071" s="30">
        <f t="shared" si="425"/>
        <v>1635000</v>
      </c>
      <c r="W1071" s="30"/>
      <c r="X1071" s="32"/>
      <c r="Y1071" s="33">
        <f t="shared" si="723"/>
        <v>0.01189262139</v>
      </c>
      <c r="Z1071" s="692"/>
      <c r="AA1071" s="665"/>
      <c r="AB1071" s="36"/>
      <c r="AC1071" s="36"/>
      <c r="AD1071" s="44"/>
      <c r="AE1071" s="46"/>
      <c r="AF1071" s="320">
        <v>42124.0</v>
      </c>
      <c r="AG1071" s="38">
        <v>750000.0</v>
      </c>
      <c r="AH1071" s="36"/>
      <c r="AI1071" s="159"/>
      <c r="AJ1071" s="42">
        <v>42430.0</v>
      </c>
      <c r="AK1071" s="38">
        <v>885000.0</v>
      </c>
      <c r="AL1071" s="44"/>
      <c r="AM1071" s="46"/>
      <c r="AN1071" s="44"/>
      <c r="AO1071" s="46"/>
      <c r="AP1071" s="44"/>
      <c r="AQ1071" s="46"/>
      <c r="AR1071" s="44"/>
      <c r="AS1071" s="44"/>
      <c r="AT1071" s="44"/>
      <c r="AU1071" s="45"/>
      <c r="AV1071" s="44"/>
      <c r="AW1071" s="38"/>
      <c r="AX1071" s="44"/>
      <c r="AY1071" s="38"/>
      <c r="AZ1071" s="44"/>
      <c r="BA1071" s="45"/>
      <c r="BB1071" s="44"/>
      <c r="BC1071" s="45"/>
      <c r="BD1071" s="44"/>
      <c r="BE1071" s="38"/>
      <c r="BF1071" s="36"/>
      <c r="BG1071" s="66"/>
      <c r="BH1071" s="66"/>
      <c r="BI1071" s="66"/>
      <c r="BJ1071" s="66"/>
      <c r="BK1071" s="66"/>
      <c r="BL1071" s="66"/>
      <c r="BM1071" s="66"/>
      <c r="BN1071" s="66"/>
      <c r="BO1071" s="66"/>
      <c r="BP1071" s="66"/>
      <c r="BQ1071" s="66"/>
      <c r="BR1071" s="66"/>
      <c r="BS1071" s="66"/>
      <c r="BT1071" s="66"/>
      <c r="BU1071" s="66"/>
      <c r="BV1071" s="66"/>
      <c r="BW1071" s="66"/>
      <c r="BX1071" s="66"/>
      <c r="BY1071" s="66"/>
      <c r="BZ1071" s="66"/>
      <c r="CA1071" s="66"/>
      <c r="CB1071" s="66"/>
      <c r="CC1071" s="66"/>
      <c r="CD1071" s="66"/>
      <c r="CE1071" s="66"/>
      <c r="CF1071" s="66"/>
      <c r="CG1071" s="66"/>
      <c r="CH1071" s="66"/>
      <c r="CI1071" s="66"/>
      <c r="CJ1071" s="66"/>
      <c r="CK1071" s="66"/>
      <c r="CL1071" s="66"/>
      <c r="CM1071" s="66"/>
      <c r="CN1071" s="66"/>
      <c r="CO1071" s="66"/>
      <c r="CP1071" s="66"/>
    </row>
    <row r="1072" ht="15.75" customHeight="1">
      <c r="A1072" s="442" t="s">
        <v>5136</v>
      </c>
      <c r="B1072" s="68" t="s">
        <v>5137</v>
      </c>
      <c r="C1072" s="69" t="s">
        <v>59</v>
      </c>
      <c r="D1072" s="200" t="s">
        <v>5138</v>
      </c>
      <c r="E1072" s="200" t="s">
        <v>5139</v>
      </c>
      <c r="F1072" s="154" t="s">
        <v>5140</v>
      </c>
      <c r="G1072" s="186"/>
      <c r="H1072" s="71" t="s">
        <v>1918</v>
      </c>
      <c r="I1072" s="26" t="s">
        <v>2640</v>
      </c>
      <c r="J1072" s="72" t="s">
        <v>2130</v>
      </c>
      <c r="K1072" s="26">
        <v>3.0</v>
      </c>
      <c r="L1072" s="26">
        <v>2015.0</v>
      </c>
      <c r="M1072" s="25">
        <f t="shared" si="720"/>
        <v>10</v>
      </c>
      <c r="N1072" s="26">
        <f t="shared" si="721"/>
        <v>1</v>
      </c>
      <c r="O1072" s="27" t="str">
        <f t="shared" si="3"/>
        <v>#N/A</v>
      </c>
      <c r="P1072" s="28"/>
      <c r="Q1072" s="28"/>
      <c r="R1072" s="28"/>
      <c r="S1072" s="28"/>
      <c r="T1072" s="29">
        <f t="shared" si="722"/>
        <v>160000</v>
      </c>
      <c r="U1072" s="28"/>
      <c r="V1072" s="30">
        <f t="shared" si="425"/>
        <v>1600000</v>
      </c>
      <c r="W1072" s="30"/>
      <c r="X1072" s="73"/>
      <c r="Y1072" s="33">
        <f t="shared" si="723"/>
        <v>0</v>
      </c>
      <c r="Z1072" s="692"/>
      <c r="AA1072" s="665"/>
      <c r="AB1072" s="74"/>
      <c r="AC1072" s="74"/>
      <c r="AD1072" s="279"/>
      <c r="AE1072" s="76"/>
      <c r="AF1072" s="856" t="str">
        <f>HYPERLINK("https://www.crunchbase.com/funding_round/gridics-seed--8b0ef6ab"," 11/7/2017")</f>
        <v> 11/7/2017</v>
      </c>
      <c r="AG1072" s="76">
        <v>1600000.0</v>
      </c>
      <c r="AH1072" s="74"/>
      <c r="AI1072" s="78"/>
      <c r="AJ1072" s="279"/>
      <c r="AK1072" s="76"/>
      <c r="AL1072" s="79"/>
      <c r="AM1072" s="84"/>
      <c r="AN1072" s="79"/>
      <c r="AO1072" s="84"/>
      <c r="AP1072" s="79"/>
      <c r="AQ1072" s="84"/>
      <c r="AR1072" s="79"/>
      <c r="AS1072" s="79"/>
      <c r="AT1072" s="79"/>
      <c r="AU1072" s="80"/>
      <c r="AV1072" s="79"/>
      <c r="AW1072" s="38"/>
      <c r="AX1072" s="79"/>
      <c r="AY1072" s="38"/>
      <c r="AZ1072" s="79"/>
      <c r="BA1072" s="80"/>
      <c r="BB1072" s="79"/>
      <c r="BC1072" s="80"/>
      <c r="BD1072" s="79"/>
      <c r="BE1072" s="38"/>
      <c r="BF1072" s="74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</row>
    <row r="1073" ht="15.75" customHeight="1">
      <c r="A1073" s="21" t="s">
        <v>5141</v>
      </c>
      <c r="B1073" s="68"/>
      <c r="C1073" s="858" t="s">
        <v>1007</v>
      </c>
      <c r="D1073" s="192" t="s">
        <v>5142</v>
      </c>
      <c r="E1073" s="192" t="s">
        <v>5143</v>
      </c>
      <c r="F1073" s="173" t="s">
        <v>5144</v>
      </c>
      <c r="G1073" s="71"/>
      <c r="H1073" s="71" t="s">
        <v>262</v>
      </c>
      <c r="I1073" s="26" t="s">
        <v>5145</v>
      </c>
      <c r="J1073" s="72"/>
      <c r="K1073" s="26"/>
      <c r="L1073" s="142">
        <v>2017.0</v>
      </c>
      <c r="M1073" s="25">
        <f t="shared" si="720"/>
        <v>8</v>
      </c>
      <c r="N1073" s="26">
        <f t="shared" si="721"/>
        <v>1</v>
      </c>
      <c r="O1073" s="27" t="str">
        <f t="shared" si="3"/>
        <v>#N/A</v>
      </c>
      <c r="P1073" s="28"/>
      <c r="Q1073" s="28"/>
      <c r="R1073" s="28"/>
      <c r="S1073" s="28"/>
      <c r="T1073" s="29">
        <f t="shared" si="722"/>
        <v>200000</v>
      </c>
      <c r="U1073" s="28"/>
      <c r="V1073" s="30">
        <f t="shared" si="425"/>
        <v>1600000</v>
      </c>
      <c r="W1073" s="30"/>
      <c r="X1073" s="73"/>
      <c r="Y1073" s="33">
        <f t="shared" si="723"/>
        <v>0</v>
      </c>
      <c r="Z1073" s="692"/>
      <c r="AA1073" s="665"/>
      <c r="AB1073" s="74"/>
      <c r="AC1073" s="74"/>
      <c r="AD1073" s="79"/>
      <c r="AE1073" s="84"/>
      <c r="AF1073" s="320">
        <v>43487.0</v>
      </c>
      <c r="AG1073" s="76">
        <v>1600000.0</v>
      </c>
      <c r="AH1073" s="434"/>
      <c r="AI1073" s="435"/>
      <c r="AJ1073" s="79"/>
      <c r="AK1073" s="84"/>
      <c r="AL1073" s="79"/>
      <c r="AM1073" s="84"/>
      <c r="AN1073" s="79"/>
      <c r="AO1073" s="84"/>
      <c r="AP1073" s="79"/>
      <c r="AQ1073" s="84"/>
      <c r="AR1073" s="79"/>
      <c r="AS1073" s="79"/>
      <c r="AT1073" s="79"/>
      <c r="AU1073" s="80"/>
      <c r="AV1073" s="79"/>
      <c r="AW1073" s="38"/>
      <c r="AX1073" s="79"/>
      <c r="AY1073" s="38"/>
      <c r="AZ1073" s="79"/>
      <c r="BA1073" s="80"/>
      <c r="BB1073" s="79"/>
      <c r="BC1073" s="80"/>
      <c r="BD1073" s="79"/>
      <c r="BE1073" s="38"/>
      <c r="BF1073" s="74"/>
      <c r="BG1073" s="1490"/>
      <c r="BH1073" s="1490"/>
      <c r="BI1073" s="1490"/>
      <c r="BJ1073" s="1490"/>
      <c r="BK1073" s="1490"/>
      <c r="BL1073" s="1490"/>
      <c r="BM1073" s="1490"/>
      <c r="BN1073" s="1490"/>
      <c r="BO1073" s="1490"/>
      <c r="BP1073" s="1490"/>
      <c r="BQ1073" s="1490"/>
      <c r="BR1073" s="1490"/>
      <c r="BS1073" s="1490"/>
      <c r="BT1073" s="1490"/>
      <c r="BU1073" s="1490"/>
      <c r="BV1073" s="1490"/>
      <c r="BW1073" s="1490"/>
      <c r="BX1073" s="1490"/>
      <c r="BY1073" s="1490"/>
      <c r="BZ1073" s="1490"/>
      <c r="CA1073" s="1490"/>
      <c r="CB1073" s="1490"/>
      <c r="CC1073" s="1490"/>
      <c r="CD1073" s="1490"/>
      <c r="CE1073" s="1490"/>
      <c r="CF1073" s="1490"/>
      <c r="CG1073" s="1490"/>
      <c r="CH1073" s="1490"/>
      <c r="CI1073" s="1490"/>
      <c r="CJ1073" s="1490"/>
      <c r="CK1073" s="1490"/>
      <c r="CL1073" s="1490"/>
      <c r="CM1073" s="1490"/>
      <c r="CN1073" s="1490"/>
      <c r="CO1073" s="1490"/>
      <c r="CP1073" s="1490"/>
    </row>
    <row r="1074" ht="15.75" customHeight="1">
      <c r="A1074" s="860" t="s">
        <v>5146</v>
      </c>
      <c r="B1074" s="68"/>
      <c r="C1074" s="69" t="s">
        <v>5147</v>
      </c>
      <c r="D1074" s="192" t="s">
        <v>5148</v>
      </c>
      <c r="E1074" s="192" t="s">
        <v>5149</v>
      </c>
      <c r="F1074" s="118" t="s">
        <v>5150</v>
      </c>
      <c r="G1074" s="186"/>
      <c r="H1074" s="71" t="s">
        <v>526</v>
      </c>
      <c r="I1074" s="26" t="s">
        <v>65</v>
      </c>
      <c r="J1074" s="155"/>
      <c r="K1074" s="74"/>
      <c r="L1074" s="26">
        <v>2013.0</v>
      </c>
      <c r="M1074" s="25">
        <f t="shared" si="720"/>
        <v>12</v>
      </c>
      <c r="N1074" s="26">
        <f t="shared" si="721"/>
        <v>1</v>
      </c>
      <c r="O1074" s="27" t="str">
        <f t="shared" si="3"/>
        <v>#N/A</v>
      </c>
      <c r="P1074" s="28"/>
      <c r="Q1074" s="28"/>
      <c r="R1074" s="28"/>
      <c r="S1074" s="28"/>
      <c r="T1074" s="29">
        <f t="shared" si="722"/>
        <v>133333.3333</v>
      </c>
      <c r="U1074" s="28"/>
      <c r="V1074" s="30">
        <f t="shared" si="425"/>
        <v>1600000</v>
      </c>
      <c r="W1074" s="30"/>
      <c r="X1074" s="32"/>
      <c r="Y1074" s="33">
        <f t="shared" si="723"/>
        <v>0</v>
      </c>
      <c r="Z1074" s="692"/>
      <c r="AA1074" s="665"/>
      <c r="AB1074" s="74"/>
      <c r="AC1074" s="74"/>
      <c r="AD1074" s="79"/>
      <c r="AE1074" s="84"/>
      <c r="AF1074" s="320">
        <v>41724.0</v>
      </c>
      <c r="AG1074" s="76">
        <v>1600000.0</v>
      </c>
      <c r="AH1074" s="74"/>
      <c r="AI1074" s="78"/>
      <c r="AJ1074" s="79"/>
      <c r="AK1074" s="84"/>
      <c r="AL1074" s="79"/>
      <c r="AM1074" s="84"/>
      <c r="AN1074" s="79"/>
      <c r="AO1074" s="84"/>
      <c r="AP1074" s="79"/>
      <c r="AQ1074" s="84"/>
      <c r="AR1074" s="79"/>
      <c r="AS1074" s="79"/>
      <c r="AT1074" s="79"/>
      <c r="AU1074" s="80"/>
      <c r="AV1074" s="79"/>
      <c r="AW1074" s="38"/>
      <c r="AX1074" s="79"/>
      <c r="AY1074" s="38"/>
      <c r="AZ1074" s="79"/>
      <c r="BA1074" s="80"/>
      <c r="BB1074" s="79"/>
      <c r="BC1074" s="80"/>
      <c r="BD1074" s="79"/>
      <c r="BE1074" s="38"/>
      <c r="BF1074" s="74"/>
      <c r="BG1074" s="16"/>
      <c r="BH1074" s="16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</row>
    <row r="1075" ht="15.75" customHeight="1">
      <c r="A1075" s="400" t="s">
        <v>5151</v>
      </c>
      <c r="B1075" s="116"/>
      <c r="C1075" s="116" t="s">
        <v>132</v>
      </c>
      <c r="D1075" s="1199"/>
      <c r="E1075" s="540" t="s">
        <v>5152</v>
      </c>
      <c r="F1075" s="402" t="s">
        <v>5153</v>
      </c>
      <c r="G1075" s="604"/>
      <c r="H1075" s="25" t="s">
        <v>695</v>
      </c>
      <c r="I1075" s="25" t="s">
        <v>639</v>
      </c>
      <c r="J1075" s="120"/>
      <c r="K1075" s="25">
        <v>1.0</v>
      </c>
      <c r="L1075" s="25">
        <v>2016.0</v>
      </c>
      <c r="M1075" s="25"/>
      <c r="N1075" s="25"/>
      <c r="O1075" s="27" t="str">
        <f t="shared" si="3"/>
        <v>#N/A</v>
      </c>
      <c r="P1075" s="356"/>
      <c r="Q1075" s="356"/>
      <c r="R1075" s="356"/>
      <c r="S1075" s="356"/>
      <c r="T1075" s="356"/>
      <c r="U1075" s="356"/>
      <c r="V1075" s="30">
        <f t="shared" si="425"/>
        <v>1600000</v>
      </c>
      <c r="W1075" s="30"/>
      <c r="X1075" s="597"/>
      <c r="Y1075" s="597"/>
      <c r="Z1075" s="692"/>
      <c r="AA1075" s="665"/>
      <c r="AB1075" s="123"/>
      <c r="AC1075" s="123"/>
      <c r="AD1075" s="167" t="str">
        <f>HYPERLINK("https://www.crunchbase.com/funding_round/guiker-%E5%BD%92%E5%A3%B3-pre-seed--d9ddb3bd","Oct 28, 2019")</f>
        <v>Oct 28, 2019</v>
      </c>
      <c r="AE1075" s="127">
        <v>1600000.0</v>
      </c>
      <c r="AF1075" s="195"/>
      <c r="AG1075" s="730"/>
      <c r="AH1075" s="123"/>
      <c r="AI1075" s="128"/>
      <c r="AJ1075" s="169"/>
      <c r="AK1075" s="127"/>
      <c r="AL1075" s="169"/>
      <c r="AM1075" s="127"/>
      <c r="AN1075" s="124"/>
      <c r="AO1075" s="125"/>
      <c r="AP1075" s="124"/>
      <c r="AQ1075" s="125"/>
      <c r="AR1075" s="124"/>
      <c r="AS1075" s="124"/>
      <c r="AT1075" s="124"/>
      <c r="AU1075" s="137"/>
      <c r="AV1075" s="124"/>
      <c r="AW1075" s="38"/>
      <c r="AX1075" s="124"/>
      <c r="AY1075" s="38"/>
      <c r="AZ1075" s="124"/>
      <c r="BA1075" s="137"/>
      <c r="BB1075" s="124"/>
      <c r="BC1075" s="137"/>
      <c r="BD1075" s="124"/>
      <c r="BE1075" s="38"/>
      <c r="BF1075" s="123"/>
      <c r="BG1075" s="66"/>
      <c r="BH1075" s="66"/>
      <c r="BI1075" s="66"/>
      <c r="BJ1075" s="66"/>
      <c r="BK1075" s="66"/>
      <c r="BL1075" s="66"/>
      <c r="BM1075" s="66"/>
      <c r="BN1075" s="66"/>
      <c r="BO1075" s="66"/>
      <c r="BP1075" s="66"/>
      <c r="BQ1075" s="66"/>
      <c r="BR1075" s="66"/>
      <c r="BS1075" s="66"/>
      <c r="BT1075" s="66"/>
      <c r="BU1075" s="66"/>
      <c r="BV1075" s="66"/>
      <c r="BW1075" s="66"/>
      <c r="BX1075" s="66"/>
      <c r="BY1075" s="66"/>
      <c r="BZ1075" s="66"/>
      <c r="CA1075" s="66"/>
      <c r="CB1075" s="66"/>
      <c r="CC1075" s="66"/>
      <c r="CD1075" s="66"/>
      <c r="CE1075" s="66"/>
      <c r="CF1075" s="66"/>
      <c r="CG1075" s="66"/>
      <c r="CH1075" s="66"/>
      <c r="CI1075" s="66"/>
      <c r="CJ1075" s="66"/>
      <c r="CK1075" s="66"/>
      <c r="CL1075" s="66"/>
      <c r="CM1075" s="66"/>
      <c r="CN1075" s="66"/>
      <c r="CO1075" s="66"/>
      <c r="CP1075" s="66"/>
    </row>
    <row r="1076" ht="15.75" customHeight="1">
      <c r="A1076" s="47" t="s">
        <v>5154</v>
      </c>
      <c r="C1076" s="48" t="s">
        <v>76</v>
      </c>
      <c r="D1076" s="351"/>
      <c r="E1076" s="617" t="s">
        <v>5155</v>
      </c>
      <c r="F1076" s="749" t="s">
        <v>5156</v>
      </c>
      <c r="G1076" s="353"/>
      <c r="H1076" s="53" t="s">
        <v>1130</v>
      </c>
      <c r="I1076" s="54" t="s">
        <v>263</v>
      </c>
      <c r="J1076" s="55"/>
      <c r="K1076" s="54">
        <v>1.0</v>
      </c>
      <c r="L1076" s="56">
        <v>2022.0</v>
      </c>
      <c r="M1076" s="55"/>
      <c r="N1076" s="55"/>
      <c r="O1076" s="27" t="str">
        <f t="shared" si="3"/>
        <v>#N/A</v>
      </c>
      <c r="P1076" s="55"/>
      <c r="Q1076" s="55"/>
      <c r="R1076" s="55"/>
      <c r="S1076" s="55"/>
      <c r="T1076" s="55"/>
      <c r="U1076" s="55"/>
      <c r="V1076" s="30">
        <f t="shared" si="425"/>
        <v>1600000</v>
      </c>
      <c r="W1076" s="30"/>
      <c r="X1076" s="58"/>
      <c r="Y1076" s="58"/>
      <c r="Z1076" s="692"/>
      <c r="AA1076" s="665"/>
      <c r="AB1076" s="55"/>
      <c r="AC1076" s="55"/>
      <c r="AD1076" s="880">
        <v>44958.0</v>
      </c>
      <c r="AE1076" s="38">
        <v>1600000.0</v>
      </c>
      <c r="AF1076" s="355"/>
      <c r="AG1076" s="38"/>
      <c r="AH1076" s="55"/>
      <c r="AI1076" s="38"/>
      <c r="AJ1076" s="55"/>
      <c r="AK1076" s="38"/>
      <c r="AL1076" s="55"/>
      <c r="AM1076" s="38"/>
      <c r="AN1076" s="55"/>
      <c r="AO1076" s="38"/>
      <c r="AP1076" s="356"/>
      <c r="AQ1076" s="38"/>
      <c r="AR1076" s="55"/>
      <c r="AS1076" s="38"/>
      <c r="AT1076" s="55"/>
      <c r="AU1076" s="38"/>
      <c r="AV1076" s="55"/>
      <c r="AW1076" s="38"/>
      <c r="AX1076" s="55"/>
      <c r="AY1076" s="38"/>
      <c r="AZ1076" s="55"/>
      <c r="BA1076" s="38"/>
      <c r="BB1076" s="55"/>
      <c r="BC1076" s="38"/>
      <c r="BD1076" s="55"/>
      <c r="BE1076" s="38"/>
      <c r="BF1076" s="55"/>
      <c r="BG1076" s="1490"/>
      <c r="BH1076" s="1490"/>
      <c r="BI1076" s="1490"/>
      <c r="BJ1076" s="1490"/>
      <c r="BK1076" s="1490"/>
      <c r="BL1076" s="1490"/>
      <c r="BM1076" s="1490"/>
      <c r="BN1076" s="1490"/>
      <c r="BO1076" s="1490"/>
      <c r="BP1076" s="1490"/>
      <c r="BQ1076" s="1490"/>
      <c r="BR1076" s="1490"/>
      <c r="BS1076" s="1490"/>
      <c r="BT1076" s="1490"/>
      <c r="BU1076" s="1490"/>
      <c r="BV1076" s="1490"/>
      <c r="BW1076" s="1490"/>
      <c r="BX1076" s="1490"/>
      <c r="BY1076" s="1490"/>
      <c r="BZ1076" s="1490"/>
      <c r="CA1076" s="1490"/>
      <c r="CB1076" s="1490"/>
      <c r="CC1076" s="1490"/>
      <c r="CD1076" s="1490"/>
      <c r="CE1076" s="1490"/>
      <c r="CF1076" s="1490"/>
      <c r="CG1076" s="1490"/>
      <c r="CH1076" s="1490"/>
      <c r="CI1076" s="1490"/>
      <c r="CJ1076" s="1490"/>
      <c r="CK1076" s="1490"/>
      <c r="CL1076" s="1490"/>
      <c r="CM1076" s="1490"/>
      <c r="CN1076" s="1490"/>
      <c r="CO1076" s="1490"/>
      <c r="CP1076" s="1490"/>
    </row>
    <row r="1077" ht="15.75" customHeight="1">
      <c r="A1077" s="866" t="s">
        <v>5157</v>
      </c>
      <c r="B1077" s="16"/>
      <c r="C1077" s="17" t="s">
        <v>84</v>
      </c>
      <c r="D1077" s="236" t="s">
        <v>5158</v>
      </c>
      <c r="E1077" s="236" t="s">
        <v>5159</v>
      </c>
      <c r="F1077" s="803" t="s">
        <v>5160</v>
      </c>
      <c r="G1077" s="317"/>
      <c r="H1077" s="22" t="s">
        <v>1065</v>
      </c>
      <c r="I1077" s="23" t="s">
        <v>639</v>
      </c>
      <c r="J1077" s="237"/>
      <c r="K1077" s="36"/>
      <c r="L1077" s="23">
        <v>2014.0</v>
      </c>
      <c r="M1077" s="25">
        <f t="shared" ref="M1077:M1089" si="724">year(now()) -L1077</f>
        <v>11</v>
      </c>
      <c r="N1077" s="26">
        <f t="shared" ref="N1077:N1089" si="725">counta(AE1077,AG1077,AI1077,AK1077,AM1077,AO1077,AQ1077,AS1077,AU1077,AW1077,AY1077,BA1077,BC1077)</f>
        <v>1</v>
      </c>
      <c r="O1077" s="27" t="str">
        <f t="shared" si="3"/>
        <v>#N/A</v>
      </c>
      <c r="P1077" s="28"/>
      <c r="Q1077" s="28"/>
      <c r="R1077" s="28"/>
      <c r="S1077" s="28"/>
      <c r="T1077" s="29">
        <f t="shared" ref="T1077:T1089" si="726">V1077/M1077</f>
        <v>136363.6364</v>
      </c>
      <c r="U1077" s="28"/>
      <c r="V1077" s="30">
        <f t="shared" si="425"/>
        <v>1500000</v>
      </c>
      <c r="W1077" s="30"/>
      <c r="X1077" s="847"/>
      <c r="Y1077" s="33">
        <f t="shared" ref="Y1077:Y1089" si="727">(max(AE1077,AG1077,AI1077,AK1077,AM1077,AO1077,AQ1077,AS1077,AU1077,AW1077,AY1077,BA1077,BC1077)/min(AE1077,AG1077,AI1077,AK1077))^(1/M1077)-1</f>
        <v>0</v>
      </c>
      <c r="Z1077" s="692"/>
      <c r="AA1077" s="665"/>
      <c r="AB1077" s="36"/>
      <c r="AC1077" s="36"/>
      <c r="AD1077" s="44"/>
      <c r="AE1077" s="46"/>
      <c r="AF1077" s="320">
        <v>43046.0</v>
      </c>
      <c r="AG1077" s="38">
        <v>1500000.0</v>
      </c>
      <c r="AH1077" s="36"/>
      <c r="AI1077" s="159"/>
      <c r="AJ1077" s="44"/>
      <c r="AK1077" s="46"/>
      <c r="AL1077" s="44"/>
      <c r="AM1077" s="46"/>
      <c r="AN1077" s="44"/>
      <c r="AO1077" s="46"/>
      <c r="AP1077" s="44"/>
      <c r="AQ1077" s="46"/>
      <c r="AR1077" s="44"/>
      <c r="AS1077" s="44"/>
      <c r="AT1077" s="44"/>
      <c r="AU1077" s="45"/>
      <c r="AV1077" s="44"/>
      <c r="AW1077" s="38"/>
      <c r="AX1077" s="44"/>
      <c r="AY1077" s="38"/>
      <c r="AZ1077" s="44"/>
      <c r="BA1077" s="45"/>
      <c r="BB1077" s="44"/>
      <c r="BC1077" s="45"/>
      <c r="BD1077" s="44"/>
      <c r="BE1077" s="38"/>
      <c r="BF1077" s="36"/>
      <c r="BG1077" s="1490"/>
      <c r="BH1077" s="1490"/>
      <c r="BI1077" s="1490"/>
      <c r="BJ1077" s="1490"/>
      <c r="BK1077" s="1490"/>
      <c r="BL1077" s="1490"/>
      <c r="BM1077" s="1490"/>
      <c r="BN1077" s="1490"/>
      <c r="BO1077" s="1490"/>
      <c r="BP1077" s="1490"/>
      <c r="BQ1077" s="1490"/>
      <c r="BR1077" s="1490"/>
      <c r="BS1077" s="1490"/>
      <c r="BT1077" s="1490"/>
      <c r="BU1077" s="1490"/>
      <c r="BV1077" s="1490"/>
      <c r="BW1077" s="1490"/>
      <c r="BX1077" s="1490"/>
      <c r="BY1077" s="1490"/>
      <c r="BZ1077" s="1490"/>
      <c r="CA1077" s="1490"/>
      <c r="CB1077" s="1490"/>
      <c r="CC1077" s="1490"/>
      <c r="CD1077" s="1490"/>
      <c r="CE1077" s="1490"/>
      <c r="CF1077" s="1490"/>
      <c r="CG1077" s="1490"/>
      <c r="CH1077" s="1490"/>
      <c r="CI1077" s="1490"/>
      <c r="CJ1077" s="1490"/>
      <c r="CK1077" s="1490"/>
      <c r="CL1077" s="1490"/>
      <c r="CM1077" s="1490"/>
      <c r="CN1077" s="1490"/>
      <c r="CO1077" s="1490"/>
      <c r="CP1077" s="1490"/>
    </row>
    <row r="1078" ht="15.75" customHeight="1">
      <c r="A1078" s="21" t="s">
        <v>5161</v>
      </c>
      <c r="B1078" s="68"/>
      <c r="C1078" s="69" t="s">
        <v>5162</v>
      </c>
      <c r="D1078" s="492" t="s">
        <v>5163</v>
      </c>
      <c r="E1078" s="200" t="s">
        <v>5164</v>
      </c>
      <c r="F1078" s="154" t="s">
        <v>5165</v>
      </c>
      <c r="G1078" s="140" t="s">
        <v>5166</v>
      </c>
      <c r="H1078" s="71" t="s">
        <v>128</v>
      </c>
      <c r="I1078" s="26" t="s">
        <v>129</v>
      </c>
      <c r="J1078" s="72" t="s">
        <v>5167</v>
      </c>
      <c r="K1078" s="26">
        <v>2.0</v>
      </c>
      <c r="L1078" s="26">
        <v>2012.0</v>
      </c>
      <c r="M1078" s="25">
        <f t="shared" si="724"/>
        <v>13</v>
      </c>
      <c r="N1078" s="26">
        <f t="shared" si="725"/>
        <v>1</v>
      </c>
      <c r="O1078" s="27" t="str">
        <f t="shared" si="3"/>
        <v>#N/A</v>
      </c>
      <c r="P1078" s="28"/>
      <c r="Q1078" s="28"/>
      <c r="R1078" s="28"/>
      <c r="S1078" s="28"/>
      <c r="T1078" s="29">
        <f t="shared" si="726"/>
        <v>115384.6154</v>
      </c>
      <c r="U1078" s="28"/>
      <c r="V1078" s="30">
        <f t="shared" si="425"/>
        <v>1500000</v>
      </c>
      <c r="W1078" s="30"/>
      <c r="X1078" s="73"/>
      <c r="Y1078" s="33">
        <f t="shared" si="727"/>
        <v>0</v>
      </c>
      <c r="Z1078" s="692"/>
      <c r="AA1078" s="665"/>
      <c r="AB1078" s="74"/>
      <c r="AC1078" s="74"/>
      <c r="AD1078" s="44"/>
      <c r="AE1078" s="46"/>
      <c r="AF1078" s="839" t="str">
        <f>HYPERLINK("https://www.crunchbase.com/funding_round/ebrevia-seed--972eeb35"," Nov 25, 2014")
</f>
        <v> Nov 25, 2014</v>
      </c>
      <c r="AG1078" s="38">
        <v>1500000.0</v>
      </c>
      <c r="AH1078" s="36"/>
      <c r="AI1078" s="159"/>
      <c r="AJ1078" s="473"/>
      <c r="AK1078" s="456"/>
      <c r="AL1078" s="44"/>
      <c r="AM1078" s="46"/>
      <c r="AN1078" s="44"/>
      <c r="AO1078" s="46"/>
      <c r="AP1078" s="44"/>
      <c r="AQ1078" s="46"/>
      <c r="AR1078" s="44"/>
      <c r="AS1078" s="44"/>
      <c r="AT1078" s="44"/>
      <c r="AU1078" s="45"/>
      <c r="AV1078" s="44"/>
      <c r="AW1078" s="38"/>
      <c r="AX1078" s="44"/>
      <c r="AY1078" s="38"/>
      <c r="AZ1078" s="44"/>
      <c r="BA1078" s="45"/>
      <c r="BB1078" s="44"/>
      <c r="BC1078" s="45"/>
      <c r="BD1078" s="44"/>
      <c r="BE1078" s="38"/>
      <c r="BF1078" s="36"/>
      <c r="BG1078" s="16"/>
      <c r="BH1078" s="16"/>
      <c r="BI1078" s="16"/>
      <c r="BJ1078" s="16"/>
      <c r="BK1078" s="16"/>
      <c r="BL1078" s="16"/>
      <c r="BM1078" s="16"/>
      <c r="BN1078" s="16"/>
      <c r="BO1078" s="16"/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6"/>
      <c r="CA1078" s="16"/>
      <c r="CB1078" s="16"/>
      <c r="CC1078" s="16"/>
      <c r="CD1078" s="16"/>
      <c r="CE1078" s="16"/>
      <c r="CF1078" s="16"/>
      <c r="CG1078" s="16"/>
      <c r="CH1078" s="16"/>
      <c r="CI1078" s="16"/>
      <c r="CJ1078" s="16"/>
      <c r="CK1078" s="16"/>
      <c r="CL1078" s="16"/>
      <c r="CM1078" s="16"/>
      <c r="CN1078" s="16"/>
      <c r="CO1078" s="16"/>
      <c r="CP1078" s="16"/>
    </row>
    <row r="1079" ht="15.75" customHeight="1">
      <c r="A1079" s="400" t="s">
        <v>5168</v>
      </c>
      <c r="B1079" s="116"/>
      <c r="C1079" s="116" t="s">
        <v>59</v>
      </c>
      <c r="D1079" s="161" t="s">
        <v>5169</v>
      </c>
      <c r="E1079" s="540" t="s">
        <v>5170</v>
      </c>
      <c r="F1079" s="118" t="s">
        <v>5171</v>
      </c>
      <c r="G1079" s="54" t="s">
        <v>5172</v>
      </c>
      <c r="H1079" s="119" t="s">
        <v>128</v>
      </c>
      <c r="I1079" s="54" t="s">
        <v>129</v>
      </c>
      <c r="J1079" s="178" t="s">
        <v>5173</v>
      </c>
      <c r="K1079" s="25">
        <v>2.0</v>
      </c>
      <c r="L1079" s="25">
        <v>2020.0</v>
      </c>
      <c r="M1079" s="25">
        <f t="shared" si="724"/>
        <v>5</v>
      </c>
      <c r="N1079" s="26">
        <f t="shared" si="725"/>
        <v>1</v>
      </c>
      <c r="O1079" s="27" t="str">
        <f t="shared" si="3"/>
        <v>#N/A</v>
      </c>
      <c r="P1079" s="28"/>
      <c r="Q1079" s="28"/>
      <c r="R1079" s="28"/>
      <c r="S1079" s="28"/>
      <c r="T1079" s="29">
        <f t="shared" si="726"/>
        <v>300000</v>
      </c>
      <c r="U1079" s="28"/>
      <c r="V1079" s="30">
        <f t="shared" si="425"/>
        <v>1500000</v>
      </c>
      <c r="W1079" s="30"/>
      <c r="X1079" s="597"/>
      <c r="Y1079" s="33">
        <f t="shared" si="727"/>
        <v>0</v>
      </c>
      <c r="Z1079" s="692"/>
      <c r="AA1079" s="665"/>
      <c r="AB1079" s="123"/>
      <c r="AC1079" s="123"/>
      <c r="AD1079" s="124"/>
      <c r="AE1079" s="125"/>
      <c r="AF1079" s="126" t="str">
        <f>HYPERLINK("https://www.crunchbase.com/funding_round/gryps-seed--df96193e","Mar 30, 2021")</f>
        <v>Mar 30, 2021</v>
      </c>
      <c r="AG1079" s="127">
        <v>1500000.0</v>
      </c>
      <c r="AH1079" s="123"/>
      <c r="AI1079" s="128"/>
      <c r="AJ1079" s="198"/>
      <c r="AK1079" s="1497"/>
      <c r="AL1079" s="124"/>
      <c r="AM1079" s="125"/>
      <c r="AN1079" s="124"/>
      <c r="AO1079" s="125"/>
      <c r="AP1079" s="124"/>
      <c r="AQ1079" s="125"/>
      <c r="AR1079" s="124"/>
      <c r="AS1079" s="124"/>
      <c r="AT1079" s="124"/>
      <c r="AU1079" s="137"/>
      <c r="AV1079" s="124"/>
      <c r="AW1079" s="38"/>
      <c r="AX1079" s="124"/>
      <c r="AY1079" s="38"/>
      <c r="AZ1079" s="124"/>
      <c r="BA1079" s="137"/>
      <c r="BB1079" s="124"/>
      <c r="BC1079" s="137"/>
      <c r="BD1079" s="124"/>
      <c r="BE1079" s="38"/>
      <c r="BF1079" s="123"/>
      <c r="BG1079" s="16"/>
      <c r="BH1079" s="16"/>
      <c r="BI1079" s="16"/>
      <c r="BJ1079" s="16"/>
      <c r="BK1079" s="16"/>
      <c r="BL1079" s="16"/>
      <c r="BM1079" s="16"/>
      <c r="BN1079" s="16"/>
      <c r="BO1079" s="16"/>
      <c r="BP1079" s="16"/>
      <c r="BQ1079" s="16"/>
      <c r="BR1079" s="16"/>
      <c r="BS1079" s="16"/>
      <c r="BT1079" s="16"/>
      <c r="BU1079" s="16"/>
      <c r="BV1079" s="16"/>
      <c r="BW1079" s="16"/>
      <c r="BX1079" s="16"/>
      <c r="BY1079" s="16"/>
      <c r="BZ1079" s="16"/>
      <c r="CA1079" s="16"/>
      <c r="CB1079" s="16"/>
      <c r="CC1079" s="16"/>
      <c r="CD1079" s="16"/>
      <c r="CE1079" s="16"/>
      <c r="CF1079" s="16"/>
      <c r="CG1079" s="16"/>
      <c r="CH1079" s="16"/>
      <c r="CI1079" s="16"/>
      <c r="CJ1079" s="16"/>
      <c r="CK1079" s="16"/>
      <c r="CL1079" s="16"/>
      <c r="CM1079" s="16"/>
      <c r="CN1079" s="16"/>
      <c r="CO1079" s="16"/>
      <c r="CP1079" s="16"/>
    </row>
    <row r="1080" ht="15.75" customHeight="1">
      <c r="A1080" s="47" t="s">
        <v>5174</v>
      </c>
      <c r="B1080" s="116"/>
      <c r="C1080" s="116" t="s">
        <v>513</v>
      </c>
      <c r="D1080" s="48"/>
      <c r="E1080" s="192" t="s">
        <v>5175</v>
      </c>
      <c r="F1080" s="118" t="s">
        <v>5176</v>
      </c>
      <c r="G1080" s="930"/>
      <c r="H1080" s="119" t="s">
        <v>1365</v>
      </c>
      <c r="I1080" s="25" t="s">
        <v>65</v>
      </c>
      <c r="J1080" s="1326"/>
      <c r="K1080" s="25">
        <v>3.0</v>
      </c>
      <c r="L1080" s="25">
        <v>2018.0</v>
      </c>
      <c r="M1080" s="25">
        <f t="shared" si="724"/>
        <v>7</v>
      </c>
      <c r="N1080" s="26">
        <f t="shared" si="725"/>
        <v>1</v>
      </c>
      <c r="O1080" s="27" t="str">
        <f t="shared" si="3"/>
        <v>#N/A</v>
      </c>
      <c r="P1080" s="28"/>
      <c r="Q1080" s="28"/>
      <c r="R1080" s="28"/>
      <c r="S1080" s="28"/>
      <c r="T1080" s="29">
        <f t="shared" si="726"/>
        <v>214285.7143</v>
      </c>
      <c r="U1080" s="28"/>
      <c r="V1080" s="30">
        <f t="shared" si="425"/>
        <v>1500000</v>
      </c>
      <c r="W1080" s="30"/>
      <c r="X1080" s="597"/>
      <c r="Y1080" s="33">
        <f t="shared" si="727"/>
        <v>0</v>
      </c>
      <c r="Z1080" s="692"/>
      <c r="AA1080" s="665"/>
      <c r="AB1080" s="123"/>
      <c r="AC1080" s="123"/>
      <c r="AD1080" s="124"/>
      <c r="AE1080" s="125"/>
      <c r="AF1080" s="126" t="str">
        <f>HYPERLINK("https://www.crunchbase.com/funding_round/inteliglas-corporation-b000-seed--048e97db","Jun 15, 2018")</f>
        <v>Jun 15, 2018</v>
      </c>
      <c r="AG1080" s="127">
        <v>1500000.0</v>
      </c>
      <c r="AH1080" s="123"/>
      <c r="AI1080" s="128"/>
      <c r="AJ1080" s="169"/>
      <c r="AK1080" s="165"/>
      <c r="AL1080" s="169"/>
      <c r="AM1080" s="127"/>
      <c r="AN1080" s="124"/>
      <c r="AO1080" s="125"/>
      <c r="AP1080" s="124"/>
      <c r="AQ1080" s="125"/>
      <c r="AR1080" s="124"/>
      <c r="AS1080" s="124"/>
      <c r="AT1080" s="124"/>
      <c r="AU1080" s="137"/>
      <c r="AV1080" s="124"/>
      <c r="AW1080" s="38"/>
      <c r="AX1080" s="124"/>
      <c r="AY1080" s="38"/>
      <c r="AZ1080" s="124"/>
      <c r="BA1080" s="137"/>
      <c r="BB1080" s="124"/>
      <c r="BC1080" s="137"/>
      <c r="BD1080" s="124"/>
      <c r="BE1080" s="38"/>
      <c r="BF1080" s="123"/>
      <c r="BG1080" s="16"/>
      <c r="BH1080" s="16"/>
      <c r="BI1080" s="16"/>
      <c r="BJ1080" s="16"/>
      <c r="BK1080" s="16"/>
      <c r="BL1080" s="16"/>
      <c r="BM1080" s="16"/>
      <c r="BN1080" s="16"/>
      <c r="BO1080" s="16"/>
      <c r="BP1080" s="16"/>
      <c r="BQ1080" s="16"/>
      <c r="BR1080" s="16"/>
      <c r="BS1080" s="16"/>
      <c r="BT1080" s="16"/>
      <c r="BU1080" s="16"/>
      <c r="BV1080" s="16"/>
      <c r="BW1080" s="16"/>
      <c r="BX1080" s="16"/>
      <c r="BY1080" s="16"/>
      <c r="BZ1080" s="16"/>
      <c r="CA1080" s="16"/>
      <c r="CB1080" s="16"/>
      <c r="CC1080" s="16"/>
      <c r="CD1080" s="16"/>
      <c r="CE1080" s="16"/>
      <c r="CF1080" s="16"/>
      <c r="CG1080" s="16"/>
      <c r="CH1080" s="16"/>
      <c r="CI1080" s="16"/>
      <c r="CJ1080" s="16"/>
      <c r="CK1080" s="16"/>
      <c r="CL1080" s="16"/>
      <c r="CM1080" s="16"/>
      <c r="CN1080" s="16"/>
      <c r="CO1080" s="16"/>
      <c r="CP1080" s="16"/>
    </row>
    <row r="1081" ht="15.75" customHeight="1">
      <c r="A1081" s="442" t="s">
        <v>5177</v>
      </c>
      <c r="B1081" s="68" t="s">
        <v>501</v>
      </c>
      <c r="C1081" s="69" t="s">
        <v>123</v>
      </c>
      <c r="D1081" s="184" t="s">
        <v>5178</v>
      </c>
      <c r="E1081" s="184" t="s">
        <v>5179</v>
      </c>
      <c r="F1081" s="185" t="s">
        <v>5180</v>
      </c>
      <c r="G1081" s="174" t="s">
        <v>5181</v>
      </c>
      <c r="H1081" s="186" t="s">
        <v>834</v>
      </c>
      <c r="I1081" s="74" t="s">
        <v>826</v>
      </c>
      <c r="J1081" s="514" t="s">
        <v>281</v>
      </c>
      <c r="K1081" s="74">
        <v>1.0</v>
      </c>
      <c r="L1081" s="26">
        <v>2016.0</v>
      </c>
      <c r="M1081" s="25">
        <f t="shared" si="724"/>
        <v>9</v>
      </c>
      <c r="N1081" s="26">
        <f t="shared" si="725"/>
        <v>1</v>
      </c>
      <c r="O1081" s="27" t="str">
        <f t="shared" si="3"/>
        <v>#N/A</v>
      </c>
      <c r="P1081" s="28"/>
      <c r="Q1081" s="28"/>
      <c r="R1081" s="28"/>
      <c r="S1081" s="28"/>
      <c r="T1081" s="29">
        <f t="shared" si="726"/>
        <v>166666.6667</v>
      </c>
      <c r="U1081" s="28"/>
      <c r="V1081" s="30">
        <f t="shared" si="425"/>
        <v>1500000</v>
      </c>
      <c r="W1081" s="30"/>
      <c r="X1081" s="32"/>
      <c r="Y1081" s="33">
        <f t="shared" si="727"/>
        <v>0</v>
      </c>
      <c r="Z1081" s="692"/>
      <c r="AA1081" s="665"/>
      <c r="AB1081" s="74"/>
      <c r="AC1081" s="74"/>
      <c r="AD1081" s="279"/>
      <c r="AE1081" s="76"/>
      <c r="AF1081" s="175" t="str">
        <f>HYPERLINK("https://www.crunchbase.com/funding_round/jointer-2-seed--9ffdac3f"," 2/12/2019")</f>
        <v> 2/12/2019</v>
      </c>
      <c r="AG1081" s="76">
        <v>1500000.0</v>
      </c>
      <c r="AH1081" s="74"/>
      <c r="AI1081" s="78"/>
      <c r="AJ1081" s="79"/>
      <c r="AK1081" s="84"/>
      <c r="AL1081" s="79"/>
      <c r="AM1081" s="84"/>
      <c r="AN1081" s="79"/>
      <c r="AO1081" s="84"/>
      <c r="AP1081" s="79"/>
      <c r="AQ1081" s="84"/>
      <c r="AR1081" s="79"/>
      <c r="AS1081" s="79"/>
      <c r="AT1081" s="79"/>
      <c r="AU1081" s="80"/>
      <c r="AV1081" s="79"/>
      <c r="AW1081" s="38"/>
      <c r="AX1081" s="79"/>
      <c r="AY1081" s="38"/>
      <c r="AZ1081" s="79"/>
      <c r="BA1081" s="80"/>
      <c r="BB1081" s="79"/>
      <c r="BC1081" s="80"/>
      <c r="BD1081" s="79"/>
      <c r="BE1081" s="38"/>
      <c r="BF1081" s="74"/>
      <c r="BG1081" s="16"/>
      <c r="BH1081" s="16"/>
      <c r="BI1081" s="16"/>
      <c r="BJ1081" s="16"/>
      <c r="BK1081" s="16"/>
      <c r="BL1081" s="16"/>
      <c r="BM1081" s="16"/>
      <c r="BN1081" s="16"/>
      <c r="BO1081" s="16"/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6"/>
      <c r="CA1081" s="16"/>
      <c r="CB1081" s="16"/>
      <c r="CC1081" s="16"/>
      <c r="CD1081" s="16"/>
      <c r="CE1081" s="16"/>
      <c r="CF1081" s="16"/>
      <c r="CG1081" s="16"/>
      <c r="CH1081" s="16"/>
      <c r="CI1081" s="16"/>
      <c r="CJ1081" s="16"/>
      <c r="CK1081" s="16"/>
      <c r="CL1081" s="16"/>
      <c r="CM1081" s="16"/>
      <c r="CN1081" s="16"/>
      <c r="CO1081" s="16"/>
      <c r="CP1081" s="16"/>
    </row>
    <row r="1082" ht="15.75" customHeight="1">
      <c r="A1082" s="666" t="s">
        <v>5182</v>
      </c>
      <c r="B1082" s="115" t="s">
        <v>122</v>
      </c>
      <c r="C1082" s="116" t="s">
        <v>755</v>
      </c>
      <c r="D1082" s="667" t="s">
        <v>5183</v>
      </c>
      <c r="E1082" s="667" t="s">
        <v>5184</v>
      </c>
      <c r="F1082" s="668" t="s">
        <v>5185</v>
      </c>
      <c r="G1082" s="286" t="s">
        <v>5186</v>
      </c>
      <c r="H1082" s="286" t="s">
        <v>357</v>
      </c>
      <c r="I1082" s="287" t="s">
        <v>518</v>
      </c>
      <c r="J1082" s="287" t="s">
        <v>5187</v>
      </c>
      <c r="K1082" s="123">
        <v>3.0</v>
      </c>
      <c r="L1082" s="25">
        <v>2015.0</v>
      </c>
      <c r="M1082" s="25">
        <f t="shared" si="724"/>
        <v>10</v>
      </c>
      <c r="N1082" s="26">
        <f t="shared" si="725"/>
        <v>1</v>
      </c>
      <c r="O1082" s="27" t="str">
        <f t="shared" si="3"/>
        <v>#N/A</v>
      </c>
      <c r="P1082" s="28"/>
      <c r="Q1082" s="28"/>
      <c r="R1082" s="28"/>
      <c r="S1082" s="28"/>
      <c r="T1082" s="29">
        <f t="shared" si="726"/>
        <v>150000</v>
      </c>
      <c r="U1082" s="28"/>
      <c r="V1082" s="30">
        <f t="shared" si="425"/>
        <v>1500000</v>
      </c>
      <c r="W1082" s="30"/>
      <c r="X1082" s="403"/>
      <c r="Y1082" s="33">
        <f t="shared" si="727"/>
        <v>0</v>
      </c>
      <c r="Z1082" s="692"/>
      <c r="AA1082" s="665"/>
      <c r="AB1082" s="123"/>
      <c r="AC1082" s="123"/>
      <c r="AD1082" s="124"/>
      <c r="AE1082" s="125"/>
      <c r="AF1082" s="126" t="str">
        <f>HYPERLINK("https://www.crunchbase.com/organization/leasepilot"," Mar 30, 2017")</f>
        <v> Mar 30, 2017</v>
      </c>
      <c r="AG1082" s="127">
        <v>1500000.0</v>
      </c>
      <c r="AH1082" s="123"/>
      <c r="AI1082" s="128"/>
      <c r="AJ1082" s="124"/>
      <c r="AK1082" s="125"/>
      <c r="AL1082" s="124"/>
      <c r="AM1082" s="125"/>
      <c r="AN1082" s="124"/>
      <c r="AO1082" s="125"/>
      <c r="AP1082" s="124"/>
      <c r="AQ1082" s="125"/>
      <c r="AR1082" s="124"/>
      <c r="AS1082" s="124"/>
      <c r="AT1082" s="124"/>
      <c r="AU1082" s="137"/>
      <c r="AV1082" s="124"/>
      <c r="AW1082" s="38"/>
      <c r="AX1082" s="124"/>
      <c r="AY1082" s="38"/>
      <c r="AZ1082" s="124"/>
      <c r="BA1082" s="137"/>
      <c r="BB1082" s="124"/>
      <c r="BC1082" s="137"/>
      <c r="BD1082" s="124"/>
      <c r="BE1082" s="38"/>
      <c r="BF1082" s="123"/>
      <c r="BG1082" s="16"/>
      <c r="BH1082" s="16"/>
      <c r="BI1082" s="16"/>
      <c r="BJ1082" s="16"/>
      <c r="BK1082" s="16"/>
      <c r="BL1082" s="16"/>
      <c r="BM1082" s="16"/>
      <c r="BN1082" s="16"/>
      <c r="BO1082" s="16"/>
      <c r="BP1082" s="16"/>
      <c r="BQ1082" s="16"/>
      <c r="BR1082" s="16"/>
      <c r="BS1082" s="16"/>
      <c r="BT1082" s="16"/>
      <c r="BU1082" s="16"/>
      <c r="BV1082" s="16"/>
      <c r="BW1082" s="16"/>
      <c r="BX1082" s="16"/>
      <c r="BY1082" s="16"/>
      <c r="BZ1082" s="16"/>
      <c r="CA1082" s="16"/>
      <c r="CB1082" s="16"/>
      <c r="CC1082" s="16"/>
      <c r="CD1082" s="16"/>
      <c r="CE1082" s="16"/>
      <c r="CF1082" s="16"/>
      <c r="CG1082" s="16"/>
      <c r="CH1082" s="16"/>
      <c r="CI1082" s="16"/>
      <c r="CJ1082" s="16"/>
      <c r="CK1082" s="16"/>
      <c r="CL1082" s="16"/>
      <c r="CM1082" s="16"/>
      <c r="CN1082" s="16"/>
      <c r="CO1082" s="16"/>
      <c r="CP1082" s="16"/>
    </row>
    <row r="1083" ht="15.75" customHeight="1">
      <c r="A1083" s="21" t="s">
        <v>5188</v>
      </c>
      <c r="B1083" s="68"/>
      <c r="C1083" s="69" t="s">
        <v>84</v>
      </c>
      <c r="D1083" s="192" t="s">
        <v>5189</v>
      </c>
      <c r="E1083" s="192" t="s">
        <v>5190</v>
      </c>
      <c r="F1083" s="138" t="s">
        <v>5191</v>
      </c>
      <c r="G1083" s="186"/>
      <c r="H1083" s="71" t="s">
        <v>187</v>
      </c>
      <c r="I1083" s="26" t="s">
        <v>188</v>
      </c>
      <c r="J1083" s="155"/>
      <c r="K1083" s="74"/>
      <c r="L1083" s="26">
        <v>2017.0</v>
      </c>
      <c r="M1083" s="25">
        <f t="shared" si="724"/>
        <v>8</v>
      </c>
      <c r="N1083" s="26">
        <f t="shared" si="725"/>
        <v>1</v>
      </c>
      <c r="O1083" s="27" t="str">
        <f t="shared" si="3"/>
        <v>#N/A</v>
      </c>
      <c r="P1083" s="28"/>
      <c r="Q1083" s="28"/>
      <c r="R1083" s="28"/>
      <c r="S1083" s="28"/>
      <c r="T1083" s="29">
        <f t="shared" si="726"/>
        <v>187500</v>
      </c>
      <c r="U1083" s="28"/>
      <c r="V1083" s="30">
        <f t="shared" si="425"/>
        <v>1500000</v>
      </c>
      <c r="W1083" s="30"/>
      <c r="X1083" s="32"/>
      <c r="Y1083" s="33">
        <f t="shared" si="727"/>
        <v>0</v>
      </c>
      <c r="Z1083" s="692"/>
      <c r="AA1083" s="665"/>
      <c r="AB1083" s="74"/>
      <c r="AC1083" s="74"/>
      <c r="AD1083" s="81"/>
      <c r="AE1083" s="84"/>
      <c r="AF1083" s="1093">
        <v>43891.0</v>
      </c>
      <c r="AG1083" s="76">
        <v>1500000.0</v>
      </c>
      <c r="AH1083" s="74"/>
      <c r="AI1083" s="78"/>
      <c r="AJ1083" s="1415"/>
      <c r="AK1083" s="76"/>
      <c r="AL1083" s="79"/>
      <c r="AM1083" s="84"/>
      <c r="AN1083" s="79"/>
      <c r="AO1083" s="84"/>
      <c r="AP1083" s="79"/>
      <c r="AQ1083" s="84"/>
      <c r="AR1083" s="79"/>
      <c r="AS1083" s="79"/>
      <c r="AT1083" s="79"/>
      <c r="AU1083" s="80"/>
      <c r="AV1083" s="79"/>
      <c r="AW1083" s="38"/>
      <c r="AX1083" s="79"/>
      <c r="AY1083" s="38"/>
      <c r="AZ1083" s="79"/>
      <c r="BA1083" s="80"/>
      <c r="BB1083" s="79"/>
      <c r="BC1083" s="80"/>
      <c r="BD1083" s="79"/>
      <c r="BE1083" s="38"/>
      <c r="BF1083" s="74"/>
      <c r="BG1083" s="1490"/>
      <c r="BH1083" s="1490"/>
      <c r="BI1083" s="1490"/>
      <c r="BJ1083" s="1490"/>
      <c r="BK1083" s="1490"/>
      <c r="BL1083" s="1490"/>
      <c r="BM1083" s="1490"/>
      <c r="BN1083" s="1490"/>
      <c r="BO1083" s="1490"/>
      <c r="BP1083" s="1490"/>
      <c r="BQ1083" s="1490"/>
      <c r="BR1083" s="1490"/>
      <c r="BS1083" s="1490"/>
      <c r="BT1083" s="1490"/>
      <c r="BU1083" s="1490"/>
      <c r="BV1083" s="1490"/>
      <c r="BW1083" s="1490"/>
      <c r="BX1083" s="1490"/>
      <c r="BY1083" s="1490"/>
      <c r="BZ1083" s="1490"/>
      <c r="CA1083" s="1490"/>
      <c r="CB1083" s="1490"/>
      <c r="CC1083" s="1490"/>
      <c r="CD1083" s="1490"/>
      <c r="CE1083" s="1490"/>
      <c r="CF1083" s="1490"/>
      <c r="CG1083" s="1490"/>
      <c r="CH1083" s="1490"/>
      <c r="CI1083" s="1490"/>
      <c r="CJ1083" s="1490"/>
      <c r="CK1083" s="1490"/>
      <c r="CL1083" s="1490"/>
      <c r="CM1083" s="1490"/>
      <c r="CN1083" s="1490"/>
      <c r="CO1083" s="1490"/>
      <c r="CP1083" s="1490"/>
    </row>
    <row r="1084" ht="15.75" customHeight="1">
      <c r="A1084" s="666" t="s">
        <v>5192</v>
      </c>
      <c r="B1084" s="115" t="s">
        <v>944</v>
      </c>
      <c r="C1084" s="115" t="s">
        <v>59</v>
      </c>
      <c r="D1084" s="667"/>
      <c r="E1084" s="667" t="s">
        <v>5193</v>
      </c>
      <c r="F1084" s="668" t="s">
        <v>5194</v>
      </c>
      <c r="G1084" s="930"/>
      <c r="H1084" s="286" t="s">
        <v>328</v>
      </c>
      <c r="I1084" s="25" t="s">
        <v>329</v>
      </c>
      <c r="J1084" s="1326"/>
      <c r="K1084" s="123">
        <v>1.0</v>
      </c>
      <c r="L1084" s="25">
        <v>2012.0</v>
      </c>
      <c r="M1084" s="25">
        <f t="shared" si="724"/>
        <v>13</v>
      </c>
      <c r="N1084" s="26">
        <f t="shared" si="725"/>
        <v>1</v>
      </c>
      <c r="O1084" s="27" t="str">
        <f t="shared" si="3"/>
        <v>#N/A</v>
      </c>
      <c r="P1084" s="28"/>
      <c r="Q1084" s="28"/>
      <c r="R1084" s="28"/>
      <c r="S1084" s="28"/>
      <c r="T1084" s="29">
        <f t="shared" si="726"/>
        <v>115384.6154</v>
      </c>
      <c r="U1084" s="28"/>
      <c r="V1084" s="30">
        <f t="shared" si="425"/>
        <v>1500000</v>
      </c>
      <c r="W1084" s="30"/>
      <c r="X1084" s="403"/>
      <c r="Y1084" s="33">
        <f t="shared" si="727"/>
        <v>0</v>
      </c>
      <c r="Z1084" s="692"/>
      <c r="AA1084" s="665"/>
      <c r="AB1084" s="123"/>
      <c r="AC1084" s="123"/>
      <c r="AD1084" s="124"/>
      <c r="AE1084" s="125"/>
      <c r="AF1084" s="126" t="str">
        <f>HYPERLINK("https://www.crunchbase.com/organization/re-leased-property-software#section-overview2"," July 18, 2018")</f>
        <v> July 18, 2018</v>
      </c>
      <c r="AG1084" s="125">
        <v>1500000.0</v>
      </c>
      <c r="AH1084" s="123"/>
      <c r="AI1084" s="128"/>
      <c r="AJ1084" s="124"/>
      <c r="AK1084" s="125"/>
      <c r="AL1084" s="124"/>
      <c r="AM1084" s="125"/>
      <c r="AN1084" s="124"/>
      <c r="AO1084" s="125"/>
      <c r="AP1084" s="124"/>
      <c r="AQ1084" s="125"/>
      <c r="AR1084" s="124"/>
      <c r="AS1084" s="124"/>
      <c r="AT1084" s="124"/>
      <c r="AU1084" s="137"/>
      <c r="AV1084" s="124"/>
      <c r="AW1084" s="38"/>
      <c r="AX1084" s="124"/>
      <c r="AY1084" s="38"/>
      <c r="AZ1084" s="124"/>
      <c r="BA1084" s="137"/>
      <c r="BB1084" s="124"/>
      <c r="BC1084" s="137"/>
      <c r="BD1084" s="124"/>
      <c r="BE1084" s="38"/>
      <c r="BF1084" s="123"/>
      <c r="BG1084" s="16"/>
      <c r="BH1084" s="16"/>
      <c r="BI1084" s="16"/>
      <c r="BJ1084" s="16"/>
      <c r="BK1084" s="16"/>
      <c r="BL1084" s="16"/>
      <c r="BM1084" s="16"/>
      <c r="BN1084" s="16"/>
      <c r="BO1084" s="16"/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6"/>
      <c r="CA1084" s="16"/>
      <c r="CB1084" s="16"/>
      <c r="CC1084" s="16"/>
      <c r="CD1084" s="16"/>
      <c r="CE1084" s="16"/>
      <c r="CF1084" s="16"/>
      <c r="CG1084" s="16"/>
      <c r="CH1084" s="16"/>
      <c r="CI1084" s="16"/>
      <c r="CJ1084" s="16"/>
      <c r="CK1084" s="16"/>
      <c r="CL1084" s="16"/>
      <c r="CM1084" s="16"/>
      <c r="CN1084" s="16"/>
      <c r="CO1084" s="16"/>
      <c r="CP1084" s="16"/>
    </row>
    <row r="1085" ht="15.75" customHeight="1">
      <c r="A1085" s="47" t="s">
        <v>5195</v>
      </c>
      <c r="B1085" s="115"/>
      <c r="C1085" s="116" t="s">
        <v>513</v>
      </c>
      <c r="D1085" s="161" t="s">
        <v>5196</v>
      </c>
      <c r="E1085" s="192" t="s">
        <v>5197</v>
      </c>
      <c r="F1085" s="389" t="s">
        <v>5198</v>
      </c>
      <c r="G1085" s="286"/>
      <c r="H1085" s="119" t="s">
        <v>64</v>
      </c>
      <c r="I1085" s="25" t="s">
        <v>65</v>
      </c>
      <c r="J1085" s="287"/>
      <c r="K1085" s="25">
        <v>2.0</v>
      </c>
      <c r="L1085" s="25">
        <v>2014.0</v>
      </c>
      <c r="M1085" s="25">
        <f t="shared" si="724"/>
        <v>11</v>
      </c>
      <c r="N1085" s="26">
        <f t="shared" si="725"/>
        <v>1</v>
      </c>
      <c r="O1085" s="27" t="str">
        <f t="shared" si="3"/>
        <v>#N/A</v>
      </c>
      <c r="P1085" s="28"/>
      <c r="Q1085" s="28"/>
      <c r="R1085" s="28"/>
      <c r="S1085" s="28"/>
      <c r="T1085" s="29">
        <f t="shared" si="726"/>
        <v>136363.6364</v>
      </c>
      <c r="U1085" s="28"/>
      <c r="V1085" s="30">
        <f t="shared" si="425"/>
        <v>1500000</v>
      </c>
      <c r="W1085" s="30"/>
      <c r="X1085" s="597"/>
      <c r="Y1085" s="33">
        <f t="shared" si="727"/>
        <v>0</v>
      </c>
      <c r="Z1085" s="692"/>
      <c r="AA1085" s="665"/>
      <c r="AB1085" s="123"/>
      <c r="AC1085" s="123"/>
      <c r="AD1085" s="124"/>
      <c r="AE1085" s="125"/>
      <c r="AF1085" s="126" t="str">
        <f>HYPERLINK("https://www.crunchbase.com/funding_round/remoov-seed--af602898","Oct 2, 2019")</f>
        <v>Oct 2, 2019</v>
      </c>
      <c r="AG1085" s="127">
        <v>1500000.0</v>
      </c>
      <c r="AH1085" s="123"/>
      <c r="AI1085" s="128"/>
      <c r="AJ1085" s="124"/>
      <c r="AK1085" s="125"/>
      <c r="AL1085" s="124"/>
      <c r="AM1085" s="125"/>
      <c r="AN1085" s="124"/>
      <c r="AO1085" s="125"/>
      <c r="AP1085" s="124"/>
      <c r="AQ1085" s="125"/>
      <c r="AR1085" s="124"/>
      <c r="AS1085" s="124"/>
      <c r="AT1085" s="124"/>
      <c r="AU1085" s="137"/>
      <c r="AV1085" s="124"/>
      <c r="AW1085" s="38"/>
      <c r="AX1085" s="124"/>
      <c r="AY1085" s="38"/>
      <c r="AZ1085" s="124"/>
      <c r="BA1085" s="137"/>
      <c r="BB1085" s="124"/>
      <c r="BC1085" s="137"/>
      <c r="BD1085" s="124"/>
      <c r="BE1085" s="38"/>
      <c r="BF1085" s="123"/>
      <c r="BG1085" s="16"/>
      <c r="BH1085" s="16"/>
      <c r="BI1085" s="16"/>
      <c r="BJ1085" s="16"/>
      <c r="BK1085" s="16"/>
      <c r="BL1085" s="16"/>
      <c r="BM1085" s="16"/>
      <c r="BN1085" s="16"/>
      <c r="BO1085" s="16"/>
      <c r="BP1085" s="16"/>
      <c r="BQ1085" s="16"/>
      <c r="BR1085" s="16"/>
      <c r="BS1085" s="16"/>
      <c r="BT1085" s="16"/>
      <c r="BU1085" s="16"/>
      <c r="BV1085" s="16"/>
      <c r="BW1085" s="16"/>
      <c r="BX1085" s="16"/>
      <c r="BY1085" s="16"/>
      <c r="BZ1085" s="16"/>
      <c r="CA1085" s="16"/>
      <c r="CB1085" s="16"/>
      <c r="CC1085" s="16"/>
      <c r="CD1085" s="16"/>
      <c r="CE1085" s="16"/>
      <c r="CF1085" s="16"/>
      <c r="CG1085" s="16"/>
      <c r="CH1085" s="16"/>
      <c r="CI1085" s="16"/>
      <c r="CJ1085" s="16"/>
      <c r="CK1085" s="16"/>
      <c r="CL1085" s="16"/>
      <c r="CM1085" s="16"/>
      <c r="CN1085" s="16"/>
      <c r="CO1085" s="16"/>
      <c r="CP1085" s="16"/>
    </row>
    <row r="1086" ht="15.75" customHeight="1">
      <c r="A1086" s="860" t="s">
        <v>5199</v>
      </c>
      <c r="B1086" s="1498"/>
      <c r="C1086" s="69" t="s">
        <v>5200</v>
      </c>
      <c r="D1086" s="192" t="s">
        <v>5201</v>
      </c>
      <c r="E1086" s="192" t="s">
        <v>5202</v>
      </c>
      <c r="F1086" s="118" t="s">
        <v>5203</v>
      </c>
      <c r="G1086" s="186"/>
      <c r="H1086" s="71" t="s">
        <v>394</v>
      </c>
      <c r="I1086" s="26" t="s">
        <v>1395</v>
      </c>
      <c r="J1086" s="155"/>
      <c r="K1086" s="74"/>
      <c r="L1086" s="26">
        <v>2013.0</v>
      </c>
      <c r="M1086" s="25">
        <f t="shared" si="724"/>
        <v>12</v>
      </c>
      <c r="N1086" s="26">
        <f t="shared" si="725"/>
        <v>1</v>
      </c>
      <c r="O1086" s="27" t="str">
        <f t="shared" si="3"/>
        <v>#N/A</v>
      </c>
      <c r="P1086" s="28"/>
      <c r="Q1086" s="28"/>
      <c r="R1086" s="28"/>
      <c r="S1086" s="28"/>
      <c r="T1086" s="29">
        <f t="shared" si="726"/>
        <v>125000</v>
      </c>
      <c r="U1086" s="28"/>
      <c r="V1086" s="30">
        <f t="shared" si="425"/>
        <v>1500000</v>
      </c>
      <c r="W1086" s="30"/>
      <c r="X1086" s="32"/>
      <c r="Y1086" s="33">
        <f t="shared" si="727"/>
        <v>0</v>
      </c>
      <c r="Z1086" s="692"/>
      <c r="AA1086" s="665"/>
      <c r="AB1086" s="74"/>
      <c r="AC1086" s="74"/>
      <c r="AD1086" s="79"/>
      <c r="AE1086" s="84"/>
      <c r="AF1086" s="320">
        <v>42341.0</v>
      </c>
      <c r="AG1086" s="894">
        <v>1500000.0</v>
      </c>
      <c r="AH1086" s="74"/>
      <c r="AI1086" s="78"/>
      <c r="AJ1086" s="79"/>
      <c r="AK1086" s="84"/>
      <c r="AL1086" s="79"/>
      <c r="AM1086" s="84"/>
      <c r="AN1086" s="79"/>
      <c r="AO1086" s="84"/>
      <c r="AP1086" s="79"/>
      <c r="AQ1086" s="84"/>
      <c r="AR1086" s="79"/>
      <c r="AS1086" s="79"/>
      <c r="AT1086" s="79"/>
      <c r="AU1086" s="80"/>
      <c r="AV1086" s="79"/>
      <c r="AW1086" s="38"/>
      <c r="AX1086" s="79"/>
      <c r="AY1086" s="38"/>
      <c r="AZ1086" s="79"/>
      <c r="BA1086" s="80"/>
      <c r="BB1086" s="79"/>
      <c r="BC1086" s="80"/>
      <c r="BD1086" s="79"/>
      <c r="BE1086" s="38"/>
      <c r="BF1086" s="74"/>
      <c r="BG1086" s="16"/>
      <c r="BH1086" s="16"/>
      <c r="BI1086" s="16"/>
      <c r="BJ1086" s="16"/>
      <c r="BK1086" s="16"/>
      <c r="BL1086" s="16"/>
      <c r="BM1086" s="16"/>
      <c r="BN1086" s="16"/>
      <c r="BO1086" s="16"/>
      <c r="BP1086" s="16"/>
      <c r="BQ1086" s="16"/>
      <c r="BR1086" s="16"/>
      <c r="BS1086" s="16"/>
      <c r="BT1086" s="16"/>
      <c r="BU1086" s="16"/>
      <c r="BV1086" s="16"/>
      <c r="BW1086" s="16"/>
      <c r="BX1086" s="16"/>
      <c r="BY1086" s="16"/>
      <c r="BZ1086" s="16"/>
      <c r="CA1086" s="16"/>
      <c r="CB1086" s="16"/>
      <c r="CC1086" s="16"/>
      <c r="CD1086" s="16"/>
      <c r="CE1086" s="16"/>
      <c r="CF1086" s="16"/>
      <c r="CG1086" s="16"/>
      <c r="CH1086" s="16"/>
      <c r="CI1086" s="16"/>
      <c r="CJ1086" s="16"/>
      <c r="CK1086" s="16"/>
      <c r="CL1086" s="16"/>
      <c r="CM1086" s="16"/>
      <c r="CN1086" s="16"/>
      <c r="CO1086" s="16"/>
      <c r="CP1086" s="16"/>
    </row>
    <row r="1087" ht="15.75" customHeight="1">
      <c r="A1087" s="931" t="s">
        <v>5204</v>
      </c>
      <c r="B1087" s="68"/>
      <c r="C1087" s="69" t="s">
        <v>267</v>
      </c>
      <c r="D1087" s="192" t="s">
        <v>5205</v>
      </c>
      <c r="E1087" s="192" t="s">
        <v>5206</v>
      </c>
      <c r="F1087" s="756" t="s">
        <v>5207</v>
      </c>
      <c r="G1087" s="186"/>
      <c r="H1087" s="71" t="s">
        <v>328</v>
      </c>
      <c r="I1087" s="26" t="s">
        <v>329</v>
      </c>
      <c r="J1087" s="155"/>
      <c r="K1087" s="74"/>
      <c r="L1087" s="26">
        <v>2016.0</v>
      </c>
      <c r="M1087" s="25">
        <f t="shared" si="724"/>
        <v>9</v>
      </c>
      <c r="N1087" s="26">
        <f t="shared" si="725"/>
        <v>1</v>
      </c>
      <c r="O1087" s="27" t="str">
        <f t="shared" si="3"/>
        <v>#N/A</v>
      </c>
      <c r="P1087" s="28"/>
      <c r="Q1087" s="28"/>
      <c r="R1087" s="28"/>
      <c r="S1087" s="28"/>
      <c r="T1087" s="29">
        <f t="shared" si="726"/>
        <v>166666.6667</v>
      </c>
      <c r="U1087" s="28"/>
      <c r="V1087" s="30">
        <f t="shared" si="425"/>
        <v>1500000</v>
      </c>
      <c r="W1087" s="30"/>
      <c r="X1087" s="32"/>
      <c r="Y1087" s="33">
        <f t="shared" si="727"/>
        <v>0</v>
      </c>
      <c r="Z1087" s="692"/>
      <c r="AA1087" s="665"/>
      <c r="AB1087" s="74"/>
      <c r="AC1087" s="74"/>
      <c r="AD1087" s="79"/>
      <c r="AE1087" s="84"/>
      <c r="AF1087" s="320">
        <v>43081.0</v>
      </c>
      <c r="AG1087" s="1165">
        <v>1500000.0</v>
      </c>
      <c r="AH1087" s="74"/>
      <c r="AI1087" s="78"/>
      <c r="AJ1087" s="79"/>
      <c r="AK1087" s="807"/>
      <c r="AL1087" s="79"/>
      <c r="AM1087" s="84"/>
      <c r="AN1087" s="79"/>
      <c r="AO1087" s="84"/>
      <c r="AP1087" s="79"/>
      <c r="AQ1087" s="84"/>
      <c r="AR1087" s="79"/>
      <c r="AS1087" s="79"/>
      <c r="AT1087" s="79"/>
      <c r="AU1087" s="80"/>
      <c r="AV1087" s="79"/>
      <c r="AW1087" s="38"/>
      <c r="AX1087" s="79"/>
      <c r="AY1087" s="38"/>
      <c r="AZ1087" s="79"/>
      <c r="BA1087" s="80"/>
      <c r="BB1087" s="79"/>
      <c r="BC1087" s="80"/>
      <c r="BD1087" s="79"/>
      <c r="BE1087" s="38"/>
      <c r="BF1087" s="74"/>
      <c r="BG1087" s="16"/>
      <c r="BH1087" s="16"/>
      <c r="BI1087" s="16"/>
      <c r="BJ1087" s="16"/>
      <c r="BK1087" s="16"/>
      <c r="BL1087" s="16"/>
      <c r="BM1087" s="16"/>
      <c r="BN1087" s="16"/>
      <c r="BO1087" s="16"/>
      <c r="BP1087" s="16"/>
      <c r="BQ1087" s="16"/>
      <c r="BR1087" s="16"/>
      <c r="BS1087" s="16"/>
      <c r="BT1087" s="16"/>
      <c r="BU1087" s="16"/>
      <c r="BV1087" s="16"/>
      <c r="BW1087" s="16"/>
      <c r="BX1087" s="16"/>
      <c r="BY1087" s="16"/>
      <c r="BZ1087" s="16"/>
      <c r="CA1087" s="16"/>
      <c r="CB1087" s="16"/>
      <c r="CC1087" s="16"/>
      <c r="CD1087" s="16"/>
      <c r="CE1087" s="16"/>
      <c r="CF1087" s="16"/>
      <c r="CG1087" s="16"/>
      <c r="CH1087" s="16"/>
      <c r="CI1087" s="16"/>
      <c r="CJ1087" s="16"/>
      <c r="CK1087" s="16"/>
      <c r="CL1087" s="16"/>
      <c r="CM1087" s="16"/>
      <c r="CN1087" s="16"/>
      <c r="CO1087" s="16"/>
      <c r="CP1087" s="16"/>
    </row>
    <row r="1088" ht="15.75" customHeight="1">
      <c r="A1088" s="400" t="s">
        <v>5208</v>
      </c>
      <c r="B1088" s="116" t="s">
        <v>5209</v>
      </c>
      <c r="C1088" s="116" t="s">
        <v>84</v>
      </c>
      <c r="D1088" s="540" t="s">
        <v>5210</v>
      </c>
      <c r="E1088" s="540" t="s">
        <v>5211</v>
      </c>
      <c r="F1088" s="1416" t="s">
        <v>5212</v>
      </c>
      <c r="G1088" s="54" t="s">
        <v>5213</v>
      </c>
      <c r="H1088" s="119" t="s">
        <v>187</v>
      </c>
      <c r="I1088" s="25" t="s">
        <v>1171</v>
      </c>
      <c r="J1088" s="1164" t="s">
        <v>5214</v>
      </c>
      <c r="K1088" s="25">
        <v>3.0</v>
      </c>
      <c r="L1088" s="25">
        <v>2012.0</v>
      </c>
      <c r="M1088" s="25">
        <f t="shared" si="724"/>
        <v>13</v>
      </c>
      <c r="N1088" s="26">
        <f t="shared" si="725"/>
        <v>2</v>
      </c>
      <c r="O1088" s="27" t="str">
        <f t="shared" si="3"/>
        <v>#N/A</v>
      </c>
      <c r="P1088" s="28"/>
      <c r="Q1088" s="28"/>
      <c r="R1088" s="28"/>
      <c r="S1088" s="28"/>
      <c r="T1088" s="29">
        <f t="shared" si="726"/>
        <v>115384.6154</v>
      </c>
      <c r="U1088" s="28"/>
      <c r="V1088" s="30">
        <f t="shared" si="425"/>
        <v>1500000</v>
      </c>
      <c r="W1088" s="30"/>
      <c r="X1088" s="597"/>
      <c r="Y1088" s="33">
        <f t="shared" si="727"/>
        <v>0.05476607648</v>
      </c>
      <c r="Z1088" s="692"/>
      <c r="AA1088" s="665"/>
      <c r="AB1088" s="123"/>
      <c r="AC1088" s="123"/>
      <c r="AD1088" s="975" t="str">
        <f>HYPERLINK("https://www.crunchbase.com/funding_round/rentgrata-pre-seed--fa73637e","Jun 1, 2018")</f>
        <v>Jun 1, 2018</v>
      </c>
      <c r="AE1088" s="1499">
        <v>500000.0</v>
      </c>
      <c r="AF1088" s="1500" t="str">
        <f>HYPERLINK("https://www.americaninno.com/chicago/funding-chicago/apartment-referral-app-raises-1m-to-help-landlords-attract-more-renters/","Oct 1, 2019")</f>
        <v>Oct 1, 2019</v>
      </c>
      <c r="AG1088" s="1365">
        <v>1000000.0</v>
      </c>
      <c r="AH1088" s="55"/>
      <c r="AI1088" s="55"/>
      <c r="AJ1088" s="124"/>
      <c r="AK1088" s="125"/>
      <c r="AL1088" s="124"/>
      <c r="AM1088" s="125"/>
      <c r="AN1088" s="124"/>
      <c r="AO1088" s="125"/>
      <c r="AP1088" s="124"/>
      <c r="AQ1088" s="125"/>
      <c r="AR1088" s="124"/>
      <c r="AS1088" s="124"/>
      <c r="AT1088" s="124"/>
      <c r="AU1088" s="137"/>
      <c r="AV1088" s="124"/>
      <c r="AW1088" s="38"/>
      <c r="AX1088" s="124"/>
      <c r="AY1088" s="38"/>
      <c r="AZ1088" s="124"/>
      <c r="BA1088" s="137"/>
      <c r="BB1088" s="124"/>
      <c r="BC1088" s="137"/>
      <c r="BD1088" s="124"/>
      <c r="BE1088" s="38"/>
      <c r="BF1088" s="123"/>
      <c r="BG1088" s="16"/>
      <c r="BH1088" s="16"/>
      <c r="BI1088" s="16"/>
      <c r="BJ1088" s="16"/>
      <c r="BK1088" s="16"/>
      <c r="BL1088" s="16"/>
      <c r="BM1088" s="16"/>
      <c r="BN1088" s="16"/>
      <c r="BO1088" s="16"/>
      <c r="BP1088" s="16"/>
      <c r="BQ1088" s="16"/>
      <c r="BR1088" s="16"/>
      <c r="BS1088" s="16"/>
      <c r="BT1088" s="16"/>
      <c r="BU1088" s="16"/>
      <c r="BV1088" s="16"/>
      <c r="BW1088" s="16"/>
      <c r="BX1088" s="16"/>
      <c r="BY1088" s="16"/>
      <c r="BZ1088" s="16"/>
      <c r="CA1088" s="16"/>
      <c r="CB1088" s="16"/>
      <c r="CC1088" s="16"/>
      <c r="CD1088" s="16"/>
      <c r="CE1088" s="16"/>
      <c r="CF1088" s="16"/>
      <c r="CG1088" s="16"/>
      <c r="CH1088" s="16"/>
      <c r="CI1088" s="16"/>
      <c r="CJ1088" s="16"/>
      <c r="CK1088" s="16"/>
      <c r="CL1088" s="16"/>
      <c r="CM1088" s="16"/>
      <c r="CN1088" s="16"/>
      <c r="CO1088" s="16"/>
      <c r="CP1088" s="16"/>
    </row>
    <row r="1089" ht="15.75" customHeight="1">
      <c r="A1089" s="48" t="s">
        <v>5215</v>
      </c>
      <c r="B1089" s="68"/>
      <c r="C1089" s="69" t="s">
        <v>123</v>
      </c>
      <c r="D1089" s="138" t="s">
        <v>5216</v>
      </c>
      <c r="E1089" s="864" t="s">
        <v>5217</v>
      </c>
      <c r="F1089" s="154" t="s">
        <v>5218</v>
      </c>
      <c r="G1089" s="71" t="s">
        <v>5219</v>
      </c>
      <c r="H1089" s="71" t="s">
        <v>371</v>
      </c>
      <c r="I1089" s="26" t="s">
        <v>372</v>
      </c>
      <c r="J1089" s="155"/>
      <c r="K1089" s="26">
        <v>3.0</v>
      </c>
      <c r="L1089" s="26">
        <v>2018.0</v>
      </c>
      <c r="M1089" s="25">
        <f t="shared" si="724"/>
        <v>7</v>
      </c>
      <c r="N1089" s="26">
        <f t="shared" si="725"/>
        <v>1</v>
      </c>
      <c r="O1089" s="27" t="str">
        <f t="shared" si="3"/>
        <v>#N/A</v>
      </c>
      <c r="P1089" s="28"/>
      <c r="Q1089" s="28"/>
      <c r="R1089" s="28"/>
      <c r="S1089" s="28"/>
      <c r="T1089" s="29">
        <f t="shared" si="726"/>
        <v>214285.7143</v>
      </c>
      <c r="U1089" s="28"/>
      <c r="V1089" s="30">
        <f t="shared" si="425"/>
        <v>1500000</v>
      </c>
      <c r="W1089" s="30"/>
      <c r="X1089" s="73"/>
      <c r="Y1089" s="33">
        <f t="shared" si="727"/>
        <v>0</v>
      </c>
      <c r="Z1089" s="692"/>
      <c r="AA1089" s="665"/>
      <c r="AB1089" s="76"/>
      <c r="AC1089" s="74"/>
      <c r="AD1089" s="175" t="str">
        <f>HYPERLINK("https://www.crunchbase.com/funding_round/placense-pre-seed--07b9ec59"," Aug 1, 2018")</f>
        <v> Aug 1, 2018</v>
      </c>
      <c r="AE1089" s="76">
        <v>1500000.0</v>
      </c>
      <c r="AF1089" s="55"/>
      <c r="AG1089" s="55"/>
      <c r="AH1089" s="77"/>
      <c r="AI1089" s="78"/>
      <c r="AJ1089" s="279"/>
      <c r="AK1089" s="865"/>
      <c r="AL1089" s="79"/>
      <c r="AM1089" s="84"/>
      <c r="AN1089" s="79"/>
      <c r="AO1089" s="84"/>
      <c r="AP1089" s="79"/>
      <c r="AQ1089" s="84"/>
      <c r="AR1089" s="79"/>
      <c r="AS1089" s="79"/>
      <c r="AT1089" s="79"/>
      <c r="AU1089" s="80"/>
      <c r="AV1089" s="79"/>
      <c r="AW1089" s="38"/>
      <c r="AX1089" s="79"/>
      <c r="AY1089" s="38"/>
      <c r="AZ1089" s="79"/>
      <c r="BA1089" s="80"/>
      <c r="BB1089" s="79"/>
      <c r="BC1089" s="80"/>
      <c r="BD1089" s="79"/>
      <c r="BE1089" s="38"/>
      <c r="BF1089" s="74"/>
      <c r="BG1089" s="16"/>
      <c r="BH1089" s="16"/>
      <c r="BI1089" s="16"/>
      <c r="BJ1089" s="16"/>
      <c r="BK1089" s="16"/>
      <c r="BL1089" s="16"/>
      <c r="BM1089" s="16"/>
      <c r="BN1089" s="16"/>
      <c r="BO1089" s="16"/>
      <c r="BP1089" s="16"/>
      <c r="BQ1089" s="16"/>
      <c r="BR1089" s="16"/>
      <c r="BS1089" s="16"/>
      <c r="BT1089" s="16"/>
      <c r="BU1089" s="16"/>
      <c r="BV1089" s="16"/>
      <c r="BW1089" s="16"/>
      <c r="BX1089" s="16"/>
      <c r="BY1089" s="16"/>
      <c r="BZ1089" s="16"/>
      <c r="CA1089" s="16"/>
      <c r="CB1089" s="16"/>
      <c r="CC1089" s="16"/>
      <c r="CD1089" s="16"/>
      <c r="CE1089" s="16"/>
      <c r="CF1089" s="16"/>
      <c r="CG1089" s="16"/>
      <c r="CH1089" s="16"/>
      <c r="CI1089" s="16"/>
      <c r="CJ1089" s="16"/>
      <c r="CK1089" s="16"/>
      <c r="CL1089" s="16"/>
      <c r="CM1089" s="16"/>
      <c r="CN1089" s="16"/>
      <c r="CO1089" s="16"/>
      <c r="CP1089" s="16"/>
    </row>
    <row r="1090" ht="15.75" customHeight="1">
      <c r="A1090" s="1493" t="s">
        <v>5220</v>
      </c>
      <c r="B1090" s="16"/>
      <c r="C1090" s="17" t="s">
        <v>427</v>
      </c>
      <c r="D1090" s="231" t="s">
        <v>5221</v>
      </c>
      <c r="E1090" s="270" t="s">
        <v>5222</v>
      </c>
      <c r="F1090" s="803" t="s">
        <v>5223</v>
      </c>
      <c r="G1090" s="22" t="s">
        <v>5224</v>
      </c>
      <c r="H1090" s="22" t="s">
        <v>2169</v>
      </c>
      <c r="I1090" s="23" t="s">
        <v>2171</v>
      </c>
      <c r="J1090" s="24" t="s">
        <v>5225</v>
      </c>
      <c r="K1090" s="23">
        <v>1.0</v>
      </c>
      <c r="L1090" s="23">
        <v>2022.0</v>
      </c>
      <c r="M1090" s="222"/>
      <c r="N1090" s="23"/>
      <c r="O1090" s="27" t="str">
        <f t="shared" si="3"/>
        <v>#N/A</v>
      </c>
      <c r="P1090" s="28"/>
      <c r="Q1090" s="28"/>
      <c r="R1090" s="28"/>
      <c r="S1090" s="28"/>
      <c r="T1090" s="28"/>
      <c r="U1090" s="28"/>
      <c r="V1090" s="30">
        <f t="shared" si="425"/>
        <v>1500000</v>
      </c>
      <c r="W1090" s="30"/>
      <c r="X1090" s="33"/>
      <c r="Y1090" s="33"/>
      <c r="Z1090" s="692"/>
      <c r="AA1090" s="665"/>
      <c r="AB1090" s="36"/>
      <c r="AC1090" s="36"/>
      <c r="AD1090" s="227">
        <v>44762.0</v>
      </c>
      <c r="AE1090" s="38">
        <v>1500000.0</v>
      </c>
      <c r="AF1090" s="39"/>
      <c r="AG1090" s="38"/>
      <c r="AH1090" s="226"/>
      <c r="AI1090" s="38"/>
      <c r="AJ1090" s="37"/>
      <c r="AK1090" s="38"/>
      <c r="AL1090" s="37"/>
      <c r="AM1090" s="38"/>
      <c r="AN1090" s="44"/>
      <c r="AO1090" s="46"/>
      <c r="AP1090" s="44"/>
      <c r="AQ1090" s="46"/>
      <c r="AR1090" s="44"/>
      <c r="AS1090" s="44"/>
      <c r="AT1090" s="44"/>
      <c r="AU1090" s="45"/>
      <c r="AV1090" s="44"/>
      <c r="AW1090" s="38"/>
      <c r="AX1090" s="44"/>
      <c r="AY1090" s="38"/>
      <c r="AZ1090" s="44"/>
      <c r="BA1090" s="45"/>
      <c r="BB1090" s="44"/>
      <c r="BC1090" s="45"/>
      <c r="BD1090" s="44"/>
      <c r="BE1090" s="38"/>
      <c r="BF1090" s="36"/>
      <c r="BG1090" s="66"/>
      <c r="BH1090" s="66"/>
      <c r="BI1090" s="66"/>
      <c r="BJ1090" s="66"/>
      <c r="BK1090" s="66"/>
      <c r="BL1090" s="66"/>
      <c r="BM1090" s="66"/>
      <c r="BN1090" s="66"/>
      <c r="BO1090" s="66"/>
      <c r="BP1090" s="66"/>
      <c r="BQ1090" s="66"/>
      <c r="BR1090" s="66"/>
      <c r="BS1090" s="66"/>
      <c r="BT1090" s="66"/>
      <c r="BU1090" s="66"/>
      <c r="BV1090" s="66"/>
      <c r="BW1090" s="66"/>
      <c r="BX1090" s="66"/>
      <c r="BY1090" s="66"/>
      <c r="BZ1090" s="66"/>
      <c r="CA1090" s="66"/>
      <c r="CB1090" s="66"/>
      <c r="CC1090" s="66"/>
      <c r="CD1090" s="66"/>
      <c r="CE1090" s="66"/>
      <c r="CF1090" s="66"/>
      <c r="CG1090" s="66"/>
      <c r="CH1090" s="66"/>
      <c r="CI1090" s="66"/>
      <c r="CJ1090" s="66"/>
      <c r="CK1090" s="66"/>
      <c r="CL1090" s="66"/>
      <c r="CM1090" s="66"/>
      <c r="CN1090" s="66"/>
      <c r="CO1090" s="66"/>
      <c r="CP1090" s="66"/>
    </row>
    <row r="1091" ht="15.75" customHeight="1">
      <c r="A1091" s="400" t="s">
        <v>5226</v>
      </c>
      <c r="B1091" s="115"/>
      <c r="C1091" s="116" t="s">
        <v>513</v>
      </c>
      <c r="D1091" s="449"/>
      <c r="E1091" s="161" t="s">
        <v>5227</v>
      </c>
      <c r="F1091" s="708" t="s">
        <v>5228</v>
      </c>
      <c r="G1091" s="286"/>
      <c r="H1091" s="119" t="s">
        <v>128</v>
      </c>
      <c r="I1091" s="25" t="s">
        <v>129</v>
      </c>
      <c r="J1091" s="287"/>
      <c r="K1091" s="25">
        <v>1.0</v>
      </c>
      <c r="L1091" s="25">
        <v>2021.0</v>
      </c>
      <c r="M1091" s="123"/>
      <c r="N1091" s="123"/>
      <c r="O1091" s="27" t="str">
        <f t="shared" si="3"/>
        <v>#N/A</v>
      </c>
      <c r="P1091" s="55"/>
      <c r="Q1091" s="55"/>
      <c r="R1091" s="55"/>
      <c r="S1091" s="55"/>
      <c r="T1091" s="55"/>
      <c r="U1091" s="55"/>
      <c r="V1091" s="30">
        <f t="shared" si="425"/>
        <v>1500000</v>
      </c>
      <c r="W1091" s="30"/>
      <c r="X1091" s="403"/>
      <c r="Y1091" s="403"/>
      <c r="Z1091" s="692"/>
      <c r="AA1091" s="665"/>
      <c r="AB1091" s="123"/>
      <c r="AC1091" s="123"/>
      <c r="AD1091" s="452"/>
      <c r="AE1091" s="123"/>
      <c r="AF1091" s="880">
        <v>44509.0</v>
      </c>
      <c r="AG1091" s="1342">
        <v>1500000.0</v>
      </c>
      <c r="AH1091" s="123"/>
      <c r="AI1091" s="123"/>
      <c r="AJ1091" s="123"/>
      <c r="AK1091" s="123"/>
      <c r="AL1091" s="123"/>
      <c r="AM1091" s="123"/>
      <c r="AN1091" s="123"/>
      <c r="AO1091" s="123"/>
      <c r="AP1091" s="123"/>
      <c r="AQ1091" s="123"/>
      <c r="AR1091" s="123"/>
      <c r="AS1091" s="123"/>
      <c r="AT1091" s="123"/>
      <c r="AU1091" s="137"/>
      <c r="AV1091" s="123"/>
      <c r="AW1091" s="38"/>
      <c r="AX1091" s="123"/>
      <c r="AY1091" s="38"/>
      <c r="AZ1091" s="123"/>
      <c r="BA1091" s="137"/>
      <c r="BB1091" s="123"/>
      <c r="BC1091" s="137"/>
      <c r="BD1091" s="123"/>
      <c r="BE1091" s="38"/>
      <c r="BF1091" s="123"/>
      <c r="BG1091" s="16"/>
      <c r="BH1091" s="16"/>
      <c r="BI1091" s="16"/>
      <c r="BJ1091" s="16"/>
      <c r="BK1091" s="16"/>
      <c r="BL1091" s="16"/>
      <c r="BM1091" s="16"/>
      <c r="BN1091" s="16"/>
      <c r="BO1091" s="16"/>
      <c r="BP1091" s="16"/>
      <c r="BQ1091" s="16"/>
      <c r="BR1091" s="16"/>
      <c r="BS1091" s="16"/>
      <c r="BT1091" s="16"/>
      <c r="BU1091" s="16"/>
      <c r="BV1091" s="16"/>
      <c r="BW1091" s="16"/>
      <c r="BX1091" s="16"/>
      <c r="BY1091" s="16"/>
      <c r="BZ1091" s="16"/>
      <c r="CA1091" s="16"/>
      <c r="CB1091" s="16"/>
      <c r="CC1091" s="16"/>
      <c r="CD1091" s="16"/>
      <c r="CE1091" s="16"/>
      <c r="CF1091" s="16"/>
      <c r="CG1091" s="16"/>
      <c r="CH1091" s="16"/>
      <c r="CI1091" s="16"/>
      <c r="CJ1091" s="16"/>
      <c r="CK1091" s="16"/>
      <c r="CL1091" s="16"/>
      <c r="CM1091" s="16"/>
      <c r="CN1091" s="16"/>
      <c r="CO1091" s="16"/>
      <c r="CP1091" s="16"/>
    </row>
    <row r="1092" ht="15.75" customHeight="1">
      <c r="A1092" s="400" t="s">
        <v>5229</v>
      </c>
      <c r="B1092" s="115"/>
      <c r="C1092" s="116" t="s">
        <v>84</v>
      </c>
      <c r="D1092" s="401" t="s">
        <v>5230</v>
      </c>
      <c r="E1092" s="161" t="s">
        <v>5231</v>
      </c>
      <c r="F1092" s="402" t="s">
        <v>5232</v>
      </c>
      <c r="G1092" s="286"/>
      <c r="H1092" s="54" t="s">
        <v>5233</v>
      </c>
      <c r="I1092" s="25" t="s">
        <v>65</v>
      </c>
      <c r="J1092" s="287"/>
      <c r="K1092" s="25">
        <v>3.0</v>
      </c>
      <c r="L1092" s="25">
        <v>2018.0</v>
      </c>
      <c r="M1092" s="123"/>
      <c r="N1092" s="123"/>
      <c r="O1092" s="27" t="str">
        <f t="shared" si="3"/>
        <v>#N/A</v>
      </c>
      <c r="P1092" s="55"/>
      <c r="Q1092" s="55"/>
      <c r="R1092" s="55"/>
      <c r="S1092" s="55"/>
      <c r="T1092" s="55"/>
      <c r="U1092" s="55"/>
      <c r="V1092" s="30">
        <f t="shared" si="425"/>
        <v>1500000</v>
      </c>
      <c r="W1092" s="30"/>
      <c r="X1092" s="403"/>
      <c r="Y1092" s="403"/>
      <c r="Z1092" s="692"/>
      <c r="AA1092" s="665"/>
      <c r="AB1092" s="123"/>
      <c r="AC1092" s="123"/>
      <c r="AD1092" s="355"/>
      <c r="AE1092" s="38"/>
      <c r="AF1092" s="62">
        <v>44876.0</v>
      </c>
      <c r="AG1092" s="38">
        <v>1500000.0</v>
      </c>
      <c r="AH1092" s="123"/>
      <c r="AI1092" s="123"/>
      <c r="AJ1092" s="123"/>
      <c r="AK1092" s="38"/>
      <c r="AL1092" s="123"/>
      <c r="AM1092" s="123"/>
      <c r="AN1092" s="123"/>
      <c r="AO1092" s="123"/>
      <c r="AP1092" s="123"/>
      <c r="AQ1092" s="123"/>
      <c r="AR1092" s="123"/>
      <c r="AS1092" s="123"/>
      <c r="AT1092" s="123"/>
      <c r="AU1092" s="137"/>
      <c r="AV1092" s="123"/>
      <c r="AW1092" s="38"/>
      <c r="AX1092" s="123"/>
      <c r="AY1092" s="38"/>
      <c r="AZ1092" s="123"/>
      <c r="BA1092" s="137"/>
      <c r="BB1092" s="123"/>
      <c r="BC1092" s="137"/>
      <c r="BD1092" s="123"/>
      <c r="BE1092" s="38"/>
      <c r="BF1092" s="123"/>
      <c r="BG1092" s="16"/>
      <c r="BH1092" s="16"/>
      <c r="BI1092" s="16"/>
      <c r="BJ1092" s="16"/>
      <c r="BK1092" s="16"/>
      <c r="BL1092" s="16"/>
      <c r="BM1092" s="16"/>
      <c r="BN1092" s="16"/>
      <c r="BO1092" s="16"/>
      <c r="BP1092" s="16"/>
      <c r="BQ1092" s="16"/>
      <c r="BR1092" s="16"/>
      <c r="BS1092" s="16"/>
      <c r="BT1092" s="16"/>
      <c r="BU1092" s="16"/>
      <c r="BV1092" s="16"/>
      <c r="BW1092" s="16"/>
      <c r="BX1092" s="16"/>
      <c r="BY1092" s="16"/>
      <c r="BZ1092" s="16"/>
      <c r="CA1092" s="16"/>
      <c r="CB1092" s="16"/>
      <c r="CC1092" s="16"/>
      <c r="CD1092" s="16"/>
      <c r="CE1092" s="16"/>
      <c r="CF1092" s="16"/>
      <c r="CG1092" s="16"/>
      <c r="CH1092" s="16"/>
      <c r="CI1092" s="16"/>
      <c r="CJ1092" s="16"/>
      <c r="CK1092" s="16"/>
      <c r="CL1092" s="16"/>
      <c r="CM1092" s="16"/>
      <c r="CN1092" s="16"/>
      <c r="CO1092" s="16"/>
      <c r="CP1092" s="16"/>
    </row>
    <row r="1093" ht="15.75" customHeight="1">
      <c r="A1093" s="47" t="s">
        <v>5234</v>
      </c>
      <c r="C1093" s="48" t="s">
        <v>267</v>
      </c>
      <c r="D1093" s="49" t="s">
        <v>5235</v>
      </c>
      <c r="E1093" s="617" t="s">
        <v>5236</v>
      </c>
      <c r="F1093" s="352" t="s">
        <v>5237</v>
      </c>
      <c r="G1093" s="353"/>
      <c r="H1093" s="53" t="s">
        <v>2095</v>
      </c>
      <c r="I1093" s="54" t="s">
        <v>748</v>
      </c>
      <c r="J1093" s="55"/>
      <c r="K1093" s="54">
        <v>3.0</v>
      </c>
      <c r="L1093" s="56">
        <v>2020.0</v>
      </c>
      <c r="M1093" s="55"/>
      <c r="N1093" s="55"/>
      <c r="O1093" s="27" t="str">
        <f t="shared" si="3"/>
        <v>#N/A</v>
      </c>
      <c r="P1093" s="55"/>
      <c r="Q1093" s="55"/>
      <c r="R1093" s="55"/>
      <c r="S1093" s="55"/>
      <c r="T1093" s="55"/>
      <c r="U1093" s="55"/>
      <c r="V1093" s="30">
        <f t="shared" si="425"/>
        <v>1500000</v>
      </c>
      <c r="W1093" s="30"/>
      <c r="X1093" s="58"/>
      <c r="Y1093" s="58"/>
      <c r="Z1093" s="692"/>
      <c r="AA1093" s="665"/>
      <c r="AB1093" s="55"/>
      <c r="AC1093" s="55"/>
      <c r="AD1093" s="355"/>
      <c r="AE1093" s="55"/>
      <c r="AF1093" s="62">
        <v>44901.0</v>
      </c>
      <c r="AG1093" s="38">
        <v>1500000.0</v>
      </c>
      <c r="AH1093" s="55"/>
      <c r="AI1093" s="55"/>
      <c r="AJ1093" s="55"/>
      <c r="AK1093" s="55"/>
      <c r="AL1093" s="55"/>
      <c r="AM1093" s="55"/>
      <c r="AN1093" s="55"/>
      <c r="AO1093" s="55"/>
      <c r="AP1093" s="356"/>
      <c r="AQ1093" s="356"/>
      <c r="AR1093" s="55"/>
      <c r="AS1093" s="55"/>
      <c r="AT1093" s="55"/>
      <c r="AU1093" s="722"/>
      <c r="AV1093" s="55"/>
      <c r="AW1093" s="38"/>
      <c r="AX1093" s="55"/>
      <c r="AY1093" s="38"/>
      <c r="AZ1093" s="55"/>
      <c r="BA1093" s="722"/>
      <c r="BB1093" s="55"/>
      <c r="BC1093" s="722"/>
      <c r="BD1093" s="55"/>
      <c r="BE1093" s="38"/>
      <c r="BF1093" s="55"/>
      <c r="BG1093" s="66"/>
      <c r="BH1093" s="66"/>
      <c r="BI1093" s="66"/>
      <c r="BJ1093" s="66"/>
      <c r="BK1093" s="66"/>
      <c r="BL1093" s="66"/>
      <c r="BM1093" s="66"/>
      <c r="BN1093" s="66"/>
      <c r="BO1093" s="66"/>
      <c r="BP1093" s="66"/>
      <c r="BQ1093" s="66"/>
      <c r="BR1093" s="66"/>
      <c r="BS1093" s="66"/>
      <c r="BT1093" s="66"/>
      <c r="BU1093" s="66"/>
      <c r="BV1093" s="66"/>
      <c r="BW1093" s="66"/>
      <c r="BX1093" s="66"/>
      <c r="BY1093" s="66"/>
      <c r="BZ1093" s="66"/>
      <c r="CA1093" s="66"/>
      <c r="CB1093" s="66"/>
      <c r="CC1093" s="66"/>
      <c r="CD1093" s="66"/>
      <c r="CE1093" s="66"/>
      <c r="CF1093" s="66"/>
      <c r="CG1093" s="66"/>
      <c r="CH1093" s="66"/>
      <c r="CI1093" s="66"/>
      <c r="CJ1093" s="66"/>
      <c r="CK1093" s="66"/>
      <c r="CL1093" s="66"/>
      <c r="CM1093" s="66"/>
      <c r="CN1093" s="66"/>
      <c r="CO1093" s="66"/>
      <c r="CP1093" s="66"/>
    </row>
    <row r="1094" ht="15.75" customHeight="1">
      <c r="A1094" s="47" t="s">
        <v>5238</v>
      </c>
      <c r="C1094" s="48" t="s">
        <v>76</v>
      </c>
      <c r="D1094" s="49" t="s">
        <v>5239</v>
      </c>
      <c r="E1094" s="49" t="s">
        <v>5240</v>
      </c>
      <c r="F1094" s="352" t="s">
        <v>5241</v>
      </c>
      <c r="G1094" s="353"/>
      <c r="H1094" s="53" t="s">
        <v>1065</v>
      </c>
      <c r="I1094" s="54" t="s">
        <v>639</v>
      </c>
      <c r="J1094" s="55"/>
      <c r="K1094" s="54">
        <v>1.0</v>
      </c>
      <c r="L1094" s="56">
        <v>2018.0</v>
      </c>
      <c r="M1094" s="55"/>
      <c r="N1094" s="55"/>
      <c r="O1094" s="27" t="str">
        <f t="shared" si="3"/>
        <v>#N/A</v>
      </c>
      <c r="P1094" s="55"/>
      <c r="Q1094" s="55"/>
      <c r="R1094" s="55"/>
      <c r="S1094" s="55"/>
      <c r="T1094" s="55"/>
      <c r="U1094" s="55"/>
      <c r="V1094" s="30">
        <f t="shared" si="425"/>
        <v>1500000</v>
      </c>
      <c r="W1094" s="30"/>
      <c r="X1094" s="58"/>
      <c r="Y1094" s="58"/>
      <c r="Z1094" s="692"/>
      <c r="AA1094" s="665"/>
      <c r="AB1094" s="55"/>
      <c r="AC1094" s="55"/>
      <c r="AD1094" s="62">
        <v>44992.0</v>
      </c>
      <c r="AE1094" s="38">
        <v>1500000.0</v>
      </c>
      <c r="AF1094" s="355"/>
      <c r="AG1094" s="38"/>
      <c r="AH1094" s="55"/>
      <c r="AI1094" s="38"/>
      <c r="AJ1094" s="55"/>
      <c r="AK1094" s="38"/>
      <c r="AL1094" s="55"/>
      <c r="AM1094" s="38"/>
      <c r="AN1094" s="55"/>
      <c r="AO1094" s="38"/>
      <c r="AP1094" s="356"/>
      <c r="AQ1094" s="38"/>
      <c r="AR1094" s="55"/>
      <c r="AS1094" s="38"/>
      <c r="AT1094" s="55"/>
      <c r="AU1094" s="38"/>
      <c r="AV1094" s="55"/>
      <c r="AW1094" s="38"/>
      <c r="AX1094" s="55"/>
      <c r="AY1094" s="38"/>
      <c r="AZ1094" s="55"/>
      <c r="BA1094" s="38"/>
      <c r="BB1094" s="55"/>
      <c r="BC1094" s="38"/>
      <c r="BD1094" s="55"/>
      <c r="BE1094" s="38"/>
      <c r="BF1094" s="55"/>
      <c r="BG1094" s="66"/>
      <c r="BH1094" s="66"/>
      <c r="BI1094" s="66"/>
      <c r="BJ1094" s="66"/>
      <c r="BK1094" s="66"/>
      <c r="BL1094" s="66"/>
      <c r="BM1094" s="66"/>
      <c r="BN1094" s="66"/>
      <c r="BO1094" s="66"/>
      <c r="BP1094" s="66"/>
      <c r="BQ1094" s="66"/>
      <c r="BR1094" s="66"/>
      <c r="BS1094" s="66"/>
      <c r="BT1094" s="66"/>
      <c r="BU1094" s="66"/>
      <c r="BV1094" s="66"/>
      <c r="BW1094" s="66"/>
      <c r="BX1094" s="66"/>
      <c r="BY1094" s="66"/>
      <c r="BZ1094" s="66"/>
      <c r="CA1094" s="66"/>
      <c r="CB1094" s="66"/>
      <c r="CC1094" s="66"/>
      <c r="CD1094" s="66"/>
      <c r="CE1094" s="66"/>
      <c r="CF1094" s="66"/>
      <c r="CG1094" s="66"/>
      <c r="CH1094" s="66"/>
      <c r="CI1094" s="66"/>
      <c r="CJ1094" s="66"/>
      <c r="CK1094" s="66"/>
      <c r="CL1094" s="66"/>
      <c r="CM1094" s="66"/>
      <c r="CN1094" s="66"/>
      <c r="CO1094" s="66"/>
      <c r="CP1094" s="66"/>
    </row>
    <row r="1095" ht="15.75" customHeight="1">
      <c r="A1095" s="442" t="s">
        <v>5242</v>
      </c>
      <c r="B1095" s="68" t="s">
        <v>5243</v>
      </c>
      <c r="C1095" s="116" t="s">
        <v>5244</v>
      </c>
      <c r="D1095" s="200" t="s">
        <v>5245</v>
      </c>
      <c r="E1095" s="200" t="s">
        <v>5246</v>
      </c>
      <c r="F1095" s="173" t="s">
        <v>5247</v>
      </c>
      <c r="G1095" s="140" t="s">
        <v>3273</v>
      </c>
      <c r="H1095" s="186" t="s">
        <v>128</v>
      </c>
      <c r="I1095" s="74" t="s">
        <v>156</v>
      </c>
      <c r="J1095" s="155"/>
      <c r="K1095" s="74" t="s">
        <v>723</v>
      </c>
      <c r="L1095" s="26">
        <v>2012.0</v>
      </c>
      <c r="M1095" s="25">
        <f t="shared" ref="M1095:M1097" si="728">year(now()) -L1095</f>
        <v>13</v>
      </c>
      <c r="N1095" s="26">
        <f t="shared" ref="N1095:N1097" si="729">counta(AE1095,AG1095,AI1095,AK1095,AM1095,AO1095,AQ1095,AS1095,AU1095,AW1095,AY1095,BA1095,BC1095)</f>
        <v>2</v>
      </c>
      <c r="O1095" s="27" t="str">
        <f t="shared" si="3"/>
        <v>#N/A</v>
      </c>
      <c r="P1095" s="28"/>
      <c r="Q1095" s="28"/>
      <c r="R1095" s="28"/>
      <c r="S1095" s="28"/>
      <c r="T1095" s="29">
        <f t="shared" ref="T1095:T1097" si="730">V1095/M1095</f>
        <v>110000</v>
      </c>
      <c r="U1095" s="28"/>
      <c r="V1095" s="30">
        <f t="shared" si="425"/>
        <v>1430000</v>
      </c>
      <c r="W1095" s="30"/>
      <c r="X1095" s="32"/>
      <c r="Y1095" s="33">
        <f t="shared" ref="Y1095:Y1097" si="731">(max(AE1095,AG1095,AI1095,AK1095,AM1095,AO1095,AQ1095,AS1095,AU1095,AW1095,AY1095,BA1095,BC1095)/min(AE1095,AG1095,AI1095,AK1095))^(1/M1095)-1</f>
        <v>0</v>
      </c>
      <c r="Z1095" s="692"/>
      <c r="AA1095" s="665"/>
      <c r="AB1095" s="74"/>
      <c r="AC1095" s="74"/>
      <c r="AD1095" s="181" t="str">
        <f>HYPERLINK("https://www.crunchbase.com/funding_round/prokore-pre-seed--f7ed70a9","May 1, 2018")</f>
        <v>May 1, 2018</v>
      </c>
      <c r="AE1095" s="76">
        <v>715000.0</v>
      </c>
      <c r="AF1095" s="175" t="str">
        <f>HYPERLINK("https://www.crunchbase.com/organization/prokore#section-funding-rounds2"," May 29, 2019")</f>
        <v> May 29, 2019</v>
      </c>
      <c r="AG1095" s="84">
        <v>715000.0</v>
      </c>
      <c r="AH1095" s="74"/>
      <c r="AI1095" s="78"/>
      <c r="AJ1095" s="79"/>
      <c r="AK1095" s="84"/>
      <c r="AL1095" s="79"/>
      <c r="AM1095" s="84"/>
      <c r="AN1095" s="79"/>
      <c r="AO1095" s="84"/>
      <c r="AP1095" s="79"/>
      <c r="AQ1095" s="84"/>
      <c r="AR1095" s="79"/>
      <c r="AS1095" s="79"/>
      <c r="AT1095" s="79"/>
      <c r="AU1095" s="80"/>
      <c r="AV1095" s="79"/>
      <c r="AW1095" s="38"/>
      <c r="AX1095" s="79"/>
      <c r="AY1095" s="38"/>
      <c r="AZ1095" s="79"/>
      <c r="BA1095" s="80"/>
      <c r="BB1095" s="79"/>
      <c r="BC1095" s="80"/>
      <c r="BD1095" s="79"/>
      <c r="BE1095" s="38"/>
      <c r="BF1095" s="74"/>
      <c r="BG1095" s="16"/>
      <c r="BH1095" s="16"/>
      <c r="BI1095" s="16"/>
      <c r="BJ1095" s="16"/>
      <c r="BK1095" s="16"/>
      <c r="BL1095" s="16"/>
      <c r="BM1095" s="16"/>
      <c r="BN1095" s="16"/>
      <c r="BO1095" s="16"/>
      <c r="BP1095" s="16"/>
      <c r="BQ1095" s="16"/>
      <c r="BR1095" s="16"/>
      <c r="BS1095" s="16"/>
      <c r="BT1095" s="16"/>
      <c r="BU1095" s="16"/>
      <c r="BV1095" s="16"/>
      <c r="BW1095" s="16"/>
      <c r="BX1095" s="16"/>
      <c r="BY1095" s="16"/>
      <c r="BZ1095" s="16"/>
      <c r="CA1095" s="16"/>
      <c r="CB1095" s="16"/>
      <c r="CC1095" s="16"/>
      <c r="CD1095" s="16"/>
      <c r="CE1095" s="16"/>
      <c r="CF1095" s="16"/>
      <c r="CG1095" s="16"/>
      <c r="CH1095" s="16"/>
      <c r="CI1095" s="16"/>
      <c r="CJ1095" s="16"/>
      <c r="CK1095" s="16"/>
      <c r="CL1095" s="16"/>
      <c r="CM1095" s="16"/>
      <c r="CN1095" s="16"/>
      <c r="CO1095" s="16"/>
      <c r="CP1095" s="16"/>
    </row>
    <row r="1096" ht="15.75" customHeight="1">
      <c r="A1096" s="21" t="s">
        <v>5248</v>
      </c>
      <c r="B1096" s="68"/>
      <c r="C1096" s="69" t="s">
        <v>123</v>
      </c>
      <c r="D1096" s="138" t="s">
        <v>5249</v>
      </c>
      <c r="E1096" s="138" t="s">
        <v>5250</v>
      </c>
      <c r="F1096" s="173" t="s">
        <v>5251</v>
      </c>
      <c r="G1096" s="186"/>
      <c r="H1096" s="71" t="s">
        <v>937</v>
      </c>
      <c r="I1096" s="26" t="s">
        <v>65</v>
      </c>
      <c r="J1096" s="155"/>
      <c r="K1096" s="26">
        <v>1.0</v>
      </c>
      <c r="L1096" s="26">
        <v>2000.0</v>
      </c>
      <c r="M1096" s="25">
        <f t="shared" si="728"/>
        <v>25</v>
      </c>
      <c r="N1096" s="26">
        <f t="shared" si="729"/>
        <v>1</v>
      </c>
      <c r="O1096" s="27" t="str">
        <f t="shared" si="3"/>
        <v>#N/A</v>
      </c>
      <c r="P1096" s="28"/>
      <c r="Q1096" s="28"/>
      <c r="R1096" s="28"/>
      <c r="S1096" s="28"/>
      <c r="T1096" s="29">
        <f t="shared" si="730"/>
        <v>56000</v>
      </c>
      <c r="U1096" s="28"/>
      <c r="V1096" s="30">
        <f t="shared" si="425"/>
        <v>1400000</v>
      </c>
      <c r="W1096" s="30"/>
      <c r="X1096" s="73"/>
      <c r="Y1096" s="33" t="str">
        <f t="shared" si="731"/>
        <v>#DIV/0!</v>
      </c>
      <c r="Z1096" s="692"/>
      <c r="AA1096" s="665"/>
      <c r="AB1096" s="74"/>
      <c r="AC1096" s="74"/>
      <c r="AD1096" s="44"/>
      <c r="AE1096" s="46"/>
      <c r="AF1096" s="39"/>
      <c r="AG1096" s="46"/>
      <c r="AH1096" s="36"/>
      <c r="AI1096" s="159"/>
      <c r="AJ1096" s="44"/>
      <c r="AK1096" s="46"/>
      <c r="AL1096" s="44"/>
      <c r="AM1096" s="46"/>
      <c r="AN1096" s="228" t="str">
        <f>HYPERLINK("https://www.crunchbase.com/organization/digital-map-products#section-funding-rounds"," Mar 9, 2005")</f>
        <v> Mar 9, 2005</v>
      </c>
      <c r="AO1096" s="38">
        <v>1400000.0</v>
      </c>
      <c r="AP1096" s="37"/>
      <c r="AQ1096" s="38"/>
      <c r="AR1096" s="37"/>
      <c r="AS1096" s="37"/>
      <c r="AT1096" s="37"/>
      <c r="AU1096" s="229"/>
      <c r="AV1096" s="37"/>
      <c r="AW1096" s="38"/>
      <c r="AX1096" s="37"/>
      <c r="AY1096" s="38"/>
      <c r="AZ1096" s="37"/>
      <c r="BA1096" s="229"/>
      <c r="BB1096" s="37"/>
      <c r="BC1096" s="229"/>
      <c r="BD1096" s="37"/>
      <c r="BE1096" s="38"/>
      <c r="BF1096" s="36"/>
      <c r="BG1096" s="16"/>
      <c r="BH1096" s="16"/>
      <c r="BI1096" s="16"/>
      <c r="BJ1096" s="16"/>
      <c r="BK1096" s="16"/>
      <c r="BL1096" s="16"/>
      <c r="BM1096" s="16"/>
      <c r="BN1096" s="16"/>
      <c r="BO1096" s="16"/>
      <c r="BP1096" s="16"/>
      <c r="BQ1096" s="16"/>
      <c r="BR1096" s="16"/>
      <c r="BS1096" s="16"/>
      <c r="BT1096" s="16"/>
      <c r="BU1096" s="16"/>
      <c r="BV1096" s="16"/>
      <c r="BW1096" s="16"/>
      <c r="BX1096" s="16"/>
      <c r="BY1096" s="16"/>
      <c r="BZ1096" s="16"/>
      <c r="CA1096" s="16"/>
      <c r="CB1096" s="16"/>
      <c r="CC1096" s="16"/>
      <c r="CD1096" s="16"/>
      <c r="CE1096" s="16"/>
      <c r="CF1096" s="16"/>
      <c r="CG1096" s="16"/>
      <c r="CH1096" s="16"/>
      <c r="CI1096" s="16"/>
      <c r="CJ1096" s="16"/>
      <c r="CK1096" s="16"/>
      <c r="CL1096" s="16"/>
      <c r="CM1096" s="16"/>
      <c r="CN1096" s="16"/>
      <c r="CO1096" s="16"/>
      <c r="CP1096" s="16"/>
    </row>
    <row r="1097" ht="15.75" customHeight="1">
      <c r="A1097" s="860" t="s">
        <v>5252</v>
      </c>
      <c r="B1097" s="68"/>
      <c r="C1097" s="69" t="s">
        <v>276</v>
      </c>
      <c r="D1097" s="192" t="s">
        <v>5253</v>
      </c>
      <c r="E1097" s="192" t="s">
        <v>5254</v>
      </c>
      <c r="F1097" s="1487" t="s">
        <v>5255</v>
      </c>
      <c r="G1097" s="71"/>
      <c r="H1097" s="71" t="s">
        <v>2071</v>
      </c>
      <c r="I1097" s="26" t="s">
        <v>639</v>
      </c>
      <c r="J1097" s="72"/>
      <c r="K1097" s="26"/>
      <c r="L1097" s="26">
        <v>2013.0</v>
      </c>
      <c r="M1097" s="25">
        <f t="shared" si="728"/>
        <v>12</v>
      </c>
      <c r="N1097" s="26">
        <f t="shared" si="729"/>
        <v>1</v>
      </c>
      <c r="O1097" s="27" t="str">
        <f t="shared" si="3"/>
        <v>#N/A</v>
      </c>
      <c r="P1097" s="28"/>
      <c r="Q1097" s="28"/>
      <c r="R1097" s="28"/>
      <c r="S1097" s="28"/>
      <c r="T1097" s="29">
        <f t="shared" si="730"/>
        <v>116666.6667</v>
      </c>
      <c r="U1097" s="28"/>
      <c r="V1097" s="30">
        <f t="shared" si="425"/>
        <v>1400000</v>
      </c>
      <c r="W1097" s="30"/>
      <c r="X1097" s="73"/>
      <c r="Y1097" s="33">
        <f t="shared" si="731"/>
        <v>0</v>
      </c>
      <c r="Z1097" s="692"/>
      <c r="AA1097" s="665"/>
      <c r="AB1097" s="74"/>
      <c r="AC1097" s="74"/>
      <c r="AD1097" s="79"/>
      <c r="AE1097" s="84"/>
      <c r="AF1097" s="320">
        <v>41907.0</v>
      </c>
      <c r="AG1097" s="76">
        <v>1400000.0</v>
      </c>
      <c r="AH1097" s="434"/>
      <c r="AI1097" s="435"/>
      <c r="AJ1097" s="279"/>
      <c r="AK1097" s="76"/>
      <c r="AL1097" s="79"/>
      <c r="AM1097" s="76"/>
      <c r="AN1097" s="79"/>
      <c r="AO1097" s="84"/>
      <c r="AP1097" s="79"/>
      <c r="AQ1097" s="84"/>
      <c r="AR1097" s="79"/>
      <c r="AS1097" s="79"/>
      <c r="AT1097" s="79"/>
      <c r="AU1097" s="80"/>
      <c r="AV1097" s="79"/>
      <c r="AW1097" s="38"/>
      <c r="AX1097" s="79"/>
      <c r="AY1097" s="38"/>
      <c r="AZ1097" s="79"/>
      <c r="BA1097" s="80"/>
      <c r="BB1097" s="79"/>
      <c r="BC1097" s="80"/>
      <c r="BD1097" s="79"/>
      <c r="BE1097" s="38"/>
      <c r="BF1097" s="74"/>
      <c r="BG1097" s="16"/>
      <c r="BH1097" s="16"/>
      <c r="BI1097" s="16"/>
      <c r="BJ1097" s="16"/>
      <c r="BK1097" s="16"/>
      <c r="BL1097" s="16"/>
      <c r="BM1097" s="16"/>
      <c r="BN1097" s="16"/>
      <c r="BO1097" s="16"/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6"/>
      <c r="CA1097" s="16"/>
      <c r="CB1097" s="16"/>
      <c r="CC1097" s="16"/>
      <c r="CD1097" s="16"/>
      <c r="CE1097" s="16"/>
      <c r="CF1097" s="16"/>
      <c r="CG1097" s="16"/>
      <c r="CH1097" s="16"/>
      <c r="CI1097" s="16"/>
      <c r="CJ1097" s="16"/>
      <c r="CK1097" s="16"/>
      <c r="CL1097" s="16"/>
      <c r="CM1097" s="16"/>
      <c r="CN1097" s="16"/>
      <c r="CO1097" s="16"/>
      <c r="CP1097" s="16"/>
    </row>
    <row r="1098" ht="15.75" customHeight="1">
      <c r="A1098" s="400" t="s">
        <v>5256</v>
      </c>
      <c r="B1098" s="115"/>
      <c r="C1098" s="116" t="s">
        <v>190</v>
      </c>
      <c r="D1098" s="401" t="s">
        <v>5257</v>
      </c>
      <c r="E1098" s="401" t="s">
        <v>5258</v>
      </c>
      <c r="F1098" s="402" t="s">
        <v>5259</v>
      </c>
      <c r="G1098" s="119" t="s">
        <v>5260</v>
      </c>
      <c r="H1098" s="119" t="s">
        <v>5261</v>
      </c>
      <c r="I1098" s="25" t="s">
        <v>2431</v>
      </c>
      <c r="J1098" s="120" t="s">
        <v>5262</v>
      </c>
      <c r="K1098" s="25">
        <v>1.0</v>
      </c>
      <c r="L1098" s="25">
        <v>2019.0</v>
      </c>
      <c r="M1098" s="123"/>
      <c r="N1098" s="123"/>
      <c r="O1098" s="27" t="str">
        <f t="shared" si="3"/>
        <v>#N/A</v>
      </c>
      <c r="P1098" s="55"/>
      <c r="Q1098" s="55"/>
      <c r="R1098" s="55"/>
      <c r="S1098" s="55"/>
      <c r="T1098" s="55"/>
      <c r="U1098" s="55"/>
      <c r="V1098" s="30">
        <f t="shared" si="425"/>
        <v>1353900</v>
      </c>
      <c r="W1098" s="30"/>
      <c r="X1098" s="403"/>
      <c r="Y1098" s="403"/>
      <c r="Z1098" s="692"/>
      <c r="AA1098" s="665"/>
      <c r="AB1098" s="123"/>
      <c r="AC1098" s="123"/>
      <c r="AD1098" s="452"/>
      <c r="AE1098" s="125"/>
      <c r="AF1098" s="404">
        <v>44551.0</v>
      </c>
      <c r="AG1098" s="125"/>
      <c r="AH1098" s="123"/>
      <c r="AI1098" s="128"/>
      <c r="AJ1098" s="123"/>
      <c r="AK1098" s="123"/>
      <c r="AL1098" s="123"/>
      <c r="AM1098" s="125"/>
      <c r="AN1098" s="123"/>
      <c r="AO1098" s="123"/>
      <c r="AP1098" s="881"/>
      <c r="AQ1098" s="123"/>
      <c r="AR1098" s="123"/>
      <c r="AS1098" s="123"/>
      <c r="AT1098" s="123"/>
      <c r="AU1098" s="137"/>
      <c r="AV1098" s="123"/>
      <c r="AW1098" s="38"/>
      <c r="AX1098" s="123"/>
      <c r="AY1098" s="38"/>
      <c r="AZ1098" s="404">
        <v>44567.0</v>
      </c>
      <c r="BA1098" s="170">
        <v>1353900.0</v>
      </c>
      <c r="BB1098" s="123"/>
      <c r="BC1098" s="137"/>
      <c r="BD1098" s="123"/>
      <c r="BE1098" s="38"/>
      <c r="BF1098" s="123"/>
      <c r="BG1098" s="66"/>
      <c r="BH1098" s="66"/>
      <c r="BI1098" s="66"/>
      <c r="BJ1098" s="66"/>
      <c r="BK1098" s="66"/>
      <c r="BL1098" s="66"/>
      <c r="BM1098" s="66"/>
      <c r="BN1098" s="66"/>
      <c r="BO1098" s="66"/>
      <c r="BP1098" s="66"/>
      <c r="BQ1098" s="66"/>
      <c r="BR1098" s="66"/>
      <c r="BS1098" s="66"/>
      <c r="BT1098" s="66"/>
      <c r="BU1098" s="66"/>
      <c r="BV1098" s="66"/>
      <c r="BW1098" s="66"/>
      <c r="BX1098" s="66"/>
      <c r="BY1098" s="66"/>
      <c r="BZ1098" s="66"/>
      <c r="CA1098" s="66"/>
      <c r="CB1098" s="66"/>
      <c r="CC1098" s="66"/>
      <c r="CD1098" s="66"/>
      <c r="CE1098" s="66"/>
      <c r="CF1098" s="66"/>
      <c r="CG1098" s="66"/>
      <c r="CH1098" s="66"/>
      <c r="CI1098" s="66"/>
      <c r="CJ1098" s="66"/>
      <c r="CK1098" s="66"/>
      <c r="CL1098" s="66"/>
      <c r="CM1098" s="66"/>
      <c r="CN1098" s="66"/>
      <c r="CO1098" s="66"/>
      <c r="CP1098" s="66"/>
    </row>
    <row r="1099" ht="15.75" customHeight="1">
      <c r="A1099" s="1372" t="s">
        <v>5263</v>
      </c>
      <c r="B1099" s="68"/>
      <c r="C1099" s="69" t="s">
        <v>123</v>
      </c>
      <c r="D1099" s="200" t="s">
        <v>5264</v>
      </c>
      <c r="E1099" s="200" t="s">
        <v>5265</v>
      </c>
      <c r="F1099" s="1501" t="s">
        <v>5266</v>
      </c>
      <c r="G1099" s="71" t="s">
        <v>5267</v>
      </c>
      <c r="H1099" s="71" t="s">
        <v>114</v>
      </c>
      <c r="I1099" s="26" t="s">
        <v>115</v>
      </c>
      <c r="J1099" s="72" t="s">
        <v>1657</v>
      </c>
      <c r="K1099" s="26">
        <v>1.0</v>
      </c>
      <c r="L1099" s="142">
        <v>2011.0</v>
      </c>
      <c r="M1099" s="25">
        <f t="shared" ref="M1099:M1102" si="732">year(now()) -L1099</f>
        <v>14</v>
      </c>
      <c r="N1099" s="26">
        <f t="shared" ref="N1099:N1102" si="733">counta(AE1099,AG1099,AI1099,AK1099,AM1099,AO1099,AQ1099,AS1099,AU1099,AW1099,AY1099,BA1099,BC1099)</f>
        <v>1</v>
      </c>
      <c r="O1099" s="27" t="str">
        <f t="shared" si="3"/>
        <v>#N/A</v>
      </c>
      <c r="P1099" s="28"/>
      <c r="Q1099" s="28"/>
      <c r="R1099" s="28"/>
      <c r="S1099" s="28"/>
      <c r="T1099" s="29">
        <f t="shared" ref="T1099:T1102" si="734">V1099/M1099</f>
        <v>92857.14286</v>
      </c>
      <c r="U1099" s="28"/>
      <c r="V1099" s="30">
        <f t="shared" si="425"/>
        <v>1300000</v>
      </c>
      <c r="W1099" s="30"/>
      <c r="X1099" s="73"/>
      <c r="Y1099" s="33">
        <f t="shared" ref="Y1099:Y1102" si="735">(max(AE1099,AG1099,AI1099,AK1099,AM1099,AO1099,AQ1099,AS1099,AU1099,AW1099,AY1099,BA1099,BC1099)/min(AE1099,AG1099,AI1099,AK1099))^(1/M1099)-1</f>
        <v>0</v>
      </c>
      <c r="Z1099" s="692"/>
      <c r="AA1099" s="665"/>
      <c r="AB1099" s="74"/>
      <c r="AC1099" s="74"/>
      <c r="AD1099" s="44"/>
      <c r="AE1099" s="46"/>
      <c r="AF1099" s="1502"/>
      <c r="AG1099" s="38"/>
      <c r="AH1099" s="36"/>
      <c r="AI1099" s="159"/>
      <c r="AJ1099" s="918" t="str">
        <f>HYPERLINK("https://www.crunchbase.com/funding_round/flashparking-series-a--42c2617a"," 1/15/2020")</f>
        <v> 1/15/2020</v>
      </c>
      <c r="AK1099" s="38">
        <v>1300000.0</v>
      </c>
      <c r="AL1099" s="44"/>
      <c r="AM1099" s="46"/>
      <c r="AN1099" s="44"/>
      <c r="AO1099" s="46"/>
      <c r="AP1099" s="44"/>
      <c r="AQ1099" s="46"/>
      <c r="AR1099" s="44"/>
      <c r="AS1099" s="44"/>
      <c r="AT1099" s="44"/>
      <c r="AU1099" s="45"/>
      <c r="AV1099" s="44"/>
      <c r="AW1099" s="38"/>
      <c r="AX1099" s="44"/>
      <c r="AY1099" s="38"/>
      <c r="AZ1099" s="44"/>
      <c r="BA1099" s="45"/>
      <c r="BB1099" s="44"/>
      <c r="BC1099" s="45"/>
      <c r="BD1099" s="44"/>
      <c r="BE1099" s="38"/>
      <c r="BF1099" s="36"/>
      <c r="BG1099" s="16"/>
      <c r="BH1099" s="16"/>
      <c r="BI1099" s="16"/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6"/>
      <c r="CA1099" s="16"/>
      <c r="CB1099" s="16"/>
      <c r="CC1099" s="16"/>
      <c r="CD1099" s="16"/>
      <c r="CE1099" s="16"/>
      <c r="CF1099" s="16"/>
      <c r="CG1099" s="16"/>
      <c r="CH1099" s="16"/>
      <c r="CI1099" s="16"/>
      <c r="CJ1099" s="16"/>
      <c r="CK1099" s="16"/>
      <c r="CL1099" s="16"/>
      <c r="CM1099" s="16"/>
      <c r="CN1099" s="16"/>
      <c r="CO1099" s="16"/>
      <c r="CP1099" s="16"/>
    </row>
    <row r="1100" ht="15.75" customHeight="1">
      <c r="A1100" s="860" t="s">
        <v>5268</v>
      </c>
      <c r="B1100" s="68"/>
      <c r="C1100" s="69" t="s">
        <v>276</v>
      </c>
      <c r="D1100" s="192" t="s">
        <v>5269</v>
      </c>
      <c r="E1100" s="192" t="s">
        <v>5270</v>
      </c>
      <c r="F1100" s="118" t="s">
        <v>5271</v>
      </c>
      <c r="G1100" s="186"/>
      <c r="H1100" s="71" t="s">
        <v>114</v>
      </c>
      <c r="I1100" s="26" t="s">
        <v>115</v>
      </c>
      <c r="J1100" s="155"/>
      <c r="K1100" s="26"/>
      <c r="L1100" s="26">
        <v>2014.0</v>
      </c>
      <c r="M1100" s="25">
        <f t="shared" si="732"/>
        <v>11</v>
      </c>
      <c r="N1100" s="26">
        <f t="shared" si="733"/>
        <v>1</v>
      </c>
      <c r="O1100" s="27" t="str">
        <f t="shared" si="3"/>
        <v>#N/A</v>
      </c>
      <c r="P1100" s="28"/>
      <c r="Q1100" s="28"/>
      <c r="R1100" s="28"/>
      <c r="S1100" s="28"/>
      <c r="T1100" s="29">
        <f t="shared" si="734"/>
        <v>118181.8182</v>
      </c>
      <c r="U1100" s="28"/>
      <c r="V1100" s="30">
        <f t="shared" si="425"/>
        <v>1300000</v>
      </c>
      <c r="W1100" s="30"/>
      <c r="X1100" s="73"/>
      <c r="Y1100" s="33">
        <f t="shared" si="735"/>
        <v>0</v>
      </c>
      <c r="Z1100" s="692"/>
      <c r="AA1100" s="665"/>
      <c r="AB1100" s="74"/>
      <c r="AC1100" s="74"/>
      <c r="AD1100" s="79"/>
      <c r="AE1100" s="84"/>
      <c r="AF1100" s="320">
        <v>42614.0</v>
      </c>
      <c r="AG1100" s="76">
        <v>1300000.0</v>
      </c>
      <c r="AH1100" s="74"/>
      <c r="AI1100" s="78"/>
      <c r="AJ1100" s="227"/>
      <c r="AK1100" s="76"/>
      <c r="AL1100" s="79"/>
      <c r="AM1100" s="84"/>
      <c r="AN1100" s="79"/>
      <c r="AO1100" s="84"/>
      <c r="AP1100" s="79"/>
      <c r="AQ1100" s="84"/>
      <c r="AR1100" s="79"/>
      <c r="AS1100" s="79"/>
      <c r="AT1100" s="79"/>
      <c r="AU1100" s="80"/>
      <c r="AV1100" s="79"/>
      <c r="AW1100" s="38"/>
      <c r="AX1100" s="79"/>
      <c r="AY1100" s="38"/>
      <c r="AZ1100" s="79"/>
      <c r="BA1100" s="80"/>
      <c r="BB1100" s="79"/>
      <c r="BC1100" s="80"/>
      <c r="BD1100" s="79"/>
      <c r="BE1100" s="38"/>
      <c r="BF1100" s="74"/>
      <c r="BG1100" s="16"/>
      <c r="BH1100" s="16"/>
      <c r="BI1100" s="16"/>
      <c r="BJ1100" s="16"/>
      <c r="BK1100" s="16"/>
      <c r="BL1100" s="16"/>
      <c r="BM1100" s="16"/>
      <c r="BN1100" s="16"/>
      <c r="BO1100" s="16"/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6"/>
      <c r="CA1100" s="16"/>
      <c r="CB1100" s="16"/>
      <c r="CC1100" s="16"/>
      <c r="CD1100" s="16"/>
      <c r="CE1100" s="16"/>
      <c r="CF1100" s="16"/>
      <c r="CG1100" s="16"/>
      <c r="CH1100" s="16"/>
      <c r="CI1100" s="16"/>
      <c r="CJ1100" s="16"/>
      <c r="CK1100" s="16"/>
      <c r="CL1100" s="16"/>
      <c r="CM1100" s="16"/>
      <c r="CN1100" s="16"/>
      <c r="CO1100" s="16"/>
      <c r="CP1100" s="16"/>
    </row>
    <row r="1101" ht="15.75" customHeight="1">
      <c r="A1101" s="21" t="s">
        <v>5272</v>
      </c>
      <c r="B1101" s="68" t="s">
        <v>3588</v>
      </c>
      <c r="C1101" s="68" t="s">
        <v>276</v>
      </c>
      <c r="D1101" s="184" t="s">
        <v>5273</v>
      </c>
      <c r="E1101" s="184" t="s">
        <v>5270</v>
      </c>
      <c r="F1101" s="185" t="s">
        <v>5274</v>
      </c>
      <c r="G1101" s="186" t="s">
        <v>5275</v>
      </c>
      <c r="H1101" s="186" t="s">
        <v>114</v>
      </c>
      <c r="I1101" s="74" t="s">
        <v>2431</v>
      </c>
      <c r="J1101" s="155" t="s">
        <v>5276</v>
      </c>
      <c r="K1101" s="74">
        <v>4.0</v>
      </c>
      <c r="L1101" s="26">
        <v>2014.0</v>
      </c>
      <c r="M1101" s="25">
        <f t="shared" si="732"/>
        <v>11</v>
      </c>
      <c r="N1101" s="26">
        <f t="shared" si="733"/>
        <v>1</v>
      </c>
      <c r="O1101" s="27" t="str">
        <f t="shared" si="3"/>
        <v>#N/A</v>
      </c>
      <c r="P1101" s="28"/>
      <c r="Q1101" s="28"/>
      <c r="R1101" s="28"/>
      <c r="S1101" s="28"/>
      <c r="T1101" s="29">
        <f t="shared" si="734"/>
        <v>118181.8182</v>
      </c>
      <c r="U1101" s="28"/>
      <c r="V1101" s="30">
        <f t="shared" si="425"/>
        <v>1300000</v>
      </c>
      <c r="W1101" s="30"/>
      <c r="X1101" s="32"/>
      <c r="Y1101" s="33">
        <f t="shared" si="735"/>
        <v>0</v>
      </c>
      <c r="Z1101" s="692"/>
      <c r="AA1101" s="665"/>
      <c r="AB1101" s="74"/>
      <c r="AC1101" s="74"/>
      <c r="AD1101" s="79"/>
      <c r="AE1101" s="84"/>
      <c r="AF1101" s="175" t="str">
        <f>HYPERLINK("https://www.crunchbase.com/organization/idealspot#section-funding-rounds"," Sep 1, 2016")</f>
        <v> Sep 1, 2016</v>
      </c>
      <c r="AG1101" s="76">
        <v>1300000.0</v>
      </c>
      <c r="AH1101" s="74"/>
      <c r="AI1101" s="78"/>
      <c r="AJ1101" s="79"/>
      <c r="AK1101" s="84"/>
      <c r="AL1101" s="79"/>
      <c r="AM1101" s="84"/>
      <c r="AN1101" s="79"/>
      <c r="AO1101" s="84"/>
      <c r="AP1101" s="79"/>
      <c r="AQ1101" s="84"/>
      <c r="AR1101" s="79"/>
      <c r="AS1101" s="79"/>
      <c r="AT1101" s="79"/>
      <c r="AU1101" s="80"/>
      <c r="AV1101" s="79"/>
      <c r="AW1101" s="38"/>
      <c r="AX1101" s="79"/>
      <c r="AY1101" s="38"/>
      <c r="AZ1101" s="79"/>
      <c r="BA1101" s="80"/>
      <c r="BB1101" s="79"/>
      <c r="BC1101" s="80"/>
      <c r="BD1101" s="79"/>
      <c r="BE1101" s="38"/>
      <c r="BF1101" s="74"/>
      <c r="BG1101" s="16"/>
      <c r="BH1101" s="16"/>
      <c r="BI1101" s="16"/>
      <c r="BJ1101" s="16"/>
      <c r="BK1101" s="16"/>
      <c r="BL1101" s="16"/>
      <c r="BM1101" s="16"/>
      <c r="BN1101" s="16"/>
      <c r="BO1101" s="16"/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6"/>
      <c r="CA1101" s="16"/>
      <c r="CB1101" s="16"/>
      <c r="CC1101" s="16"/>
      <c r="CD1101" s="16"/>
      <c r="CE1101" s="16"/>
      <c r="CF1101" s="16"/>
      <c r="CG1101" s="16"/>
      <c r="CH1101" s="16"/>
      <c r="CI1101" s="16"/>
      <c r="CJ1101" s="16"/>
      <c r="CK1101" s="16"/>
      <c r="CL1101" s="16"/>
      <c r="CM1101" s="16"/>
      <c r="CN1101" s="16"/>
      <c r="CO1101" s="16"/>
      <c r="CP1101" s="16"/>
    </row>
    <row r="1102" ht="15.75" customHeight="1">
      <c r="A1102" s="400" t="s">
        <v>5277</v>
      </c>
      <c r="B1102" s="115" t="s">
        <v>719</v>
      </c>
      <c r="C1102" s="115" t="s">
        <v>207</v>
      </c>
      <c r="D1102" s="667" t="s">
        <v>5278</v>
      </c>
      <c r="E1102" s="667" t="s">
        <v>5279</v>
      </c>
      <c r="F1102" s="668" t="s">
        <v>5280</v>
      </c>
      <c r="G1102" s="930" t="s">
        <v>5281</v>
      </c>
      <c r="H1102" s="286" t="s">
        <v>771</v>
      </c>
      <c r="I1102" s="123" t="s">
        <v>772</v>
      </c>
      <c r="J1102" s="1326" t="s">
        <v>1663</v>
      </c>
      <c r="K1102" s="123">
        <v>1.0</v>
      </c>
      <c r="L1102" s="25">
        <v>2017.0</v>
      </c>
      <c r="M1102" s="25">
        <f t="shared" si="732"/>
        <v>8</v>
      </c>
      <c r="N1102" s="26">
        <f t="shared" si="733"/>
        <v>1</v>
      </c>
      <c r="O1102" s="27" t="str">
        <f t="shared" si="3"/>
        <v>#N/A</v>
      </c>
      <c r="P1102" s="28"/>
      <c r="Q1102" s="28"/>
      <c r="R1102" s="28"/>
      <c r="S1102" s="28"/>
      <c r="T1102" s="29">
        <f t="shared" si="734"/>
        <v>162500</v>
      </c>
      <c r="U1102" s="28"/>
      <c r="V1102" s="30">
        <f t="shared" si="425"/>
        <v>1300000</v>
      </c>
      <c r="W1102" s="30"/>
      <c r="X1102" s="403"/>
      <c r="Y1102" s="33">
        <f t="shared" si="735"/>
        <v>0</v>
      </c>
      <c r="Z1102" s="692"/>
      <c r="AA1102" s="665"/>
      <c r="AB1102" s="123" t="s">
        <v>3073</v>
      </c>
      <c r="AC1102" s="123"/>
      <c r="AD1102" s="124"/>
      <c r="AE1102" s="125"/>
      <c r="AF1102" s="126" t="str">
        <f>HYPERLINK("https://www.crunchbase.com/organization/upsuite#section-funding-rounds"," Apr 2, 2018")</f>
        <v> Apr 2, 2018</v>
      </c>
      <c r="AG1102" s="127">
        <v>1300000.0</v>
      </c>
      <c r="AH1102" s="923"/>
      <c r="AI1102" s="759"/>
      <c r="AJ1102" s="169"/>
      <c r="AK1102" s="127"/>
      <c r="AL1102" s="124"/>
      <c r="AM1102" s="125"/>
      <c r="AN1102" s="124"/>
      <c r="AO1102" s="125"/>
      <c r="AP1102" s="124"/>
      <c r="AQ1102" s="125"/>
      <c r="AR1102" s="124"/>
      <c r="AS1102" s="124"/>
      <c r="AT1102" s="124"/>
      <c r="AU1102" s="137"/>
      <c r="AV1102" s="124"/>
      <c r="AW1102" s="38"/>
      <c r="AX1102" s="124"/>
      <c r="AY1102" s="38"/>
      <c r="AZ1102" s="124"/>
      <c r="BA1102" s="137"/>
      <c r="BB1102" s="124"/>
      <c r="BC1102" s="137"/>
      <c r="BD1102" s="124"/>
      <c r="BE1102" s="38"/>
      <c r="BF1102" s="123"/>
      <c r="BG1102" s="16"/>
      <c r="BH1102" s="16"/>
      <c r="BI1102" s="16"/>
      <c r="BJ1102" s="16"/>
      <c r="BK1102" s="16"/>
      <c r="BL1102" s="16"/>
      <c r="BM1102" s="16"/>
      <c r="BN1102" s="16"/>
      <c r="BO1102" s="16"/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6"/>
      <c r="CA1102" s="16"/>
      <c r="CB1102" s="16"/>
      <c r="CC1102" s="16"/>
      <c r="CD1102" s="16"/>
      <c r="CE1102" s="16"/>
      <c r="CF1102" s="16"/>
      <c r="CG1102" s="16"/>
      <c r="CH1102" s="16"/>
      <c r="CI1102" s="16"/>
      <c r="CJ1102" s="16"/>
      <c r="CK1102" s="16"/>
      <c r="CL1102" s="16"/>
      <c r="CM1102" s="16"/>
      <c r="CN1102" s="16"/>
      <c r="CO1102" s="16"/>
      <c r="CP1102" s="16"/>
    </row>
    <row r="1103" ht="15.75" customHeight="1">
      <c r="A1103" s="21" t="s">
        <v>5282</v>
      </c>
      <c r="B1103" s="68"/>
      <c r="C1103" s="69" t="s">
        <v>267</v>
      </c>
      <c r="D1103" s="50" t="s">
        <v>5283</v>
      </c>
      <c r="E1103" s="50" t="s">
        <v>5284</v>
      </c>
      <c r="F1103" s="173" t="s">
        <v>5285</v>
      </c>
      <c r="G1103" s="186"/>
      <c r="H1103" s="71" t="s">
        <v>99</v>
      </c>
      <c r="I1103" s="26" t="s">
        <v>100</v>
      </c>
      <c r="J1103" s="155"/>
      <c r="K1103" s="26">
        <v>2.0</v>
      </c>
      <c r="L1103" s="26">
        <v>2021.0</v>
      </c>
      <c r="M1103" s="25"/>
      <c r="N1103" s="26"/>
      <c r="O1103" s="27" t="str">
        <f t="shared" si="3"/>
        <v>#N/A</v>
      </c>
      <c r="P1103" s="28"/>
      <c r="Q1103" s="28"/>
      <c r="R1103" s="28"/>
      <c r="S1103" s="28"/>
      <c r="T1103" s="28"/>
      <c r="U1103" s="28"/>
      <c r="V1103" s="30">
        <f t="shared" si="425"/>
        <v>1300000</v>
      </c>
      <c r="W1103" s="30"/>
      <c r="X1103" s="73"/>
      <c r="Y1103" s="73"/>
      <c r="Z1103" s="692"/>
      <c r="AA1103" s="665"/>
      <c r="AB1103" s="74"/>
      <c r="AC1103" s="74"/>
      <c r="AD1103" s="75">
        <v>44818.0</v>
      </c>
      <c r="AE1103" s="76">
        <v>1300000.0</v>
      </c>
      <c r="AF1103" s="320"/>
      <c r="AG1103" s="76"/>
      <c r="AH1103" s="74"/>
      <c r="AI1103" s="78"/>
      <c r="AJ1103" s="279"/>
      <c r="AK1103" s="76"/>
      <c r="AL1103" s="79"/>
      <c r="AM1103" s="84"/>
      <c r="AN1103" s="79"/>
      <c r="AO1103" s="84"/>
      <c r="AP1103" s="79"/>
      <c r="AQ1103" s="84"/>
      <c r="AR1103" s="79"/>
      <c r="AS1103" s="79"/>
      <c r="AT1103" s="79"/>
      <c r="AU1103" s="80"/>
      <c r="AV1103" s="79"/>
      <c r="AW1103" s="38"/>
      <c r="AX1103" s="79"/>
      <c r="AY1103" s="38"/>
      <c r="AZ1103" s="79"/>
      <c r="BA1103" s="80"/>
      <c r="BB1103" s="79"/>
      <c r="BC1103" s="80"/>
      <c r="BD1103" s="79"/>
      <c r="BE1103" s="38"/>
      <c r="BF1103" s="74"/>
      <c r="BG1103" s="16"/>
      <c r="BH1103" s="16"/>
      <c r="BI1103" s="16"/>
      <c r="BJ1103" s="16"/>
      <c r="BK1103" s="16"/>
      <c r="BL1103" s="16"/>
      <c r="BM1103" s="16"/>
      <c r="BN1103" s="16"/>
      <c r="BO1103" s="16"/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6"/>
      <c r="CA1103" s="16"/>
      <c r="CB1103" s="16"/>
      <c r="CC1103" s="16"/>
      <c r="CD1103" s="16"/>
      <c r="CE1103" s="16"/>
      <c r="CF1103" s="16"/>
      <c r="CG1103" s="16"/>
      <c r="CH1103" s="16"/>
      <c r="CI1103" s="16"/>
      <c r="CJ1103" s="16"/>
      <c r="CK1103" s="16"/>
      <c r="CL1103" s="16"/>
      <c r="CM1103" s="16"/>
      <c r="CN1103" s="16"/>
      <c r="CO1103" s="16"/>
      <c r="CP1103" s="16"/>
    </row>
    <row r="1104" ht="15.75" customHeight="1">
      <c r="A1104" s="401" t="s">
        <v>5286</v>
      </c>
      <c r="B1104" s="115"/>
      <c r="C1104" s="116" t="s">
        <v>68</v>
      </c>
      <c r="D1104" s="449"/>
      <c r="E1104" s="161" t="s">
        <v>5287</v>
      </c>
      <c r="F1104" s="402" t="s">
        <v>5288</v>
      </c>
      <c r="G1104" s="286"/>
      <c r="H1104" s="119" t="s">
        <v>5289</v>
      </c>
      <c r="I1104" s="25" t="s">
        <v>3762</v>
      </c>
      <c r="J1104" s="287"/>
      <c r="K1104" s="25">
        <v>2.0</v>
      </c>
      <c r="L1104" s="25">
        <v>2021.0</v>
      </c>
      <c r="M1104" s="123"/>
      <c r="N1104" s="123"/>
      <c r="O1104" s="27" t="str">
        <f t="shared" si="3"/>
        <v>#N/A</v>
      </c>
      <c r="P1104" s="55"/>
      <c r="Q1104" s="55"/>
      <c r="R1104" s="55"/>
      <c r="S1104" s="55"/>
      <c r="T1104" s="55"/>
      <c r="U1104" s="55"/>
      <c r="V1104" s="30">
        <f t="shared" si="425"/>
        <v>1300000</v>
      </c>
      <c r="W1104" s="30"/>
      <c r="X1104" s="403"/>
      <c r="Y1104" s="403"/>
      <c r="Z1104" s="692"/>
      <c r="AA1104" s="665"/>
      <c r="AB1104" s="123"/>
      <c r="AC1104" s="123"/>
      <c r="AD1104" s="62">
        <v>44882.0</v>
      </c>
      <c r="AE1104" s="38">
        <v>1300000.0</v>
      </c>
      <c r="AF1104" s="355"/>
      <c r="AG1104" s="38"/>
      <c r="AH1104" s="123"/>
      <c r="AI1104" s="123"/>
      <c r="AJ1104" s="123"/>
      <c r="AK1104" s="38"/>
      <c r="AL1104" s="123"/>
      <c r="AM1104" s="123"/>
      <c r="AN1104" s="123"/>
      <c r="AO1104" s="123"/>
      <c r="AP1104" s="123"/>
      <c r="AQ1104" s="123"/>
      <c r="AR1104" s="123"/>
      <c r="AS1104" s="123"/>
      <c r="AT1104" s="123"/>
      <c r="AU1104" s="137"/>
      <c r="AV1104" s="123"/>
      <c r="AW1104" s="38"/>
      <c r="AX1104" s="123"/>
      <c r="AY1104" s="38"/>
      <c r="AZ1104" s="123"/>
      <c r="BA1104" s="137"/>
      <c r="BB1104" s="123"/>
      <c r="BC1104" s="137"/>
      <c r="BD1104" s="123"/>
      <c r="BE1104" s="38"/>
      <c r="BF1104" s="123"/>
      <c r="BG1104" s="16"/>
      <c r="BH1104" s="16"/>
      <c r="BI1104" s="16"/>
      <c r="BJ1104" s="16"/>
      <c r="BK1104" s="16"/>
      <c r="BL1104" s="16"/>
      <c r="BM1104" s="16"/>
      <c r="BN1104" s="16"/>
      <c r="BO1104" s="16"/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6"/>
      <c r="CA1104" s="16"/>
      <c r="CB1104" s="16"/>
      <c r="CC1104" s="16"/>
      <c r="CD1104" s="16"/>
      <c r="CE1104" s="16"/>
      <c r="CF1104" s="16"/>
      <c r="CG1104" s="16"/>
      <c r="CH1104" s="16"/>
      <c r="CI1104" s="16"/>
      <c r="CJ1104" s="16"/>
      <c r="CK1104" s="16"/>
      <c r="CL1104" s="16"/>
      <c r="CM1104" s="16"/>
      <c r="CN1104" s="16"/>
      <c r="CO1104" s="16"/>
      <c r="CP1104" s="16"/>
    </row>
    <row r="1105" ht="15.75" customHeight="1">
      <c r="A1105" s="47" t="s">
        <v>5290</v>
      </c>
      <c r="C1105" s="48" t="s">
        <v>68</v>
      </c>
      <c r="D1105" s="351"/>
      <c r="E1105" s="49" t="s">
        <v>5291</v>
      </c>
      <c r="F1105" s="352" t="s">
        <v>5292</v>
      </c>
      <c r="G1105" s="353"/>
      <c r="H1105" s="53" t="s">
        <v>5293</v>
      </c>
      <c r="I1105" s="54" t="s">
        <v>100</v>
      </c>
      <c r="J1105" s="55"/>
      <c r="K1105" s="55"/>
      <c r="L1105" s="56">
        <v>2022.0</v>
      </c>
      <c r="M1105" s="55"/>
      <c r="N1105" s="55"/>
      <c r="O1105" s="27" t="str">
        <f t="shared" si="3"/>
        <v>#N/A</v>
      </c>
      <c r="P1105" s="55"/>
      <c r="Q1105" s="55"/>
      <c r="R1105" s="55"/>
      <c r="S1105" s="55"/>
      <c r="T1105" s="55"/>
      <c r="U1105" s="55"/>
      <c r="V1105" s="30">
        <f t="shared" si="425"/>
        <v>1296000</v>
      </c>
      <c r="W1105" s="30"/>
      <c r="X1105" s="58"/>
      <c r="Y1105" s="58"/>
      <c r="Z1105" s="692"/>
      <c r="AA1105" s="665"/>
      <c r="AB1105" s="55"/>
      <c r="AC1105" s="55"/>
      <c r="AD1105" s="62">
        <v>45008.0</v>
      </c>
      <c r="AE1105" s="38">
        <f>1200000*1.08</f>
        <v>1296000</v>
      </c>
      <c r="AF1105" s="355"/>
      <c r="AG1105" s="38"/>
      <c r="AH1105" s="55"/>
      <c r="AI1105" s="38"/>
      <c r="AJ1105" s="55"/>
      <c r="AK1105" s="38"/>
      <c r="AL1105" s="55"/>
      <c r="AM1105" s="38"/>
      <c r="AN1105" s="55"/>
      <c r="AO1105" s="38"/>
      <c r="AP1105" s="356"/>
      <c r="AQ1105" s="38"/>
      <c r="AR1105" s="55"/>
      <c r="AS1105" s="38"/>
      <c r="AT1105" s="55"/>
      <c r="AU1105" s="38"/>
      <c r="AV1105" s="55"/>
      <c r="AW1105" s="38"/>
      <c r="AX1105" s="55"/>
      <c r="AY1105" s="38"/>
      <c r="AZ1105" s="55"/>
      <c r="BA1105" s="38"/>
      <c r="BB1105" s="55"/>
      <c r="BC1105" s="38"/>
      <c r="BD1105" s="55"/>
      <c r="BE1105" s="38"/>
      <c r="BF1105" s="55"/>
      <c r="BG1105" s="16"/>
      <c r="BH1105" s="16"/>
      <c r="BI1105" s="16"/>
      <c r="BJ1105" s="16"/>
      <c r="BK1105" s="16"/>
      <c r="BL1105" s="16"/>
      <c r="BM1105" s="16"/>
      <c r="BN1105" s="16"/>
      <c r="BO1105" s="16"/>
      <c r="BP1105" s="16"/>
      <c r="BQ1105" s="16"/>
      <c r="BR1105" s="16"/>
      <c r="BS1105" s="16"/>
      <c r="BT1105" s="16"/>
      <c r="BU1105" s="16"/>
      <c r="BV1105" s="16"/>
      <c r="BW1105" s="16"/>
      <c r="BX1105" s="16"/>
      <c r="BY1105" s="16"/>
      <c r="BZ1105" s="16"/>
      <c r="CA1105" s="16"/>
      <c r="CB1105" s="16"/>
      <c r="CC1105" s="16"/>
      <c r="CD1105" s="16"/>
      <c r="CE1105" s="16"/>
      <c r="CF1105" s="16"/>
      <c r="CG1105" s="16"/>
      <c r="CH1105" s="16"/>
      <c r="CI1105" s="16"/>
      <c r="CJ1105" s="16"/>
      <c r="CK1105" s="16"/>
      <c r="CL1105" s="16"/>
      <c r="CM1105" s="16"/>
      <c r="CN1105" s="16"/>
      <c r="CO1105" s="16"/>
      <c r="CP1105" s="16"/>
    </row>
    <row r="1106" ht="15.75" customHeight="1">
      <c r="A1106" s="442" t="s">
        <v>5294</v>
      </c>
      <c r="B1106" s="16" t="s">
        <v>3486</v>
      </c>
      <c r="C1106" s="16" t="s">
        <v>59</v>
      </c>
      <c r="D1106" s="184" t="s">
        <v>5295</v>
      </c>
      <c r="E1106" s="184" t="s">
        <v>5296</v>
      </c>
      <c r="F1106" s="185" t="s">
        <v>5297</v>
      </c>
      <c r="G1106" s="442" t="s">
        <v>5298</v>
      </c>
      <c r="H1106" s="317" t="s">
        <v>394</v>
      </c>
      <c r="I1106" s="36" t="s">
        <v>395</v>
      </c>
      <c r="J1106" s="237" t="s">
        <v>5299</v>
      </c>
      <c r="K1106" s="36">
        <v>1.0</v>
      </c>
      <c r="L1106" s="23">
        <v>2015.0</v>
      </c>
      <c r="M1106" s="25">
        <f t="shared" ref="M1106:M1112" si="736">year(now()) -L1106</f>
        <v>10</v>
      </c>
      <c r="N1106" s="26">
        <f t="shared" ref="N1106:N1112" si="737">counta(AE1106,AG1106,AI1106,AK1106,AM1106,AO1106,AQ1106,AS1106,AU1106,AW1106,AY1106,BA1106,BC1106)</f>
        <v>2</v>
      </c>
      <c r="O1106" s="27" t="str">
        <f t="shared" si="3"/>
        <v>#N/A</v>
      </c>
      <c r="P1106" s="28"/>
      <c r="Q1106" s="28"/>
      <c r="R1106" s="28"/>
      <c r="S1106" s="28"/>
      <c r="T1106" s="29">
        <f t="shared" ref="T1106:T1112" si="738">V1106/M1106</f>
        <v>122000</v>
      </c>
      <c r="U1106" s="28"/>
      <c r="V1106" s="30">
        <f t="shared" si="425"/>
        <v>1220000</v>
      </c>
      <c r="W1106" s="30"/>
      <c r="X1106" s="847"/>
      <c r="Y1106" s="33">
        <f t="shared" ref="Y1106:Y1112" si="739">(max(AE1106,AG1106,AI1106,AK1106,AM1106,AO1106,AQ1106,AS1106,AU1106,AW1106,AY1106,BA1106,BC1106)/min(AE1106,AG1106,AI1106,AK1106))^(1/M1106)-1</f>
        <v>0.5059658546</v>
      </c>
      <c r="Z1106" s="692"/>
      <c r="AA1106" s="665"/>
      <c r="AB1106" s="36" t="s">
        <v>5300</v>
      </c>
      <c r="AC1106" s="36"/>
      <c r="AD1106" s="43" t="str">
        <f>HYPERLINK("https://www.crunchbase.com/funding_round/commissiontrac-pre-seed--d16178ff"," Jul 11, 2018        
")</f>
        <v> Jul 11, 2018        
</v>
      </c>
      <c r="AE1106" s="38">
        <v>20000.0</v>
      </c>
      <c r="AF1106" s="158" t="str">
        <f>HYPERLINK("https://www.crunchbase.com/funding_round/commissiontrac-seed--fe7a1c75","Feb 18, 2019        
")</f>
        <v>Feb 18, 2019        
</v>
      </c>
      <c r="AG1106" s="38">
        <v>1200000.0</v>
      </c>
      <c r="AH1106" s="36"/>
      <c r="AI1106" s="159"/>
      <c r="AJ1106" s="44"/>
      <c r="AK1106" s="46"/>
      <c r="AL1106" s="44"/>
      <c r="AM1106" s="46"/>
      <c r="AN1106" s="44"/>
      <c r="AO1106" s="46"/>
      <c r="AP1106" s="44"/>
      <c r="AQ1106" s="46"/>
      <c r="AR1106" s="44"/>
      <c r="AS1106" s="44"/>
      <c r="AT1106" s="44"/>
      <c r="AU1106" s="45"/>
      <c r="AV1106" s="44"/>
      <c r="AW1106" s="38"/>
      <c r="AX1106" s="44"/>
      <c r="AY1106" s="38"/>
      <c r="AZ1106" s="44"/>
      <c r="BA1106" s="45"/>
      <c r="BB1106" s="44"/>
      <c r="BC1106" s="45"/>
      <c r="BD1106" s="44"/>
      <c r="BE1106" s="38"/>
      <c r="BF1106" s="36"/>
      <c r="BG1106" s="16"/>
      <c r="BH1106" s="16"/>
      <c r="BI1106" s="16"/>
      <c r="BJ1106" s="16"/>
      <c r="BK1106" s="16"/>
      <c r="BL1106" s="16"/>
      <c r="BM1106" s="16"/>
      <c r="BN1106" s="16"/>
      <c r="BO1106" s="16"/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6"/>
      <c r="CA1106" s="16"/>
      <c r="CB1106" s="16"/>
      <c r="CC1106" s="16"/>
      <c r="CD1106" s="16"/>
      <c r="CE1106" s="16"/>
      <c r="CF1106" s="16"/>
      <c r="CG1106" s="16"/>
      <c r="CH1106" s="16"/>
      <c r="CI1106" s="16"/>
      <c r="CJ1106" s="16"/>
      <c r="CK1106" s="16"/>
      <c r="CL1106" s="16"/>
      <c r="CM1106" s="16"/>
      <c r="CN1106" s="16"/>
      <c r="CO1106" s="16"/>
      <c r="CP1106" s="16"/>
    </row>
    <row r="1107" ht="15.75" customHeight="1">
      <c r="A1107" s="860" t="s">
        <v>5301</v>
      </c>
      <c r="B1107" s="115"/>
      <c r="C1107" s="116" t="s">
        <v>123</v>
      </c>
      <c r="D1107" s="192" t="s">
        <v>5302</v>
      </c>
      <c r="E1107" s="192" t="s">
        <v>5303</v>
      </c>
      <c r="F1107" s="1487" t="s">
        <v>5304</v>
      </c>
      <c r="G1107" s="930"/>
      <c r="H1107" s="119" t="s">
        <v>5305</v>
      </c>
      <c r="I1107" s="25" t="s">
        <v>1338</v>
      </c>
      <c r="J1107" s="287"/>
      <c r="K1107" s="123"/>
      <c r="L1107" s="25">
        <v>2017.0</v>
      </c>
      <c r="M1107" s="25">
        <f t="shared" si="736"/>
        <v>8</v>
      </c>
      <c r="N1107" s="26">
        <f t="shared" si="737"/>
        <v>1</v>
      </c>
      <c r="O1107" s="27" t="str">
        <f t="shared" si="3"/>
        <v>#N/A</v>
      </c>
      <c r="P1107" s="28"/>
      <c r="Q1107" s="28"/>
      <c r="R1107" s="28"/>
      <c r="S1107" s="28"/>
      <c r="T1107" s="29">
        <f t="shared" si="738"/>
        <v>150000</v>
      </c>
      <c r="U1107" s="28"/>
      <c r="V1107" s="30">
        <f t="shared" si="425"/>
        <v>1200000</v>
      </c>
      <c r="W1107" s="30"/>
      <c r="X1107" s="403"/>
      <c r="Y1107" s="33">
        <f t="shared" si="739"/>
        <v>0</v>
      </c>
      <c r="Z1107" s="692"/>
      <c r="AA1107" s="665"/>
      <c r="AB1107" s="123"/>
      <c r="AC1107" s="123"/>
      <c r="AD1107" s="169"/>
      <c r="AE1107" s="127"/>
      <c r="AF1107" s="320">
        <v>42736.0</v>
      </c>
      <c r="AG1107" s="127">
        <v>1200000.0</v>
      </c>
      <c r="AH1107" s="123"/>
      <c r="AI1107" s="128"/>
      <c r="AJ1107" s="124"/>
      <c r="AK1107" s="125"/>
      <c r="AL1107" s="124"/>
      <c r="AM1107" s="125"/>
      <c r="AN1107" s="124"/>
      <c r="AO1107" s="125"/>
      <c r="AP1107" s="124"/>
      <c r="AQ1107" s="125"/>
      <c r="AR1107" s="124"/>
      <c r="AS1107" s="124"/>
      <c r="AT1107" s="124"/>
      <c r="AU1107" s="137"/>
      <c r="AV1107" s="124"/>
      <c r="AW1107" s="38"/>
      <c r="AX1107" s="124"/>
      <c r="AY1107" s="38"/>
      <c r="AZ1107" s="124"/>
      <c r="BA1107" s="137"/>
      <c r="BB1107" s="124"/>
      <c r="BC1107" s="137"/>
      <c r="BD1107" s="124"/>
      <c r="BE1107" s="38"/>
      <c r="BF1107" s="123"/>
      <c r="BG1107" s="1490"/>
      <c r="BH1107" s="1490"/>
      <c r="BI1107" s="1490"/>
      <c r="BJ1107" s="1490"/>
      <c r="BK1107" s="1490"/>
      <c r="BL1107" s="1490"/>
      <c r="BM1107" s="1490"/>
      <c r="BN1107" s="1490"/>
      <c r="BO1107" s="1490"/>
      <c r="BP1107" s="1490"/>
      <c r="BQ1107" s="1490"/>
      <c r="BR1107" s="1490"/>
      <c r="BS1107" s="1490"/>
      <c r="BT1107" s="1490"/>
      <c r="BU1107" s="1490"/>
      <c r="BV1107" s="1490"/>
      <c r="BW1107" s="1490"/>
      <c r="BX1107" s="1490"/>
      <c r="BY1107" s="1490"/>
      <c r="BZ1107" s="1490"/>
      <c r="CA1107" s="1490"/>
      <c r="CB1107" s="1490"/>
      <c r="CC1107" s="1490"/>
      <c r="CD1107" s="1490"/>
      <c r="CE1107" s="1490"/>
      <c r="CF1107" s="1490"/>
      <c r="CG1107" s="1490"/>
      <c r="CH1107" s="1490"/>
      <c r="CI1107" s="1490"/>
      <c r="CJ1107" s="1490"/>
      <c r="CK1107" s="1490"/>
      <c r="CL1107" s="1490"/>
      <c r="CM1107" s="1490"/>
      <c r="CN1107" s="1490"/>
      <c r="CO1107" s="1490"/>
      <c r="CP1107" s="1490"/>
    </row>
    <row r="1108" ht="15.75" customHeight="1">
      <c r="A1108" s="21" t="s">
        <v>5306</v>
      </c>
      <c r="B1108" s="68"/>
      <c r="C1108" s="69" t="s">
        <v>1007</v>
      </c>
      <c r="D1108" s="192" t="s">
        <v>5307</v>
      </c>
      <c r="E1108" s="192" t="s">
        <v>5308</v>
      </c>
      <c r="F1108" s="118" t="s">
        <v>5309</v>
      </c>
      <c r="G1108" s="174"/>
      <c r="H1108" s="71" t="s">
        <v>129</v>
      </c>
      <c r="I1108" s="26" t="s">
        <v>156</v>
      </c>
      <c r="J1108" s="155"/>
      <c r="K1108" s="74"/>
      <c r="L1108" s="26">
        <v>2014.0</v>
      </c>
      <c r="M1108" s="25">
        <f t="shared" si="736"/>
        <v>11</v>
      </c>
      <c r="N1108" s="26">
        <f t="shared" si="737"/>
        <v>1</v>
      </c>
      <c r="O1108" s="27" t="str">
        <f t="shared" si="3"/>
        <v>#N/A</v>
      </c>
      <c r="P1108" s="28"/>
      <c r="Q1108" s="28"/>
      <c r="R1108" s="28"/>
      <c r="S1108" s="28"/>
      <c r="T1108" s="29">
        <f t="shared" si="738"/>
        <v>109090.9091</v>
      </c>
      <c r="U1108" s="28"/>
      <c r="V1108" s="30">
        <f t="shared" si="425"/>
        <v>1200000</v>
      </c>
      <c r="W1108" s="30"/>
      <c r="X1108" s="32"/>
      <c r="Y1108" s="33">
        <f t="shared" si="739"/>
        <v>0</v>
      </c>
      <c r="Z1108" s="692"/>
      <c r="AA1108" s="665"/>
      <c r="AB1108" s="74"/>
      <c r="AC1108" s="74"/>
      <c r="AD1108" s="79"/>
      <c r="AE1108" s="84"/>
      <c r="AF1108" s="225">
        <v>42082.0</v>
      </c>
      <c r="AG1108" s="76">
        <v>1200000.0</v>
      </c>
      <c r="AH1108" s="74"/>
      <c r="AI1108" s="78"/>
      <c r="AJ1108" s="79"/>
      <c r="AK1108" s="84"/>
      <c r="AL1108" s="79"/>
      <c r="AM1108" s="84"/>
      <c r="AN1108" s="79"/>
      <c r="AO1108" s="84"/>
      <c r="AP1108" s="79"/>
      <c r="AQ1108" s="84"/>
      <c r="AR1108" s="79"/>
      <c r="AS1108" s="79"/>
      <c r="AT1108" s="79"/>
      <c r="AU1108" s="80"/>
      <c r="AV1108" s="79"/>
      <c r="AW1108" s="38"/>
      <c r="AX1108" s="79"/>
      <c r="AY1108" s="38"/>
      <c r="AZ1108" s="79"/>
      <c r="BA1108" s="80"/>
      <c r="BB1108" s="79"/>
      <c r="BC1108" s="80"/>
      <c r="BD1108" s="79"/>
      <c r="BE1108" s="38"/>
      <c r="BF1108" s="74"/>
      <c r="BG1108" s="16"/>
      <c r="BH1108" s="16"/>
      <c r="BI1108" s="16"/>
      <c r="BJ1108" s="16"/>
      <c r="BK1108" s="16"/>
      <c r="BL1108" s="16"/>
      <c r="BM1108" s="16"/>
      <c r="BN1108" s="16"/>
      <c r="BO1108" s="16"/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6"/>
      <c r="CA1108" s="16"/>
      <c r="CB1108" s="16"/>
      <c r="CC1108" s="16"/>
      <c r="CD1108" s="16"/>
      <c r="CE1108" s="16"/>
      <c r="CF1108" s="16"/>
      <c r="CG1108" s="16"/>
      <c r="CH1108" s="16"/>
      <c r="CI1108" s="16"/>
      <c r="CJ1108" s="16"/>
      <c r="CK1108" s="16"/>
      <c r="CL1108" s="16"/>
      <c r="CM1108" s="16"/>
      <c r="CN1108" s="16"/>
      <c r="CO1108" s="16"/>
      <c r="CP1108" s="16"/>
    </row>
    <row r="1109" ht="15.75" customHeight="1">
      <c r="A1109" s="1484" t="s">
        <v>5310</v>
      </c>
      <c r="B1109" s="68"/>
      <c r="C1109" s="858" t="s">
        <v>1007</v>
      </c>
      <c r="D1109" s="192" t="s">
        <v>5311</v>
      </c>
      <c r="E1109" s="192" t="s">
        <v>5312</v>
      </c>
      <c r="F1109" s="118" t="s">
        <v>5313</v>
      </c>
      <c r="G1109" s="174"/>
      <c r="H1109" s="71" t="s">
        <v>194</v>
      </c>
      <c r="I1109" s="26" t="s">
        <v>195</v>
      </c>
      <c r="J1109" s="155"/>
      <c r="K1109" s="74"/>
      <c r="L1109" s="26">
        <v>2015.0</v>
      </c>
      <c r="M1109" s="25">
        <f t="shared" si="736"/>
        <v>10</v>
      </c>
      <c r="N1109" s="26">
        <f t="shared" si="737"/>
        <v>1</v>
      </c>
      <c r="O1109" s="27" t="str">
        <f t="shared" si="3"/>
        <v>#N/A</v>
      </c>
      <c r="P1109" s="28"/>
      <c r="Q1109" s="28"/>
      <c r="R1109" s="28"/>
      <c r="S1109" s="28"/>
      <c r="T1109" s="29">
        <f t="shared" si="738"/>
        <v>120000</v>
      </c>
      <c r="U1109" s="28"/>
      <c r="V1109" s="30">
        <f t="shared" si="425"/>
        <v>1200000</v>
      </c>
      <c r="W1109" s="30"/>
      <c r="X1109" s="32"/>
      <c r="Y1109" s="33">
        <f t="shared" si="739"/>
        <v>0</v>
      </c>
      <c r="Z1109" s="692"/>
      <c r="AA1109" s="665"/>
      <c r="AB1109" s="74"/>
      <c r="AC1109" s="74"/>
      <c r="AD1109" s="79"/>
      <c r="AE1109" s="84"/>
      <c r="AF1109" s="869">
        <v>42870.0</v>
      </c>
      <c r="AG1109" s="1503">
        <v>1200000.0</v>
      </c>
      <c r="AH1109" s="74"/>
      <c r="AI1109" s="78"/>
      <c r="AJ1109" s="79"/>
      <c r="AK1109" s="84"/>
      <c r="AL1109" s="79"/>
      <c r="AM1109" s="84"/>
      <c r="AN1109" s="79"/>
      <c r="AO1109" s="84"/>
      <c r="AP1109" s="79"/>
      <c r="AQ1109" s="84"/>
      <c r="AR1109" s="79"/>
      <c r="AS1109" s="79"/>
      <c r="AT1109" s="79"/>
      <c r="AU1109" s="80"/>
      <c r="AV1109" s="79"/>
      <c r="AW1109" s="38"/>
      <c r="AX1109" s="79"/>
      <c r="AY1109" s="38"/>
      <c r="AZ1109" s="79"/>
      <c r="BA1109" s="80"/>
      <c r="BB1109" s="79"/>
      <c r="BC1109" s="80"/>
      <c r="BD1109" s="79"/>
      <c r="BE1109" s="38"/>
      <c r="BF1109" s="74"/>
      <c r="BG1109" s="66"/>
      <c r="BH1109" s="66"/>
      <c r="BI1109" s="66"/>
      <c r="BJ1109" s="66"/>
      <c r="BK1109" s="66"/>
      <c r="BL1109" s="66"/>
      <c r="BM1109" s="66"/>
      <c r="BN1109" s="66"/>
      <c r="BO1109" s="66"/>
      <c r="BP1109" s="66"/>
      <c r="BQ1109" s="66"/>
      <c r="BR1109" s="66"/>
      <c r="BS1109" s="66"/>
      <c r="BT1109" s="66"/>
      <c r="BU1109" s="66"/>
      <c r="BV1109" s="66"/>
      <c r="BW1109" s="66"/>
      <c r="BX1109" s="66"/>
      <c r="BY1109" s="66"/>
      <c r="BZ1109" s="66"/>
      <c r="CA1109" s="66"/>
      <c r="CB1109" s="66"/>
      <c r="CC1109" s="66"/>
      <c r="CD1109" s="66"/>
      <c r="CE1109" s="66"/>
      <c r="CF1109" s="66"/>
      <c r="CG1109" s="66"/>
      <c r="CH1109" s="66"/>
      <c r="CI1109" s="66"/>
      <c r="CJ1109" s="66"/>
      <c r="CK1109" s="66"/>
      <c r="CL1109" s="66"/>
      <c r="CM1109" s="66"/>
      <c r="CN1109" s="66"/>
      <c r="CO1109" s="66"/>
      <c r="CP1109" s="66"/>
    </row>
    <row r="1110" ht="15.75" customHeight="1">
      <c r="A1110" s="400" t="s">
        <v>5314</v>
      </c>
      <c r="B1110" s="116"/>
      <c r="C1110" s="116" t="s">
        <v>59</v>
      </c>
      <c r="D1110" s="731"/>
      <c r="E1110" s="540" t="s">
        <v>5315</v>
      </c>
      <c r="F1110" s="922" t="s">
        <v>5316</v>
      </c>
      <c r="G1110" s="119" t="s">
        <v>5317</v>
      </c>
      <c r="H1110" s="119" t="s">
        <v>4529</v>
      </c>
      <c r="I1110" s="25" t="s">
        <v>2111</v>
      </c>
      <c r="J1110" s="120" t="s">
        <v>5318</v>
      </c>
      <c r="K1110" s="25">
        <v>1.0</v>
      </c>
      <c r="L1110" s="25">
        <v>2016.0</v>
      </c>
      <c r="M1110" s="25">
        <f t="shared" si="736"/>
        <v>9</v>
      </c>
      <c r="N1110" s="26">
        <f t="shared" si="737"/>
        <v>1</v>
      </c>
      <c r="O1110" s="27" t="str">
        <f t="shared" si="3"/>
        <v>#N/A</v>
      </c>
      <c r="P1110" s="28"/>
      <c r="Q1110" s="28"/>
      <c r="R1110" s="28"/>
      <c r="S1110" s="28"/>
      <c r="T1110" s="29">
        <f t="shared" si="738"/>
        <v>133333.3333</v>
      </c>
      <c r="U1110" s="28"/>
      <c r="V1110" s="30">
        <f t="shared" si="425"/>
        <v>1200000</v>
      </c>
      <c r="W1110" s="30"/>
      <c r="X1110" s="597"/>
      <c r="Y1110" s="33">
        <f t="shared" si="739"/>
        <v>0</v>
      </c>
      <c r="Z1110" s="692"/>
      <c r="AA1110" s="665"/>
      <c r="AB1110" s="123"/>
      <c r="AC1110" s="123"/>
      <c r="AD1110" s="124"/>
      <c r="AE1110" s="125"/>
      <c r="AF1110" s="126" t="str">
        <f>HYPERLINK("https://www.startribune.com/minneapolis-software-startup-gets-2-3m-in-funding-signs-ryan-cos-as-client/600045384/?refresh=true","Feb 16, 2022")</f>
        <v>Feb 16, 2022</v>
      </c>
      <c r="AG1110" s="127">
        <v>1200000.0</v>
      </c>
      <c r="AH1110" s="923"/>
      <c r="AI1110" s="759"/>
      <c r="AJ1110" s="169"/>
      <c r="AK1110" s="165"/>
      <c r="AL1110" s="169"/>
      <c r="AM1110" s="127"/>
      <c r="AN1110" s="124"/>
      <c r="AO1110" s="125"/>
      <c r="AP1110" s="124"/>
      <c r="AQ1110" s="125"/>
      <c r="AR1110" s="124"/>
      <c r="AS1110" s="124"/>
      <c r="AT1110" s="124"/>
      <c r="AU1110" s="137"/>
      <c r="AV1110" s="124"/>
      <c r="AW1110" s="38"/>
      <c r="AX1110" s="124"/>
      <c r="AY1110" s="38"/>
      <c r="AZ1110" s="124"/>
      <c r="BA1110" s="137"/>
      <c r="BB1110" s="124"/>
      <c r="BC1110" s="137"/>
      <c r="BD1110" s="124"/>
      <c r="BE1110" s="38"/>
      <c r="BF1110" s="123"/>
      <c r="BG1110" s="16"/>
      <c r="BH1110" s="16"/>
      <c r="BI1110" s="16"/>
      <c r="BJ1110" s="16"/>
      <c r="BK1110" s="16"/>
      <c r="BL1110" s="16"/>
      <c r="BM1110" s="16"/>
      <c r="BN1110" s="16"/>
      <c r="BO1110" s="16"/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6"/>
      <c r="CA1110" s="16"/>
      <c r="CB1110" s="16"/>
      <c r="CC1110" s="16"/>
      <c r="CD1110" s="16"/>
      <c r="CE1110" s="16"/>
      <c r="CF1110" s="16"/>
      <c r="CG1110" s="16"/>
      <c r="CH1110" s="16"/>
      <c r="CI1110" s="16"/>
      <c r="CJ1110" s="16"/>
      <c r="CK1110" s="16"/>
      <c r="CL1110" s="16"/>
      <c r="CM1110" s="16"/>
      <c r="CN1110" s="16"/>
      <c r="CO1110" s="16"/>
      <c r="CP1110" s="16"/>
    </row>
    <row r="1111" ht="15.75" customHeight="1">
      <c r="A1111" s="21" t="s">
        <v>5319</v>
      </c>
      <c r="B1111" s="68"/>
      <c r="C1111" s="69" t="s">
        <v>59</v>
      </c>
      <c r="D1111" s="492" t="s">
        <v>5320</v>
      </c>
      <c r="E1111" s="200" t="s">
        <v>5321</v>
      </c>
      <c r="F1111" s="757" t="s">
        <v>5322</v>
      </c>
      <c r="G1111" s="71" t="s">
        <v>5323</v>
      </c>
      <c r="H1111" s="71" t="s">
        <v>80</v>
      </c>
      <c r="I1111" s="26" t="s">
        <v>65</v>
      </c>
      <c r="J1111" s="72" t="s">
        <v>5324</v>
      </c>
      <c r="K1111" s="26">
        <v>2.0</v>
      </c>
      <c r="L1111" s="26">
        <v>2019.0</v>
      </c>
      <c r="M1111" s="25">
        <f t="shared" si="736"/>
        <v>6</v>
      </c>
      <c r="N1111" s="26">
        <f t="shared" si="737"/>
        <v>1</v>
      </c>
      <c r="O1111" s="27" t="str">
        <f t="shared" si="3"/>
        <v>#N/A</v>
      </c>
      <c r="P1111" s="28"/>
      <c r="Q1111" s="28"/>
      <c r="R1111" s="28"/>
      <c r="S1111" s="28"/>
      <c r="T1111" s="29">
        <f t="shared" si="738"/>
        <v>200000</v>
      </c>
      <c r="U1111" s="28"/>
      <c r="V1111" s="30">
        <f t="shared" si="425"/>
        <v>1200000</v>
      </c>
      <c r="W1111" s="30"/>
      <c r="X1111" s="73"/>
      <c r="Y1111" s="33">
        <f t="shared" si="739"/>
        <v>0</v>
      </c>
      <c r="Z1111" s="692"/>
      <c r="AA1111" s="665"/>
      <c r="AB1111" s="74"/>
      <c r="AC1111" s="74"/>
      <c r="AD1111" s="43" t="str">
        <f>HYPERLINK("https://www.crunchbase.com/funding_round/eanovation-pre-seed--74da351c","May 1, 2019")</f>
        <v>May 1, 2019</v>
      </c>
      <c r="AE1111" s="38">
        <v>1200000.0</v>
      </c>
      <c r="AF1111" s="1504"/>
      <c r="AG1111" s="38"/>
      <c r="AH1111" s="36"/>
      <c r="AI1111" s="159"/>
      <c r="AJ1111" s="44"/>
      <c r="AK1111" s="46"/>
      <c r="AL1111" s="44"/>
      <c r="AM1111" s="46"/>
      <c r="AN1111" s="44"/>
      <c r="AO1111" s="46"/>
      <c r="AP1111" s="44"/>
      <c r="AQ1111" s="46"/>
      <c r="AR1111" s="44"/>
      <c r="AS1111" s="44"/>
      <c r="AT1111" s="44"/>
      <c r="AU1111" s="45"/>
      <c r="AV1111" s="44"/>
      <c r="AW1111" s="38"/>
      <c r="AX1111" s="44"/>
      <c r="AY1111" s="38"/>
      <c r="AZ1111" s="44"/>
      <c r="BA1111" s="45"/>
      <c r="BB1111" s="44"/>
      <c r="BC1111" s="45"/>
      <c r="BD1111" s="44"/>
      <c r="BE1111" s="38"/>
      <c r="BF1111" s="36"/>
      <c r="BG1111" s="16"/>
      <c r="BH1111" s="16"/>
      <c r="BI1111" s="16"/>
      <c r="BJ1111" s="16"/>
      <c r="BK1111" s="16"/>
      <c r="BL1111" s="16"/>
      <c r="BM1111" s="16"/>
      <c r="BN1111" s="16"/>
      <c r="BO1111" s="16"/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6"/>
      <c r="CA1111" s="16"/>
      <c r="CB1111" s="16"/>
      <c r="CC1111" s="16"/>
      <c r="CD1111" s="16"/>
      <c r="CE1111" s="16"/>
      <c r="CF1111" s="16"/>
      <c r="CG1111" s="16"/>
      <c r="CH1111" s="16"/>
      <c r="CI1111" s="16"/>
      <c r="CJ1111" s="16"/>
      <c r="CK1111" s="16"/>
      <c r="CL1111" s="16"/>
      <c r="CM1111" s="16"/>
      <c r="CN1111" s="16"/>
      <c r="CO1111" s="16"/>
      <c r="CP1111" s="16"/>
    </row>
    <row r="1112" ht="15.75" customHeight="1">
      <c r="A1112" s="666" t="s">
        <v>5325</v>
      </c>
      <c r="B1112" s="115" t="s">
        <v>432</v>
      </c>
      <c r="C1112" s="69" t="s">
        <v>5162</v>
      </c>
      <c r="D1112" s="667" t="s">
        <v>5326</v>
      </c>
      <c r="E1112" s="388" t="s">
        <v>5327</v>
      </c>
      <c r="F1112" s="668" t="s">
        <v>5328</v>
      </c>
      <c r="G1112" s="286" t="s">
        <v>5329</v>
      </c>
      <c r="H1112" s="286" t="s">
        <v>64</v>
      </c>
      <c r="I1112" s="123" t="s">
        <v>65</v>
      </c>
      <c r="J1112" s="287" t="s">
        <v>5330</v>
      </c>
      <c r="K1112" s="123">
        <v>3.0</v>
      </c>
      <c r="L1112" s="25">
        <v>2014.0</v>
      </c>
      <c r="M1112" s="25">
        <f t="shared" si="736"/>
        <v>11</v>
      </c>
      <c r="N1112" s="26">
        <f t="shared" si="737"/>
        <v>1</v>
      </c>
      <c r="O1112" s="27" t="str">
        <f t="shared" si="3"/>
        <v>#N/A</v>
      </c>
      <c r="P1112" s="28"/>
      <c r="Q1112" s="28"/>
      <c r="R1112" s="28"/>
      <c r="S1112" s="28"/>
      <c r="T1112" s="29">
        <f t="shared" si="738"/>
        <v>109090.9091</v>
      </c>
      <c r="U1112" s="28"/>
      <c r="V1112" s="30">
        <f t="shared" si="425"/>
        <v>1200000</v>
      </c>
      <c r="W1112" s="30"/>
      <c r="X1112" s="403"/>
      <c r="Y1112" s="33">
        <f t="shared" si="739"/>
        <v>0</v>
      </c>
      <c r="Z1112" s="692"/>
      <c r="AA1112" s="665"/>
      <c r="AB1112" s="123"/>
      <c r="AC1112" s="123"/>
      <c r="AD1112" s="732" t="str">
        <f>HYPERLINK("https://www.crunchbase.com/organization/ecomedes#section-funding-rounds"," Jan 14, 2019")</f>
        <v> Jan 14, 2019</v>
      </c>
      <c r="AE1112" s="325">
        <v>1200000.0</v>
      </c>
      <c r="AF1112" s="868"/>
      <c r="AG1112" s="323"/>
      <c r="AH1112" s="326"/>
      <c r="AI1112" s="327"/>
      <c r="AJ1112" s="322"/>
      <c r="AK1112" s="323"/>
      <c r="AL1112" s="322"/>
      <c r="AM1112" s="323"/>
      <c r="AN1112" s="322"/>
      <c r="AO1112" s="323"/>
      <c r="AP1112" s="322"/>
      <c r="AQ1112" s="323"/>
      <c r="AR1112" s="322"/>
      <c r="AS1112" s="322"/>
      <c r="AT1112" s="322"/>
      <c r="AU1112" s="335"/>
      <c r="AV1112" s="322"/>
      <c r="AW1112" s="38"/>
      <c r="AX1112" s="322"/>
      <c r="AY1112" s="38"/>
      <c r="AZ1112" s="322"/>
      <c r="BA1112" s="335"/>
      <c r="BB1112" s="322"/>
      <c r="BC1112" s="335"/>
      <c r="BD1112" s="322"/>
      <c r="BE1112" s="38"/>
      <c r="BF1112" s="326"/>
      <c r="BG1112" s="16"/>
      <c r="BH1112" s="16"/>
      <c r="BI1112" s="16"/>
      <c r="BJ1112" s="16"/>
      <c r="BK1112" s="16"/>
      <c r="BL1112" s="16"/>
      <c r="BM1112" s="16"/>
      <c r="BN1112" s="16"/>
      <c r="BO1112" s="16"/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6"/>
      <c r="CA1112" s="16"/>
      <c r="CB1112" s="16"/>
      <c r="CC1112" s="16"/>
      <c r="CD1112" s="16"/>
      <c r="CE1112" s="16"/>
      <c r="CF1112" s="16"/>
      <c r="CG1112" s="16"/>
      <c r="CH1112" s="16"/>
      <c r="CI1112" s="16"/>
      <c r="CJ1112" s="16"/>
      <c r="CK1112" s="16"/>
      <c r="CL1112" s="16"/>
      <c r="CM1112" s="16"/>
      <c r="CN1112" s="16"/>
      <c r="CO1112" s="16"/>
      <c r="CP1112" s="16"/>
    </row>
    <row r="1113" ht="15.75" customHeight="1">
      <c r="A1113" s="48" t="s">
        <v>5331</v>
      </c>
      <c r="B1113" s="16"/>
      <c r="C1113" s="17" t="s">
        <v>267</v>
      </c>
      <c r="D1113" s="48"/>
      <c r="E1113" s="192" t="s">
        <v>5332</v>
      </c>
      <c r="F1113" s="118" t="s">
        <v>5333</v>
      </c>
      <c r="G1113" s="22"/>
      <c r="H1113" s="22" t="s">
        <v>5334</v>
      </c>
      <c r="I1113" s="23" t="s">
        <v>1384</v>
      </c>
      <c r="J1113" s="24"/>
      <c r="K1113" s="23">
        <v>3.0</v>
      </c>
      <c r="L1113" s="23">
        <v>2020.0</v>
      </c>
      <c r="M1113" s="222"/>
      <c r="N1113" s="23"/>
      <c r="O1113" s="27" t="str">
        <f t="shared" si="3"/>
        <v>#N/A</v>
      </c>
      <c r="P1113" s="464"/>
      <c r="Q1113" s="464"/>
      <c r="R1113" s="464"/>
      <c r="S1113" s="464"/>
      <c r="T1113" s="464"/>
      <c r="U1113" s="464"/>
      <c r="V1113" s="30">
        <f t="shared" si="425"/>
        <v>1200000</v>
      </c>
      <c r="W1113" s="30"/>
      <c r="X1113" s="33"/>
      <c r="Y1113" s="33"/>
      <c r="Z1113" s="692"/>
      <c r="AA1113" s="665"/>
      <c r="AB1113" s="36"/>
      <c r="AC1113" s="36"/>
      <c r="AD1113" s="43" t="str">
        <f>HYPERLINK("https://www.crunchbase.com/funding_round/casa-2535-pre-seed--3c99cb52","Feb 25, 2022")</f>
        <v>Feb 25, 2022</v>
      </c>
      <c r="AE1113" s="38">
        <v>1200000.0</v>
      </c>
      <c r="AF1113" s="320"/>
      <c r="AG1113" s="38"/>
      <c r="AH1113" s="36"/>
      <c r="AI1113" s="159"/>
      <c r="AJ1113" s="42"/>
      <c r="AK1113" s="38"/>
      <c r="AL1113" s="42"/>
      <c r="AM1113" s="38"/>
      <c r="AN1113" s="44"/>
      <c r="AO1113" s="46"/>
      <c r="AP1113" s="44"/>
      <c r="AQ1113" s="46"/>
      <c r="AR1113" s="44"/>
      <c r="AS1113" s="44"/>
      <c r="AT1113" s="44"/>
      <c r="AU1113" s="45"/>
      <c r="AV1113" s="44"/>
      <c r="AW1113" s="38"/>
      <c r="AX1113" s="44"/>
      <c r="AY1113" s="38"/>
      <c r="AZ1113" s="44"/>
      <c r="BA1113" s="45"/>
      <c r="BB1113" s="44"/>
      <c r="BC1113" s="45"/>
      <c r="BD1113" s="44"/>
      <c r="BE1113" s="38"/>
      <c r="BF1113" s="36"/>
      <c r="BG1113" s="16"/>
      <c r="BH1113" s="16"/>
      <c r="BI1113" s="16"/>
      <c r="BJ1113" s="16"/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6"/>
      <c r="CA1113" s="16"/>
      <c r="CB1113" s="16"/>
      <c r="CC1113" s="16"/>
      <c r="CD1113" s="16"/>
      <c r="CE1113" s="16"/>
      <c r="CF1113" s="16"/>
      <c r="CG1113" s="16"/>
      <c r="CH1113" s="16"/>
      <c r="CI1113" s="16"/>
      <c r="CJ1113" s="16"/>
      <c r="CK1113" s="16"/>
      <c r="CL1113" s="16"/>
      <c r="CM1113" s="16"/>
      <c r="CN1113" s="16"/>
      <c r="CO1113" s="16"/>
      <c r="CP1113" s="16"/>
    </row>
    <row r="1114" ht="15.75" customHeight="1">
      <c r="A1114" s="400" t="s">
        <v>5335</v>
      </c>
      <c r="B1114" s="115"/>
      <c r="C1114" s="116" t="s">
        <v>68</v>
      </c>
      <c r="D1114" s="449"/>
      <c r="E1114" s="161" t="s">
        <v>5336</v>
      </c>
      <c r="F1114" s="402" t="s">
        <v>5337</v>
      </c>
      <c r="G1114" s="286"/>
      <c r="H1114" s="119" t="s">
        <v>5338</v>
      </c>
      <c r="I1114" s="25" t="s">
        <v>65</v>
      </c>
      <c r="J1114" s="287"/>
      <c r="K1114" s="25">
        <v>2.0</v>
      </c>
      <c r="L1114" s="25">
        <v>2018.0</v>
      </c>
      <c r="M1114" s="123"/>
      <c r="N1114" s="123"/>
      <c r="O1114" s="27" t="str">
        <f t="shared" si="3"/>
        <v>#N/A</v>
      </c>
      <c r="P1114" s="55"/>
      <c r="Q1114" s="55"/>
      <c r="R1114" s="55"/>
      <c r="S1114" s="55"/>
      <c r="T1114" s="55"/>
      <c r="U1114" s="55"/>
      <c r="V1114" s="30">
        <f t="shared" si="425"/>
        <v>1190000</v>
      </c>
      <c r="W1114" s="30"/>
      <c r="X1114" s="403"/>
      <c r="Y1114" s="403"/>
      <c r="Z1114" s="692"/>
      <c r="AA1114" s="665"/>
      <c r="AB1114" s="123"/>
      <c r="AC1114" s="123"/>
      <c r="AD1114" s="355"/>
      <c r="AE1114" s="38"/>
      <c r="AF1114" s="62">
        <v>44880.0</v>
      </c>
      <c r="AG1114" s="38">
        <v>840000.0</v>
      </c>
      <c r="AH1114" s="123"/>
      <c r="AI1114" s="123"/>
      <c r="AJ1114" s="123"/>
      <c r="AK1114" s="123"/>
      <c r="AL1114" s="123"/>
      <c r="AM1114" s="123"/>
      <c r="AN1114" s="123"/>
      <c r="AO1114" s="123"/>
      <c r="AP1114" s="123"/>
      <c r="AQ1114" s="123"/>
      <c r="AR1114" s="123"/>
      <c r="AS1114" s="123"/>
      <c r="AT1114" s="123"/>
      <c r="AU1114" s="137"/>
      <c r="AV1114" s="123"/>
      <c r="AW1114" s="38"/>
      <c r="AX1114" s="123"/>
      <c r="AY1114" s="38"/>
      <c r="AZ1114" s="452">
        <v>44621.0</v>
      </c>
      <c r="BA1114" s="170">
        <v>350000.0</v>
      </c>
      <c r="BB1114" s="123"/>
      <c r="BC1114" s="137"/>
      <c r="BD1114" s="123"/>
      <c r="BE1114" s="38"/>
      <c r="BF1114" s="123"/>
      <c r="BG1114" s="16"/>
      <c r="BH1114" s="16"/>
      <c r="BI1114" s="16"/>
      <c r="BJ1114" s="16"/>
      <c r="BK1114" s="16"/>
      <c r="BL1114" s="16"/>
      <c r="BM1114" s="16"/>
      <c r="BN1114" s="16"/>
      <c r="BO1114" s="16"/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6"/>
      <c r="CA1114" s="16"/>
      <c r="CB1114" s="16"/>
      <c r="CC1114" s="16"/>
      <c r="CD1114" s="16"/>
      <c r="CE1114" s="16"/>
      <c r="CF1114" s="16"/>
      <c r="CG1114" s="16"/>
      <c r="CH1114" s="16"/>
      <c r="CI1114" s="16"/>
      <c r="CJ1114" s="16"/>
      <c r="CK1114" s="16"/>
      <c r="CL1114" s="16"/>
      <c r="CM1114" s="16"/>
      <c r="CN1114" s="16"/>
      <c r="CO1114" s="16"/>
      <c r="CP1114" s="16"/>
    </row>
    <row r="1115" ht="15.75" customHeight="1">
      <c r="A1115" s="957" t="s">
        <v>5339</v>
      </c>
      <c r="C1115" s="48" t="s">
        <v>68</v>
      </c>
      <c r="D1115" s="351"/>
      <c r="E1115" s="617" t="s">
        <v>5340</v>
      </c>
      <c r="F1115" s="352" t="s">
        <v>5341</v>
      </c>
      <c r="G1115" s="353"/>
      <c r="H1115" s="53" t="s">
        <v>450</v>
      </c>
      <c r="I1115" s="1222" t="s">
        <v>450</v>
      </c>
      <c r="K1115" s="54">
        <v>3.0</v>
      </c>
      <c r="L1115" s="56">
        <v>2022.0</v>
      </c>
      <c r="M1115" s="55"/>
      <c r="N1115" s="55"/>
      <c r="O1115" s="27" t="str">
        <f t="shared" si="3"/>
        <v>#N/A</v>
      </c>
      <c r="P1115" s="55"/>
      <c r="Q1115" s="55"/>
      <c r="R1115" s="55"/>
      <c r="S1115" s="55"/>
      <c r="T1115" s="55"/>
      <c r="U1115" s="55"/>
      <c r="V1115" s="30">
        <f t="shared" si="425"/>
        <v>1180000</v>
      </c>
      <c r="W1115" s="30"/>
      <c r="X1115" s="58"/>
      <c r="Y1115" s="58"/>
      <c r="Z1115" s="692"/>
      <c r="AA1115" s="665"/>
      <c r="AB1115" s="55"/>
      <c r="AC1115" s="55"/>
      <c r="AD1115" s="62">
        <v>44633.0</v>
      </c>
      <c r="AE1115" s="38">
        <v>330000.0</v>
      </c>
      <c r="AF1115" s="62">
        <v>45012.0</v>
      </c>
      <c r="AG1115" s="38">
        <v>850000.0</v>
      </c>
      <c r="AH1115" s="55"/>
      <c r="AI1115" s="38"/>
      <c r="AJ1115" s="55"/>
      <c r="AK1115" s="38"/>
      <c r="AL1115" s="55"/>
      <c r="AM1115" s="38"/>
      <c r="AN1115" s="55"/>
      <c r="AO1115" s="38"/>
      <c r="AP1115" s="356"/>
      <c r="AQ1115" s="38"/>
      <c r="AR1115" s="55"/>
      <c r="AS1115" s="38"/>
      <c r="AT1115" s="55"/>
      <c r="AU1115" s="38"/>
      <c r="AV1115" s="55"/>
      <c r="AW1115" s="38"/>
      <c r="AX1115" s="55"/>
      <c r="AY1115" s="38"/>
      <c r="AZ1115" s="55"/>
      <c r="BA1115" s="38"/>
      <c r="BB1115" s="55"/>
      <c r="BC1115" s="38"/>
      <c r="BD1115" s="55"/>
      <c r="BE1115" s="38"/>
      <c r="BF1115" s="55"/>
      <c r="BG1115" s="16"/>
      <c r="BH1115" s="16"/>
      <c r="BI1115" s="16"/>
      <c r="BJ1115" s="16"/>
      <c r="BK1115" s="16"/>
      <c r="BL1115" s="16"/>
      <c r="BM1115" s="16"/>
      <c r="BN1115" s="16"/>
      <c r="BO1115" s="16"/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6"/>
      <c r="CA1115" s="16"/>
      <c r="CB1115" s="16"/>
      <c r="CC1115" s="16"/>
      <c r="CD1115" s="16"/>
      <c r="CE1115" s="16"/>
      <c r="CF1115" s="16"/>
      <c r="CG1115" s="16"/>
      <c r="CH1115" s="16"/>
      <c r="CI1115" s="16"/>
      <c r="CJ1115" s="16"/>
      <c r="CK1115" s="16"/>
      <c r="CL1115" s="16"/>
      <c r="CM1115" s="16"/>
      <c r="CN1115" s="16"/>
      <c r="CO1115" s="16"/>
      <c r="CP1115" s="16"/>
    </row>
    <row r="1116" ht="15.75" customHeight="1">
      <c r="A1116" s="47" t="s">
        <v>5342</v>
      </c>
      <c r="C1116" s="48" t="s">
        <v>207</v>
      </c>
      <c r="D1116" s="351"/>
      <c r="E1116" s="49" t="s">
        <v>5343</v>
      </c>
      <c r="F1116" s="352" t="s">
        <v>5344</v>
      </c>
      <c r="G1116" s="353"/>
      <c r="H1116" s="53" t="s">
        <v>1104</v>
      </c>
      <c r="I1116" s="54" t="s">
        <v>195</v>
      </c>
      <c r="J1116" s="55"/>
      <c r="K1116" s="55"/>
      <c r="L1116" s="56">
        <v>2019.0</v>
      </c>
      <c r="M1116" s="55"/>
      <c r="N1116" s="55"/>
      <c r="O1116" s="27" t="str">
        <f t="shared" si="3"/>
        <v>#N/A</v>
      </c>
      <c r="P1116" s="55"/>
      <c r="Q1116" s="55"/>
      <c r="R1116" s="55"/>
      <c r="S1116" s="55"/>
      <c r="T1116" s="55"/>
      <c r="U1116" s="55"/>
      <c r="V1116" s="30">
        <f t="shared" si="425"/>
        <v>1177000</v>
      </c>
      <c r="W1116" s="30"/>
      <c r="X1116" s="58"/>
      <c r="Y1116" s="58"/>
      <c r="Z1116" s="692"/>
      <c r="AA1116" s="665"/>
      <c r="AB1116" s="55"/>
      <c r="AC1116" s="55"/>
      <c r="AD1116" s="355"/>
      <c r="AE1116" s="38"/>
      <c r="AF1116" s="355"/>
      <c r="AG1116" s="38"/>
      <c r="AH1116" s="55"/>
      <c r="AI1116" s="38"/>
      <c r="AJ1116" s="55"/>
      <c r="AK1116" s="38"/>
      <c r="AL1116" s="55"/>
      <c r="AM1116" s="38"/>
      <c r="AN1116" s="55"/>
      <c r="AO1116" s="38"/>
      <c r="AP1116" s="356"/>
      <c r="AQ1116" s="38"/>
      <c r="AR1116" s="55"/>
      <c r="AS1116" s="38"/>
      <c r="AT1116" s="55"/>
      <c r="AU1116" s="38"/>
      <c r="AV1116" s="55"/>
      <c r="AW1116" s="38"/>
      <c r="AX1116" s="55"/>
      <c r="AY1116" s="38"/>
      <c r="AZ1116" s="62">
        <v>44991.0</v>
      </c>
      <c r="BA1116" s="38">
        <f>1.07*1100000</f>
        <v>1177000</v>
      </c>
      <c r="BB1116" s="55"/>
      <c r="BC1116" s="38"/>
      <c r="BD1116" s="55"/>
      <c r="BE1116" s="38"/>
      <c r="BF1116" s="55"/>
      <c r="BG1116" s="16"/>
      <c r="BH1116" s="16"/>
      <c r="BI1116" s="16"/>
      <c r="BJ1116" s="16"/>
      <c r="BK1116" s="16"/>
      <c r="BL1116" s="16"/>
      <c r="BM1116" s="16"/>
      <c r="BN1116" s="16"/>
      <c r="BO1116" s="16"/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6"/>
      <c r="CA1116" s="16"/>
      <c r="CB1116" s="16"/>
      <c r="CC1116" s="16"/>
      <c r="CD1116" s="16"/>
      <c r="CE1116" s="16"/>
      <c r="CF1116" s="16"/>
      <c r="CG1116" s="16"/>
      <c r="CH1116" s="16"/>
      <c r="CI1116" s="16"/>
      <c r="CJ1116" s="16"/>
      <c r="CK1116" s="16"/>
      <c r="CL1116" s="16"/>
      <c r="CM1116" s="16"/>
      <c r="CN1116" s="16"/>
      <c r="CO1116" s="16"/>
      <c r="CP1116" s="16"/>
    </row>
    <row r="1117" ht="15.75" customHeight="1">
      <c r="A1117" s="860" t="s">
        <v>5345</v>
      </c>
      <c r="B1117" s="68"/>
      <c r="C1117" s="69" t="s">
        <v>132</v>
      </c>
      <c r="D1117" s="192" t="s">
        <v>5346</v>
      </c>
      <c r="E1117" s="192" t="s">
        <v>5347</v>
      </c>
      <c r="F1117" s="118" t="s">
        <v>5348</v>
      </c>
      <c r="G1117" s="186"/>
      <c r="H1117" s="71" t="s">
        <v>5349</v>
      </c>
      <c r="I1117" s="746" t="s">
        <v>5350</v>
      </c>
      <c r="J1117" s="155"/>
      <c r="K1117" s="74"/>
      <c r="L1117" s="26">
        <v>2013.0</v>
      </c>
      <c r="M1117" s="25">
        <f>year(now()) -L1117</f>
        <v>12</v>
      </c>
      <c r="N1117" s="26">
        <f>counta(AE1117,AG1117,AI1117,AK1117,AM1117,AO1117,AQ1117,AS1117,AU1117,AW1117,AY1117,BA1117,BC1117)</f>
        <v>1</v>
      </c>
      <c r="O1117" s="27" t="str">
        <f t="shared" si="3"/>
        <v>#N/A</v>
      </c>
      <c r="P1117" s="28"/>
      <c r="Q1117" s="28"/>
      <c r="R1117" s="28"/>
      <c r="S1117" s="28"/>
      <c r="T1117" s="29">
        <f>V1117/M1117</f>
        <v>91666.66667</v>
      </c>
      <c r="U1117" s="28"/>
      <c r="V1117" s="30">
        <f t="shared" si="425"/>
        <v>1100000</v>
      </c>
      <c r="W1117" s="30"/>
      <c r="X1117" s="32"/>
      <c r="Y1117" s="33">
        <f>(max(AE1117,AG1117,AI1117,AK1117,AM1117,AO1117,AQ1117,AS1117,AU1117,AW1117,AY1117,BA1117,BC1117)/min(AE1117,AG1117,AI1117,AK1117))^(1/M1117)-1</f>
        <v>0</v>
      </c>
      <c r="Z1117" s="692"/>
      <c r="AA1117" s="665"/>
      <c r="AB1117" s="74"/>
      <c r="AC1117" s="74"/>
      <c r="AD1117" s="79"/>
      <c r="AE1117" s="84"/>
      <c r="AF1117" s="320">
        <v>42647.0</v>
      </c>
      <c r="AG1117" s="76">
        <v>1100000.0</v>
      </c>
      <c r="AH1117" s="74"/>
      <c r="AI1117" s="78"/>
      <c r="AJ1117" s="79"/>
      <c r="AK1117" s="807"/>
      <c r="AL1117" s="79"/>
      <c r="AM1117" s="84"/>
      <c r="AN1117" s="79"/>
      <c r="AO1117" s="84"/>
      <c r="AP1117" s="79"/>
      <c r="AQ1117" s="84"/>
      <c r="AR1117" s="79"/>
      <c r="AS1117" s="79"/>
      <c r="AT1117" s="79"/>
      <c r="AU1117" s="80"/>
      <c r="AV1117" s="79"/>
      <c r="AW1117" s="38"/>
      <c r="AX1117" s="79"/>
      <c r="AY1117" s="38"/>
      <c r="AZ1117" s="79"/>
      <c r="BA1117" s="80"/>
      <c r="BB1117" s="79"/>
      <c r="BC1117" s="80"/>
      <c r="BD1117" s="79"/>
      <c r="BE1117" s="38"/>
      <c r="BF1117" s="74"/>
      <c r="BG1117" s="16"/>
      <c r="BH1117" s="16"/>
      <c r="BI1117" s="16"/>
      <c r="BJ1117" s="16"/>
      <c r="BK1117" s="16"/>
      <c r="BL1117" s="16"/>
      <c r="BM1117" s="16"/>
      <c r="BN1117" s="16"/>
      <c r="BO1117" s="16"/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6"/>
      <c r="CA1117" s="16"/>
      <c r="CB1117" s="16"/>
      <c r="CC1117" s="16"/>
      <c r="CD1117" s="16"/>
      <c r="CE1117" s="16"/>
      <c r="CF1117" s="16"/>
      <c r="CG1117" s="16"/>
      <c r="CH1117" s="16"/>
      <c r="CI1117" s="16"/>
      <c r="CJ1117" s="16"/>
      <c r="CK1117" s="16"/>
      <c r="CL1117" s="16"/>
      <c r="CM1117" s="16"/>
      <c r="CN1117" s="16"/>
      <c r="CO1117" s="16"/>
      <c r="CP1117" s="16"/>
    </row>
    <row r="1118" ht="15.75" customHeight="1">
      <c r="A1118" s="935" t="s">
        <v>5351</v>
      </c>
      <c r="B1118" s="68"/>
      <c r="C1118" s="69" t="s">
        <v>68</v>
      </c>
      <c r="D1118" s="388" t="s">
        <v>5352</v>
      </c>
      <c r="E1118" s="388" t="s">
        <v>5353</v>
      </c>
      <c r="F1118" s="1505" t="s">
        <v>5354</v>
      </c>
      <c r="G1118" s="186"/>
      <c r="H1118" s="71" t="s">
        <v>5355</v>
      </c>
      <c r="I1118" s="26" t="s">
        <v>395</v>
      </c>
      <c r="J1118" s="155"/>
      <c r="K1118" s="26">
        <v>1.0</v>
      </c>
      <c r="L1118" s="26">
        <v>2013.0</v>
      </c>
      <c r="M1118" s="25"/>
      <c r="N1118" s="26"/>
      <c r="O1118" s="27" t="str">
        <f t="shared" si="3"/>
        <v>#N/A</v>
      </c>
      <c r="P1118" s="273"/>
      <c r="Q1118" s="273"/>
      <c r="R1118" s="273"/>
      <c r="S1118" s="273"/>
      <c r="T1118" s="273"/>
      <c r="U1118" s="273"/>
      <c r="V1118" s="30">
        <f t="shared" si="425"/>
        <v>1100000</v>
      </c>
      <c r="W1118" s="30"/>
      <c r="X1118" s="73"/>
      <c r="Y1118" s="73"/>
      <c r="Z1118" s="692"/>
      <c r="AA1118" s="665"/>
      <c r="AB1118" s="74"/>
      <c r="AC1118" s="74"/>
      <c r="AD1118" s="44"/>
      <c r="AE1118" s="46"/>
      <c r="AF1118" s="885">
        <v>44727.0</v>
      </c>
      <c r="AG1118" s="46">
        <f>1100000</f>
        <v>1100000</v>
      </c>
      <c r="AH1118" s="36"/>
      <c r="AI1118" s="159"/>
      <c r="AJ1118" s="44"/>
      <c r="AK1118" s="46"/>
      <c r="AL1118" s="44"/>
      <c r="AM1118" s="46"/>
      <c r="AN1118" s="44"/>
      <c r="AO1118" s="46"/>
      <c r="AP1118" s="44"/>
      <c r="AQ1118" s="46"/>
      <c r="AR1118" s="44"/>
      <c r="AS1118" s="44"/>
      <c r="AT1118" s="44"/>
      <c r="AU1118" s="45"/>
      <c r="AV1118" s="44"/>
      <c r="AW1118" s="38"/>
      <c r="AX1118" s="44"/>
      <c r="AY1118" s="38"/>
      <c r="AZ1118" s="44"/>
      <c r="BA1118" s="45"/>
      <c r="BB1118" s="44"/>
      <c r="BC1118" s="45"/>
      <c r="BD1118" s="44"/>
      <c r="BE1118" s="38"/>
      <c r="BF1118" s="36"/>
      <c r="BG1118" s="1490"/>
      <c r="BH1118" s="1490"/>
      <c r="BI1118" s="1490"/>
      <c r="BJ1118" s="1490"/>
      <c r="BK1118" s="1490"/>
      <c r="BL1118" s="1490"/>
      <c r="BM1118" s="1490"/>
      <c r="BN1118" s="1490"/>
      <c r="BO1118" s="1490"/>
      <c r="BP1118" s="1490"/>
      <c r="BQ1118" s="1490"/>
      <c r="BR1118" s="1490"/>
      <c r="BS1118" s="1490"/>
      <c r="BT1118" s="1490"/>
      <c r="BU1118" s="1490"/>
      <c r="BV1118" s="1490"/>
      <c r="BW1118" s="1490"/>
      <c r="BX1118" s="1490"/>
      <c r="BY1118" s="1490"/>
      <c r="BZ1118" s="1490"/>
      <c r="CA1118" s="1490"/>
      <c r="CB1118" s="1490"/>
      <c r="CC1118" s="1490"/>
      <c r="CD1118" s="1490"/>
      <c r="CE1118" s="1490"/>
      <c r="CF1118" s="1490"/>
      <c r="CG1118" s="1490"/>
      <c r="CH1118" s="1490"/>
      <c r="CI1118" s="1490"/>
      <c r="CJ1118" s="1490"/>
      <c r="CK1118" s="1490"/>
      <c r="CL1118" s="1490"/>
      <c r="CM1118" s="1490"/>
      <c r="CN1118" s="1490"/>
      <c r="CO1118" s="1490"/>
      <c r="CP1118" s="1490"/>
    </row>
    <row r="1119" ht="15.75" customHeight="1">
      <c r="A1119" s="400" t="s">
        <v>5356</v>
      </c>
      <c r="B1119" s="115"/>
      <c r="C1119" s="116" t="s">
        <v>84</v>
      </c>
      <c r="D1119" s="401" t="s">
        <v>5357</v>
      </c>
      <c r="E1119" s="401" t="s">
        <v>5358</v>
      </c>
      <c r="F1119" s="708" t="s">
        <v>5359</v>
      </c>
      <c r="G1119" s="286"/>
      <c r="H1119" s="119" t="s">
        <v>5360</v>
      </c>
      <c r="I1119" s="25" t="s">
        <v>257</v>
      </c>
      <c r="J1119" s="287"/>
      <c r="K1119" s="25">
        <v>2.0</v>
      </c>
      <c r="L1119" s="25">
        <v>2013.0</v>
      </c>
      <c r="M1119" s="123"/>
      <c r="N1119" s="123"/>
      <c r="O1119" s="27" t="str">
        <f t="shared" si="3"/>
        <v>#N/A</v>
      </c>
      <c r="P1119" s="55"/>
      <c r="Q1119" s="55"/>
      <c r="R1119" s="55"/>
      <c r="S1119" s="55"/>
      <c r="T1119" s="55"/>
      <c r="U1119" s="55"/>
      <c r="V1119" s="30">
        <f t="shared" si="425"/>
        <v>1100000</v>
      </c>
      <c r="W1119" s="30"/>
      <c r="X1119" s="403"/>
      <c r="Y1119" s="403"/>
      <c r="Z1119" s="692"/>
      <c r="AA1119" s="665"/>
      <c r="AB1119" s="123"/>
      <c r="AC1119" s="123"/>
      <c r="AD1119" s="355"/>
      <c r="AE1119" s="38"/>
      <c r="AF1119" s="355"/>
      <c r="AG1119" s="38"/>
      <c r="AH1119" s="123"/>
      <c r="AI1119" s="123"/>
      <c r="AJ1119" s="123"/>
      <c r="AK1119" s="123"/>
      <c r="AL1119" s="123"/>
      <c r="AM1119" s="123"/>
      <c r="AN1119" s="123"/>
      <c r="AO1119" s="123"/>
      <c r="AP1119" s="123"/>
      <c r="AQ1119" s="123"/>
      <c r="AR1119" s="123"/>
      <c r="AS1119" s="123"/>
      <c r="AT1119" s="123"/>
      <c r="AU1119" s="137"/>
      <c r="AV1119" s="123"/>
      <c r="AW1119" s="38"/>
      <c r="AX1119" s="123"/>
      <c r="AY1119" s="38"/>
      <c r="AZ1119" s="404">
        <v>44893.0</v>
      </c>
      <c r="BA1119" s="170">
        <v>1100000.0</v>
      </c>
      <c r="BB1119" s="123"/>
      <c r="BC1119" s="137"/>
      <c r="BD1119" s="123"/>
      <c r="BE1119" s="38"/>
      <c r="BF1119" s="123"/>
      <c r="BG1119" s="16"/>
      <c r="BH1119" s="16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</row>
    <row r="1120" ht="15.75" customHeight="1">
      <c r="A1120" s="21" t="s">
        <v>5361</v>
      </c>
      <c r="B1120" s="17" t="s">
        <v>2289</v>
      </c>
      <c r="C1120" s="16" t="s">
        <v>207</v>
      </c>
      <c r="D1120" s="138" t="s">
        <v>5362</v>
      </c>
      <c r="E1120" s="138" t="s">
        <v>5363</v>
      </c>
      <c r="F1120" s="173" t="s">
        <v>5364</v>
      </c>
      <c r="G1120" s="22" t="s">
        <v>5365</v>
      </c>
      <c r="H1120" s="22" t="s">
        <v>357</v>
      </c>
      <c r="I1120" s="23" t="s">
        <v>358</v>
      </c>
      <c r="J1120" s="24" t="s">
        <v>1140</v>
      </c>
      <c r="K1120" s="23">
        <v>3.0</v>
      </c>
      <c r="L1120" s="23">
        <v>2013.0</v>
      </c>
      <c r="M1120" s="25">
        <f t="shared" ref="M1120:M1131" si="740">year(now()) -L1120</f>
        <v>12</v>
      </c>
      <c r="N1120" s="26">
        <f t="shared" ref="N1120:N1131" si="741">counta(AE1120,AG1120,AI1120,AK1120,AM1120,AO1120,AQ1120,AS1120,AU1120,AW1120,AY1120,BA1120,BC1120)</f>
        <v>1</v>
      </c>
      <c r="O1120" s="27" t="str">
        <f t="shared" si="3"/>
        <v>#N/A</v>
      </c>
      <c r="P1120" s="28"/>
      <c r="Q1120" s="28"/>
      <c r="R1120" s="28"/>
      <c r="S1120" s="28"/>
      <c r="T1120" s="29">
        <f t="shared" ref="T1120:T1131" si="742">V1120/M1120</f>
        <v>85775</v>
      </c>
      <c r="U1120" s="28"/>
      <c r="V1120" s="30">
        <f t="shared" si="425"/>
        <v>1029300</v>
      </c>
      <c r="W1120" s="30"/>
      <c r="X1120" s="33"/>
      <c r="Y1120" s="33">
        <f t="shared" ref="Y1120:Y1131" si="743">(max(AE1120,AG1120,AI1120,AK1120,AM1120,AO1120,AQ1120,AS1120,AU1120,AW1120,AY1120,BA1120,BC1120)/min(AE1120,AG1120,AI1120,AK1120))^(1/M1120)-1</f>
        <v>0</v>
      </c>
      <c r="Z1120" s="692"/>
      <c r="AA1120" s="665"/>
      <c r="AB1120" s="36"/>
      <c r="AC1120" s="36"/>
      <c r="AD1120" s="44"/>
      <c r="AE1120" s="46"/>
      <c r="AF1120" s="158" t="str">
        <f>HYPERLINK("https://www.crunchbase.com/organization/courbanize#section-funding-rounds"," Oct 1, 2016")</f>
        <v> Oct 1, 2016</v>
      </c>
      <c r="AG1120" s="38">
        <v>1029300.0</v>
      </c>
      <c r="AH1120" s="36"/>
      <c r="AI1120" s="159"/>
      <c r="AJ1120" s="44"/>
      <c r="AK1120" s="46"/>
      <c r="AL1120" s="44"/>
      <c r="AM1120" s="46"/>
      <c r="AN1120" s="44"/>
      <c r="AO1120" s="46"/>
      <c r="AP1120" s="44"/>
      <c r="AQ1120" s="46"/>
      <c r="AR1120" s="44"/>
      <c r="AS1120" s="44"/>
      <c r="AT1120" s="44"/>
      <c r="AU1120" s="45"/>
      <c r="AV1120" s="44"/>
      <c r="AW1120" s="38"/>
      <c r="AX1120" s="44"/>
      <c r="AY1120" s="38"/>
      <c r="AZ1120" s="44"/>
      <c r="BA1120" s="45"/>
      <c r="BB1120" s="44"/>
      <c r="BC1120" s="45"/>
      <c r="BD1120" s="44"/>
      <c r="BE1120" s="38"/>
      <c r="BF1120" s="36"/>
      <c r="BG1120" s="1490"/>
      <c r="BH1120" s="1490"/>
      <c r="BI1120" s="1490"/>
      <c r="BJ1120" s="1490"/>
      <c r="BK1120" s="1490"/>
      <c r="BL1120" s="1490"/>
      <c r="BM1120" s="1490"/>
      <c r="BN1120" s="1490"/>
      <c r="BO1120" s="1490"/>
      <c r="BP1120" s="1490"/>
      <c r="BQ1120" s="1490"/>
      <c r="BR1120" s="1490"/>
      <c r="BS1120" s="1490"/>
      <c r="BT1120" s="1490"/>
      <c r="BU1120" s="1490"/>
      <c r="BV1120" s="1490"/>
      <c r="BW1120" s="1490"/>
      <c r="BX1120" s="1490"/>
      <c r="BY1120" s="1490"/>
      <c r="BZ1120" s="1490"/>
      <c r="CA1120" s="1490"/>
      <c r="CB1120" s="1490"/>
      <c r="CC1120" s="1490"/>
      <c r="CD1120" s="1490"/>
      <c r="CE1120" s="1490"/>
      <c r="CF1120" s="1490"/>
      <c r="CG1120" s="1490"/>
      <c r="CH1120" s="1490"/>
      <c r="CI1120" s="1490"/>
      <c r="CJ1120" s="1490"/>
      <c r="CK1120" s="1490"/>
      <c r="CL1120" s="1490"/>
      <c r="CM1120" s="1490"/>
      <c r="CN1120" s="1490"/>
      <c r="CO1120" s="1490"/>
      <c r="CP1120" s="1490"/>
    </row>
    <row r="1121" ht="15.75" customHeight="1">
      <c r="A1121" s="666" t="s">
        <v>5366</v>
      </c>
      <c r="B1121" s="115" t="s">
        <v>2727</v>
      </c>
      <c r="C1121" s="116" t="s">
        <v>132</v>
      </c>
      <c r="D1121" s="667" t="s">
        <v>5367</v>
      </c>
      <c r="E1121" s="667" t="s">
        <v>5368</v>
      </c>
      <c r="F1121" s="668" t="s">
        <v>5369</v>
      </c>
      <c r="G1121" s="286" t="s">
        <v>5370</v>
      </c>
      <c r="H1121" s="286" t="s">
        <v>587</v>
      </c>
      <c r="I1121" s="123" t="s">
        <v>65</v>
      </c>
      <c r="J1121" s="287" t="s">
        <v>5371</v>
      </c>
      <c r="K1121" s="123">
        <v>3.0</v>
      </c>
      <c r="L1121" s="25">
        <v>2014.0</v>
      </c>
      <c r="M1121" s="25">
        <f t="shared" si="740"/>
        <v>11</v>
      </c>
      <c r="N1121" s="26">
        <f t="shared" si="741"/>
        <v>2</v>
      </c>
      <c r="O1121" s="27" t="str">
        <f t="shared" si="3"/>
        <v>#N/A</v>
      </c>
      <c r="P1121" s="28"/>
      <c r="Q1121" s="28"/>
      <c r="R1121" s="28"/>
      <c r="S1121" s="28"/>
      <c r="T1121" s="29">
        <f t="shared" si="742"/>
        <v>90909.09091</v>
      </c>
      <c r="U1121" s="28"/>
      <c r="V1121" s="30">
        <f t="shared" si="425"/>
        <v>1000000</v>
      </c>
      <c r="W1121" s="30"/>
      <c r="X1121" s="403"/>
      <c r="Y1121" s="33">
        <f t="shared" si="743"/>
        <v>0</v>
      </c>
      <c r="Z1121" s="692"/>
      <c r="AA1121" s="665"/>
      <c r="AB1121" s="123"/>
      <c r="AC1121" s="123"/>
      <c r="AD1121" s="732" t="str">
        <f>HYPERLINK("https://www.crunchbase.com/organization/domuso-inc#section-funding-rounds"," Oct 15, 2014")</f>
        <v> Oct 15, 2014</v>
      </c>
      <c r="AE1121" s="325">
        <v>500000.0</v>
      </c>
      <c r="AF1121" s="1506" t="str">
        <f>HYPERLINK("https://www.crunchbase.com/funding_round/domuso-inc-seed--6436fcbb"," 10/15/2014")</f>
        <v> 10/15/2014</v>
      </c>
      <c r="AG1121" s="1507">
        <v>500000.0</v>
      </c>
      <c r="AH1121" s="326"/>
      <c r="AI1121" s="327"/>
      <c r="AJ1121" s="1134"/>
      <c r="AK1121" s="222"/>
      <c r="AL1121" s="1134"/>
      <c r="AM1121" s="325"/>
      <c r="AN1121" s="322"/>
      <c r="AO1121" s="323"/>
      <c r="AP1121" s="322"/>
      <c r="AQ1121" s="323"/>
      <c r="AR1121" s="322"/>
      <c r="AS1121" s="322"/>
      <c r="AT1121" s="322"/>
      <c r="AU1121" s="335"/>
      <c r="AV1121" s="322"/>
      <c r="AW1121" s="38"/>
      <c r="AX1121" s="322"/>
      <c r="AY1121" s="38"/>
      <c r="AZ1121" s="322"/>
      <c r="BA1121" s="335"/>
      <c r="BB1121" s="322"/>
      <c r="BC1121" s="335"/>
      <c r="BD1121" s="322"/>
      <c r="BE1121" s="38"/>
      <c r="BF1121" s="326"/>
      <c r="BG1121" s="1490"/>
      <c r="BH1121" s="1490"/>
      <c r="BI1121" s="1490"/>
      <c r="BJ1121" s="1490"/>
      <c r="BK1121" s="1490"/>
      <c r="BL1121" s="1490"/>
      <c r="BM1121" s="1490"/>
      <c r="BN1121" s="1490"/>
      <c r="BO1121" s="1490"/>
      <c r="BP1121" s="1490"/>
      <c r="BQ1121" s="1490"/>
      <c r="BR1121" s="1490"/>
      <c r="BS1121" s="1490"/>
      <c r="BT1121" s="1490"/>
      <c r="BU1121" s="1490"/>
      <c r="BV1121" s="1490"/>
      <c r="BW1121" s="1490"/>
      <c r="BX1121" s="1490"/>
      <c r="BY1121" s="1490"/>
      <c r="BZ1121" s="1490"/>
      <c r="CA1121" s="1490"/>
      <c r="CB1121" s="1490"/>
      <c r="CC1121" s="1490"/>
      <c r="CD1121" s="1490"/>
      <c r="CE1121" s="1490"/>
      <c r="CF1121" s="1490"/>
      <c r="CG1121" s="1490"/>
      <c r="CH1121" s="1490"/>
      <c r="CI1121" s="1490"/>
      <c r="CJ1121" s="1490"/>
      <c r="CK1121" s="1490"/>
      <c r="CL1121" s="1490"/>
      <c r="CM1121" s="1490"/>
      <c r="CN1121" s="1490"/>
      <c r="CO1121" s="1490"/>
      <c r="CP1121" s="1490"/>
    </row>
    <row r="1122" ht="15.75" customHeight="1">
      <c r="A1122" s="21" t="s">
        <v>5372</v>
      </c>
      <c r="B1122" s="16"/>
      <c r="C1122" s="17" t="s">
        <v>1633</v>
      </c>
      <c r="D1122" s="192" t="s">
        <v>5373</v>
      </c>
      <c r="E1122" s="138" t="s">
        <v>5374</v>
      </c>
      <c r="F1122" s="20" t="s">
        <v>5375</v>
      </c>
      <c r="G1122" s="810" t="s">
        <v>5376</v>
      </c>
      <c r="H1122" s="810" t="s">
        <v>1417</v>
      </c>
      <c r="I1122" s="23" t="s">
        <v>65</v>
      </c>
      <c r="J1122" s="24" t="s">
        <v>1418</v>
      </c>
      <c r="K1122" s="23">
        <v>1.0</v>
      </c>
      <c r="L1122" s="23">
        <v>2018.0</v>
      </c>
      <c r="M1122" s="25">
        <f t="shared" si="740"/>
        <v>7</v>
      </c>
      <c r="N1122" s="26">
        <f t="shared" si="741"/>
        <v>1</v>
      </c>
      <c r="O1122" s="27" t="str">
        <f t="shared" si="3"/>
        <v>#N/A</v>
      </c>
      <c r="P1122" s="28"/>
      <c r="Q1122" s="28"/>
      <c r="R1122" s="28"/>
      <c r="S1122" s="28"/>
      <c r="T1122" s="29">
        <f t="shared" si="742"/>
        <v>142857.1429</v>
      </c>
      <c r="U1122" s="28"/>
      <c r="V1122" s="30">
        <f t="shared" si="425"/>
        <v>1000000</v>
      </c>
      <c r="W1122" s="30"/>
      <c r="X1122" s="33"/>
      <c r="Y1122" s="33">
        <f t="shared" si="743"/>
        <v>0</v>
      </c>
      <c r="Z1122" s="692"/>
      <c r="AA1122" s="665"/>
      <c r="AB1122" s="36"/>
      <c r="AC1122" s="36"/>
      <c r="AD1122" s="37"/>
      <c r="AE1122" s="38"/>
      <c r="AF1122" s="158" t="str">
        <f>HYPERLINK("https://www.crunchbase.com/funding_round/akia-seed--fb21a60e","Jun 16, 2020")</f>
        <v>Jun 16, 2020</v>
      </c>
      <c r="AG1122" s="38">
        <v>1000000.0</v>
      </c>
      <c r="AH1122" s="36"/>
      <c r="AI1122" s="46"/>
      <c r="AJ1122" s="37"/>
      <c r="AK1122" s="38"/>
      <c r="AL1122" s="37"/>
      <c r="AM1122" s="38"/>
      <c r="AN1122" s="44"/>
      <c r="AO1122" s="46"/>
      <c r="AP1122" s="44"/>
      <c r="AQ1122" s="46"/>
      <c r="AR1122" s="1357"/>
      <c r="AS1122" s="44"/>
      <c r="AT1122" s="44"/>
      <c r="AU1122" s="45"/>
      <c r="AV1122" s="44"/>
      <c r="AW1122" s="38"/>
      <c r="AX1122" s="44"/>
      <c r="AY1122" s="38"/>
      <c r="AZ1122" s="44"/>
      <c r="BA1122" s="45"/>
      <c r="BB1122" s="44"/>
      <c r="BC1122" s="45"/>
      <c r="BD1122" s="44"/>
      <c r="BE1122" s="38"/>
      <c r="BF1122" s="36"/>
      <c r="BG1122" s="16"/>
      <c r="BH1122" s="16"/>
      <c r="BI1122" s="16"/>
      <c r="BJ1122" s="16"/>
      <c r="BK1122" s="16"/>
      <c r="BL1122" s="16"/>
      <c r="BM1122" s="16"/>
      <c r="BN1122" s="16"/>
      <c r="BO1122" s="16"/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6"/>
      <c r="CA1122" s="16"/>
      <c r="CB1122" s="16"/>
      <c r="CC1122" s="16"/>
      <c r="CD1122" s="16"/>
      <c r="CE1122" s="16"/>
      <c r="CF1122" s="16"/>
      <c r="CG1122" s="16"/>
      <c r="CH1122" s="16"/>
      <c r="CI1122" s="16"/>
      <c r="CJ1122" s="16"/>
      <c r="CK1122" s="16"/>
      <c r="CL1122" s="16"/>
      <c r="CM1122" s="16"/>
      <c r="CN1122" s="16"/>
      <c r="CO1122" s="16"/>
      <c r="CP1122" s="16"/>
    </row>
    <row r="1123" ht="15.75" customHeight="1">
      <c r="A1123" s="1162" t="s">
        <v>5377</v>
      </c>
      <c r="B1123" s="16"/>
      <c r="C1123" s="17" t="s">
        <v>123</v>
      </c>
      <c r="D1123" s="192" t="s">
        <v>5378</v>
      </c>
      <c r="E1123" s="236" t="s">
        <v>5379</v>
      </c>
      <c r="F1123" s="20" t="s">
        <v>5380</v>
      </c>
      <c r="G1123" s="317"/>
      <c r="H1123" s="22" t="s">
        <v>129</v>
      </c>
      <c r="I1123" s="23" t="s">
        <v>129</v>
      </c>
      <c r="J1123" s="237"/>
      <c r="K1123" s="36"/>
      <c r="L1123" s="23">
        <v>2014.0</v>
      </c>
      <c r="M1123" s="25">
        <f t="shared" si="740"/>
        <v>11</v>
      </c>
      <c r="N1123" s="26">
        <f t="shared" si="741"/>
        <v>1</v>
      </c>
      <c r="O1123" s="27" t="str">
        <f t="shared" si="3"/>
        <v>#N/A</v>
      </c>
      <c r="P1123" s="28"/>
      <c r="Q1123" s="28"/>
      <c r="R1123" s="28"/>
      <c r="S1123" s="28"/>
      <c r="T1123" s="29">
        <f t="shared" si="742"/>
        <v>90909.09091</v>
      </c>
      <c r="U1123" s="28"/>
      <c r="V1123" s="30">
        <f t="shared" si="425"/>
        <v>1000000</v>
      </c>
      <c r="W1123" s="30"/>
      <c r="X1123" s="847"/>
      <c r="Y1123" s="33">
        <f t="shared" si="743"/>
        <v>0</v>
      </c>
      <c r="Z1123" s="692"/>
      <c r="AA1123" s="665"/>
      <c r="AB1123" s="23"/>
      <c r="AC1123" s="36"/>
      <c r="AD1123" s="44"/>
      <c r="AE1123" s="38"/>
      <c r="AF1123" s="320">
        <v>42741.0</v>
      </c>
      <c r="AG1123" s="38">
        <v>1000000.0</v>
      </c>
      <c r="AH1123" s="36"/>
      <c r="AI1123" s="159"/>
      <c r="AJ1123" s="44"/>
      <c r="AK1123" s="46"/>
      <c r="AL1123" s="44"/>
      <c r="AM1123" s="46"/>
      <c r="AN1123" s="44"/>
      <c r="AO1123" s="46"/>
      <c r="AP1123" s="44"/>
      <c r="AQ1123" s="46"/>
      <c r="AR1123" s="44"/>
      <c r="AS1123" s="44"/>
      <c r="AT1123" s="44"/>
      <c r="AU1123" s="45"/>
      <c r="AV1123" s="44"/>
      <c r="AW1123" s="38"/>
      <c r="AX1123" s="44"/>
      <c r="AY1123" s="38"/>
      <c r="AZ1123" s="44"/>
      <c r="BA1123" s="45"/>
      <c r="BB1123" s="44"/>
      <c r="BC1123" s="45"/>
      <c r="BD1123" s="44"/>
      <c r="BE1123" s="38"/>
      <c r="BF1123" s="36"/>
      <c r="BG1123" s="1490"/>
      <c r="BH1123" s="1490"/>
      <c r="BI1123" s="1490"/>
      <c r="BJ1123" s="1490"/>
      <c r="BK1123" s="1490"/>
      <c r="BL1123" s="1490"/>
      <c r="BM1123" s="1490"/>
      <c r="BN1123" s="1490"/>
      <c r="BO1123" s="1490"/>
      <c r="BP1123" s="1490"/>
      <c r="BQ1123" s="1490"/>
      <c r="BR1123" s="1490"/>
      <c r="BS1123" s="1490"/>
      <c r="BT1123" s="1490"/>
      <c r="BU1123" s="1490"/>
      <c r="BV1123" s="1490"/>
      <c r="BW1123" s="1490"/>
      <c r="BX1123" s="1490"/>
      <c r="BY1123" s="1490"/>
      <c r="BZ1123" s="1490"/>
      <c r="CA1123" s="1490"/>
      <c r="CB1123" s="1490"/>
      <c r="CC1123" s="1490"/>
      <c r="CD1123" s="1490"/>
      <c r="CE1123" s="1490"/>
      <c r="CF1123" s="1490"/>
      <c r="CG1123" s="1490"/>
      <c r="CH1123" s="1490"/>
      <c r="CI1123" s="1490"/>
      <c r="CJ1123" s="1490"/>
      <c r="CK1123" s="1490"/>
      <c r="CL1123" s="1490"/>
      <c r="CM1123" s="1490"/>
      <c r="CN1123" s="1490"/>
      <c r="CO1123" s="1490"/>
      <c r="CP1123" s="1490"/>
    </row>
    <row r="1124" ht="15.75" customHeight="1">
      <c r="A1124" s="666" t="s">
        <v>5381</v>
      </c>
      <c r="B1124" s="116" t="s">
        <v>829</v>
      </c>
      <c r="C1124" s="116" t="s">
        <v>59</v>
      </c>
      <c r="D1124" s="540" t="s">
        <v>5382</v>
      </c>
      <c r="E1124" s="540" t="s">
        <v>5383</v>
      </c>
      <c r="F1124" s="668" t="s">
        <v>5384</v>
      </c>
      <c r="G1124" s="604" t="s">
        <v>5385</v>
      </c>
      <c r="H1124" s="1508" t="s">
        <v>5386</v>
      </c>
      <c r="I1124" s="25" t="s">
        <v>329</v>
      </c>
      <c r="J1124" s="120" t="s">
        <v>5387</v>
      </c>
      <c r="K1124" s="25">
        <v>2.0</v>
      </c>
      <c r="L1124" s="25">
        <v>2015.0</v>
      </c>
      <c r="M1124" s="25">
        <f t="shared" si="740"/>
        <v>10</v>
      </c>
      <c r="N1124" s="26">
        <f t="shared" si="741"/>
        <v>1</v>
      </c>
      <c r="O1124" s="27" t="str">
        <f t="shared" si="3"/>
        <v>#N/A</v>
      </c>
      <c r="P1124" s="28"/>
      <c r="Q1124" s="28"/>
      <c r="R1124" s="28"/>
      <c r="S1124" s="28"/>
      <c r="T1124" s="29">
        <f t="shared" si="742"/>
        <v>100000</v>
      </c>
      <c r="U1124" s="28"/>
      <c r="V1124" s="30">
        <f t="shared" si="425"/>
        <v>1000000</v>
      </c>
      <c r="W1124" s="30"/>
      <c r="X1124" s="597"/>
      <c r="Y1124" s="33">
        <f t="shared" si="743"/>
        <v>0</v>
      </c>
      <c r="Z1124" s="692"/>
      <c r="AA1124" s="665"/>
      <c r="AB1124" s="123"/>
      <c r="AC1124" s="123"/>
      <c r="AD1124" s="169"/>
      <c r="AE1124" s="127"/>
      <c r="AF1124" s="195" t="str">
        <f>HYPERLINK("https://www.crunchbase.com/funding_round/gyana-seed--9e5d2a53"," 11/1/2015")</f>
        <v> 11/1/2015</v>
      </c>
      <c r="AG1124" s="730">
        <v>1000000.0</v>
      </c>
      <c r="AH1124" s="123"/>
      <c r="AI1124" s="128"/>
      <c r="AJ1124" s="169"/>
      <c r="AK1124" s="127"/>
      <c r="AL1124" s="169"/>
      <c r="AM1124" s="127"/>
      <c r="AN1124" s="124"/>
      <c r="AO1124" s="125"/>
      <c r="AP1124" s="124"/>
      <c r="AQ1124" s="125"/>
      <c r="AR1124" s="124"/>
      <c r="AS1124" s="124"/>
      <c r="AT1124" s="124"/>
      <c r="AU1124" s="137"/>
      <c r="AV1124" s="124"/>
      <c r="AW1124" s="38"/>
      <c r="AX1124" s="124"/>
      <c r="AY1124" s="38"/>
      <c r="AZ1124" s="124"/>
      <c r="BA1124" s="137"/>
      <c r="BB1124" s="124"/>
      <c r="BC1124" s="137"/>
      <c r="BD1124" s="124"/>
      <c r="BE1124" s="38"/>
      <c r="BF1124" s="123"/>
      <c r="BG1124" s="1490"/>
      <c r="BH1124" s="1490"/>
      <c r="BI1124" s="1490"/>
      <c r="BJ1124" s="1490"/>
      <c r="BK1124" s="1490"/>
      <c r="BL1124" s="1490"/>
      <c r="BM1124" s="1490"/>
      <c r="BN1124" s="1490"/>
      <c r="BO1124" s="1490"/>
      <c r="BP1124" s="1490"/>
      <c r="BQ1124" s="1490"/>
      <c r="BR1124" s="1490"/>
      <c r="BS1124" s="1490"/>
      <c r="BT1124" s="1490"/>
      <c r="BU1124" s="1490"/>
      <c r="BV1124" s="1490"/>
      <c r="BW1124" s="1490"/>
      <c r="BX1124" s="1490"/>
      <c r="BY1124" s="1490"/>
      <c r="BZ1124" s="1490"/>
      <c r="CA1124" s="1490"/>
      <c r="CB1124" s="1490"/>
      <c r="CC1124" s="1490"/>
      <c r="CD1124" s="1490"/>
      <c r="CE1124" s="1490"/>
      <c r="CF1124" s="1490"/>
      <c r="CG1124" s="1490"/>
      <c r="CH1124" s="1490"/>
      <c r="CI1124" s="1490"/>
      <c r="CJ1124" s="1490"/>
      <c r="CK1124" s="1490"/>
      <c r="CL1124" s="1490"/>
      <c r="CM1124" s="1490"/>
      <c r="CN1124" s="1490"/>
      <c r="CO1124" s="1490"/>
      <c r="CP1124" s="1490"/>
    </row>
    <row r="1125" ht="15.75" customHeight="1">
      <c r="A1125" s="860" t="s">
        <v>5388</v>
      </c>
      <c r="B1125" s="68"/>
      <c r="C1125" s="69" t="s">
        <v>123</v>
      </c>
      <c r="D1125" s="184"/>
      <c r="E1125" s="192" t="s">
        <v>5389</v>
      </c>
      <c r="F1125" s="118" t="s">
        <v>5390</v>
      </c>
      <c r="G1125" s="140"/>
      <c r="H1125" s="71" t="s">
        <v>187</v>
      </c>
      <c r="I1125" s="26" t="s">
        <v>188</v>
      </c>
      <c r="J1125" s="72"/>
      <c r="K1125" s="74"/>
      <c r="L1125" s="26">
        <v>2014.0</v>
      </c>
      <c r="M1125" s="25">
        <f t="shared" si="740"/>
        <v>11</v>
      </c>
      <c r="N1125" s="26">
        <f t="shared" si="741"/>
        <v>1</v>
      </c>
      <c r="O1125" s="27" t="str">
        <f t="shared" si="3"/>
        <v>#N/A</v>
      </c>
      <c r="P1125" s="28"/>
      <c r="Q1125" s="28"/>
      <c r="R1125" s="28"/>
      <c r="S1125" s="28"/>
      <c r="T1125" s="29">
        <f t="shared" si="742"/>
        <v>90909.09091</v>
      </c>
      <c r="U1125" s="28"/>
      <c r="V1125" s="30">
        <f t="shared" si="425"/>
        <v>1000000</v>
      </c>
      <c r="W1125" s="30"/>
      <c r="X1125" s="32"/>
      <c r="Y1125" s="33">
        <f t="shared" si="743"/>
        <v>0</v>
      </c>
      <c r="Z1125" s="692"/>
      <c r="AA1125" s="665"/>
      <c r="AB1125" s="74"/>
      <c r="AC1125" s="74"/>
      <c r="AD1125" s="79"/>
      <c r="AE1125" s="84"/>
      <c r="AF1125" s="320">
        <v>42873.0</v>
      </c>
      <c r="AG1125" s="76">
        <v>1000000.0</v>
      </c>
      <c r="AH1125" s="77"/>
      <c r="AI1125" s="78"/>
      <c r="AJ1125" s="79"/>
      <c r="AK1125" s="76"/>
      <c r="AL1125" s="279"/>
      <c r="AM1125" s="76"/>
      <c r="AN1125" s="79"/>
      <c r="AO1125" s="84"/>
      <c r="AP1125" s="79"/>
      <c r="AQ1125" s="84"/>
      <c r="AR1125" s="79"/>
      <c r="AS1125" s="79"/>
      <c r="AT1125" s="79"/>
      <c r="AU1125" s="80"/>
      <c r="AV1125" s="79"/>
      <c r="AW1125" s="38"/>
      <c r="AX1125" s="79"/>
      <c r="AY1125" s="38"/>
      <c r="AZ1125" s="79"/>
      <c r="BA1125" s="80"/>
      <c r="BB1125" s="79"/>
      <c r="BC1125" s="80"/>
      <c r="BD1125" s="79"/>
      <c r="BE1125" s="38"/>
      <c r="BF1125" s="74"/>
      <c r="BG1125" s="16"/>
      <c r="BH1125" s="16"/>
      <c r="BI1125" s="16"/>
      <c r="BJ1125" s="16"/>
      <c r="BK1125" s="16"/>
      <c r="BL1125" s="16"/>
      <c r="BM1125" s="16"/>
      <c r="BN1125" s="16"/>
      <c r="BO1125" s="16"/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6"/>
      <c r="CA1125" s="16"/>
      <c r="CB1125" s="16"/>
      <c r="CC1125" s="16"/>
      <c r="CD1125" s="16"/>
      <c r="CE1125" s="16"/>
      <c r="CF1125" s="16"/>
      <c r="CG1125" s="16"/>
      <c r="CH1125" s="16"/>
      <c r="CI1125" s="16"/>
      <c r="CJ1125" s="16"/>
      <c r="CK1125" s="16"/>
      <c r="CL1125" s="16"/>
      <c r="CM1125" s="16"/>
      <c r="CN1125" s="16"/>
      <c r="CO1125" s="16"/>
      <c r="CP1125" s="16"/>
    </row>
    <row r="1126" ht="15.75" customHeight="1">
      <c r="A1126" s="892" t="s">
        <v>5391</v>
      </c>
      <c r="B1126" s="115"/>
      <c r="C1126" s="116" t="s">
        <v>123</v>
      </c>
      <c r="D1126" s="192" t="s">
        <v>5392</v>
      </c>
      <c r="E1126" s="192" t="s">
        <v>5393</v>
      </c>
      <c r="F1126" s="118" t="s">
        <v>5394</v>
      </c>
      <c r="G1126" s="286"/>
      <c r="H1126" s="119" t="s">
        <v>120</v>
      </c>
      <c r="I1126" s="25" t="s">
        <v>65</v>
      </c>
      <c r="J1126" s="287"/>
      <c r="K1126" s="123"/>
      <c r="L1126" s="25">
        <v>2014.0</v>
      </c>
      <c r="M1126" s="25">
        <f t="shared" si="740"/>
        <v>11</v>
      </c>
      <c r="N1126" s="26">
        <f t="shared" si="741"/>
        <v>1</v>
      </c>
      <c r="O1126" s="27" t="str">
        <f t="shared" si="3"/>
        <v>#N/A</v>
      </c>
      <c r="P1126" s="28"/>
      <c r="Q1126" s="28"/>
      <c r="R1126" s="28"/>
      <c r="S1126" s="28"/>
      <c r="T1126" s="29">
        <f t="shared" si="742"/>
        <v>90909.09091</v>
      </c>
      <c r="U1126" s="28"/>
      <c r="V1126" s="30">
        <f t="shared" si="425"/>
        <v>1000000</v>
      </c>
      <c r="W1126" s="30"/>
      <c r="X1126" s="403"/>
      <c r="Y1126" s="33">
        <f t="shared" si="743"/>
        <v>0</v>
      </c>
      <c r="Z1126" s="692"/>
      <c r="AA1126" s="665"/>
      <c r="AB1126" s="123"/>
      <c r="AC1126" s="123"/>
      <c r="AD1126" s="124"/>
      <c r="AE1126" s="125"/>
      <c r="AF1126" s="320">
        <v>42920.0</v>
      </c>
      <c r="AG1126" s="127">
        <v>1000000.0</v>
      </c>
      <c r="AH1126" s="123"/>
      <c r="AI1126" s="128"/>
      <c r="AJ1126" s="124"/>
      <c r="AK1126" s="125"/>
      <c r="AL1126" s="124"/>
      <c r="AM1126" s="125"/>
      <c r="AN1126" s="124"/>
      <c r="AO1126" s="125"/>
      <c r="AP1126" s="124"/>
      <c r="AQ1126" s="125"/>
      <c r="AR1126" s="124"/>
      <c r="AS1126" s="124"/>
      <c r="AT1126" s="124"/>
      <c r="AU1126" s="137"/>
      <c r="AV1126" s="124"/>
      <c r="AW1126" s="38"/>
      <c r="AX1126" s="124"/>
      <c r="AY1126" s="38"/>
      <c r="AZ1126" s="124"/>
      <c r="BA1126" s="137"/>
      <c r="BB1126" s="124"/>
      <c r="BC1126" s="137"/>
      <c r="BD1126" s="124"/>
      <c r="BE1126" s="38"/>
      <c r="BF1126" s="123"/>
      <c r="BG1126" s="16"/>
      <c r="BH1126" s="16"/>
      <c r="BI1126" s="16"/>
      <c r="BJ1126" s="16"/>
      <c r="BK1126" s="16"/>
      <c r="BL1126" s="16"/>
      <c r="BM1126" s="16"/>
      <c r="BN1126" s="16"/>
      <c r="BO1126" s="16"/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6"/>
      <c r="CA1126" s="16"/>
      <c r="CB1126" s="16"/>
      <c r="CC1126" s="16"/>
      <c r="CD1126" s="16"/>
      <c r="CE1126" s="16"/>
      <c r="CF1126" s="16"/>
      <c r="CG1126" s="16"/>
      <c r="CH1126" s="16"/>
      <c r="CI1126" s="16"/>
      <c r="CJ1126" s="16"/>
      <c r="CK1126" s="16"/>
      <c r="CL1126" s="16"/>
      <c r="CM1126" s="16"/>
      <c r="CN1126" s="16"/>
      <c r="CO1126" s="16"/>
      <c r="CP1126" s="16"/>
    </row>
    <row r="1127" ht="15.75" customHeight="1">
      <c r="A1127" s="892" t="s">
        <v>5395</v>
      </c>
      <c r="B1127" s="115"/>
      <c r="C1127" s="116" t="s">
        <v>207</v>
      </c>
      <c r="D1127" s="192" t="s">
        <v>5396</v>
      </c>
      <c r="E1127" s="192" t="s">
        <v>5397</v>
      </c>
      <c r="F1127" s="118" t="s">
        <v>5398</v>
      </c>
      <c r="G1127" s="286"/>
      <c r="H1127" s="119" t="s">
        <v>1472</v>
      </c>
      <c r="I1127" s="25" t="s">
        <v>639</v>
      </c>
      <c r="J1127" s="287"/>
      <c r="K1127" s="123"/>
      <c r="L1127" s="25">
        <v>2012.0</v>
      </c>
      <c r="M1127" s="25">
        <f t="shared" si="740"/>
        <v>13</v>
      </c>
      <c r="N1127" s="26">
        <f t="shared" si="741"/>
        <v>1</v>
      </c>
      <c r="O1127" s="27" t="str">
        <f t="shared" si="3"/>
        <v>#N/A</v>
      </c>
      <c r="P1127" s="28"/>
      <c r="Q1127" s="28"/>
      <c r="R1127" s="28"/>
      <c r="S1127" s="28"/>
      <c r="T1127" s="29">
        <f t="shared" si="742"/>
        <v>76923.07692</v>
      </c>
      <c r="U1127" s="28"/>
      <c r="V1127" s="30">
        <f t="shared" si="425"/>
        <v>1000000</v>
      </c>
      <c r="W1127" s="30"/>
      <c r="X1127" s="403"/>
      <c r="Y1127" s="33">
        <f t="shared" si="743"/>
        <v>0</v>
      </c>
      <c r="Z1127" s="692"/>
      <c r="AA1127" s="665"/>
      <c r="AB1127" s="123"/>
      <c r="AC1127" s="123"/>
      <c r="AD1127" s="124"/>
      <c r="AE1127" s="125"/>
      <c r="AF1127" s="320">
        <v>41689.0</v>
      </c>
      <c r="AG1127" s="127">
        <v>1000000.0</v>
      </c>
      <c r="AH1127" s="123"/>
      <c r="AI1127" s="128"/>
      <c r="AJ1127" s="124"/>
      <c r="AK1127" s="125"/>
      <c r="AL1127" s="124"/>
      <c r="AM1127" s="125"/>
      <c r="AN1127" s="124"/>
      <c r="AO1127" s="125"/>
      <c r="AP1127" s="124"/>
      <c r="AQ1127" s="125"/>
      <c r="AR1127" s="124"/>
      <c r="AS1127" s="124"/>
      <c r="AT1127" s="124"/>
      <c r="AU1127" s="137"/>
      <c r="AV1127" s="124"/>
      <c r="AW1127" s="38"/>
      <c r="AX1127" s="124"/>
      <c r="AY1127" s="38"/>
      <c r="AZ1127" s="124"/>
      <c r="BA1127" s="137"/>
      <c r="BB1127" s="124"/>
      <c r="BC1127" s="137"/>
      <c r="BD1127" s="124"/>
      <c r="BE1127" s="38"/>
      <c r="BF1127" s="123"/>
      <c r="BG1127" s="66"/>
      <c r="BH1127" s="66"/>
      <c r="BI1127" s="66"/>
      <c r="BJ1127" s="66"/>
      <c r="BK1127" s="66"/>
      <c r="BL1127" s="66"/>
      <c r="BM1127" s="66"/>
      <c r="BN1127" s="66"/>
      <c r="BO1127" s="66"/>
      <c r="BP1127" s="66"/>
      <c r="BQ1127" s="66"/>
      <c r="BR1127" s="66"/>
      <c r="BS1127" s="66"/>
      <c r="BT1127" s="66"/>
      <c r="BU1127" s="66"/>
      <c r="BV1127" s="66"/>
      <c r="BW1127" s="66"/>
      <c r="BX1127" s="66"/>
      <c r="BY1127" s="66"/>
      <c r="BZ1127" s="66"/>
      <c r="CA1127" s="66"/>
      <c r="CB1127" s="66"/>
      <c r="CC1127" s="66"/>
      <c r="CD1127" s="66"/>
      <c r="CE1127" s="66"/>
      <c r="CF1127" s="66"/>
      <c r="CG1127" s="66"/>
      <c r="CH1127" s="66"/>
      <c r="CI1127" s="66"/>
      <c r="CJ1127" s="66"/>
      <c r="CK1127" s="66"/>
      <c r="CL1127" s="66"/>
      <c r="CM1127" s="66"/>
      <c r="CN1127" s="66"/>
      <c r="CO1127" s="66"/>
      <c r="CP1127" s="66"/>
    </row>
    <row r="1128" ht="15.75" customHeight="1">
      <c r="A1128" s="931" t="s">
        <v>5399</v>
      </c>
      <c r="B1128" s="68"/>
      <c r="C1128" s="69" t="s">
        <v>5400</v>
      </c>
      <c r="D1128" s="192" t="s">
        <v>5401</v>
      </c>
      <c r="E1128" s="192" t="s">
        <v>5402</v>
      </c>
      <c r="F1128" s="118" t="s">
        <v>5403</v>
      </c>
      <c r="G1128" s="71"/>
      <c r="H1128" s="71" t="s">
        <v>114</v>
      </c>
      <c r="I1128" s="26" t="s">
        <v>115</v>
      </c>
      <c r="J1128" s="178"/>
      <c r="K1128" s="26"/>
      <c r="L1128" s="26">
        <v>2018.0</v>
      </c>
      <c r="M1128" s="25">
        <f t="shared" si="740"/>
        <v>7</v>
      </c>
      <c r="N1128" s="26">
        <f t="shared" si="741"/>
        <v>1</v>
      </c>
      <c r="O1128" s="27" t="str">
        <f t="shared" si="3"/>
        <v>#N/A</v>
      </c>
      <c r="P1128" s="28"/>
      <c r="Q1128" s="28"/>
      <c r="R1128" s="28"/>
      <c r="S1128" s="28"/>
      <c r="T1128" s="29">
        <f t="shared" si="742"/>
        <v>142857.1429</v>
      </c>
      <c r="U1128" s="28"/>
      <c r="V1128" s="30">
        <f t="shared" si="425"/>
        <v>1000000</v>
      </c>
      <c r="W1128" s="30"/>
      <c r="X1128" s="73"/>
      <c r="Y1128" s="33">
        <f t="shared" si="743"/>
        <v>0</v>
      </c>
      <c r="Z1128" s="692"/>
      <c r="AA1128" s="665"/>
      <c r="AB1128" s="74"/>
      <c r="AC1128" s="74"/>
      <c r="AD1128" s="79"/>
      <c r="AE1128" s="84"/>
      <c r="AF1128" s="320">
        <v>44069.0</v>
      </c>
      <c r="AG1128" s="76">
        <v>1000000.0</v>
      </c>
      <c r="AH1128" s="74"/>
      <c r="AI1128" s="78"/>
      <c r="AJ1128" s="279"/>
      <c r="AK1128" s="76"/>
      <c r="AL1128" s="79"/>
      <c r="AM1128" s="84"/>
      <c r="AN1128" s="79"/>
      <c r="AO1128" s="84"/>
      <c r="AP1128" s="79"/>
      <c r="AQ1128" s="84"/>
      <c r="AR1128" s="79"/>
      <c r="AS1128" s="79"/>
      <c r="AT1128" s="79"/>
      <c r="AU1128" s="80"/>
      <c r="AV1128" s="79"/>
      <c r="AW1128" s="38"/>
      <c r="AX1128" s="79"/>
      <c r="AY1128" s="38"/>
      <c r="AZ1128" s="79"/>
      <c r="BA1128" s="80"/>
      <c r="BB1128" s="79"/>
      <c r="BC1128" s="80"/>
      <c r="BD1128" s="79"/>
      <c r="BE1128" s="38"/>
      <c r="BF1128" s="74"/>
      <c r="BG1128" s="16"/>
      <c r="BH1128" s="16"/>
      <c r="BI1128" s="16"/>
      <c r="BJ1128" s="16"/>
      <c r="BK1128" s="16"/>
      <c r="BL1128" s="16"/>
      <c r="BM1128" s="16"/>
      <c r="BN1128" s="16"/>
      <c r="BO1128" s="16"/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6"/>
      <c r="CA1128" s="16"/>
      <c r="CB1128" s="16"/>
      <c r="CC1128" s="16"/>
      <c r="CD1128" s="16"/>
      <c r="CE1128" s="16"/>
      <c r="CF1128" s="16"/>
      <c r="CG1128" s="16"/>
      <c r="CH1128" s="16"/>
      <c r="CI1128" s="16"/>
      <c r="CJ1128" s="16"/>
      <c r="CK1128" s="16"/>
      <c r="CL1128" s="16"/>
      <c r="CM1128" s="16"/>
      <c r="CN1128" s="16"/>
      <c r="CO1128" s="16"/>
      <c r="CP1128" s="16"/>
    </row>
    <row r="1129" ht="15.75" customHeight="1">
      <c r="A1129" s="931" t="s">
        <v>5404</v>
      </c>
      <c r="B1129" s="115"/>
      <c r="C1129" s="116" t="s">
        <v>207</v>
      </c>
      <c r="D1129" s="192" t="s">
        <v>5405</v>
      </c>
      <c r="E1129" s="192" t="s">
        <v>5406</v>
      </c>
      <c r="F1129" s="118" t="s">
        <v>5406</v>
      </c>
      <c r="G1129" s="286"/>
      <c r="H1129" s="119" t="s">
        <v>99</v>
      </c>
      <c r="I1129" s="25" t="s">
        <v>100</v>
      </c>
      <c r="J1129" s="287"/>
      <c r="K1129" s="123"/>
      <c r="L1129" s="25">
        <v>2014.0</v>
      </c>
      <c r="M1129" s="25">
        <f t="shared" si="740"/>
        <v>11</v>
      </c>
      <c r="N1129" s="26">
        <f t="shared" si="741"/>
        <v>1</v>
      </c>
      <c r="O1129" s="27" t="str">
        <f t="shared" si="3"/>
        <v>#N/A</v>
      </c>
      <c r="P1129" s="28"/>
      <c r="Q1129" s="28"/>
      <c r="R1129" s="28"/>
      <c r="S1129" s="28"/>
      <c r="T1129" s="29">
        <f t="shared" si="742"/>
        <v>90909.09091</v>
      </c>
      <c r="U1129" s="28"/>
      <c r="V1129" s="30">
        <f t="shared" si="425"/>
        <v>1000000</v>
      </c>
      <c r="W1129" s="30"/>
      <c r="X1129" s="403"/>
      <c r="Y1129" s="33">
        <f t="shared" si="743"/>
        <v>0</v>
      </c>
      <c r="Z1129" s="692"/>
      <c r="AA1129" s="665"/>
      <c r="AB1129" s="123"/>
      <c r="AC1129" s="123"/>
      <c r="AD1129" s="124"/>
      <c r="AE1129" s="125"/>
      <c r="AF1129" s="320">
        <v>42095.0</v>
      </c>
      <c r="AG1129" s="1509">
        <v>1000000.0</v>
      </c>
      <c r="AH1129" s="123"/>
      <c r="AI1129" s="128"/>
      <c r="AJ1129" s="124"/>
      <c r="AK1129" s="125"/>
      <c r="AL1129" s="124"/>
      <c r="AM1129" s="125"/>
      <c r="AN1129" s="124"/>
      <c r="AO1129" s="125"/>
      <c r="AP1129" s="124"/>
      <c r="AQ1129" s="125"/>
      <c r="AR1129" s="124"/>
      <c r="AS1129" s="124"/>
      <c r="AT1129" s="124"/>
      <c r="AU1129" s="137"/>
      <c r="AV1129" s="124"/>
      <c r="AW1129" s="38"/>
      <c r="AX1129" s="124"/>
      <c r="AY1129" s="38"/>
      <c r="AZ1129" s="124"/>
      <c r="BA1129" s="137"/>
      <c r="BB1129" s="124"/>
      <c r="BC1129" s="137"/>
      <c r="BD1129" s="124"/>
      <c r="BE1129" s="38"/>
      <c r="BF1129" s="123"/>
      <c r="BG1129" s="1490"/>
      <c r="BH1129" s="1490"/>
      <c r="BI1129" s="1490"/>
      <c r="BJ1129" s="1490"/>
      <c r="BK1129" s="1490"/>
      <c r="BL1129" s="1490"/>
      <c r="BM1129" s="1490"/>
      <c r="BN1129" s="1490"/>
      <c r="BO1129" s="1490"/>
      <c r="BP1129" s="1490"/>
      <c r="BQ1129" s="1490"/>
      <c r="BR1129" s="1490"/>
      <c r="BS1129" s="1490"/>
      <c r="BT1129" s="1490"/>
      <c r="BU1129" s="1490"/>
      <c r="BV1129" s="1490"/>
      <c r="BW1129" s="1490"/>
      <c r="BX1129" s="1490"/>
      <c r="BY1129" s="1490"/>
      <c r="BZ1129" s="1490"/>
      <c r="CA1129" s="1490"/>
      <c r="CB1129" s="1490"/>
      <c r="CC1129" s="1490"/>
      <c r="CD1129" s="1490"/>
      <c r="CE1129" s="1490"/>
      <c r="CF1129" s="1490"/>
      <c r="CG1129" s="1490"/>
      <c r="CH1129" s="1490"/>
      <c r="CI1129" s="1490"/>
      <c r="CJ1129" s="1490"/>
      <c r="CK1129" s="1490"/>
      <c r="CL1129" s="1490"/>
      <c r="CM1129" s="1490"/>
      <c r="CN1129" s="1490"/>
      <c r="CO1129" s="1490"/>
      <c r="CP1129" s="1490"/>
    </row>
    <row r="1130" ht="15.75" customHeight="1">
      <c r="A1130" s="462" t="s">
        <v>5407</v>
      </c>
      <c r="B1130" s="16"/>
      <c r="C1130" s="17" t="s">
        <v>84</v>
      </c>
      <c r="D1130" s="337"/>
      <c r="E1130" s="192" t="s">
        <v>5408</v>
      </c>
      <c r="F1130" s="803" t="s">
        <v>5409</v>
      </c>
      <c r="G1130" s="317"/>
      <c r="H1130" s="22" t="s">
        <v>1065</v>
      </c>
      <c r="I1130" s="23" t="s">
        <v>4223</v>
      </c>
      <c r="J1130" s="237"/>
      <c r="K1130" s="23">
        <v>2.0</v>
      </c>
      <c r="L1130" s="23">
        <v>2020.0</v>
      </c>
      <c r="M1130" s="25">
        <f t="shared" si="740"/>
        <v>5</v>
      </c>
      <c r="N1130" s="26">
        <f t="shared" si="741"/>
        <v>1</v>
      </c>
      <c r="O1130" s="27" t="str">
        <f t="shared" si="3"/>
        <v>#N/A</v>
      </c>
      <c r="P1130" s="28"/>
      <c r="Q1130" s="28"/>
      <c r="R1130" s="28"/>
      <c r="S1130" s="28"/>
      <c r="T1130" s="29">
        <f t="shared" si="742"/>
        <v>200000</v>
      </c>
      <c r="U1130" s="28"/>
      <c r="V1130" s="30">
        <f t="shared" si="425"/>
        <v>1000000</v>
      </c>
      <c r="W1130" s="30"/>
      <c r="X1130" s="33"/>
      <c r="Y1130" s="33">
        <f t="shared" si="743"/>
        <v>0</v>
      </c>
      <c r="Z1130" s="692"/>
      <c r="AA1130" s="665"/>
      <c r="AB1130" s="36"/>
      <c r="AC1130" s="36"/>
      <c r="AD1130" s="43" t="str">
        <f>HYPERLINK("https://www.crunchbase.com/funding_round/bidmii-pre-seed--435af223","Dec 1, 2021")</f>
        <v>Dec 1, 2021</v>
      </c>
      <c r="AE1130" s="38">
        <v>1000000.0</v>
      </c>
      <c r="AF1130" s="39"/>
      <c r="AG1130" s="38"/>
      <c r="AH1130" s="36"/>
      <c r="AI1130" s="159"/>
      <c r="AJ1130" s="44"/>
      <c r="AK1130" s="46"/>
      <c r="AL1130" s="44"/>
      <c r="AM1130" s="46"/>
      <c r="AN1130" s="44"/>
      <c r="AO1130" s="46"/>
      <c r="AP1130" s="44"/>
      <c r="AQ1130" s="46"/>
      <c r="AR1130" s="44"/>
      <c r="AS1130" s="44"/>
      <c r="AT1130" s="44"/>
      <c r="AU1130" s="45"/>
      <c r="AV1130" s="44"/>
      <c r="AW1130" s="38"/>
      <c r="AX1130" s="44"/>
      <c r="AY1130" s="38"/>
      <c r="AZ1130" s="44"/>
      <c r="BA1130" s="45"/>
      <c r="BB1130" s="44"/>
      <c r="BC1130" s="45"/>
      <c r="BD1130" s="44"/>
      <c r="BE1130" s="38"/>
      <c r="BF1130" s="36"/>
      <c r="BG1130" s="16"/>
      <c r="BH1130" s="16"/>
      <c r="BI1130" s="16"/>
      <c r="BJ1130" s="16"/>
      <c r="BK1130" s="16"/>
      <c r="BL1130" s="16"/>
      <c r="BM1130" s="16"/>
      <c r="BN1130" s="16"/>
      <c r="BO1130" s="16"/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6"/>
      <c r="CA1130" s="16"/>
      <c r="CB1130" s="16"/>
      <c r="CC1130" s="16"/>
      <c r="CD1130" s="16"/>
      <c r="CE1130" s="16"/>
      <c r="CF1130" s="16"/>
      <c r="CG1130" s="16"/>
      <c r="CH1130" s="16"/>
      <c r="CI1130" s="16"/>
      <c r="CJ1130" s="16"/>
      <c r="CK1130" s="16"/>
      <c r="CL1130" s="16"/>
      <c r="CM1130" s="16"/>
      <c r="CN1130" s="16"/>
      <c r="CO1130" s="16"/>
      <c r="CP1130" s="16"/>
    </row>
    <row r="1131" ht="15.75" customHeight="1">
      <c r="A1131" s="931" t="s">
        <v>5410</v>
      </c>
      <c r="B1131" s="68"/>
      <c r="C1131" s="69" t="s">
        <v>507</v>
      </c>
      <c r="D1131" s="192" t="s">
        <v>5411</v>
      </c>
      <c r="E1131" s="192" t="s">
        <v>5412</v>
      </c>
      <c r="F1131" s="118" t="s">
        <v>5413</v>
      </c>
      <c r="G1131" s="71"/>
      <c r="H1131" s="71" t="s">
        <v>64</v>
      </c>
      <c r="I1131" s="26" t="s">
        <v>65</v>
      </c>
      <c r="J1131" s="72"/>
      <c r="K1131" s="26"/>
      <c r="L1131" s="26">
        <v>2014.0</v>
      </c>
      <c r="M1131" s="25">
        <f t="shared" si="740"/>
        <v>11</v>
      </c>
      <c r="N1131" s="26">
        <f t="shared" si="741"/>
        <v>1</v>
      </c>
      <c r="O1131" s="27" t="str">
        <f t="shared" si="3"/>
        <v>#N/A</v>
      </c>
      <c r="P1131" s="28"/>
      <c r="Q1131" s="28"/>
      <c r="R1131" s="28"/>
      <c r="S1131" s="28"/>
      <c r="T1131" s="29">
        <f t="shared" si="742"/>
        <v>89727.27273</v>
      </c>
      <c r="U1131" s="28"/>
      <c r="V1131" s="30">
        <f t="shared" si="425"/>
        <v>987000</v>
      </c>
      <c r="W1131" s="30"/>
      <c r="X1131" s="73"/>
      <c r="Y1131" s="33">
        <f t="shared" si="743"/>
        <v>0</v>
      </c>
      <c r="Z1131" s="692"/>
      <c r="AA1131" s="665"/>
      <c r="AB1131" s="74"/>
      <c r="AC1131" s="74"/>
      <c r="AD1131" s="79"/>
      <c r="AE1131" s="84"/>
      <c r="AF1131" s="225">
        <v>42064.0</v>
      </c>
      <c r="AG1131" s="76">
        <v>987000.0</v>
      </c>
      <c r="AH1131" s="74"/>
      <c r="AI1131" s="78"/>
      <c r="AJ1131" s="79"/>
      <c r="AK1131" s="84"/>
      <c r="AL1131" s="79"/>
      <c r="AM1131" s="84"/>
      <c r="AN1131" s="79"/>
      <c r="AO1131" s="84"/>
      <c r="AP1131" s="79"/>
      <c r="AQ1131" s="84"/>
      <c r="AR1131" s="79"/>
      <c r="AS1131" s="79"/>
      <c r="AT1131" s="79"/>
      <c r="AU1131" s="80"/>
      <c r="AV1131" s="79"/>
      <c r="AW1131" s="38"/>
      <c r="AX1131" s="79"/>
      <c r="AY1131" s="38"/>
      <c r="AZ1131" s="79"/>
      <c r="BA1131" s="80"/>
      <c r="BB1131" s="79"/>
      <c r="BC1131" s="80"/>
      <c r="BD1131" s="79"/>
      <c r="BE1131" s="38"/>
      <c r="BF1131" s="74"/>
      <c r="BG1131" s="456"/>
      <c r="BH1131" s="456"/>
      <c r="BI1131" s="456"/>
      <c r="BJ1131" s="456"/>
      <c r="BK1131" s="456"/>
      <c r="BL1131" s="456"/>
      <c r="BM1131" s="456"/>
      <c r="BN1131" s="456"/>
      <c r="BO1131" s="456"/>
      <c r="BP1131" s="456"/>
      <c r="BQ1131" s="456"/>
      <c r="BR1131" s="456"/>
      <c r="BS1131" s="456"/>
      <c r="BT1131" s="456"/>
      <c r="BU1131" s="456"/>
      <c r="BV1131" s="456"/>
      <c r="BW1131" s="456"/>
      <c r="BX1131" s="456"/>
      <c r="BY1131" s="456"/>
      <c r="BZ1131" s="456"/>
      <c r="CA1131" s="456"/>
      <c r="CB1131" s="456"/>
      <c r="CC1131" s="456"/>
      <c r="CD1131" s="456"/>
      <c r="CE1131" s="456"/>
      <c r="CF1131" s="456"/>
      <c r="CG1131" s="456"/>
      <c r="CH1131" s="456"/>
      <c r="CI1131" s="456"/>
      <c r="CJ1131" s="456"/>
      <c r="CK1131" s="456"/>
      <c r="CL1131" s="456"/>
      <c r="CM1131" s="456"/>
      <c r="CN1131" s="456"/>
      <c r="CO1131" s="456"/>
      <c r="CP1131" s="456"/>
    </row>
    <row r="1132" ht="15.75" customHeight="1">
      <c r="A1132" s="47" t="s">
        <v>5414</v>
      </c>
      <c r="C1132" s="48" t="s">
        <v>68</v>
      </c>
      <c r="D1132" s="351"/>
      <c r="E1132" s="49" t="s">
        <v>5415</v>
      </c>
      <c r="F1132" s="352" t="s">
        <v>5416</v>
      </c>
      <c r="G1132" s="353"/>
      <c r="H1132" s="53" t="s">
        <v>5417</v>
      </c>
      <c r="I1132" s="54" t="s">
        <v>329</v>
      </c>
      <c r="J1132" s="55"/>
      <c r="K1132" s="54">
        <v>4.0</v>
      </c>
      <c r="L1132" s="56">
        <v>2020.0</v>
      </c>
      <c r="M1132" s="55"/>
      <c r="N1132" s="55"/>
      <c r="O1132" s="27" t="str">
        <f t="shared" si="3"/>
        <v>#N/A</v>
      </c>
      <c r="P1132" s="55"/>
      <c r="Q1132" s="55"/>
      <c r="R1132" s="55"/>
      <c r="S1132" s="55"/>
      <c r="T1132" s="55"/>
      <c r="U1132" s="55"/>
      <c r="V1132" s="30">
        <f t="shared" si="425"/>
        <v>976300</v>
      </c>
      <c r="W1132" s="30"/>
      <c r="X1132" s="58"/>
      <c r="Y1132" s="58"/>
      <c r="Z1132" s="692"/>
      <c r="AA1132" s="665"/>
      <c r="AB1132" s="55"/>
      <c r="AC1132" s="55"/>
      <c r="AD1132" s="62">
        <v>44532.0</v>
      </c>
      <c r="AE1132" s="38">
        <v>199000.0</v>
      </c>
      <c r="AF1132" s="62">
        <v>45000.0</v>
      </c>
      <c r="AG1132" s="38">
        <v>543000.0</v>
      </c>
      <c r="AH1132" s="55"/>
      <c r="AI1132" s="38"/>
      <c r="AJ1132" s="55"/>
      <c r="AK1132" s="38"/>
      <c r="AL1132" s="55"/>
      <c r="AM1132" s="38"/>
      <c r="AN1132" s="55"/>
      <c r="AO1132" s="38"/>
      <c r="AP1132" s="356"/>
      <c r="AQ1132" s="38"/>
      <c r="AR1132" s="55"/>
      <c r="AS1132" s="38"/>
      <c r="AT1132" s="55"/>
      <c r="AU1132" s="38"/>
      <c r="AV1132" s="55"/>
      <c r="AW1132" s="38"/>
      <c r="AX1132" s="55"/>
      <c r="AY1132" s="38"/>
      <c r="AZ1132" s="62">
        <v>44739.0</v>
      </c>
      <c r="BA1132" s="38">
        <v>234300.0</v>
      </c>
      <c r="BB1132" s="55"/>
      <c r="BC1132" s="38"/>
      <c r="BD1132" s="55"/>
      <c r="BE1132" s="38"/>
      <c r="BF1132" s="55"/>
      <c r="BG1132" s="456"/>
      <c r="BH1132" s="456"/>
      <c r="BI1132" s="456"/>
      <c r="BJ1132" s="456"/>
      <c r="BK1132" s="456"/>
      <c r="BL1132" s="456"/>
      <c r="BM1132" s="456"/>
      <c r="BN1132" s="456"/>
      <c r="BO1132" s="456"/>
      <c r="BP1132" s="456"/>
      <c r="BQ1132" s="456"/>
      <c r="BR1132" s="456"/>
      <c r="BS1132" s="456"/>
      <c r="BT1132" s="456"/>
      <c r="BU1132" s="456"/>
      <c r="BV1132" s="456"/>
      <c r="BW1132" s="456"/>
      <c r="BX1132" s="456"/>
      <c r="BY1132" s="456"/>
      <c r="BZ1132" s="456"/>
      <c r="CA1132" s="456"/>
      <c r="CB1132" s="456"/>
      <c r="CC1132" s="456"/>
      <c r="CD1132" s="456"/>
      <c r="CE1132" s="456"/>
      <c r="CF1132" s="456"/>
      <c r="CG1132" s="456"/>
      <c r="CH1132" s="456"/>
      <c r="CI1132" s="456"/>
      <c r="CJ1132" s="456"/>
      <c r="CK1132" s="456"/>
      <c r="CL1132" s="456"/>
      <c r="CM1132" s="456"/>
      <c r="CN1132" s="456"/>
      <c r="CO1132" s="456"/>
      <c r="CP1132" s="456"/>
    </row>
    <row r="1133" ht="15.75" customHeight="1">
      <c r="A1133" s="1143" t="s">
        <v>5418</v>
      </c>
      <c r="B1133" s="582"/>
      <c r="C1133" s="1206" t="s">
        <v>76</v>
      </c>
      <c r="D1133" s="1510"/>
      <c r="E1133" s="1511" t="s">
        <v>5419</v>
      </c>
      <c r="F1133" s="1298" t="s">
        <v>5420</v>
      </c>
      <c r="G1133" s="1149"/>
      <c r="H1133" s="1210" t="s">
        <v>5421</v>
      </c>
      <c r="I1133" s="1211" t="s">
        <v>329</v>
      </c>
      <c r="J1133" s="1424"/>
      <c r="K1133" s="1211">
        <v>2.0</v>
      </c>
      <c r="L1133" s="1211">
        <v>2018.0</v>
      </c>
      <c r="M1133" s="25"/>
      <c r="N1133" s="1211"/>
      <c r="O1133" s="27" t="str">
        <f t="shared" si="3"/>
        <v>#N/A</v>
      </c>
      <c r="P1133" s="1212"/>
      <c r="Q1133" s="1212"/>
      <c r="R1133" s="1212"/>
      <c r="S1133" s="1212"/>
      <c r="T1133" s="1212"/>
      <c r="U1133" s="1212"/>
      <c r="V1133" s="30">
        <f t="shared" si="425"/>
        <v>950000</v>
      </c>
      <c r="W1133" s="30"/>
      <c r="X1133" s="1213"/>
      <c r="Y1133" s="1213"/>
      <c r="Z1133" s="692"/>
      <c r="AA1133" s="665"/>
      <c r="AB1133" s="1214"/>
      <c r="AC1133" s="1214"/>
      <c r="AD1133" s="1156" t="str">
        <f>HYPERLINK("https://www.crunchbase.com/funding_round/route-konnect-pre-seed--e1cdce19","May 4, 2022")</f>
        <v>May 4, 2022</v>
      </c>
      <c r="AE1133" s="1157">
        <v>950000.0</v>
      </c>
      <c r="AF1133" s="1512"/>
      <c r="AG1133" s="1157"/>
      <c r="AH1133" s="1152"/>
      <c r="AI1133" s="1300"/>
      <c r="AJ1133" s="1153"/>
      <c r="AK1133" s="1157"/>
      <c r="AL1133" s="1513"/>
      <c r="AM1133" s="1216"/>
      <c r="AN1133" s="1215"/>
      <c r="AO1133" s="1216"/>
      <c r="AP1133" s="1215"/>
      <c r="AQ1133" s="1216"/>
      <c r="AR1133" s="1215"/>
      <c r="AS1133" s="1215"/>
      <c r="AT1133" s="1215"/>
      <c r="AU1133" s="1221"/>
      <c r="AV1133" s="1215"/>
      <c r="AW1133" s="38"/>
      <c r="AX1133" s="1215"/>
      <c r="AY1133" s="38"/>
      <c r="AZ1133" s="1215"/>
      <c r="BA1133" s="1221"/>
      <c r="BB1133" s="1215"/>
      <c r="BC1133" s="1221"/>
      <c r="BD1133" s="1215"/>
      <c r="BE1133" s="38"/>
      <c r="BF1133" s="1214"/>
      <c r="BG1133" s="456"/>
      <c r="BH1133" s="456"/>
      <c r="BI1133" s="456"/>
      <c r="BJ1133" s="456"/>
      <c r="BK1133" s="456"/>
      <c r="BL1133" s="456"/>
      <c r="BM1133" s="456"/>
      <c r="BN1133" s="456"/>
      <c r="BO1133" s="456"/>
      <c r="BP1133" s="456"/>
      <c r="BQ1133" s="456"/>
      <c r="BR1133" s="456"/>
      <c r="BS1133" s="456"/>
      <c r="BT1133" s="456"/>
      <c r="BU1133" s="456"/>
      <c r="BV1133" s="456"/>
      <c r="BW1133" s="456"/>
      <c r="BX1133" s="456"/>
      <c r="BY1133" s="456"/>
      <c r="BZ1133" s="456"/>
      <c r="CA1133" s="456"/>
      <c r="CB1133" s="456"/>
      <c r="CC1133" s="456"/>
      <c r="CD1133" s="456"/>
      <c r="CE1133" s="456"/>
      <c r="CF1133" s="456"/>
      <c r="CG1133" s="456"/>
      <c r="CH1133" s="456"/>
      <c r="CI1133" s="456"/>
      <c r="CJ1133" s="456"/>
      <c r="CK1133" s="456"/>
      <c r="CL1133" s="456"/>
      <c r="CM1133" s="456"/>
      <c r="CN1133" s="456"/>
      <c r="CO1133" s="456"/>
      <c r="CP1133" s="456"/>
    </row>
    <row r="1134" ht="15.75" customHeight="1">
      <c r="A1134" s="21" t="s">
        <v>5422</v>
      </c>
      <c r="B1134" s="68"/>
      <c r="C1134" s="69" t="s">
        <v>5423</v>
      </c>
      <c r="D1134" s="380"/>
      <c r="E1134" s="192" t="s">
        <v>5424</v>
      </c>
      <c r="F1134" s="118" t="s">
        <v>5425</v>
      </c>
      <c r="G1134" s="751" t="s">
        <v>205</v>
      </c>
      <c r="H1134" s="71" t="s">
        <v>1338</v>
      </c>
      <c r="I1134" s="26"/>
      <c r="J1134" s="72" t="s">
        <v>288</v>
      </c>
      <c r="K1134" s="74"/>
      <c r="L1134" s="74"/>
      <c r="M1134" s="25">
        <f t="shared" ref="M1134:M1137" si="744">year(now()) -L1134</f>
        <v>2025</v>
      </c>
      <c r="N1134" s="26">
        <f t="shared" ref="N1134:N1137" si="745">counta(AE1134,AG1134,AI1134,AK1134,AM1134,AO1134,AQ1134,AS1134,AU1134,AW1134,AY1134,BA1134,BC1134)</f>
        <v>1</v>
      </c>
      <c r="O1134" s="27" t="str">
        <f t="shared" si="3"/>
        <v>#N/A</v>
      </c>
      <c r="P1134" s="28"/>
      <c r="Q1134" s="28"/>
      <c r="R1134" s="28"/>
      <c r="S1134" s="28"/>
      <c r="T1134" s="29">
        <f t="shared" ref="T1134:T1137" si="746">V1134/M1134</f>
        <v>444.4444444</v>
      </c>
      <c r="U1134" s="28"/>
      <c r="V1134" s="30">
        <f t="shared" si="425"/>
        <v>900000</v>
      </c>
      <c r="W1134" s="30"/>
      <c r="X1134" s="32"/>
      <c r="Y1134" s="33">
        <f t="shared" ref="Y1134:Y1137" si="747">(max(AE1134,AG1134,AI1134,AK1134,AM1134,AO1134,AQ1134,AS1134,AU1134,AW1134,AY1134,BA1134,BC1134)/min(AE1134,AG1134,AI1134,AK1134))^(1/M1134)-1</f>
        <v>0</v>
      </c>
      <c r="Z1134" s="692"/>
      <c r="AA1134" s="665"/>
      <c r="AB1134" s="74"/>
      <c r="AC1134" s="74"/>
      <c r="AD1134" s="227">
        <v>43994.0</v>
      </c>
      <c r="AE1134" s="76">
        <v>900000.0</v>
      </c>
      <c r="AF1134" s="338"/>
      <c r="AG1134" s="84"/>
      <c r="AH1134" s="74"/>
      <c r="AI1134" s="78"/>
      <c r="AJ1134" s="79"/>
      <c r="AK1134" s="84"/>
      <c r="AL1134" s="79"/>
      <c r="AM1134" s="84"/>
      <c r="AN1134" s="79"/>
      <c r="AO1134" s="84"/>
      <c r="AP1134" s="79"/>
      <c r="AQ1134" s="84"/>
      <c r="AR1134" s="79"/>
      <c r="AS1134" s="79"/>
      <c r="AT1134" s="79"/>
      <c r="AU1134" s="80"/>
      <c r="AV1134" s="79"/>
      <c r="AW1134" s="38"/>
      <c r="AX1134" s="79"/>
      <c r="AY1134" s="38"/>
      <c r="AZ1134" s="79"/>
      <c r="BA1134" s="80"/>
      <c r="BB1134" s="79"/>
      <c r="BC1134" s="80"/>
      <c r="BD1134" s="79"/>
      <c r="BE1134" s="38"/>
      <c r="BF1134" s="74"/>
      <c r="BG1134" s="456"/>
      <c r="BH1134" s="456"/>
      <c r="BI1134" s="456"/>
      <c r="BJ1134" s="456"/>
      <c r="BK1134" s="456"/>
      <c r="BL1134" s="456"/>
      <c r="BM1134" s="456"/>
      <c r="BN1134" s="456"/>
      <c r="BO1134" s="456"/>
      <c r="BP1134" s="456"/>
      <c r="BQ1134" s="456"/>
      <c r="BR1134" s="456"/>
      <c r="BS1134" s="456"/>
      <c r="BT1134" s="456"/>
      <c r="BU1134" s="456"/>
      <c r="BV1134" s="456"/>
      <c r="BW1134" s="456"/>
      <c r="BX1134" s="456"/>
      <c r="BY1134" s="456"/>
      <c r="BZ1134" s="456"/>
      <c r="CA1134" s="456"/>
      <c r="CB1134" s="456"/>
      <c r="CC1134" s="456"/>
      <c r="CD1134" s="456"/>
      <c r="CE1134" s="456"/>
      <c r="CF1134" s="456"/>
      <c r="CG1134" s="456"/>
      <c r="CH1134" s="456"/>
      <c r="CI1134" s="456"/>
      <c r="CJ1134" s="456"/>
      <c r="CK1134" s="456"/>
      <c r="CL1134" s="456"/>
      <c r="CM1134" s="456"/>
      <c r="CN1134" s="456"/>
      <c r="CO1134" s="456"/>
      <c r="CP1134" s="456"/>
    </row>
    <row r="1135" ht="15.75" customHeight="1">
      <c r="A1135" s="21" t="s">
        <v>5426</v>
      </c>
      <c r="B1135" s="68"/>
      <c r="C1135" s="116" t="s">
        <v>84</v>
      </c>
      <c r="D1135" s="200" t="s">
        <v>5427</v>
      </c>
      <c r="E1135" s="200" t="s">
        <v>5428</v>
      </c>
      <c r="F1135" s="154" t="s">
        <v>5429</v>
      </c>
      <c r="G1135" s="140" t="s">
        <v>5430</v>
      </c>
      <c r="H1135" s="140" t="s">
        <v>695</v>
      </c>
      <c r="I1135" s="1401" t="s">
        <v>5431</v>
      </c>
      <c r="J1135" s="72" t="s">
        <v>5432</v>
      </c>
      <c r="K1135" s="26">
        <v>1.0</v>
      </c>
      <c r="L1135" s="23">
        <v>2014.0</v>
      </c>
      <c r="M1135" s="25">
        <f t="shared" si="744"/>
        <v>11</v>
      </c>
      <c r="N1135" s="26">
        <f t="shared" si="745"/>
        <v>1</v>
      </c>
      <c r="O1135" s="27" t="str">
        <f t="shared" si="3"/>
        <v>#N/A</v>
      </c>
      <c r="P1135" s="28"/>
      <c r="Q1135" s="28"/>
      <c r="R1135" s="28"/>
      <c r="S1135" s="28"/>
      <c r="T1135" s="29">
        <f t="shared" si="746"/>
        <v>80762.72727</v>
      </c>
      <c r="U1135" s="28"/>
      <c r="V1135" s="30">
        <f t="shared" si="425"/>
        <v>888390</v>
      </c>
      <c r="W1135" s="30"/>
      <c r="X1135" s="73"/>
      <c r="Y1135" s="33">
        <f t="shared" si="747"/>
        <v>0</v>
      </c>
      <c r="Z1135" s="692"/>
      <c r="AA1135" s="665"/>
      <c r="AB1135" s="74"/>
      <c r="AC1135" s="74"/>
      <c r="AD1135" s="79"/>
      <c r="AE1135" s="84"/>
      <c r="AF1135" s="175" t="str">
        <f>HYPERLINK("https://www.crunchbase.com/organization/local-logic#section-funding-rounds"," Jun 13, 2017")</f>
        <v> Jun 13, 2017</v>
      </c>
      <c r="AG1135" s="76">
        <v>888390.0</v>
      </c>
      <c r="AH1135" s="74"/>
      <c r="AI1135" s="78"/>
      <c r="AJ1135" s="79"/>
      <c r="AK1135" s="84"/>
      <c r="AL1135" s="79"/>
      <c r="AM1135" s="84"/>
      <c r="AN1135" s="79"/>
      <c r="AO1135" s="84"/>
      <c r="AP1135" s="79"/>
      <c r="AQ1135" s="84"/>
      <c r="AR1135" s="79"/>
      <c r="AS1135" s="79"/>
      <c r="AT1135" s="79"/>
      <c r="AU1135" s="80"/>
      <c r="AV1135" s="79"/>
      <c r="AW1135" s="38"/>
      <c r="AX1135" s="79"/>
      <c r="AY1135" s="38"/>
      <c r="AZ1135" s="79"/>
      <c r="BA1135" s="80"/>
      <c r="BB1135" s="79"/>
      <c r="BC1135" s="80"/>
      <c r="BD1135" s="79"/>
      <c r="BE1135" s="38"/>
      <c r="BF1135" s="74"/>
      <c r="BG1135" s="16"/>
      <c r="BH1135" s="16"/>
      <c r="BI1135" s="16"/>
      <c r="BJ1135" s="16"/>
      <c r="BK1135" s="16"/>
      <c r="BL1135" s="16"/>
      <c r="BM1135" s="16"/>
      <c r="BN1135" s="16"/>
      <c r="BO1135" s="16"/>
      <c r="BP1135" s="16"/>
      <c r="BQ1135" s="16"/>
      <c r="BR1135" s="16"/>
      <c r="BS1135" s="16"/>
      <c r="BT1135" s="16"/>
      <c r="BU1135" s="16"/>
      <c r="BV1135" s="16"/>
      <c r="BW1135" s="16"/>
      <c r="BX1135" s="16"/>
      <c r="BY1135" s="16"/>
      <c r="BZ1135" s="16"/>
      <c r="CA1135" s="16"/>
      <c r="CB1135" s="16"/>
      <c r="CC1135" s="16"/>
      <c r="CD1135" s="16"/>
      <c r="CE1135" s="16"/>
      <c r="CF1135" s="16"/>
      <c r="CG1135" s="16"/>
      <c r="CH1135" s="16"/>
      <c r="CI1135" s="16"/>
      <c r="CJ1135" s="16"/>
      <c r="CK1135" s="16"/>
      <c r="CL1135" s="16"/>
      <c r="CM1135" s="16"/>
      <c r="CN1135" s="16"/>
      <c r="CO1135" s="16"/>
      <c r="CP1135" s="16"/>
    </row>
    <row r="1136" ht="15.75" customHeight="1">
      <c r="A1136" s="442" t="s">
        <v>5433</v>
      </c>
      <c r="B1136" s="68" t="s">
        <v>5434</v>
      </c>
      <c r="C1136" s="69" t="s">
        <v>5435</v>
      </c>
      <c r="D1136" s="184" t="s">
        <v>5436</v>
      </c>
      <c r="E1136" s="184" t="s">
        <v>5437</v>
      </c>
      <c r="F1136" s="185" t="s">
        <v>5438</v>
      </c>
      <c r="G1136" s="174" t="s">
        <v>5439</v>
      </c>
      <c r="H1136" s="186" t="s">
        <v>771</v>
      </c>
      <c r="I1136" s="74" t="s">
        <v>5440</v>
      </c>
      <c r="J1136" s="514">
        <v>80202.0</v>
      </c>
      <c r="K1136" s="74">
        <v>1.0</v>
      </c>
      <c r="L1136" s="26">
        <v>2015.0</v>
      </c>
      <c r="M1136" s="25">
        <f t="shared" si="744"/>
        <v>10</v>
      </c>
      <c r="N1136" s="26">
        <f t="shared" si="745"/>
        <v>1</v>
      </c>
      <c r="O1136" s="27" t="str">
        <f t="shared" si="3"/>
        <v>#N/A</v>
      </c>
      <c r="P1136" s="28"/>
      <c r="Q1136" s="28"/>
      <c r="R1136" s="28"/>
      <c r="S1136" s="28"/>
      <c r="T1136" s="29">
        <f t="shared" si="746"/>
        <v>87900</v>
      </c>
      <c r="U1136" s="28"/>
      <c r="V1136" s="30">
        <f t="shared" si="425"/>
        <v>879000</v>
      </c>
      <c r="W1136" s="30"/>
      <c r="X1136" s="32"/>
      <c r="Y1136" s="33">
        <f t="shared" si="747"/>
        <v>0</v>
      </c>
      <c r="Z1136" s="692"/>
      <c r="AA1136" s="665"/>
      <c r="AB1136" s="74"/>
      <c r="AC1136" s="74"/>
      <c r="AD1136" s="79"/>
      <c r="AE1136" s="84"/>
      <c r="AF1136" s="175" t="str">
        <f>HYPERLINK("https://www.crunchbase.com/organization/motili#section-funding-rounds"," Sep 30, 2016")</f>
        <v> Sep 30, 2016</v>
      </c>
      <c r="AG1136" s="76">
        <v>879000.0</v>
      </c>
      <c r="AH1136" s="74"/>
      <c r="AI1136" s="78"/>
      <c r="AJ1136" s="79"/>
      <c r="AK1136" s="84"/>
      <c r="AL1136" s="79"/>
      <c r="AM1136" s="84"/>
      <c r="AN1136" s="79"/>
      <c r="AO1136" s="84"/>
      <c r="AP1136" s="79"/>
      <c r="AQ1136" s="84"/>
      <c r="AR1136" s="79"/>
      <c r="AS1136" s="79"/>
      <c r="AT1136" s="79"/>
      <c r="AU1136" s="80"/>
      <c r="AV1136" s="79"/>
      <c r="AW1136" s="38"/>
      <c r="AX1136" s="79"/>
      <c r="AY1136" s="38"/>
      <c r="AZ1136" s="79"/>
      <c r="BA1136" s="80"/>
      <c r="BB1136" s="79"/>
      <c r="BC1136" s="80"/>
      <c r="BD1136" s="79"/>
      <c r="BE1136" s="38"/>
      <c r="BF1136" s="74"/>
      <c r="BG1136" s="16"/>
      <c r="BH1136" s="16"/>
      <c r="BI1136" s="16"/>
      <c r="BJ1136" s="16"/>
      <c r="BK1136" s="16"/>
      <c r="BL1136" s="16"/>
      <c r="BM1136" s="16"/>
      <c r="BN1136" s="16"/>
      <c r="BO1136" s="16"/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6"/>
      <c r="CA1136" s="16"/>
      <c r="CB1136" s="16"/>
      <c r="CC1136" s="16"/>
      <c r="CD1136" s="16"/>
      <c r="CE1136" s="16"/>
      <c r="CF1136" s="16"/>
      <c r="CG1136" s="16"/>
      <c r="CH1136" s="16"/>
      <c r="CI1136" s="16"/>
      <c r="CJ1136" s="16"/>
      <c r="CK1136" s="16"/>
      <c r="CL1136" s="16"/>
      <c r="CM1136" s="16"/>
      <c r="CN1136" s="16"/>
      <c r="CO1136" s="16"/>
      <c r="CP1136" s="16"/>
    </row>
    <row r="1137" ht="15.75" customHeight="1">
      <c r="A1137" s="442" t="s">
        <v>5441</v>
      </c>
      <c r="B1137" s="68" t="s">
        <v>2518</v>
      </c>
      <c r="C1137" s="69" t="s">
        <v>5442</v>
      </c>
      <c r="D1137" s="184" t="s">
        <v>5443</v>
      </c>
      <c r="E1137" s="184" t="s">
        <v>5444</v>
      </c>
      <c r="F1137" s="185" t="s">
        <v>5445</v>
      </c>
      <c r="G1137" s="186" t="s">
        <v>5446</v>
      </c>
      <c r="H1137" s="186" t="s">
        <v>3676</v>
      </c>
      <c r="I1137" s="444" t="s">
        <v>5447</v>
      </c>
      <c r="J1137" s="514" t="s">
        <v>5448</v>
      </c>
      <c r="K1137" s="74">
        <v>3.0</v>
      </c>
      <c r="L1137" s="26">
        <v>2015.0</v>
      </c>
      <c r="M1137" s="25">
        <f t="shared" si="744"/>
        <v>10</v>
      </c>
      <c r="N1137" s="26">
        <f t="shared" si="745"/>
        <v>1</v>
      </c>
      <c r="O1137" s="27" t="str">
        <f t="shared" si="3"/>
        <v>#N/A</v>
      </c>
      <c r="P1137" s="28"/>
      <c r="Q1137" s="28"/>
      <c r="R1137" s="28"/>
      <c r="S1137" s="28"/>
      <c r="T1137" s="29">
        <f t="shared" si="746"/>
        <v>85000</v>
      </c>
      <c r="U1137" s="28"/>
      <c r="V1137" s="30">
        <f t="shared" si="425"/>
        <v>850000</v>
      </c>
      <c r="W1137" s="30"/>
      <c r="X1137" s="32"/>
      <c r="Y1137" s="33">
        <f t="shared" si="747"/>
        <v>0</v>
      </c>
      <c r="Z1137" s="692"/>
      <c r="AA1137" s="665"/>
      <c r="AB1137" s="74"/>
      <c r="AC1137" s="74"/>
      <c r="AD1137" s="79"/>
      <c r="AE1137" s="84"/>
      <c r="AF1137" s="175" t="str">
        <f>HYPERLINK("https://www.crunchbase.com/funding_round/realquantum-llc-seed--98777325","Nov 29, 2018")</f>
        <v>Nov 29, 2018</v>
      </c>
      <c r="AG1137" s="76">
        <v>850000.0</v>
      </c>
      <c r="AH1137" s="74"/>
      <c r="AI1137" s="78"/>
      <c r="AJ1137" s="79"/>
      <c r="AK1137" s="807"/>
      <c r="AL1137" s="79"/>
      <c r="AM1137" s="84"/>
      <c r="AN1137" s="79"/>
      <c r="AO1137" s="84"/>
      <c r="AP1137" s="79"/>
      <c r="AQ1137" s="84"/>
      <c r="AR1137" s="79"/>
      <c r="AS1137" s="79"/>
      <c r="AT1137" s="79"/>
      <c r="AU1137" s="80"/>
      <c r="AV1137" s="79"/>
      <c r="AW1137" s="38"/>
      <c r="AX1137" s="79"/>
      <c r="AY1137" s="38"/>
      <c r="AZ1137" s="79"/>
      <c r="BA1137" s="80"/>
      <c r="BB1137" s="79"/>
      <c r="BC1137" s="80"/>
      <c r="BD1137" s="79"/>
      <c r="BE1137" s="38"/>
      <c r="BF1137" s="74"/>
      <c r="BG1137" s="1490"/>
      <c r="BH1137" s="1490"/>
      <c r="BI1137" s="1490"/>
      <c r="BJ1137" s="1490"/>
      <c r="BK1137" s="1490"/>
      <c r="BL1137" s="1490"/>
      <c r="BM1137" s="1490"/>
      <c r="BN1137" s="1490"/>
      <c r="BO1137" s="1490"/>
      <c r="BP1137" s="1490"/>
      <c r="BQ1137" s="1490"/>
      <c r="BR1137" s="1490"/>
      <c r="BS1137" s="1490"/>
      <c r="BT1137" s="1490"/>
      <c r="BU1137" s="1490"/>
      <c r="BV1137" s="1490"/>
      <c r="BW1137" s="1490"/>
      <c r="BX1137" s="1490"/>
      <c r="BY1137" s="1490"/>
      <c r="BZ1137" s="1490"/>
      <c r="CA1137" s="1490"/>
      <c r="CB1137" s="1490"/>
      <c r="CC1137" s="1490"/>
      <c r="CD1137" s="1490"/>
      <c r="CE1137" s="1490"/>
      <c r="CF1137" s="1490"/>
      <c r="CG1137" s="1490"/>
      <c r="CH1137" s="1490"/>
      <c r="CI1137" s="1490"/>
      <c r="CJ1137" s="1490"/>
      <c r="CK1137" s="1490"/>
      <c r="CL1137" s="1490"/>
      <c r="CM1137" s="1490"/>
      <c r="CN1137" s="1490"/>
      <c r="CO1137" s="1490"/>
      <c r="CP1137" s="1490"/>
    </row>
    <row r="1138" ht="15.75" customHeight="1">
      <c r="A1138" s="47" t="s">
        <v>5449</v>
      </c>
      <c r="C1138" s="48" t="s">
        <v>84</v>
      </c>
      <c r="D1138" s="617" t="s">
        <v>5450</v>
      </c>
      <c r="E1138" s="49" t="s">
        <v>5451</v>
      </c>
      <c r="F1138" s="749" t="s">
        <v>5452</v>
      </c>
      <c r="G1138" s="353"/>
      <c r="H1138" s="53" t="s">
        <v>5453</v>
      </c>
      <c r="I1138" s="54" t="s">
        <v>329</v>
      </c>
      <c r="J1138" s="55"/>
      <c r="K1138" s="54">
        <v>2.0</v>
      </c>
      <c r="L1138" s="56">
        <v>2022.0</v>
      </c>
      <c r="M1138" s="55"/>
      <c r="N1138" s="55"/>
      <c r="O1138" s="27" t="str">
        <f t="shared" si="3"/>
        <v>#N/A</v>
      </c>
      <c r="P1138" s="55"/>
      <c r="Q1138" s="55"/>
      <c r="R1138" s="55"/>
      <c r="S1138" s="55"/>
      <c r="T1138" s="55"/>
      <c r="U1138" s="55"/>
      <c r="V1138" s="30">
        <f t="shared" si="425"/>
        <v>829600</v>
      </c>
      <c r="W1138" s="30"/>
      <c r="X1138" s="58"/>
      <c r="Y1138" s="58"/>
      <c r="Z1138" s="692"/>
      <c r="AA1138" s="665"/>
      <c r="AB1138" s="55"/>
      <c r="AC1138" s="55"/>
      <c r="AD1138" s="880">
        <v>44943.0</v>
      </c>
      <c r="AE1138" s="38">
        <v>829600.0</v>
      </c>
      <c r="AF1138" s="355"/>
      <c r="AG1138" s="38"/>
      <c r="AH1138" s="55"/>
      <c r="AI1138" s="38"/>
      <c r="AJ1138" s="55"/>
      <c r="AK1138" s="38"/>
      <c r="AL1138" s="55"/>
      <c r="AM1138" s="38"/>
      <c r="AN1138" s="55"/>
      <c r="AO1138" s="38"/>
      <c r="AP1138" s="356"/>
      <c r="AQ1138" s="38"/>
      <c r="AR1138" s="55"/>
      <c r="AS1138" s="38"/>
      <c r="AT1138" s="55"/>
      <c r="AU1138" s="38"/>
      <c r="AV1138" s="55"/>
      <c r="AW1138" s="38"/>
      <c r="AX1138" s="55"/>
      <c r="AY1138" s="38"/>
      <c r="AZ1138" s="55"/>
      <c r="BA1138" s="38"/>
      <c r="BB1138" s="55"/>
      <c r="BC1138" s="38"/>
      <c r="BD1138" s="55"/>
      <c r="BE1138" s="38"/>
      <c r="BF1138" s="55"/>
      <c r="BG1138" s="16"/>
      <c r="BH1138" s="16"/>
      <c r="BI1138" s="16"/>
      <c r="BJ1138" s="16"/>
      <c r="BK1138" s="16"/>
      <c r="BL1138" s="16"/>
      <c r="BM1138" s="16"/>
      <c r="BN1138" s="16"/>
      <c r="BO1138" s="16"/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6"/>
      <c r="CA1138" s="16"/>
      <c r="CB1138" s="16"/>
      <c r="CC1138" s="16"/>
      <c r="CD1138" s="16"/>
      <c r="CE1138" s="16"/>
      <c r="CF1138" s="16"/>
      <c r="CG1138" s="16"/>
      <c r="CH1138" s="16"/>
      <c r="CI1138" s="16"/>
      <c r="CJ1138" s="16"/>
      <c r="CK1138" s="16"/>
      <c r="CL1138" s="16"/>
      <c r="CM1138" s="16"/>
      <c r="CN1138" s="16"/>
      <c r="CO1138" s="16"/>
      <c r="CP1138" s="16"/>
    </row>
    <row r="1139" ht="15.75" customHeight="1">
      <c r="A1139" s="21" t="s">
        <v>5454</v>
      </c>
      <c r="B1139" s="68"/>
      <c r="C1139" s="69" t="s">
        <v>513</v>
      </c>
      <c r="D1139" s="200" t="s">
        <v>5455</v>
      </c>
      <c r="E1139" s="492" t="s">
        <v>5456</v>
      </c>
      <c r="F1139" s="154" t="s">
        <v>5457</v>
      </c>
      <c r="G1139" s="71" t="s">
        <v>4027</v>
      </c>
      <c r="H1139" s="186"/>
      <c r="I1139" s="74"/>
      <c r="J1139" s="155"/>
      <c r="K1139" s="74" t="s">
        <v>723</v>
      </c>
      <c r="L1139" s="26">
        <v>2016.0</v>
      </c>
      <c r="M1139" s="25">
        <f t="shared" ref="M1139:M1144" si="748">year(now()) -L1139</f>
        <v>9</v>
      </c>
      <c r="N1139" s="26">
        <f t="shared" ref="N1139:N1144" si="749">counta(AE1139,AG1139,AI1139,AK1139,AM1139,AO1139,AQ1139,AS1139,AU1139,AW1139,AY1139,BA1139,BC1139)</f>
        <v>2</v>
      </c>
      <c r="O1139" s="27" t="str">
        <f t="shared" si="3"/>
        <v>#N/A</v>
      </c>
      <c r="P1139" s="28"/>
      <c r="Q1139" s="28"/>
      <c r="R1139" s="28"/>
      <c r="S1139" s="28"/>
      <c r="T1139" s="29">
        <f t="shared" ref="T1139:T1143" si="750">V1139/M1139</f>
        <v>89666.66667</v>
      </c>
      <c r="U1139" s="28"/>
      <c r="V1139" s="30">
        <f t="shared" si="425"/>
        <v>807000</v>
      </c>
      <c r="W1139" s="30"/>
      <c r="X1139" s="32"/>
      <c r="Y1139" s="33">
        <f t="shared" ref="Y1139:Y1144" si="751">(max(AE1139,AG1139,AI1139,AK1139,AM1139,AO1139,AQ1139,AS1139,AU1139,AW1139,AY1139,BA1139,BC1139)/min(AE1139,AG1139,AI1139,AK1139))^(1/M1139)-1</f>
        <v>0.06003631809</v>
      </c>
      <c r="Z1139" s="692"/>
      <c r="AA1139" s="665"/>
      <c r="AB1139" s="74"/>
      <c r="AC1139" s="74"/>
      <c r="AD1139" s="228" t="str">
        <f>HYPERLINK("https://www.crunchbase.com/organization/flow-laboratories-inc#section-funding-rounds"," Mar 1, 2016")</f>
        <v> Mar 1, 2016</v>
      </c>
      <c r="AE1139" s="38">
        <v>300000.0</v>
      </c>
      <c r="AF1139" s="39">
        <v>42597.0</v>
      </c>
      <c r="AG1139" s="38">
        <v>507000.0</v>
      </c>
      <c r="AH1139" s="36"/>
      <c r="AI1139" s="159"/>
      <c r="AJ1139" s="44"/>
      <c r="AK1139" s="46"/>
      <c r="AL1139" s="44"/>
      <c r="AM1139" s="46"/>
      <c r="AN1139" s="44"/>
      <c r="AO1139" s="46"/>
      <c r="AP1139" s="44"/>
      <c r="AQ1139" s="46"/>
      <c r="AR1139" s="44"/>
      <c r="AS1139" s="44"/>
      <c r="AT1139" s="44"/>
      <c r="AU1139" s="45"/>
      <c r="AV1139" s="44"/>
      <c r="AW1139" s="38"/>
      <c r="AX1139" s="44"/>
      <c r="AY1139" s="38"/>
      <c r="AZ1139" s="44"/>
      <c r="BA1139" s="45"/>
      <c r="BB1139" s="44"/>
      <c r="BC1139" s="45"/>
      <c r="BD1139" s="44"/>
      <c r="BE1139" s="38"/>
      <c r="BF1139" s="36"/>
      <c r="BG1139" s="16"/>
      <c r="BH1139" s="16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</row>
    <row r="1140" ht="15.75" customHeight="1">
      <c r="A1140" s="1514" t="s">
        <v>5458</v>
      </c>
      <c r="B1140" s="68"/>
      <c r="C1140" s="69" t="s">
        <v>84</v>
      </c>
      <c r="D1140" s="192" t="s">
        <v>5459</v>
      </c>
      <c r="E1140" s="192" t="s">
        <v>5460</v>
      </c>
      <c r="F1140" s="118" t="s">
        <v>5461</v>
      </c>
      <c r="G1140" s="140" t="s">
        <v>5462</v>
      </c>
      <c r="H1140" s="71" t="s">
        <v>5463</v>
      </c>
      <c r="I1140" s="26" t="s">
        <v>89</v>
      </c>
      <c r="J1140" s="155"/>
      <c r="K1140" s="74"/>
      <c r="L1140" s="26">
        <v>2019.0</v>
      </c>
      <c r="M1140" s="25">
        <f t="shared" si="748"/>
        <v>6</v>
      </c>
      <c r="N1140" s="26">
        <f t="shared" si="749"/>
        <v>1</v>
      </c>
      <c r="O1140" s="27" t="str">
        <f t="shared" si="3"/>
        <v>#N/A</v>
      </c>
      <c r="P1140" s="28"/>
      <c r="Q1140" s="28"/>
      <c r="R1140" s="28"/>
      <c r="S1140" s="28"/>
      <c r="T1140" s="29">
        <f t="shared" si="750"/>
        <v>133333.3333</v>
      </c>
      <c r="U1140" s="28"/>
      <c r="V1140" s="30">
        <f t="shared" si="425"/>
        <v>800000</v>
      </c>
      <c r="W1140" s="30"/>
      <c r="X1140" s="32"/>
      <c r="Y1140" s="33">
        <f t="shared" si="751"/>
        <v>0</v>
      </c>
      <c r="Z1140" s="692"/>
      <c r="AA1140" s="665"/>
      <c r="AB1140" s="74"/>
      <c r="AC1140" s="74"/>
      <c r="AD1140" s="79"/>
      <c r="AE1140" s="84"/>
      <c r="AF1140" s="320">
        <v>43986.0</v>
      </c>
      <c r="AG1140" s="76">
        <v>800000.0</v>
      </c>
      <c r="AH1140" s="74"/>
      <c r="AI1140" s="78"/>
      <c r="AJ1140" s="279"/>
      <c r="AK1140" s="76"/>
      <c r="AL1140" s="279"/>
      <c r="AM1140" s="76"/>
      <c r="AN1140" s="79"/>
      <c r="AO1140" s="84"/>
      <c r="AP1140" s="79"/>
      <c r="AQ1140" s="84"/>
      <c r="AR1140" s="79"/>
      <c r="AS1140" s="79"/>
      <c r="AT1140" s="79"/>
      <c r="AU1140" s="80"/>
      <c r="AV1140" s="79"/>
      <c r="AW1140" s="38"/>
      <c r="AX1140" s="79"/>
      <c r="AY1140" s="38"/>
      <c r="AZ1140" s="79"/>
      <c r="BA1140" s="80"/>
      <c r="BB1140" s="79"/>
      <c r="BC1140" s="80"/>
      <c r="BD1140" s="79"/>
      <c r="BE1140" s="38"/>
      <c r="BF1140" s="74"/>
      <c r="BG1140" s="16"/>
      <c r="BH1140" s="16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</row>
    <row r="1141" ht="15.75" customHeight="1">
      <c r="A1141" s="860" t="s">
        <v>5464</v>
      </c>
      <c r="B1141" s="115"/>
      <c r="C1141" s="116" t="s">
        <v>84</v>
      </c>
      <c r="D1141" s="192" t="s">
        <v>5465</v>
      </c>
      <c r="E1141" s="192" t="s">
        <v>5466</v>
      </c>
      <c r="F1141" s="118" t="s">
        <v>5467</v>
      </c>
      <c r="G1141" s="286"/>
      <c r="H1141" s="119" t="s">
        <v>5468</v>
      </c>
      <c r="I1141" s="25" t="s">
        <v>2171</v>
      </c>
      <c r="J1141" s="287"/>
      <c r="K1141" s="123"/>
      <c r="L1141" s="25">
        <v>2017.0</v>
      </c>
      <c r="M1141" s="25">
        <f t="shared" si="748"/>
        <v>8</v>
      </c>
      <c r="N1141" s="26">
        <f t="shared" si="749"/>
        <v>1</v>
      </c>
      <c r="O1141" s="27" t="str">
        <f t="shared" si="3"/>
        <v>#N/A</v>
      </c>
      <c r="P1141" s="28"/>
      <c r="Q1141" s="28"/>
      <c r="R1141" s="28"/>
      <c r="S1141" s="28"/>
      <c r="T1141" s="29">
        <f t="shared" si="750"/>
        <v>100000</v>
      </c>
      <c r="U1141" s="28"/>
      <c r="V1141" s="30">
        <f t="shared" si="425"/>
        <v>800000</v>
      </c>
      <c r="W1141" s="30"/>
      <c r="X1141" s="403"/>
      <c r="Y1141" s="33">
        <f t="shared" si="751"/>
        <v>0</v>
      </c>
      <c r="Z1141" s="692"/>
      <c r="AA1141" s="665"/>
      <c r="AB1141" s="123"/>
      <c r="AC1141" s="123"/>
      <c r="AD1141" s="169"/>
      <c r="AE1141" s="127"/>
      <c r="AF1141" s="320">
        <v>42795.0</v>
      </c>
      <c r="AG1141" s="127">
        <v>800000.0</v>
      </c>
      <c r="AH1141" s="123"/>
      <c r="AI1141" s="128"/>
      <c r="AJ1141" s="124"/>
      <c r="AK1141" s="125"/>
      <c r="AL1141" s="124"/>
      <c r="AM1141" s="125"/>
      <c r="AN1141" s="124"/>
      <c r="AO1141" s="125"/>
      <c r="AP1141" s="124"/>
      <c r="AQ1141" s="125"/>
      <c r="AR1141" s="124"/>
      <c r="AS1141" s="124"/>
      <c r="AT1141" s="124"/>
      <c r="AU1141" s="137"/>
      <c r="AV1141" s="124"/>
      <c r="AW1141" s="38"/>
      <c r="AX1141" s="124"/>
      <c r="AY1141" s="38"/>
      <c r="AZ1141" s="124"/>
      <c r="BA1141" s="137"/>
      <c r="BB1141" s="124"/>
      <c r="BC1141" s="137"/>
      <c r="BD1141" s="124"/>
      <c r="BE1141" s="38"/>
      <c r="BF1141" s="123"/>
      <c r="BG1141" s="16"/>
      <c r="BH1141" s="16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</row>
    <row r="1142" ht="15.75" customHeight="1">
      <c r="A1142" s="21" t="s">
        <v>5469</v>
      </c>
      <c r="B1142" s="68"/>
      <c r="C1142" s="69" t="s">
        <v>84</v>
      </c>
      <c r="D1142" s="200" t="s">
        <v>5470</v>
      </c>
      <c r="E1142" s="200" t="s">
        <v>5471</v>
      </c>
      <c r="F1142" s="173" t="s">
        <v>5472</v>
      </c>
      <c r="G1142" s="71" t="s">
        <v>5473</v>
      </c>
      <c r="H1142" s="186"/>
      <c r="I1142" s="74"/>
      <c r="J1142" s="155"/>
      <c r="K1142" s="26">
        <v>3.0</v>
      </c>
      <c r="L1142" s="26">
        <v>2018.0</v>
      </c>
      <c r="M1142" s="25">
        <f t="shared" si="748"/>
        <v>7</v>
      </c>
      <c r="N1142" s="26">
        <f t="shared" si="749"/>
        <v>1</v>
      </c>
      <c r="O1142" s="27" t="str">
        <f t="shared" si="3"/>
        <v>#N/A</v>
      </c>
      <c r="P1142" s="28"/>
      <c r="Q1142" s="28"/>
      <c r="R1142" s="28"/>
      <c r="S1142" s="28"/>
      <c r="T1142" s="29">
        <f t="shared" si="750"/>
        <v>114285.7143</v>
      </c>
      <c r="U1142" s="28"/>
      <c r="V1142" s="30">
        <f t="shared" si="425"/>
        <v>800000</v>
      </c>
      <c r="W1142" s="30"/>
      <c r="X1142" s="73"/>
      <c r="Y1142" s="33">
        <f t="shared" si="751"/>
        <v>0</v>
      </c>
      <c r="Z1142" s="692"/>
      <c r="AA1142" s="665"/>
      <c r="AB1142" s="74"/>
      <c r="AC1142" s="74"/>
      <c r="AD1142" s="79"/>
      <c r="AE1142" s="84"/>
      <c r="AF1142" s="175" t="str">
        <f>HYPERLINK("https://www.crunchbase.com/organization/lofty-ai#section-funding-rounds","Aug 19, 2019")</f>
        <v>Aug 19, 2019</v>
      </c>
      <c r="AG1142" s="76">
        <v>800000.0</v>
      </c>
      <c r="AH1142" s="74"/>
      <c r="AI1142" s="78"/>
      <c r="AJ1142" s="79"/>
      <c r="AK1142" s="84"/>
      <c r="AL1142" s="79"/>
      <c r="AM1142" s="84"/>
      <c r="AN1142" s="79"/>
      <c r="AO1142" s="84"/>
      <c r="AP1142" s="79"/>
      <c r="AQ1142" s="84"/>
      <c r="AR1142" s="79"/>
      <c r="AS1142" s="79"/>
      <c r="AT1142" s="79"/>
      <c r="AU1142" s="80"/>
      <c r="AV1142" s="79"/>
      <c r="AW1142" s="38"/>
      <c r="AX1142" s="79"/>
      <c r="AY1142" s="38"/>
      <c r="AZ1142" s="79"/>
      <c r="BA1142" s="80"/>
      <c r="BB1142" s="79"/>
      <c r="BC1142" s="80"/>
      <c r="BD1142" s="79"/>
      <c r="BE1142" s="38"/>
      <c r="BF1142" s="74"/>
      <c r="BG1142" s="66"/>
      <c r="BH1142" s="66"/>
      <c r="BI1142" s="66"/>
      <c r="BJ1142" s="66"/>
      <c r="BK1142" s="66"/>
      <c r="BL1142" s="66"/>
      <c r="BM1142" s="66"/>
      <c r="BN1142" s="66"/>
      <c r="BO1142" s="66"/>
      <c r="BP1142" s="66"/>
      <c r="BQ1142" s="66"/>
      <c r="BR1142" s="66"/>
      <c r="BS1142" s="66"/>
      <c r="BT1142" s="66"/>
      <c r="BU1142" s="66"/>
      <c r="BV1142" s="66"/>
      <c r="BW1142" s="66"/>
      <c r="BX1142" s="66"/>
      <c r="BY1142" s="66"/>
      <c r="BZ1142" s="66"/>
      <c r="CA1142" s="66"/>
      <c r="CB1142" s="66"/>
      <c r="CC1142" s="66"/>
      <c r="CD1142" s="66"/>
      <c r="CE1142" s="66"/>
      <c r="CF1142" s="66"/>
      <c r="CG1142" s="66"/>
      <c r="CH1142" s="66"/>
      <c r="CI1142" s="66"/>
      <c r="CJ1142" s="66"/>
      <c r="CK1142" s="66"/>
      <c r="CL1142" s="66"/>
      <c r="CM1142" s="66"/>
      <c r="CN1142" s="66"/>
      <c r="CO1142" s="66"/>
      <c r="CP1142" s="66"/>
    </row>
    <row r="1143" ht="15.75" customHeight="1">
      <c r="A1143" s="747" t="s">
        <v>5474</v>
      </c>
      <c r="B1143" s="68"/>
      <c r="C1143" s="69" t="s">
        <v>132</v>
      </c>
      <c r="D1143" s="48"/>
      <c r="E1143" s="388" t="s">
        <v>5475</v>
      </c>
      <c r="F1143" s="389" t="s">
        <v>5476</v>
      </c>
      <c r="G1143" s="140"/>
      <c r="H1143" s="71" t="s">
        <v>64</v>
      </c>
      <c r="I1143" s="26" t="s">
        <v>65</v>
      </c>
      <c r="J1143" s="72"/>
      <c r="K1143" s="26">
        <v>2.0</v>
      </c>
      <c r="L1143" s="26">
        <v>2019.0</v>
      </c>
      <c r="M1143" s="25">
        <f t="shared" si="748"/>
        <v>6</v>
      </c>
      <c r="N1143" s="26">
        <f t="shared" si="749"/>
        <v>1</v>
      </c>
      <c r="O1143" s="27" t="str">
        <f t="shared" si="3"/>
        <v>#N/A</v>
      </c>
      <c r="P1143" s="28"/>
      <c r="Q1143" s="28"/>
      <c r="R1143" s="28"/>
      <c r="S1143" s="28"/>
      <c r="T1143" s="29">
        <f t="shared" si="750"/>
        <v>133333.3333</v>
      </c>
      <c r="U1143" s="28"/>
      <c r="V1143" s="30">
        <f t="shared" si="425"/>
        <v>800000</v>
      </c>
      <c r="W1143" s="30"/>
      <c r="X1143" s="73"/>
      <c r="Y1143" s="33">
        <f t="shared" si="751"/>
        <v>0</v>
      </c>
      <c r="Z1143" s="692"/>
      <c r="AA1143" s="665"/>
      <c r="AB1143" s="74"/>
      <c r="AC1143" s="74"/>
      <c r="AD1143" s="181" t="str">
        <f>HYPERLINK("https://www.crunchbase.com/funding_round/pocketbuildings-pre-seed--b9fff6f3","Dec 9, 2020")</f>
        <v>Dec 9, 2020</v>
      </c>
      <c r="AE1143" s="76">
        <v>800000.0</v>
      </c>
      <c r="AF1143" s="338"/>
      <c r="AG1143" s="84"/>
      <c r="AH1143" s="74"/>
      <c r="AI1143" s="78"/>
      <c r="AJ1143" s="79"/>
      <c r="AK1143" s="84"/>
      <c r="AL1143" s="79"/>
      <c r="AM1143" s="84"/>
      <c r="AN1143" s="79"/>
      <c r="AO1143" s="84"/>
      <c r="AP1143" s="79"/>
      <c r="AQ1143" s="84"/>
      <c r="AR1143" s="79"/>
      <c r="AS1143" s="79"/>
      <c r="AT1143" s="79"/>
      <c r="AU1143" s="80"/>
      <c r="AV1143" s="79"/>
      <c r="AW1143" s="38"/>
      <c r="AX1143" s="79"/>
      <c r="AY1143" s="38"/>
      <c r="AZ1143" s="79"/>
      <c r="BA1143" s="80"/>
      <c r="BB1143" s="79"/>
      <c r="BC1143" s="80"/>
      <c r="BD1143" s="79"/>
      <c r="BE1143" s="38"/>
      <c r="BF1143" s="74"/>
      <c r="BG1143" s="16"/>
      <c r="BH1143" s="16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</row>
    <row r="1144" ht="15.75" customHeight="1">
      <c r="A1144" s="931" t="s">
        <v>5477</v>
      </c>
      <c r="B1144" s="116"/>
      <c r="C1144" s="116" t="s">
        <v>132</v>
      </c>
      <c r="D1144" s="192" t="s">
        <v>5478</v>
      </c>
      <c r="E1144" s="192" t="s">
        <v>5479</v>
      </c>
      <c r="F1144" s="756" t="s">
        <v>5480</v>
      </c>
      <c r="G1144" s="119"/>
      <c r="H1144" s="119" t="s">
        <v>129</v>
      </c>
      <c r="I1144" s="25" t="s">
        <v>129</v>
      </c>
      <c r="J1144" s="120"/>
      <c r="K1144" s="25"/>
      <c r="L1144" s="25">
        <v>2017.0</v>
      </c>
      <c r="M1144" s="25">
        <f t="shared" si="748"/>
        <v>8</v>
      </c>
      <c r="N1144" s="26">
        <f t="shared" si="749"/>
        <v>1</v>
      </c>
      <c r="O1144" s="27" t="str">
        <f t="shared" si="3"/>
        <v>#N/A</v>
      </c>
      <c r="P1144" s="356"/>
      <c r="Q1144" s="356"/>
      <c r="R1144" s="356"/>
      <c r="S1144" s="356"/>
      <c r="T1144" s="356"/>
      <c r="U1144" s="356"/>
      <c r="V1144" s="30">
        <f t="shared" si="425"/>
        <v>800000</v>
      </c>
      <c r="W1144" s="30"/>
      <c r="X1144" s="597"/>
      <c r="Y1144" s="33">
        <f t="shared" si="751"/>
        <v>0</v>
      </c>
      <c r="Z1144" s="692"/>
      <c r="AA1144" s="665"/>
      <c r="AB1144" s="123"/>
      <c r="AC1144" s="123"/>
      <c r="AD1144" s="227">
        <v>42771.0</v>
      </c>
      <c r="AE1144" s="127">
        <v>800000.0</v>
      </c>
      <c r="AF1144" s="721"/>
      <c r="AG1144" s="127"/>
      <c r="AH1144" s="923"/>
      <c r="AI1144" s="759"/>
      <c r="AJ1144" s="25"/>
      <c r="AK1144" s="165"/>
      <c r="AL1144" s="124"/>
      <c r="AM1144" s="125"/>
      <c r="AN1144" s="124"/>
      <c r="AO1144" s="125"/>
      <c r="AP1144" s="124"/>
      <c r="AQ1144" s="125"/>
      <c r="AR1144" s="124"/>
      <c r="AS1144" s="124"/>
      <c r="AT1144" s="124"/>
      <c r="AU1144" s="137"/>
      <c r="AV1144" s="124"/>
      <c r="AW1144" s="38"/>
      <c r="AX1144" s="124"/>
      <c r="AY1144" s="38"/>
      <c r="AZ1144" s="124"/>
      <c r="BA1144" s="137"/>
      <c r="BB1144" s="124"/>
      <c r="BC1144" s="137"/>
      <c r="BD1144" s="124"/>
      <c r="BE1144" s="38"/>
      <c r="BF1144" s="123"/>
      <c r="BG1144" s="16"/>
      <c r="BH1144" s="16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</row>
    <row r="1145" ht="15.75" customHeight="1">
      <c r="A1145" s="400" t="s">
        <v>5481</v>
      </c>
      <c r="B1145" s="115"/>
      <c r="C1145" s="116" t="s">
        <v>68</v>
      </c>
      <c r="D1145" s="449"/>
      <c r="E1145" s="161" t="s">
        <v>5482</v>
      </c>
      <c r="F1145" s="708" t="s">
        <v>5483</v>
      </c>
      <c r="G1145" s="286"/>
      <c r="H1145" s="119" t="s">
        <v>5484</v>
      </c>
      <c r="I1145" s="25" t="s">
        <v>89</v>
      </c>
      <c r="J1145" s="287"/>
      <c r="K1145" s="123"/>
      <c r="L1145" s="25">
        <v>2016.0</v>
      </c>
      <c r="M1145" s="123"/>
      <c r="N1145" s="123"/>
      <c r="O1145" s="27" t="str">
        <f t="shared" si="3"/>
        <v>#N/A</v>
      </c>
      <c r="P1145" s="55"/>
      <c r="Q1145" s="55"/>
      <c r="R1145" s="55"/>
      <c r="S1145" s="55"/>
      <c r="T1145" s="55"/>
      <c r="U1145" s="55"/>
      <c r="V1145" s="30">
        <f t="shared" si="425"/>
        <v>760000</v>
      </c>
      <c r="W1145" s="30"/>
      <c r="X1145" s="403"/>
      <c r="Y1145" s="403"/>
      <c r="Z1145" s="692"/>
      <c r="AA1145" s="665"/>
      <c r="AB1145" s="123"/>
      <c r="AC1145" s="123"/>
      <c r="AD1145" s="355"/>
      <c r="AE1145" s="123"/>
      <c r="AF1145" s="355"/>
      <c r="AG1145" s="38"/>
      <c r="AH1145" s="123"/>
      <c r="AI1145" s="123"/>
      <c r="AJ1145" s="123"/>
      <c r="AK1145" s="123"/>
      <c r="AL1145" s="123"/>
      <c r="AM1145" s="123"/>
      <c r="AN1145" s="123"/>
      <c r="AO1145" s="123"/>
      <c r="AP1145" s="123"/>
      <c r="AQ1145" s="123"/>
      <c r="AR1145" s="123"/>
      <c r="AS1145" s="123"/>
      <c r="AT1145" s="123"/>
      <c r="AU1145" s="137"/>
      <c r="AV1145" s="123"/>
      <c r="AW1145" s="38"/>
      <c r="AX1145" s="123"/>
      <c r="AY1145" s="38"/>
      <c r="AZ1145" s="404">
        <v>44893.0</v>
      </c>
      <c r="BA1145" s="137">
        <f>4000000*0.19</f>
        <v>760000</v>
      </c>
      <c r="BB1145" s="123"/>
      <c r="BC1145" s="137"/>
      <c r="BD1145" s="123"/>
      <c r="BE1145" s="38"/>
      <c r="BF1145" s="123"/>
      <c r="BG1145" s="16"/>
      <c r="BH1145" s="16"/>
      <c r="BI1145" s="16"/>
      <c r="BJ1145" s="16"/>
      <c r="BK1145" s="16"/>
      <c r="BL1145" s="16"/>
      <c r="BM1145" s="16"/>
      <c r="BN1145" s="16"/>
      <c r="BO1145" s="16"/>
      <c r="BP1145" s="16"/>
      <c r="BQ1145" s="16"/>
      <c r="BR1145" s="16"/>
      <c r="BS1145" s="16"/>
      <c r="BT1145" s="16"/>
      <c r="BU1145" s="16"/>
      <c r="BV1145" s="16"/>
      <c r="BW1145" s="16"/>
      <c r="BX1145" s="16"/>
      <c r="BY1145" s="16"/>
      <c r="BZ1145" s="16"/>
      <c r="CA1145" s="16"/>
      <c r="CB1145" s="16"/>
      <c r="CC1145" s="16"/>
      <c r="CD1145" s="16"/>
      <c r="CE1145" s="16"/>
      <c r="CF1145" s="16"/>
      <c r="CG1145" s="16"/>
      <c r="CH1145" s="16"/>
      <c r="CI1145" s="16"/>
      <c r="CJ1145" s="16"/>
      <c r="CK1145" s="16"/>
      <c r="CL1145" s="16"/>
      <c r="CM1145" s="16"/>
      <c r="CN1145" s="16"/>
      <c r="CO1145" s="16"/>
      <c r="CP1145" s="16"/>
    </row>
    <row r="1146" ht="15.75" customHeight="1">
      <c r="A1146" s="931" t="s">
        <v>5485</v>
      </c>
      <c r="B1146" s="115"/>
      <c r="C1146" s="116" t="s">
        <v>59</v>
      </c>
      <c r="D1146" s="192" t="s">
        <v>5486</v>
      </c>
      <c r="E1146" s="192" t="s">
        <v>5487</v>
      </c>
      <c r="F1146" s="756" t="s">
        <v>5488</v>
      </c>
      <c r="G1146" s="286"/>
      <c r="H1146" s="119" t="s">
        <v>3029</v>
      </c>
      <c r="I1146" s="25" t="s">
        <v>639</v>
      </c>
      <c r="J1146" s="287"/>
      <c r="K1146" s="123"/>
      <c r="L1146" s="25">
        <v>2012.0</v>
      </c>
      <c r="M1146" s="25">
        <f t="shared" ref="M1146:M1147" si="752">year(now()) -L1146</f>
        <v>13</v>
      </c>
      <c r="N1146" s="26">
        <f t="shared" ref="N1146:N1147" si="753">counta(AE1146,AG1146,AI1146,AK1146,AM1146,AO1146,AQ1146,AS1146,AU1146,AW1146,AY1146,BA1146,BC1146)</f>
        <v>2</v>
      </c>
      <c r="O1146" s="27" t="str">
        <f t="shared" si="3"/>
        <v>#N/A</v>
      </c>
      <c r="P1146" s="28"/>
      <c r="Q1146" s="28"/>
      <c r="R1146" s="28"/>
      <c r="S1146" s="28"/>
      <c r="T1146" s="29">
        <f t="shared" ref="T1146:T1147" si="754">V1146/M1146</f>
        <v>57692.30769</v>
      </c>
      <c r="U1146" s="28"/>
      <c r="V1146" s="30">
        <f t="shared" si="425"/>
        <v>750000</v>
      </c>
      <c r="W1146" s="30"/>
      <c r="X1146" s="403"/>
      <c r="Y1146" s="33">
        <f t="shared" ref="Y1146:Y1147" si="755">(max(AE1146,AG1146,AI1146,AK1146,AM1146,AO1146,AQ1146,AS1146,AU1146,AW1146,AY1146,BA1146,BC1146)/min(AE1146,AG1146,AI1146,AK1146))^(1/M1146)-1</f>
        <v>0.08092316102</v>
      </c>
      <c r="Z1146" s="692"/>
      <c r="AA1146" s="665"/>
      <c r="AB1146" s="123"/>
      <c r="AC1146" s="123"/>
      <c r="AD1146" s="227">
        <v>41512.0</v>
      </c>
      <c r="AE1146" s="127">
        <v>200000.0</v>
      </c>
      <c r="AF1146" s="320">
        <v>42121.0</v>
      </c>
      <c r="AG1146" s="127">
        <v>550000.0</v>
      </c>
      <c r="AH1146" s="123"/>
      <c r="AI1146" s="759"/>
      <c r="AJ1146" s="124"/>
      <c r="AK1146" s="125"/>
      <c r="AL1146" s="124"/>
      <c r="AM1146" s="125"/>
      <c r="AN1146" s="124"/>
      <c r="AO1146" s="125"/>
      <c r="AP1146" s="124"/>
      <c r="AQ1146" s="125"/>
      <c r="AR1146" s="124"/>
      <c r="AS1146" s="124"/>
      <c r="AT1146" s="124"/>
      <c r="AU1146" s="137"/>
      <c r="AV1146" s="124"/>
      <c r="AW1146" s="38"/>
      <c r="AX1146" s="124"/>
      <c r="AY1146" s="38"/>
      <c r="AZ1146" s="124"/>
      <c r="BA1146" s="137"/>
      <c r="BB1146" s="124"/>
      <c r="BC1146" s="137"/>
      <c r="BD1146" s="124"/>
      <c r="BE1146" s="38"/>
      <c r="BF1146" s="123"/>
      <c r="BG1146" s="16"/>
      <c r="BH1146" s="16"/>
      <c r="BI1146" s="16"/>
      <c r="BJ1146" s="16"/>
      <c r="BK1146" s="16"/>
      <c r="BL1146" s="16"/>
      <c r="BM1146" s="16"/>
      <c r="BN1146" s="16"/>
      <c r="BO1146" s="16"/>
      <c r="BP1146" s="16"/>
      <c r="BQ1146" s="16"/>
      <c r="BR1146" s="16"/>
      <c r="BS1146" s="16"/>
      <c r="BT1146" s="16"/>
      <c r="BU1146" s="16"/>
      <c r="BV1146" s="16"/>
      <c r="BW1146" s="16"/>
      <c r="BX1146" s="16"/>
      <c r="BY1146" s="16"/>
      <c r="BZ1146" s="16"/>
      <c r="CA1146" s="16"/>
      <c r="CB1146" s="16"/>
      <c r="CC1146" s="16"/>
      <c r="CD1146" s="16"/>
      <c r="CE1146" s="16"/>
      <c r="CF1146" s="16"/>
      <c r="CG1146" s="16"/>
      <c r="CH1146" s="16"/>
      <c r="CI1146" s="16"/>
      <c r="CJ1146" s="16"/>
      <c r="CK1146" s="16"/>
      <c r="CL1146" s="16"/>
      <c r="CM1146" s="16"/>
      <c r="CN1146" s="16"/>
      <c r="CO1146" s="16"/>
      <c r="CP1146" s="16"/>
    </row>
    <row r="1147" ht="15.75" customHeight="1">
      <c r="A1147" s="442" t="s">
        <v>5489</v>
      </c>
      <c r="B1147" s="16" t="s">
        <v>944</v>
      </c>
      <c r="C1147" s="16" t="s">
        <v>132</v>
      </c>
      <c r="D1147" s="184" t="s">
        <v>5490</v>
      </c>
      <c r="E1147" s="184" t="s">
        <v>5491</v>
      </c>
      <c r="F1147" s="185" t="s">
        <v>5492</v>
      </c>
      <c r="G1147" s="317" t="s">
        <v>5493</v>
      </c>
      <c r="H1147" s="317" t="s">
        <v>128</v>
      </c>
      <c r="I1147" s="36" t="s">
        <v>129</v>
      </c>
      <c r="J1147" s="237" t="s">
        <v>2294</v>
      </c>
      <c r="K1147" s="36">
        <v>2.0</v>
      </c>
      <c r="L1147" s="23">
        <v>2016.0</v>
      </c>
      <c r="M1147" s="25">
        <f t="shared" si="752"/>
        <v>9</v>
      </c>
      <c r="N1147" s="26">
        <f t="shared" si="753"/>
        <v>1</v>
      </c>
      <c r="O1147" s="27" t="str">
        <f t="shared" si="3"/>
        <v>#N/A</v>
      </c>
      <c r="P1147" s="28"/>
      <c r="Q1147" s="28"/>
      <c r="R1147" s="28"/>
      <c r="S1147" s="28"/>
      <c r="T1147" s="29">
        <f t="shared" si="754"/>
        <v>83333.33333</v>
      </c>
      <c r="U1147" s="28"/>
      <c r="V1147" s="30">
        <f t="shared" si="425"/>
        <v>750000</v>
      </c>
      <c r="W1147" s="30"/>
      <c r="X1147" s="847"/>
      <c r="Y1147" s="33">
        <f t="shared" si="755"/>
        <v>0</v>
      </c>
      <c r="Z1147" s="692"/>
      <c r="AA1147" s="665"/>
      <c r="AB1147" s="36"/>
      <c r="AC1147" s="886"/>
      <c r="AD1147" s="228" t="str">
        <f>HYPERLINK("https://www.crunchbase.com/funding_round/bixby-pre-seed--0e2ac751"," Jan 1, 2018")</f>
        <v> Jan 1, 2018</v>
      </c>
      <c r="AE1147" s="38">
        <v>750000.0</v>
      </c>
      <c r="AF1147" s="39"/>
      <c r="AG1147" s="46"/>
      <c r="AH1147" s="36"/>
      <c r="AI1147" s="159"/>
      <c r="AJ1147" s="44"/>
      <c r="AK1147" s="46"/>
      <c r="AL1147" s="44"/>
      <c r="AM1147" s="46"/>
      <c r="AN1147" s="44"/>
      <c r="AO1147" s="46"/>
      <c r="AP1147" s="44"/>
      <c r="AQ1147" s="46"/>
      <c r="AR1147" s="44"/>
      <c r="AS1147" s="44"/>
      <c r="AT1147" s="44"/>
      <c r="AU1147" s="45"/>
      <c r="AV1147" s="44"/>
      <c r="AW1147" s="38"/>
      <c r="AX1147" s="44"/>
      <c r="AY1147" s="38"/>
      <c r="AZ1147" s="44"/>
      <c r="BA1147" s="45"/>
      <c r="BB1147" s="44"/>
      <c r="BC1147" s="45"/>
      <c r="BD1147" s="44"/>
      <c r="BE1147" s="38"/>
      <c r="BF1147" s="36"/>
      <c r="BG1147" s="16"/>
      <c r="BH1147" s="16"/>
      <c r="BI1147" s="16"/>
      <c r="BJ1147" s="16"/>
      <c r="BK1147" s="16"/>
      <c r="BL1147" s="16"/>
      <c r="BM1147" s="16"/>
      <c r="BN1147" s="16"/>
      <c r="BO1147" s="16"/>
      <c r="BP1147" s="16"/>
      <c r="BQ1147" s="16"/>
      <c r="BR1147" s="16"/>
      <c r="BS1147" s="16"/>
      <c r="BT1147" s="16"/>
      <c r="BU1147" s="16"/>
      <c r="BV1147" s="16"/>
      <c r="BW1147" s="16"/>
      <c r="BX1147" s="16"/>
      <c r="BY1147" s="16"/>
      <c r="BZ1147" s="16"/>
      <c r="CA1147" s="16"/>
      <c r="CB1147" s="16"/>
      <c r="CC1147" s="16"/>
      <c r="CD1147" s="16"/>
      <c r="CE1147" s="16"/>
      <c r="CF1147" s="16"/>
      <c r="CG1147" s="16"/>
      <c r="CH1147" s="16"/>
      <c r="CI1147" s="16"/>
      <c r="CJ1147" s="16"/>
      <c r="CK1147" s="16"/>
      <c r="CL1147" s="16"/>
      <c r="CM1147" s="16"/>
      <c r="CN1147" s="16"/>
      <c r="CO1147" s="16"/>
      <c r="CP1147" s="16"/>
    </row>
    <row r="1148" ht="15.75" customHeight="1">
      <c r="A1148" s="400" t="s">
        <v>5494</v>
      </c>
      <c r="B1148" s="115"/>
      <c r="C1148" s="116" t="s">
        <v>132</v>
      </c>
      <c r="D1148" s="161" t="s">
        <v>5495</v>
      </c>
      <c r="E1148" s="401" t="s">
        <v>5496</v>
      </c>
      <c r="F1148" s="402" t="s">
        <v>5497</v>
      </c>
      <c r="G1148" s="286"/>
      <c r="H1148" s="119" t="s">
        <v>328</v>
      </c>
      <c r="I1148" s="25" t="s">
        <v>329</v>
      </c>
      <c r="J1148" s="287"/>
      <c r="K1148" s="123"/>
      <c r="L1148" s="25">
        <v>2021.0</v>
      </c>
      <c r="M1148" s="123"/>
      <c r="N1148" s="123"/>
      <c r="O1148" s="27" t="str">
        <f t="shared" si="3"/>
        <v>#N/A</v>
      </c>
      <c r="P1148" s="28" t="str">
        <f>RANK(T1148,$T$2:$T$333)</f>
        <v>#N/A</v>
      </c>
      <c r="Q1148" s="28" t="str">
        <f>rank(V1148,$V$2:$V$1095)</f>
        <v>#N/A</v>
      </c>
      <c r="R1148" s="55"/>
      <c r="S1148" s="55"/>
      <c r="T1148" s="55"/>
      <c r="U1148" s="55"/>
      <c r="V1148" s="30">
        <f t="shared" si="425"/>
        <v>747500</v>
      </c>
      <c r="W1148" s="30"/>
      <c r="X1148" s="403"/>
      <c r="Y1148" s="403"/>
      <c r="Z1148" s="692"/>
      <c r="AA1148" s="665"/>
      <c r="AB1148" s="123"/>
      <c r="AC1148" s="123"/>
      <c r="AD1148" s="404">
        <v>44858.0</v>
      </c>
      <c r="AE1148" s="170">
        <f>650000*1.15</f>
        <v>747500</v>
      </c>
      <c r="AF1148" s="453"/>
      <c r="AG1148" s="25"/>
      <c r="AH1148" s="123"/>
      <c r="AI1148" s="123"/>
      <c r="AJ1148" s="123"/>
      <c r="AK1148" s="123"/>
      <c r="AL1148" s="123"/>
      <c r="AM1148" s="123"/>
      <c r="AN1148" s="123"/>
      <c r="AO1148" s="123"/>
      <c r="AP1148" s="123"/>
      <c r="AQ1148" s="123"/>
      <c r="AR1148" s="123"/>
      <c r="AS1148" s="123"/>
      <c r="AT1148" s="123"/>
      <c r="AU1148" s="137"/>
      <c r="AV1148" s="123"/>
      <c r="AW1148" s="38"/>
      <c r="AX1148" s="123"/>
      <c r="AY1148" s="38"/>
      <c r="AZ1148" s="123"/>
      <c r="BA1148" s="137"/>
      <c r="BB1148" s="123"/>
      <c r="BC1148" s="137"/>
      <c r="BD1148" s="123"/>
      <c r="BE1148" s="38"/>
      <c r="BF1148" s="123"/>
      <c r="BG1148" s="16"/>
      <c r="BH1148" s="16"/>
      <c r="BI1148" s="16"/>
      <c r="BJ1148" s="16"/>
      <c r="BK1148" s="16"/>
      <c r="BL1148" s="16"/>
      <c r="BM1148" s="16"/>
      <c r="BN1148" s="16"/>
      <c r="BO1148" s="16"/>
      <c r="BP1148" s="16"/>
      <c r="BQ1148" s="16"/>
      <c r="BR1148" s="16"/>
      <c r="BS1148" s="16"/>
      <c r="BT1148" s="16"/>
      <c r="BU1148" s="16"/>
      <c r="BV1148" s="16"/>
      <c r="BW1148" s="16"/>
      <c r="BX1148" s="16"/>
      <c r="BY1148" s="16"/>
      <c r="BZ1148" s="16"/>
      <c r="CA1148" s="16"/>
      <c r="CB1148" s="16"/>
      <c r="CC1148" s="16"/>
      <c r="CD1148" s="16"/>
      <c r="CE1148" s="16"/>
      <c r="CF1148" s="16"/>
      <c r="CG1148" s="16"/>
      <c r="CH1148" s="16"/>
      <c r="CI1148" s="16"/>
      <c r="CJ1148" s="16"/>
      <c r="CK1148" s="16"/>
      <c r="CL1148" s="16"/>
      <c r="CM1148" s="16"/>
      <c r="CN1148" s="16"/>
      <c r="CO1148" s="16"/>
      <c r="CP1148" s="16"/>
    </row>
    <row r="1149" ht="15.75" customHeight="1">
      <c r="A1149" s="400" t="s">
        <v>5498</v>
      </c>
      <c r="B1149" s="115"/>
      <c r="C1149" s="116" t="s">
        <v>68</v>
      </c>
      <c r="D1149" s="161" t="s">
        <v>5499</v>
      </c>
      <c r="E1149" s="161" t="s">
        <v>5500</v>
      </c>
      <c r="F1149" s="402" t="s">
        <v>5501</v>
      </c>
      <c r="G1149" s="119" t="s">
        <v>5502</v>
      </c>
      <c r="H1149" s="119" t="s">
        <v>5503</v>
      </c>
      <c r="I1149" s="25" t="s">
        <v>518</v>
      </c>
      <c r="J1149" s="120" t="s">
        <v>5504</v>
      </c>
      <c r="K1149" s="25">
        <v>2.0</v>
      </c>
      <c r="L1149" s="25">
        <v>2010.0</v>
      </c>
      <c r="M1149" s="123"/>
      <c r="N1149" s="123"/>
      <c r="O1149" s="27" t="str">
        <f t="shared" si="3"/>
        <v>#N/A</v>
      </c>
      <c r="P1149" s="55"/>
      <c r="Q1149" s="55"/>
      <c r="R1149" s="55"/>
      <c r="S1149" s="55"/>
      <c r="T1149" s="55"/>
      <c r="U1149" s="55"/>
      <c r="V1149" s="30">
        <f t="shared" si="425"/>
        <v>743300</v>
      </c>
      <c r="W1149" s="31">
        <v>2600000.0</v>
      </c>
      <c r="X1149" s="403"/>
      <c r="Y1149" s="403"/>
      <c r="Z1149" s="692"/>
      <c r="AA1149" s="665"/>
      <c r="AB1149" s="123"/>
      <c r="AC1149" s="123"/>
      <c r="AD1149" s="452"/>
      <c r="AE1149" s="125"/>
      <c r="AF1149" s="404">
        <v>42482.0</v>
      </c>
      <c r="AG1149" s="127">
        <v>623300.0</v>
      </c>
      <c r="AH1149" s="123"/>
      <c r="AI1149" s="128"/>
      <c r="AJ1149" s="123"/>
      <c r="AK1149" s="123"/>
      <c r="AL1149" s="123"/>
      <c r="AM1149" s="125"/>
      <c r="AN1149" s="123"/>
      <c r="AO1149" s="123"/>
      <c r="AP1149" s="881"/>
      <c r="AQ1149" s="123"/>
      <c r="AR1149" s="123"/>
      <c r="AS1149" s="123"/>
      <c r="AT1149" s="123"/>
      <c r="AU1149" s="137"/>
      <c r="AV1149" s="123"/>
      <c r="AW1149" s="38"/>
      <c r="AX1149" s="123"/>
      <c r="AY1149" s="38"/>
      <c r="AZ1149" s="404">
        <v>42634.0</v>
      </c>
      <c r="BA1149" s="170">
        <v>120000.0</v>
      </c>
      <c r="BB1149" s="123"/>
      <c r="BC1149" s="137"/>
      <c r="BD1149" s="123"/>
      <c r="BE1149" s="38"/>
      <c r="BF1149" s="123"/>
      <c r="BG1149" s="16"/>
      <c r="BH1149" s="16"/>
      <c r="BI1149" s="16"/>
      <c r="BJ1149" s="16"/>
      <c r="BK1149" s="16"/>
      <c r="BL1149" s="16"/>
      <c r="BM1149" s="16"/>
      <c r="BN1149" s="16"/>
      <c r="BO1149" s="16"/>
      <c r="BP1149" s="16"/>
      <c r="BQ1149" s="16"/>
      <c r="BR1149" s="16"/>
      <c r="BS1149" s="16"/>
      <c r="BT1149" s="16"/>
      <c r="BU1149" s="16"/>
      <c r="BV1149" s="16"/>
      <c r="BW1149" s="16"/>
      <c r="BX1149" s="16"/>
      <c r="BY1149" s="16"/>
      <c r="BZ1149" s="16"/>
      <c r="CA1149" s="16"/>
      <c r="CB1149" s="16"/>
      <c r="CC1149" s="16"/>
      <c r="CD1149" s="16"/>
      <c r="CE1149" s="16"/>
      <c r="CF1149" s="16"/>
      <c r="CG1149" s="16"/>
      <c r="CH1149" s="16"/>
      <c r="CI1149" s="16"/>
      <c r="CJ1149" s="16"/>
      <c r="CK1149" s="16"/>
      <c r="CL1149" s="16"/>
      <c r="CM1149" s="16"/>
      <c r="CN1149" s="16"/>
      <c r="CO1149" s="16"/>
      <c r="CP1149" s="16"/>
    </row>
    <row r="1150" ht="15.75" customHeight="1">
      <c r="A1150" s="442" t="s">
        <v>5505</v>
      </c>
      <c r="B1150" s="68" t="s">
        <v>122</v>
      </c>
      <c r="C1150" s="69" t="s">
        <v>84</v>
      </c>
      <c r="D1150" s="184" t="s">
        <v>5506</v>
      </c>
      <c r="E1150" s="184" t="s">
        <v>5507</v>
      </c>
      <c r="F1150" s="652" t="s">
        <v>5508</v>
      </c>
      <c r="G1150" s="186" t="s">
        <v>5509</v>
      </c>
      <c r="H1150" s="186" t="s">
        <v>328</v>
      </c>
      <c r="I1150" s="74" t="s">
        <v>328</v>
      </c>
      <c r="J1150" s="155" t="s">
        <v>5510</v>
      </c>
      <c r="K1150" s="74">
        <v>2.0</v>
      </c>
      <c r="L1150" s="26">
        <v>2016.0</v>
      </c>
      <c r="M1150" s="25">
        <f t="shared" ref="M1150:M1157" si="756">year(now()) -L1150</f>
        <v>9</v>
      </c>
      <c r="N1150" s="26">
        <f t="shared" ref="N1150:N1157" si="757">counta(AE1150,AG1150,AI1150,AK1150,AM1150,AO1150,AQ1150,AS1150,AU1150,AW1150,AY1150,BA1150,BC1150)</f>
        <v>2</v>
      </c>
      <c r="O1150" s="27" t="str">
        <f t="shared" si="3"/>
        <v>#N/A</v>
      </c>
      <c r="P1150" s="28"/>
      <c r="Q1150" s="28"/>
      <c r="R1150" s="28"/>
      <c r="S1150" s="28"/>
      <c r="T1150" s="29">
        <f t="shared" ref="T1150:T1156" si="758">V1150/M1150</f>
        <v>82031.11111</v>
      </c>
      <c r="U1150" s="28"/>
      <c r="V1150" s="30">
        <f t="shared" si="425"/>
        <v>738280</v>
      </c>
      <c r="W1150" s="30"/>
      <c r="X1150" s="32"/>
      <c r="Y1150" s="33" t="str">
        <f t="shared" ref="Y1150:Y1157" si="759">(max(AE1150,AG1150,AI1150,AK1150,AM1150,AO1150,AQ1150,AS1150,AU1150,AW1150,AY1150,BA1150,BC1150)/min(AE1150,AG1150,AI1150,AK1150))^(1/M1150)-1</f>
        <v>#DIV/0!</v>
      </c>
      <c r="Z1150" s="692"/>
      <c r="AA1150" s="665"/>
      <c r="AB1150" s="74" t="s">
        <v>3073</v>
      </c>
      <c r="AC1150" s="74"/>
      <c r="AD1150" s="181" t="str">
        <f>HYPERLINK("https://www.crunchbase.com/organization/spce","Sep 10, 2018")</f>
        <v>Sep 10, 2018</v>
      </c>
      <c r="AE1150" s="76">
        <v>0.0</v>
      </c>
      <c r="AF1150" s="175" t="str">
        <f>HYPERLINK("https://angel.co/company/liveinspce/funding","Sep, 2018")</f>
        <v>Sep, 2018</v>
      </c>
      <c r="AG1150" s="76">
        <v>738280.0</v>
      </c>
      <c r="AH1150" s="74"/>
      <c r="AI1150" s="78"/>
      <c r="AJ1150" s="279" t="s">
        <v>5511</v>
      </c>
      <c r="AK1150" s="84"/>
      <c r="AL1150" s="79"/>
      <c r="AM1150" s="84"/>
      <c r="AN1150" s="79"/>
      <c r="AO1150" s="84"/>
      <c r="AP1150" s="79"/>
      <c r="AQ1150" s="84"/>
      <c r="AR1150" s="79"/>
      <c r="AS1150" s="79"/>
      <c r="AT1150" s="79"/>
      <c r="AU1150" s="80"/>
      <c r="AV1150" s="79"/>
      <c r="AW1150" s="38"/>
      <c r="AX1150" s="79"/>
      <c r="AY1150" s="38"/>
      <c r="AZ1150" s="79"/>
      <c r="BA1150" s="80"/>
      <c r="BB1150" s="79"/>
      <c r="BC1150" s="80"/>
      <c r="BD1150" s="79"/>
      <c r="BE1150" s="38"/>
      <c r="BF1150" s="74"/>
      <c r="BG1150" s="16"/>
      <c r="BH1150" s="16"/>
      <c r="BI1150" s="16"/>
      <c r="BJ1150" s="16"/>
      <c r="BK1150" s="16"/>
      <c r="BL1150" s="16"/>
      <c r="BM1150" s="16"/>
      <c r="BN1150" s="16"/>
      <c r="BO1150" s="16"/>
      <c r="BP1150" s="16"/>
      <c r="BQ1150" s="16"/>
      <c r="BR1150" s="16"/>
      <c r="BS1150" s="16"/>
      <c r="BT1150" s="16"/>
      <c r="BU1150" s="16"/>
      <c r="BV1150" s="16"/>
      <c r="BW1150" s="16"/>
      <c r="BX1150" s="16"/>
      <c r="BY1150" s="16"/>
      <c r="BZ1150" s="16"/>
      <c r="CA1150" s="16"/>
      <c r="CB1150" s="16"/>
      <c r="CC1150" s="16"/>
      <c r="CD1150" s="16"/>
      <c r="CE1150" s="16"/>
      <c r="CF1150" s="16"/>
      <c r="CG1150" s="16"/>
      <c r="CH1150" s="16"/>
      <c r="CI1150" s="16"/>
      <c r="CJ1150" s="16"/>
      <c r="CK1150" s="16"/>
      <c r="CL1150" s="16"/>
      <c r="CM1150" s="16"/>
      <c r="CN1150" s="16"/>
      <c r="CO1150" s="16"/>
      <c r="CP1150" s="16"/>
    </row>
    <row r="1151" ht="15.75" customHeight="1">
      <c r="A1151" s="21" t="s">
        <v>5512</v>
      </c>
      <c r="B1151" s="68"/>
      <c r="C1151" s="69" t="s">
        <v>84</v>
      </c>
      <c r="D1151" s="337"/>
      <c r="E1151" s="138" t="s">
        <v>5513</v>
      </c>
      <c r="F1151" s="1515" t="s">
        <v>5514</v>
      </c>
      <c r="G1151" s="54" t="s">
        <v>5515</v>
      </c>
      <c r="H1151" s="1311" t="s">
        <v>2095</v>
      </c>
      <c r="I1151" s="26" t="s">
        <v>748</v>
      </c>
      <c r="J1151" s="72" t="s">
        <v>5516</v>
      </c>
      <c r="K1151" s="26">
        <v>1.0</v>
      </c>
      <c r="L1151" s="26">
        <v>2016.0</v>
      </c>
      <c r="M1151" s="25">
        <f t="shared" si="756"/>
        <v>9</v>
      </c>
      <c r="N1151" s="26">
        <f t="shared" si="757"/>
        <v>1</v>
      </c>
      <c r="O1151" s="27" t="str">
        <f t="shared" si="3"/>
        <v>#N/A</v>
      </c>
      <c r="P1151" s="28"/>
      <c r="Q1151" s="28"/>
      <c r="R1151" s="28"/>
      <c r="S1151" s="28"/>
      <c r="T1151" s="29">
        <f t="shared" si="758"/>
        <v>81202.66667</v>
      </c>
      <c r="U1151" s="28"/>
      <c r="V1151" s="30">
        <f t="shared" si="425"/>
        <v>730824</v>
      </c>
      <c r="W1151" s="30"/>
      <c r="X1151" s="73"/>
      <c r="Y1151" s="33">
        <f t="shared" si="759"/>
        <v>0</v>
      </c>
      <c r="Z1151" s="692"/>
      <c r="AA1151" s="665"/>
      <c r="AB1151" s="74"/>
      <c r="AC1151" s="74"/>
      <c r="AD1151" s="79"/>
      <c r="AE1151" s="84"/>
      <c r="AF1151" s="338"/>
      <c r="AG1151" s="76"/>
      <c r="AH1151" s="859" t="str">
        <f>HYPERLINK("https://www.crunchbase.com/funding_round/unite-living-series-unknown--151902a9","Mar 3, 2019")</f>
        <v>Mar 3, 2019</v>
      </c>
      <c r="AI1151" s="435">
        <v>730824.0</v>
      </c>
      <c r="AJ1151" s="279"/>
      <c r="AK1151" s="76"/>
      <c r="AL1151" s="279"/>
      <c r="AM1151" s="76"/>
      <c r="AN1151" s="279"/>
      <c r="AO1151" s="76"/>
      <c r="AP1151" s="79"/>
      <c r="AQ1151" s="84"/>
      <c r="AR1151" s="79"/>
      <c r="AS1151" s="79"/>
      <c r="AT1151" s="79"/>
      <c r="AU1151" s="80"/>
      <c r="AV1151" s="79"/>
      <c r="AW1151" s="38"/>
      <c r="AX1151" s="79"/>
      <c r="AY1151" s="38"/>
      <c r="AZ1151" s="79"/>
      <c r="BA1151" s="80"/>
      <c r="BB1151" s="79"/>
      <c r="BC1151" s="80"/>
      <c r="BD1151" s="79"/>
      <c r="BE1151" s="38"/>
      <c r="BF1151" s="74"/>
      <c r="BG1151" s="16"/>
      <c r="BH1151" s="16"/>
      <c r="BI1151" s="16"/>
      <c r="BJ1151" s="16"/>
      <c r="BK1151" s="16"/>
      <c r="BL1151" s="16"/>
      <c r="BM1151" s="16"/>
      <c r="BN1151" s="16"/>
      <c r="BO1151" s="16"/>
      <c r="BP1151" s="16"/>
      <c r="BQ1151" s="16"/>
      <c r="BR1151" s="16"/>
      <c r="BS1151" s="16"/>
      <c r="BT1151" s="16"/>
      <c r="BU1151" s="16"/>
      <c r="BV1151" s="16"/>
      <c r="BW1151" s="16"/>
      <c r="BX1151" s="16"/>
      <c r="BY1151" s="16"/>
      <c r="BZ1151" s="16"/>
      <c r="CA1151" s="16"/>
      <c r="CB1151" s="16"/>
      <c r="CC1151" s="16"/>
      <c r="CD1151" s="16"/>
      <c r="CE1151" s="16"/>
      <c r="CF1151" s="16"/>
      <c r="CG1151" s="16"/>
      <c r="CH1151" s="16"/>
      <c r="CI1151" s="16"/>
      <c r="CJ1151" s="16"/>
      <c r="CK1151" s="16"/>
      <c r="CL1151" s="16"/>
      <c r="CM1151" s="16"/>
      <c r="CN1151" s="16"/>
      <c r="CO1151" s="16"/>
      <c r="CP1151" s="16"/>
    </row>
    <row r="1152" ht="15.75" customHeight="1">
      <c r="A1152" s="1162" t="s">
        <v>5517</v>
      </c>
      <c r="B1152" s="16"/>
      <c r="C1152" s="17" t="s">
        <v>123</v>
      </c>
      <c r="D1152" s="236" t="s">
        <v>5518</v>
      </c>
      <c r="E1152" s="18" t="s">
        <v>5519</v>
      </c>
      <c r="F1152" s="20" t="s">
        <v>5520</v>
      </c>
      <c r="G1152" s="317"/>
      <c r="H1152" s="22" t="s">
        <v>401</v>
      </c>
      <c r="I1152" s="23" t="s">
        <v>65</v>
      </c>
      <c r="J1152" s="237"/>
      <c r="K1152" s="74"/>
      <c r="L1152" s="23">
        <v>2015.0</v>
      </c>
      <c r="M1152" s="25">
        <f t="shared" si="756"/>
        <v>10</v>
      </c>
      <c r="N1152" s="26">
        <f t="shared" si="757"/>
        <v>1</v>
      </c>
      <c r="O1152" s="27" t="str">
        <f t="shared" si="3"/>
        <v>#N/A</v>
      </c>
      <c r="P1152" s="28"/>
      <c r="Q1152" s="28"/>
      <c r="R1152" s="28"/>
      <c r="S1152" s="28"/>
      <c r="T1152" s="29">
        <f t="shared" si="758"/>
        <v>71600</v>
      </c>
      <c r="U1152" s="28"/>
      <c r="V1152" s="30">
        <f t="shared" si="425"/>
        <v>716000</v>
      </c>
      <c r="W1152" s="30"/>
      <c r="X1152" s="32"/>
      <c r="Y1152" s="33">
        <f t="shared" si="759"/>
        <v>0</v>
      </c>
      <c r="Z1152" s="692"/>
      <c r="AA1152" s="665"/>
      <c r="AB1152" s="36"/>
      <c r="AC1152" s="36"/>
      <c r="AD1152" s="44"/>
      <c r="AE1152" s="46"/>
      <c r="AF1152" s="914">
        <v>42831.0</v>
      </c>
      <c r="AG1152" s="1141">
        <v>716000.0</v>
      </c>
      <c r="AH1152" s="36"/>
      <c r="AI1152" s="159"/>
      <c r="AJ1152" s="37"/>
      <c r="AK1152" s="38"/>
      <c r="AL1152" s="44"/>
      <c r="AM1152" s="38"/>
      <c r="AN1152" s="44"/>
      <c r="AO1152" s="46"/>
      <c r="AP1152" s="44"/>
      <c r="AQ1152" s="46"/>
      <c r="AR1152" s="44"/>
      <c r="AS1152" s="44"/>
      <c r="AT1152" s="44"/>
      <c r="AU1152" s="45"/>
      <c r="AV1152" s="44"/>
      <c r="AW1152" s="38"/>
      <c r="AX1152" s="44"/>
      <c r="AY1152" s="38"/>
      <c r="AZ1152" s="44"/>
      <c r="BA1152" s="45"/>
      <c r="BB1152" s="44"/>
      <c r="BC1152" s="45"/>
      <c r="BD1152" s="44"/>
      <c r="BE1152" s="38"/>
      <c r="BF1152" s="36"/>
      <c r="BG1152" s="16"/>
      <c r="BH1152" s="16"/>
      <c r="BI1152" s="16"/>
      <c r="BJ1152" s="16"/>
      <c r="BK1152" s="16"/>
      <c r="BL1152" s="16"/>
      <c r="BM1152" s="16"/>
      <c r="BN1152" s="16"/>
      <c r="BO1152" s="16"/>
      <c r="BP1152" s="16"/>
      <c r="BQ1152" s="16"/>
      <c r="BR1152" s="16"/>
      <c r="BS1152" s="16"/>
      <c r="BT1152" s="16"/>
      <c r="BU1152" s="16"/>
      <c r="BV1152" s="16"/>
      <c r="BW1152" s="16"/>
      <c r="BX1152" s="16"/>
      <c r="BY1152" s="16"/>
      <c r="BZ1152" s="16"/>
      <c r="CA1152" s="16"/>
      <c r="CB1152" s="16"/>
      <c r="CC1152" s="16"/>
      <c r="CD1152" s="16"/>
      <c r="CE1152" s="16"/>
      <c r="CF1152" s="16"/>
      <c r="CG1152" s="16"/>
      <c r="CH1152" s="16"/>
      <c r="CI1152" s="16"/>
      <c r="CJ1152" s="16"/>
      <c r="CK1152" s="16"/>
      <c r="CL1152" s="16"/>
      <c r="CM1152" s="16"/>
      <c r="CN1152" s="16"/>
      <c r="CO1152" s="16"/>
      <c r="CP1152" s="16"/>
    </row>
    <row r="1153" ht="15.75" customHeight="1">
      <c r="A1153" s="860" t="s">
        <v>5521</v>
      </c>
      <c r="B1153" s="68"/>
      <c r="C1153" s="69" t="s">
        <v>276</v>
      </c>
      <c r="D1153" s="192" t="s">
        <v>5522</v>
      </c>
      <c r="E1153" s="192" t="s">
        <v>5523</v>
      </c>
      <c r="F1153" s="118" t="s">
        <v>5524</v>
      </c>
      <c r="G1153" s="71"/>
      <c r="H1153" s="71" t="s">
        <v>1417</v>
      </c>
      <c r="I1153" s="26" t="s">
        <v>65</v>
      </c>
      <c r="J1153" s="72"/>
      <c r="K1153" s="26"/>
      <c r="L1153" s="142">
        <v>2011.0</v>
      </c>
      <c r="M1153" s="25">
        <f t="shared" si="756"/>
        <v>14</v>
      </c>
      <c r="N1153" s="26">
        <f t="shared" si="757"/>
        <v>1</v>
      </c>
      <c r="O1153" s="27" t="str">
        <f t="shared" si="3"/>
        <v>#N/A</v>
      </c>
      <c r="P1153" s="28"/>
      <c r="Q1153" s="28"/>
      <c r="R1153" s="28"/>
      <c r="S1153" s="28"/>
      <c r="T1153" s="29">
        <f t="shared" si="758"/>
        <v>50000</v>
      </c>
      <c r="U1153" s="28"/>
      <c r="V1153" s="30">
        <f t="shared" si="425"/>
        <v>700000</v>
      </c>
      <c r="W1153" s="30"/>
      <c r="X1153" s="73"/>
      <c r="Y1153" s="33">
        <f t="shared" si="759"/>
        <v>0</v>
      </c>
      <c r="Z1153" s="692"/>
      <c r="AA1153" s="665"/>
      <c r="AB1153" s="74"/>
      <c r="AC1153" s="74"/>
      <c r="AD1153" s="79"/>
      <c r="AE1153" s="84"/>
      <c r="AF1153" s="320">
        <v>42754.0</v>
      </c>
      <c r="AG1153" s="76">
        <v>700000.0</v>
      </c>
      <c r="AH1153" s="77"/>
      <c r="AI1153" s="78"/>
      <c r="AJ1153" s="1516"/>
      <c r="AK1153" s="84"/>
      <c r="AL1153" s="79"/>
      <c r="AM1153" s="76"/>
      <c r="AN1153" s="79"/>
      <c r="AO1153" s="84"/>
      <c r="AP1153" s="79"/>
      <c r="AQ1153" s="84"/>
      <c r="AR1153" s="79"/>
      <c r="AS1153" s="79"/>
      <c r="AT1153" s="79"/>
      <c r="AU1153" s="80"/>
      <c r="AV1153" s="79"/>
      <c r="AW1153" s="38"/>
      <c r="AX1153" s="79"/>
      <c r="AY1153" s="38"/>
      <c r="AZ1153" s="79"/>
      <c r="BA1153" s="80"/>
      <c r="BB1153" s="79"/>
      <c r="BC1153" s="80"/>
      <c r="BD1153" s="79"/>
      <c r="BE1153" s="38"/>
      <c r="BF1153" s="74"/>
      <c r="BG1153" s="534"/>
      <c r="BH1153" s="534"/>
      <c r="BI1153" s="534"/>
      <c r="BJ1153" s="534"/>
      <c r="BK1153" s="534"/>
      <c r="BL1153" s="534"/>
      <c r="BM1153" s="534"/>
      <c r="BN1153" s="534"/>
      <c r="BO1153" s="534"/>
      <c r="BP1153" s="534"/>
      <c r="BQ1153" s="534"/>
      <c r="BR1153" s="534"/>
      <c r="BS1153" s="534"/>
      <c r="BT1153" s="534"/>
      <c r="BU1153" s="534"/>
      <c r="BV1153" s="534"/>
      <c r="BW1153" s="534"/>
      <c r="BX1153" s="534"/>
      <c r="BY1153" s="534"/>
      <c r="BZ1153" s="534"/>
      <c r="CA1153" s="534"/>
      <c r="CB1153" s="534"/>
      <c r="CC1153" s="534"/>
      <c r="CD1153" s="534"/>
      <c r="CE1153" s="534"/>
      <c r="CF1153" s="534"/>
      <c r="CG1153" s="534"/>
      <c r="CH1153" s="534"/>
      <c r="CI1153" s="534"/>
      <c r="CJ1153" s="534"/>
      <c r="CK1153" s="534"/>
      <c r="CL1153" s="534"/>
      <c r="CM1153" s="534"/>
      <c r="CN1153" s="534"/>
      <c r="CO1153" s="534"/>
      <c r="CP1153" s="534"/>
    </row>
    <row r="1154" ht="15.75" customHeight="1">
      <c r="A1154" s="860" t="s">
        <v>5525</v>
      </c>
      <c r="B1154" s="68"/>
      <c r="C1154" s="69" t="s">
        <v>123</v>
      </c>
      <c r="D1154" s="192" t="s">
        <v>5526</v>
      </c>
      <c r="E1154" s="192" t="s">
        <v>5527</v>
      </c>
      <c r="F1154" s="118" t="s">
        <v>5528</v>
      </c>
      <c r="G1154" s="186"/>
      <c r="H1154" s="71" t="s">
        <v>114</v>
      </c>
      <c r="I1154" s="26" t="s">
        <v>115</v>
      </c>
      <c r="J1154" s="155"/>
      <c r="K1154" s="74"/>
      <c r="L1154" s="26">
        <v>2011.0</v>
      </c>
      <c r="M1154" s="25">
        <f t="shared" si="756"/>
        <v>14</v>
      </c>
      <c r="N1154" s="26">
        <f t="shared" si="757"/>
        <v>1</v>
      </c>
      <c r="O1154" s="27" t="str">
        <f t="shared" si="3"/>
        <v>#N/A</v>
      </c>
      <c r="P1154" s="28"/>
      <c r="Q1154" s="28"/>
      <c r="R1154" s="28"/>
      <c r="S1154" s="28"/>
      <c r="T1154" s="29">
        <f t="shared" si="758"/>
        <v>50000</v>
      </c>
      <c r="U1154" s="28"/>
      <c r="V1154" s="30">
        <f t="shared" si="425"/>
        <v>700000</v>
      </c>
      <c r="W1154" s="30"/>
      <c r="X1154" s="32"/>
      <c r="Y1154" s="33">
        <f t="shared" si="759"/>
        <v>0</v>
      </c>
      <c r="Z1154" s="692"/>
      <c r="AA1154" s="665"/>
      <c r="AB1154" s="74"/>
      <c r="AC1154" s="74"/>
      <c r="AD1154" s="79"/>
      <c r="AE1154" s="84"/>
      <c r="AF1154" s="320">
        <v>41574.0</v>
      </c>
      <c r="AG1154" s="76">
        <v>700000.0</v>
      </c>
      <c r="AH1154" s="74"/>
      <c r="AI1154" s="78"/>
      <c r="AJ1154" s="79"/>
      <c r="AK1154" s="84"/>
      <c r="AL1154" s="79"/>
      <c r="AM1154" s="84"/>
      <c r="AN1154" s="79"/>
      <c r="AO1154" s="84"/>
      <c r="AP1154" s="79"/>
      <c r="AQ1154" s="84"/>
      <c r="AR1154" s="79"/>
      <c r="AS1154" s="79"/>
      <c r="AT1154" s="79"/>
      <c r="AU1154" s="80"/>
      <c r="AV1154" s="79"/>
      <c r="AW1154" s="38"/>
      <c r="AX1154" s="79"/>
      <c r="AY1154" s="38"/>
      <c r="AZ1154" s="79"/>
      <c r="BA1154" s="80"/>
      <c r="BB1154" s="79"/>
      <c r="BC1154" s="80"/>
      <c r="BD1154" s="79"/>
      <c r="BE1154" s="38"/>
      <c r="BF1154" s="74"/>
      <c r="BG1154" s="16"/>
      <c r="BH1154" s="16"/>
      <c r="BI1154" s="16"/>
      <c r="BJ1154" s="16"/>
      <c r="BK1154" s="16"/>
      <c r="BL1154" s="16"/>
      <c r="BM1154" s="16"/>
      <c r="BN1154" s="16"/>
      <c r="BO1154" s="16"/>
      <c r="BP1154" s="16"/>
      <c r="BQ1154" s="16"/>
      <c r="BR1154" s="16"/>
      <c r="BS1154" s="16"/>
      <c r="BT1154" s="16"/>
      <c r="BU1154" s="16"/>
      <c r="BV1154" s="16"/>
      <c r="BW1154" s="16"/>
      <c r="BX1154" s="16"/>
      <c r="BY1154" s="16"/>
      <c r="BZ1154" s="16"/>
      <c r="CA1154" s="16"/>
      <c r="CB1154" s="16"/>
      <c r="CC1154" s="16"/>
      <c r="CD1154" s="16"/>
      <c r="CE1154" s="16"/>
      <c r="CF1154" s="16"/>
      <c r="CG1154" s="16"/>
      <c r="CH1154" s="16"/>
      <c r="CI1154" s="16"/>
      <c r="CJ1154" s="16"/>
      <c r="CK1154" s="16"/>
      <c r="CL1154" s="16"/>
      <c r="CM1154" s="16"/>
      <c r="CN1154" s="16"/>
      <c r="CO1154" s="16"/>
      <c r="CP1154" s="16"/>
    </row>
    <row r="1155" ht="15.75" customHeight="1">
      <c r="A1155" s="1366" t="s">
        <v>5529</v>
      </c>
      <c r="B1155" s="16"/>
      <c r="C1155" s="17" t="s">
        <v>123</v>
      </c>
      <c r="D1155" s="236" t="s">
        <v>5530</v>
      </c>
      <c r="E1155" s="236" t="s">
        <v>5531</v>
      </c>
      <c r="F1155" s="803" t="s">
        <v>5532</v>
      </c>
      <c r="G1155" s="22"/>
      <c r="H1155" s="22" t="s">
        <v>1065</v>
      </c>
      <c r="I1155" s="23" t="s">
        <v>639</v>
      </c>
      <c r="J1155" s="24"/>
      <c r="K1155" s="23"/>
      <c r="L1155" s="23">
        <v>2019.0</v>
      </c>
      <c r="M1155" s="25">
        <f t="shared" si="756"/>
        <v>6</v>
      </c>
      <c r="N1155" s="26">
        <f t="shared" si="757"/>
        <v>1</v>
      </c>
      <c r="O1155" s="27" t="str">
        <f t="shared" si="3"/>
        <v>#N/A</v>
      </c>
      <c r="P1155" s="28"/>
      <c r="Q1155" s="28"/>
      <c r="R1155" s="28"/>
      <c r="S1155" s="28"/>
      <c r="T1155" s="29">
        <f t="shared" si="758"/>
        <v>116666.6667</v>
      </c>
      <c r="U1155" s="28"/>
      <c r="V1155" s="30">
        <f t="shared" si="425"/>
        <v>700000</v>
      </c>
      <c r="W1155" s="30"/>
      <c r="X1155" s="33"/>
      <c r="Y1155" s="33">
        <f t="shared" si="759"/>
        <v>0</v>
      </c>
      <c r="Z1155" s="692"/>
      <c r="AA1155" s="665"/>
      <c r="AB1155" s="36"/>
      <c r="AC1155" s="36"/>
      <c r="AD1155" s="227">
        <v>43891.0</v>
      </c>
      <c r="AE1155" s="38">
        <v>700000.0</v>
      </c>
      <c r="AF1155" s="39"/>
      <c r="AG1155" s="38"/>
      <c r="AH1155" s="226"/>
      <c r="AI1155" s="38"/>
      <c r="AJ1155" s="37"/>
      <c r="AK1155" s="38"/>
      <c r="AL1155" s="37"/>
      <c r="AM1155" s="38"/>
      <c r="AN1155" s="44"/>
      <c r="AO1155" s="46"/>
      <c r="AP1155" s="44"/>
      <c r="AQ1155" s="46"/>
      <c r="AR1155" s="44"/>
      <c r="AS1155" s="44"/>
      <c r="AT1155" s="44"/>
      <c r="AU1155" s="45"/>
      <c r="AV1155" s="44"/>
      <c r="AW1155" s="38"/>
      <c r="AX1155" s="44"/>
      <c r="AY1155" s="38"/>
      <c r="AZ1155" s="44"/>
      <c r="BA1155" s="45"/>
      <c r="BB1155" s="44"/>
      <c r="BC1155" s="45"/>
      <c r="BD1155" s="44"/>
      <c r="BE1155" s="38"/>
      <c r="BF1155" s="36"/>
      <c r="BG1155" s="534"/>
      <c r="BH1155" s="534"/>
      <c r="BI1155" s="534"/>
      <c r="BJ1155" s="534"/>
      <c r="BK1155" s="534"/>
      <c r="BL1155" s="534"/>
      <c r="BM1155" s="534"/>
      <c r="BN1155" s="534"/>
      <c r="BO1155" s="534"/>
      <c r="BP1155" s="534"/>
      <c r="BQ1155" s="534"/>
      <c r="BR1155" s="534"/>
      <c r="BS1155" s="534"/>
      <c r="BT1155" s="534"/>
      <c r="BU1155" s="534"/>
      <c r="BV1155" s="534"/>
      <c r="BW1155" s="534"/>
      <c r="BX1155" s="534"/>
      <c r="BY1155" s="534"/>
      <c r="BZ1155" s="534"/>
      <c r="CA1155" s="534"/>
      <c r="CB1155" s="534"/>
      <c r="CC1155" s="534"/>
      <c r="CD1155" s="534"/>
      <c r="CE1155" s="534"/>
      <c r="CF1155" s="534"/>
      <c r="CG1155" s="534"/>
      <c r="CH1155" s="534"/>
      <c r="CI1155" s="534"/>
      <c r="CJ1155" s="534"/>
      <c r="CK1155" s="534"/>
      <c r="CL1155" s="534"/>
      <c r="CM1155" s="534"/>
      <c r="CN1155" s="534"/>
      <c r="CO1155" s="534"/>
      <c r="CP1155" s="534"/>
    </row>
    <row r="1156" ht="15.75" customHeight="1">
      <c r="A1156" s="860" t="s">
        <v>5533</v>
      </c>
      <c r="B1156" s="115"/>
      <c r="C1156" s="116" t="s">
        <v>84</v>
      </c>
      <c r="D1156" s="161" t="s">
        <v>5534</v>
      </c>
      <c r="E1156" s="161" t="s">
        <v>5535</v>
      </c>
      <c r="F1156" s="118" t="s">
        <v>5536</v>
      </c>
      <c r="G1156" s="543" t="s">
        <v>5537</v>
      </c>
      <c r="H1156" s="119" t="s">
        <v>771</v>
      </c>
      <c r="I1156" s="25" t="s">
        <v>772</v>
      </c>
      <c r="J1156" s="178" t="s">
        <v>1663</v>
      </c>
      <c r="K1156" s="25">
        <v>2.0</v>
      </c>
      <c r="L1156" s="25">
        <v>2018.0</v>
      </c>
      <c r="M1156" s="25">
        <f t="shared" si="756"/>
        <v>7</v>
      </c>
      <c r="N1156" s="26">
        <f t="shared" si="757"/>
        <v>1</v>
      </c>
      <c r="O1156" s="27" t="str">
        <f t="shared" si="3"/>
        <v>#N/A</v>
      </c>
      <c r="P1156" s="28"/>
      <c r="Q1156" s="28"/>
      <c r="R1156" s="28"/>
      <c r="S1156" s="28"/>
      <c r="T1156" s="29">
        <f t="shared" si="758"/>
        <v>100000</v>
      </c>
      <c r="U1156" s="28"/>
      <c r="V1156" s="30">
        <f t="shared" si="425"/>
        <v>700000</v>
      </c>
      <c r="W1156" s="30"/>
      <c r="X1156" s="597"/>
      <c r="Y1156" s="33">
        <f t="shared" si="759"/>
        <v>0</v>
      </c>
      <c r="Z1156" s="692"/>
      <c r="AA1156" s="665"/>
      <c r="AB1156" s="123"/>
      <c r="AC1156" s="123"/>
      <c r="AD1156" s="455" t="str">
        <f>HYPERLINK("https://www.crunchbase.com/funding_round/mevi-pre-seed--3c7833b3" , "Jan 1, 2018")</f>
        <v>Jan 1, 2018</v>
      </c>
      <c r="AE1156" s="76">
        <v>700000.0</v>
      </c>
      <c r="AF1156" s="166"/>
      <c r="AG1156" s="127"/>
      <c r="AH1156" s="881"/>
      <c r="AI1156" s="128"/>
      <c r="AJ1156" s="124"/>
      <c r="AK1156" s="127"/>
      <c r="AL1156" s="169"/>
      <c r="AM1156" s="127"/>
      <c r="AN1156" s="124"/>
      <c r="AO1156" s="125"/>
      <c r="AP1156" s="124"/>
      <c r="AQ1156" s="125"/>
      <c r="AR1156" s="124"/>
      <c r="AS1156" s="124"/>
      <c r="AT1156" s="124"/>
      <c r="AU1156" s="137"/>
      <c r="AV1156" s="124"/>
      <c r="AW1156" s="38"/>
      <c r="AX1156" s="124"/>
      <c r="AY1156" s="38"/>
      <c r="AZ1156" s="124"/>
      <c r="BA1156" s="137"/>
      <c r="BB1156" s="124"/>
      <c r="BC1156" s="137"/>
      <c r="BD1156" s="124"/>
      <c r="BE1156" s="38"/>
      <c r="BF1156" s="123"/>
      <c r="BG1156" s="16"/>
      <c r="BH1156" s="16"/>
      <c r="BI1156" s="16"/>
      <c r="BJ1156" s="16"/>
      <c r="BK1156" s="16"/>
      <c r="BL1156" s="16"/>
      <c r="BM1156" s="16"/>
      <c r="BN1156" s="16"/>
      <c r="BO1156" s="16"/>
      <c r="BP1156" s="16"/>
      <c r="BQ1156" s="16"/>
      <c r="BR1156" s="16"/>
      <c r="BS1156" s="16"/>
      <c r="BT1156" s="16"/>
      <c r="BU1156" s="16"/>
      <c r="BV1156" s="16"/>
      <c r="BW1156" s="16"/>
      <c r="BX1156" s="16"/>
      <c r="BY1156" s="16"/>
      <c r="BZ1156" s="16"/>
      <c r="CA1156" s="16"/>
      <c r="CB1156" s="16"/>
      <c r="CC1156" s="16"/>
      <c r="CD1156" s="16"/>
      <c r="CE1156" s="16"/>
      <c r="CF1156" s="16"/>
      <c r="CG1156" s="16"/>
      <c r="CH1156" s="16"/>
      <c r="CI1156" s="16"/>
      <c r="CJ1156" s="16"/>
      <c r="CK1156" s="16"/>
      <c r="CL1156" s="16"/>
      <c r="CM1156" s="16"/>
      <c r="CN1156" s="16"/>
      <c r="CO1156" s="16"/>
      <c r="CP1156" s="16"/>
    </row>
    <row r="1157" ht="15.75" customHeight="1">
      <c r="A1157" s="442" t="s">
        <v>5538</v>
      </c>
      <c r="B1157" s="68" t="s">
        <v>4493</v>
      </c>
      <c r="C1157" s="68" t="s">
        <v>59</v>
      </c>
      <c r="D1157" s="184" t="s">
        <v>5539</v>
      </c>
      <c r="E1157" s="184" t="s">
        <v>5540</v>
      </c>
      <c r="F1157" s="185" t="s">
        <v>5541</v>
      </c>
      <c r="G1157" s="174" t="s">
        <v>5542</v>
      </c>
      <c r="H1157" s="186" t="s">
        <v>128</v>
      </c>
      <c r="I1157" s="74" t="s">
        <v>129</v>
      </c>
      <c r="J1157" s="155" t="s">
        <v>3000</v>
      </c>
      <c r="K1157" s="74">
        <v>3.0</v>
      </c>
      <c r="L1157" s="26">
        <v>2015.0</v>
      </c>
      <c r="M1157" s="25">
        <f t="shared" si="756"/>
        <v>10</v>
      </c>
      <c r="N1157" s="26">
        <f t="shared" si="757"/>
        <v>2</v>
      </c>
      <c r="O1157" s="27" t="str">
        <f t="shared" si="3"/>
        <v>#N/A</v>
      </c>
      <c r="P1157" s="273"/>
      <c r="Q1157" s="273"/>
      <c r="R1157" s="273"/>
      <c r="S1157" s="273"/>
      <c r="T1157" s="273"/>
      <c r="U1157" s="273"/>
      <c r="V1157" s="30">
        <f t="shared" si="425"/>
        <v>680000</v>
      </c>
      <c r="W1157" s="30"/>
      <c r="X1157" s="32"/>
      <c r="Y1157" s="33" t="str">
        <f t="shared" si="759"/>
        <v>#DIV/0!</v>
      </c>
      <c r="Z1157" s="692"/>
      <c r="AA1157" s="665"/>
      <c r="AB1157" s="74" t="s">
        <v>5300</v>
      </c>
      <c r="AC1157" s="74"/>
      <c r="AD1157" s="181" t="str">
        <f>HYPERLINK("https://www.crunchbase.com/organization/stacksource#section-funding-rounds","Jul 1, 2017")</f>
        <v>Jul 1, 2017</v>
      </c>
      <c r="AE1157" s="84">
        <v>680000.0</v>
      </c>
      <c r="AF1157" s="175" t="str">
        <f>HYPERLINK("https://www.crunchbase.com/funding_round/stacksource-seed--6bde7646","Sep 17, 2018")</f>
        <v>Sep 17, 2018</v>
      </c>
      <c r="AG1157" s="76">
        <v>0.0</v>
      </c>
      <c r="AH1157" s="74"/>
      <c r="AI1157" s="78"/>
      <c r="AJ1157" s="79"/>
      <c r="AK1157" s="84"/>
      <c r="AL1157" s="79"/>
      <c r="AM1157" s="84"/>
      <c r="AN1157" s="79"/>
      <c r="AO1157" s="84"/>
      <c r="AP1157" s="79"/>
      <c r="AQ1157" s="84"/>
      <c r="AR1157" s="79"/>
      <c r="AS1157" s="79"/>
      <c r="AT1157" s="79"/>
      <c r="AU1157" s="80"/>
      <c r="AV1157" s="79"/>
      <c r="AW1157" s="38"/>
      <c r="AX1157" s="79"/>
      <c r="AY1157" s="38"/>
      <c r="AZ1157" s="79"/>
      <c r="BA1157" s="80"/>
      <c r="BB1157" s="79"/>
      <c r="BC1157" s="80"/>
      <c r="BD1157" s="79"/>
      <c r="BE1157" s="38"/>
      <c r="BF1157" s="74"/>
      <c r="BG1157" s="16"/>
      <c r="BH1157" s="16"/>
      <c r="BI1157" s="16"/>
      <c r="BJ1157" s="16"/>
      <c r="BK1157" s="16"/>
      <c r="BL1157" s="16"/>
      <c r="BM1157" s="16"/>
      <c r="BN1157" s="16"/>
      <c r="BO1157" s="16"/>
      <c r="BP1157" s="16"/>
      <c r="BQ1157" s="16"/>
      <c r="BR1157" s="16"/>
      <c r="BS1157" s="16"/>
      <c r="BT1157" s="16"/>
      <c r="BU1157" s="16"/>
      <c r="BV1157" s="16"/>
      <c r="BW1157" s="16"/>
      <c r="BX1157" s="16"/>
      <c r="BY1157" s="16"/>
      <c r="BZ1157" s="16"/>
      <c r="CA1157" s="16"/>
      <c r="CB1157" s="16"/>
      <c r="CC1157" s="16"/>
      <c r="CD1157" s="16"/>
      <c r="CE1157" s="16"/>
      <c r="CF1157" s="16"/>
      <c r="CG1157" s="16"/>
      <c r="CH1157" s="16"/>
      <c r="CI1157" s="16"/>
      <c r="CJ1157" s="16"/>
      <c r="CK1157" s="16"/>
      <c r="CL1157" s="16"/>
      <c r="CM1157" s="16"/>
      <c r="CN1157" s="16"/>
      <c r="CO1157" s="16"/>
      <c r="CP1157" s="16"/>
    </row>
    <row r="1158" ht="15.75" customHeight="1">
      <c r="A1158" s="47" t="s">
        <v>5543</v>
      </c>
      <c r="C1158" s="48" t="s">
        <v>76</v>
      </c>
      <c r="D1158" s="617" t="s">
        <v>5544</v>
      </c>
      <c r="E1158" s="49" t="s">
        <v>5545</v>
      </c>
      <c r="F1158" s="352" t="s">
        <v>5546</v>
      </c>
      <c r="G1158" s="353"/>
      <c r="H1158" s="53" t="s">
        <v>394</v>
      </c>
      <c r="I1158" s="54" t="s">
        <v>395</v>
      </c>
      <c r="J1158" s="55"/>
      <c r="K1158" s="54">
        <v>4.0</v>
      </c>
      <c r="L1158" s="56">
        <v>2020.0</v>
      </c>
      <c r="M1158" s="55"/>
      <c r="N1158" s="55"/>
      <c r="O1158" s="27" t="str">
        <f t="shared" si="3"/>
        <v>#N/A</v>
      </c>
      <c r="P1158" s="55"/>
      <c r="Q1158" s="55"/>
      <c r="R1158" s="55"/>
      <c r="S1158" s="55"/>
      <c r="T1158" s="55"/>
      <c r="U1158" s="55"/>
      <c r="V1158" s="30">
        <f t="shared" si="425"/>
        <v>656000</v>
      </c>
      <c r="W1158" s="30"/>
      <c r="X1158" s="58"/>
      <c r="Y1158" s="58"/>
      <c r="Z1158" s="692"/>
      <c r="AA1158" s="665"/>
      <c r="AB1158" s="55"/>
      <c r="AC1158" s="55"/>
      <c r="AD1158" s="355"/>
      <c r="AE1158" s="38"/>
      <c r="AF1158" s="62">
        <v>44998.0</v>
      </c>
      <c r="AG1158" s="38">
        <v>656000.0</v>
      </c>
      <c r="AH1158" s="55"/>
      <c r="AI1158" s="38"/>
      <c r="AJ1158" s="55"/>
      <c r="AK1158" s="38"/>
      <c r="AL1158" s="55"/>
      <c r="AM1158" s="38"/>
      <c r="AN1158" s="55"/>
      <c r="AO1158" s="38"/>
      <c r="AP1158" s="356"/>
      <c r="AQ1158" s="38"/>
      <c r="AR1158" s="55"/>
      <c r="AS1158" s="38"/>
      <c r="AT1158" s="55"/>
      <c r="AU1158" s="38"/>
      <c r="AV1158" s="55"/>
      <c r="AW1158" s="38"/>
      <c r="AX1158" s="55"/>
      <c r="AY1158" s="38"/>
      <c r="AZ1158" s="55"/>
      <c r="BA1158" s="38"/>
      <c r="BB1158" s="62">
        <v>44726.0</v>
      </c>
      <c r="BC1158" s="38"/>
      <c r="BD1158" s="55"/>
      <c r="BE1158" s="38"/>
      <c r="BF1158" s="55"/>
      <c r="BG1158" s="534"/>
      <c r="BH1158" s="534"/>
      <c r="BI1158" s="534"/>
      <c r="BJ1158" s="534"/>
      <c r="BK1158" s="534"/>
      <c r="BL1158" s="534"/>
      <c r="BM1158" s="534"/>
      <c r="BN1158" s="534"/>
      <c r="BO1158" s="534"/>
      <c r="BP1158" s="534"/>
      <c r="BQ1158" s="534"/>
      <c r="BR1158" s="534"/>
      <c r="BS1158" s="534"/>
      <c r="BT1158" s="534"/>
      <c r="BU1158" s="534"/>
      <c r="BV1158" s="534"/>
      <c r="BW1158" s="534"/>
      <c r="BX1158" s="534"/>
      <c r="BY1158" s="534"/>
      <c r="BZ1158" s="534"/>
      <c r="CA1158" s="534"/>
      <c r="CB1158" s="534"/>
      <c r="CC1158" s="534"/>
      <c r="CD1158" s="534"/>
      <c r="CE1158" s="534"/>
      <c r="CF1158" s="534"/>
      <c r="CG1158" s="534"/>
      <c r="CH1158" s="534"/>
      <c r="CI1158" s="534"/>
      <c r="CJ1158" s="534"/>
      <c r="CK1158" s="534"/>
      <c r="CL1158" s="534"/>
      <c r="CM1158" s="534"/>
      <c r="CN1158" s="534"/>
      <c r="CO1158" s="534"/>
      <c r="CP1158" s="534"/>
    </row>
    <row r="1159" ht="15.75" customHeight="1">
      <c r="A1159" s="47" t="s">
        <v>5547</v>
      </c>
      <c r="C1159" s="48" t="s">
        <v>84</v>
      </c>
      <c r="D1159" s="49" t="s">
        <v>5548</v>
      </c>
      <c r="E1159" s="49" t="s">
        <v>5549</v>
      </c>
      <c r="F1159" s="352" t="s">
        <v>5550</v>
      </c>
      <c r="G1159" s="353"/>
      <c r="H1159" s="53" t="s">
        <v>4599</v>
      </c>
      <c r="I1159" s="54" t="s">
        <v>753</v>
      </c>
      <c r="J1159" s="55"/>
      <c r="K1159" s="55"/>
      <c r="L1159" s="56">
        <v>2021.0</v>
      </c>
      <c r="M1159" s="55"/>
      <c r="N1159" s="55"/>
      <c r="O1159" s="27" t="str">
        <f t="shared" si="3"/>
        <v>#N/A</v>
      </c>
      <c r="P1159" s="55"/>
      <c r="Q1159" s="55"/>
      <c r="R1159" s="55"/>
      <c r="S1159" s="55"/>
      <c r="T1159" s="55"/>
      <c r="U1159" s="55"/>
      <c r="V1159" s="30">
        <f t="shared" si="425"/>
        <v>650000</v>
      </c>
      <c r="W1159" s="30"/>
      <c r="X1159" s="58"/>
      <c r="Y1159" s="58"/>
      <c r="Z1159" s="692"/>
      <c r="AA1159" s="665"/>
      <c r="AB1159" s="55"/>
      <c r="AC1159" s="55"/>
      <c r="AD1159" s="453"/>
      <c r="AE1159" s="55"/>
      <c r="AF1159" s="62">
        <v>44944.0</v>
      </c>
      <c r="AG1159" s="38">
        <v>650000.0</v>
      </c>
      <c r="AH1159" s="55"/>
      <c r="AI1159" s="55"/>
      <c r="AJ1159" s="55"/>
      <c r="AK1159" s="55"/>
      <c r="AL1159" s="55"/>
      <c r="AM1159" s="55"/>
      <c r="AN1159" s="55"/>
      <c r="AO1159" s="55"/>
      <c r="AP1159" s="356"/>
      <c r="AQ1159" s="356"/>
      <c r="AR1159" s="55"/>
      <c r="AS1159" s="55"/>
      <c r="AT1159" s="55"/>
      <c r="AU1159" s="722"/>
      <c r="AV1159" s="55"/>
      <c r="AW1159" s="38"/>
      <c r="AX1159" s="55"/>
      <c r="AY1159" s="38"/>
      <c r="AZ1159" s="55"/>
      <c r="BA1159" s="722"/>
      <c r="BB1159" s="55"/>
      <c r="BC1159" s="38"/>
      <c r="BD1159" s="55"/>
      <c r="BE1159" s="38"/>
      <c r="BF1159" s="55"/>
      <c r="BG1159" s="16"/>
      <c r="BH1159" s="16"/>
      <c r="BI1159" s="16"/>
      <c r="BJ1159" s="16"/>
      <c r="BK1159" s="16"/>
      <c r="BL1159" s="16"/>
      <c r="BM1159" s="16"/>
      <c r="BN1159" s="16"/>
      <c r="BO1159" s="16"/>
      <c r="BP1159" s="16"/>
      <c r="BQ1159" s="16"/>
      <c r="BR1159" s="16"/>
      <c r="BS1159" s="16"/>
      <c r="BT1159" s="16"/>
      <c r="BU1159" s="16"/>
      <c r="BV1159" s="16"/>
      <c r="BW1159" s="16"/>
      <c r="BX1159" s="16"/>
      <c r="BY1159" s="16"/>
      <c r="BZ1159" s="16"/>
      <c r="CA1159" s="16"/>
      <c r="CB1159" s="16"/>
      <c r="CC1159" s="16"/>
      <c r="CD1159" s="16"/>
      <c r="CE1159" s="16"/>
      <c r="CF1159" s="16"/>
      <c r="CG1159" s="16"/>
      <c r="CH1159" s="16"/>
      <c r="CI1159" s="16"/>
      <c r="CJ1159" s="16"/>
      <c r="CK1159" s="16"/>
      <c r="CL1159" s="16"/>
      <c r="CM1159" s="16"/>
      <c r="CN1159" s="16"/>
      <c r="CO1159" s="16"/>
      <c r="CP1159" s="16"/>
    </row>
    <row r="1160" ht="15.75" customHeight="1">
      <c r="A1160" s="400" t="s">
        <v>5551</v>
      </c>
      <c r="B1160" s="115"/>
      <c r="C1160" s="116" t="s">
        <v>84</v>
      </c>
      <c r="D1160" s="401" t="s">
        <v>5552</v>
      </c>
      <c r="E1160" s="161" t="s">
        <v>5553</v>
      </c>
      <c r="F1160" s="402" t="s">
        <v>5554</v>
      </c>
      <c r="G1160" s="119" t="s">
        <v>5555</v>
      </c>
      <c r="H1160" s="119" t="s">
        <v>2860</v>
      </c>
      <c r="I1160" s="25" t="s">
        <v>826</v>
      </c>
      <c r="J1160" s="120" t="s">
        <v>5556</v>
      </c>
      <c r="K1160" s="25">
        <v>3.0</v>
      </c>
      <c r="L1160" s="25">
        <v>2017.0</v>
      </c>
      <c r="M1160" s="123"/>
      <c r="N1160" s="123"/>
      <c r="O1160" s="27" t="str">
        <f t="shared" si="3"/>
        <v>#N/A</v>
      </c>
      <c r="P1160" s="55"/>
      <c r="Q1160" s="55"/>
      <c r="R1160" s="55"/>
      <c r="S1160" s="55"/>
      <c r="T1160" s="55"/>
      <c r="U1160" s="55"/>
      <c r="V1160" s="30">
        <f t="shared" si="425"/>
        <v>630000</v>
      </c>
      <c r="W1160" s="30"/>
      <c r="X1160" s="403"/>
      <c r="Y1160" s="403"/>
      <c r="Z1160" s="692"/>
      <c r="AA1160" s="665"/>
      <c r="AB1160" s="123"/>
      <c r="AC1160" s="123"/>
      <c r="AD1160" s="404">
        <v>43252.0</v>
      </c>
      <c r="AE1160" s="127">
        <v>280000.0</v>
      </c>
      <c r="AF1160" s="404">
        <v>43490.0</v>
      </c>
      <c r="AG1160" s="127">
        <v>350000.0</v>
      </c>
      <c r="AH1160" s="123"/>
      <c r="AI1160" s="128"/>
      <c r="AJ1160" s="123"/>
      <c r="AK1160" s="123"/>
      <c r="AL1160" s="123"/>
      <c r="AM1160" s="125"/>
      <c r="AN1160" s="123"/>
      <c r="AO1160" s="123"/>
      <c r="AP1160" s="881"/>
      <c r="AQ1160" s="123"/>
      <c r="AR1160" s="123"/>
      <c r="AS1160" s="123"/>
      <c r="AT1160" s="123"/>
      <c r="AU1160" s="137"/>
      <c r="AV1160" s="123"/>
      <c r="AW1160" s="38"/>
      <c r="AX1160" s="123"/>
      <c r="AY1160" s="38"/>
      <c r="AZ1160" s="123"/>
      <c r="BA1160" s="137"/>
      <c r="BB1160" s="123"/>
      <c r="BC1160" s="137"/>
      <c r="BD1160" s="123"/>
      <c r="BE1160" s="38"/>
      <c r="BF1160" s="123"/>
      <c r="BG1160" s="534"/>
      <c r="BH1160" s="534"/>
      <c r="BI1160" s="534"/>
      <c r="BJ1160" s="534"/>
      <c r="BK1160" s="534"/>
      <c r="BL1160" s="534"/>
      <c r="BM1160" s="534"/>
      <c r="BN1160" s="534"/>
      <c r="BO1160" s="534"/>
      <c r="BP1160" s="534"/>
      <c r="BQ1160" s="534"/>
      <c r="BR1160" s="534"/>
      <c r="BS1160" s="534"/>
      <c r="BT1160" s="534"/>
      <c r="BU1160" s="534"/>
      <c r="BV1160" s="534"/>
      <c r="BW1160" s="534"/>
      <c r="BX1160" s="534"/>
      <c r="BY1160" s="534"/>
      <c r="BZ1160" s="534"/>
      <c r="CA1160" s="534"/>
      <c r="CB1160" s="534"/>
      <c r="CC1160" s="534"/>
      <c r="CD1160" s="534"/>
      <c r="CE1160" s="534"/>
      <c r="CF1160" s="534"/>
      <c r="CG1160" s="534"/>
      <c r="CH1160" s="534"/>
      <c r="CI1160" s="534"/>
      <c r="CJ1160" s="534"/>
      <c r="CK1160" s="534"/>
      <c r="CL1160" s="534"/>
      <c r="CM1160" s="534"/>
      <c r="CN1160" s="534"/>
      <c r="CO1160" s="534"/>
      <c r="CP1160" s="534"/>
    </row>
    <row r="1161" ht="15.75" customHeight="1">
      <c r="A1161" s="931" t="s">
        <v>5557</v>
      </c>
      <c r="B1161" s="68"/>
      <c r="C1161" s="69" t="s">
        <v>132</v>
      </c>
      <c r="D1161" s="380"/>
      <c r="E1161" s="192" t="s">
        <v>5558</v>
      </c>
      <c r="F1161" s="118" t="s">
        <v>5559</v>
      </c>
      <c r="G1161" s="140"/>
      <c r="H1161" s="71" t="s">
        <v>5560</v>
      </c>
      <c r="I1161" s="71" t="s">
        <v>5561</v>
      </c>
      <c r="J1161" s="1517"/>
      <c r="K1161" s="26"/>
      <c r="L1161" s="26">
        <v>2017.0</v>
      </c>
      <c r="M1161" s="25">
        <f>year(now()) -L1161</f>
        <v>8</v>
      </c>
      <c r="N1161" s="26">
        <f>counta(AE1161,AG1161,AI1161,AK1161,AM1161,AO1161,AQ1161,AS1161,AU1161,AW1161,AY1161,BA1161,BC1161)</f>
        <v>1</v>
      </c>
      <c r="O1161" s="27" t="str">
        <f t="shared" si="3"/>
        <v>#N/A</v>
      </c>
      <c r="P1161" s="28"/>
      <c r="Q1161" s="28"/>
      <c r="R1161" s="28"/>
      <c r="S1161" s="28"/>
      <c r="T1161" s="29">
        <f>V1161/M1161</f>
        <v>75000</v>
      </c>
      <c r="U1161" s="28"/>
      <c r="V1161" s="30">
        <f t="shared" si="425"/>
        <v>600000</v>
      </c>
      <c r="W1161" s="30"/>
      <c r="X1161" s="73"/>
      <c r="Y1161" s="33">
        <f>(max(AE1161,AG1161,AI1161,AK1161,AM1161,AO1161,AQ1161,AS1161,AU1161,AW1161,AY1161,BA1161,BC1161)/min(AE1161,AG1161,AI1161,AK1161))^(1/M1161)-1</f>
        <v>0</v>
      </c>
      <c r="Z1161" s="692"/>
      <c r="AA1161" s="665"/>
      <c r="AB1161" s="74"/>
      <c r="AC1161" s="74"/>
      <c r="AD1161" s="79"/>
      <c r="AE1161" s="84"/>
      <c r="AF1161" s="320">
        <v>42800.0</v>
      </c>
      <c r="AG1161" s="76">
        <v>600000.0</v>
      </c>
      <c r="AH1161" s="74"/>
      <c r="AI1161" s="78"/>
      <c r="AJ1161" s="79"/>
      <c r="AK1161" s="84"/>
      <c r="AL1161" s="79"/>
      <c r="AM1161" s="84"/>
      <c r="AN1161" s="79"/>
      <c r="AO1161" s="84"/>
      <c r="AP1161" s="79"/>
      <c r="AQ1161" s="84"/>
      <c r="AR1161" s="79"/>
      <c r="AS1161" s="79"/>
      <c r="AT1161" s="79"/>
      <c r="AU1161" s="80"/>
      <c r="AV1161" s="79"/>
      <c r="AW1161" s="38"/>
      <c r="AX1161" s="79"/>
      <c r="AY1161" s="38"/>
      <c r="AZ1161" s="79"/>
      <c r="BA1161" s="80"/>
      <c r="BB1161" s="79"/>
      <c r="BC1161" s="80"/>
      <c r="BD1161" s="79"/>
      <c r="BE1161" s="38"/>
      <c r="BF1161" s="74"/>
      <c r="BG1161" s="16"/>
      <c r="BH1161" s="16"/>
      <c r="BI1161" s="16"/>
      <c r="BJ1161" s="16"/>
      <c r="BK1161" s="16"/>
      <c r="BL1161" s="16"/>
      <c r="BM1161" s="16"/>
      <c r="BN1161" s="16"/>
      <c r="BO1161" s="16"/>
      <c r="BP1161" s="16"/>
      <c r="BQ1161" s="16"/>
      <c r="BR1161" s="16"/>
      <c r="BS1161" s="16"/>
      <c r="BT1161" s="16"/>
      <c r="BU1161" s="16"/>
      <c r="BV1161" s="16"/>
      <c r="BW1161" s="16"/>
      <c r="BX1161" s="16"/>
      <c r="BY1161" s="16"/>
      <c r="BZ1161" s="16"/>
      <c r="CA1161" s="16"/>
      <c r="CB1161" s="16"/>
      <c r="CC1161" s="16"/>
      <c r="CD1161" s="16"/>
      <c r="CE1161" s="16"/>
      <c r="CF1161" s="16"/>
      <c r="CG1161" s="16"/>
      <c r="CH1161" s="16"/>
      <c r="CI1161" s="16"/>
      <c r="CJ1161" s="16"/>
      <c r="CK1161" s="16"/>
      <c r="CL1161" s="16"/>
      <c r="CM1161" s="16"/>
      <c r="CN1161" s="16"/>
      <c r="CO1161" s="16"/>
      <c r="CP1161" s="16"/>
    </row>
    <row r="1162" ht="15.75" customHeight="1">
      <c r="A1162" s="400" t="s">
        <v>5562</v>
      </c>
      <c r="B1162" s="115"/>
      <c r="C1162" s="116" t="s">
        <v>68</v>
      </c>
      <c r="D1162" s="449"/>
      <c r="E1162" s="161" t="s">
        <v>5563</v>
      </c>
      <c r="F1162" s="402" t="s">
        <v>5564</v>
      </c>
      <c r="G1162" s="286"/>
      <c r="H1162" s="119" t="s">
        <v>4623</v>
      </c>
      <c r="I1162" s="25" t="s">
        <v>4624</v>
      </c>
      <c r="J1162" s="287"/>
      <c r="K1162" s="25">
        <v>2.0</v>
      </c>
      <c r="L1162" s="25">
        <v>2019.0</v>
      </c>
      <c r="M1162" s="123"/>
      <c r="N1162" s="123"/>
      <c r="O1162" s="27" t="str">
        <f t="shared" si="3"/>
        <v>#N/A</v>
      </c>
      <c r="P1162" s="55"/>
      <c r="Q1162" s="55"/>
      <c r="R1162" s="55"/>
      <c r="S1162" s="55"/>
      <c r="T1162" s="55"/>
      <c r="U1162" s="55"/>
      <c r="V1162" s="30">
        <f t="shared" si="425"/>
        <v>600000</v>
      </c>
      <c r="W1162" s="30"/>
      <c r="X1162" s="403"/>
      <c r="Y1162" s="403"/>
      <c r="Z1162" s="692"/>
      <c r="AA1162" s="665"/>
      <c r="AB1162" s="123"/>
      <c r="AC1162" s="123"/>
      <c r="AD1162" s="62">
        <v>44875.0</v>
      </c>
      <c r="AE1162" s="38">
        <v>600000.0</v>
      </c>
      <c r="AF1162" s="355"/>
      <c r="AG1162" s="38"/>
      <c r="AH1162" s="123"/>
      <c r="AI1162" s="123"/>
      <c r="AJ1162" s="123"/>
      <c r="AK1162" s="38"/>
      <c r="AL1162" s="123"/>
      <c r="AM1162" s="123"/>
      <c r="AN1162" s="123"/>
      <c r="AO1162" s="123"/>
      <c r="AP1162" s="123"/>
      <c r="AQ1162" s="123"/>
      <c r="AR1162" s="123"/>
      <c r="AS1162" s="123"/>
      <c r="AT1162" s="123"/>
      <c r="AU1162" s="137"/>
      <c r="AV1162" s="123"/>
      <c r="AW1162" s="38"/>
      <c r="AX1162" s="123"/>
      <c r="AY1162" s="38"/>
      <c r="AZ1162" s="123"/>
      <c r="BA1162" s="137"/>
      <c r="BB1162" s="123"/>
      <c r="BC1162" s="137"/>
      <c r="BD1162" s="123"/>
      <c r="BE1162" s="38"/>
      <c r="BF1162" s="123"/>
      <c r="BG1162" s="16"/>
      <c r="BH1162" s="16"/>
      <c r="BI1162" s="16"/>
      <c r="BJ1162" s="16"/>
      <c r="BK1162" s="16"/>
      <c r="BL1162" s="16"/>
      <c r="BM1162" s="16"/>
      <c r="BN1162" s="16"/>
      <c r="BO1162" s="16"/>
      <c r="BP1162" s="16"/>
      <c r="BQ1162" s="16"/>
      <c r="BR1162" s="16"/>
      <c r="BS1162" s="16"/>
      <c r="BT1162" s="16"/>
      <c r="BU1162" s="16"/>
      <c r="BV1162" s="16"/>
      <c r="BW1162" s="16"/>
      <c r="BX1162" s="16"/>
      <c r="BY1162" s="16"/>
      <c r="BZ1162" s="16"/>
      <c r="CA1162" s="16"/>
      <c r="CB1162" s="16"/>
      <c r="CC1162" s="16"/>
      <c r="CD1162" s="16"/>
      <c r="CE1162" s="16"/>
      <c r="CF1162" s="16"/>
      <c r="CG1162" s="16"/>
      <c r="CH1162" s="16"/>
      <c r="CI1162" s="16"/>
      <c r="CJ1162" s="16"/>
      <c r="CK1162" s="16"/>
      <c r="CL1162" s="16"/>
      <c r="CM1162" s="16"/>
      <c r="CN1162" s="16"/>
      <c r="CO1162" s="16"/>
      <c r="CP1162" s="16"/>
    </row>
    <row r="1163" ht="15.75" customHeight="1">
      <c r="A1163" s="400" t="s">
        <v>5565</v>
      </c>
      <c r="B1163" s="115"/>
      <c r="C1163" s="116" t="s">
        <v>132</v>
      </c>
      <c r="D1163" s="192" t="s">
        <v>5566</v>
      </c>
      <c r="E1163" s="192" t="s">
        <v>5567</v>
      </c>
      <c r="F1163" s="756" t="s">
        <v>5568</v>
      </c>
      <c r="G1163" s="604" t="s">
        <v>5569</v>
      </c>
      <c r="H1163" s="119" t="s">
        <v>328</v>
      </c>
      <c r="I1163" s="25" t="s">
        <v>329</v>
      </c>
      <c r="J1163" s="287"/>
      <c r="K1163" s="123"/>
      <c r="L1163" s="25">
        <v>2017.0</v>
      </c>
      <c r="M1163" s="25">
        <f t="shared" ref="M1163:M1164" si="760">year(now()) -L1163</f>
        <v>8</v>
      </c>
      <c r="N1163" s="26">
        <f t="shared" ref="N1163:N1164" si="761">counta(AE1163,AG1163,AI1163,AK1163,AM1163,AO1163,AQ1163,AS1163,AU1163,AW1163,AY1163,BA1163,BC1163)</f>
        <v>2</v>
      </c>
      <c r="O1163" s="27" t="str">
        <f t="shared" si="3"/>
        <v>#N/A</v>
      </c>
      <c r="P1163" s="28"/>
      <c r="Q1163" s="28"/>
      <c r="R1163" s="28"/>
      <c r="S1163" s="28"/>
      <c r="T1163" s="29">
        <f t="shared" ref="T1163:T1164" si="762">V1163/M1163</f>
        <v>73750</v>
      </c>
      <c r="U1163" s="28"/>
      <c r="V1163" s="30">
        <f t="shared" si="425"/>
        <v>590000</v>
      </c>
      <c r="W1163" s="30"/>
      <c r="X1163" s="403"/>
      <c r="Y1163" s="33">
        <f t="shared" ref="Y1163:Y1164" si="763">(max(AE1163,AG1163,AI1163,AK1163,AM1163,AO1163,AQ1163,AS1163,AU1163,AW1163,AY1163,BA1163,BC1163)/min(AE1163,AG1163,AI1163,AK1163))^(1/M1163)-1</f>
        <v>0.05760095205</v>
      </c>
      <c r="Z1163" s="692"/>
      <c r="AA1163" s="665"/>
      <c r="AB1163" s="123"/>
      <c r="AC1163" s="123"/>
      <c r="AD1163" s="227">
        <v>43343.0</v>
      </c>
      <c r="AE1163" s="1370">
        <v>230000.0</v>
      </c>
      <c r="AF1163" s="320">
        <v>43727.0</v>
      </c>
      <c r="AG1163" s="1518">
        <v>360000.0</v>
      </c>
      <c r="AH1163" s="123"/>
      <c r="AI1163" s="128"/>
      <c r="AJ1163" s="124"/>
      <c r="AK1163" s="127"/>
      <c r="AL1163" s="169"/>
      <c r="AM1163" s="127"/>
      <c r="AN1163" s="124"/>
      <c r="AO1163" s="127"/>
      <c r="AP1163" s="124"/>
      <c r="AQ1163" s="127"/>
      <c r="AR1163" s="124"/>
      <c r="AS1163" s="889"/>
      <c r="AT1163" s="124"/>
      <c r="AU1163" s="137"/>
      <c r="AV1163" s="124"/>
      <c r="AW1163" s="38"/>
      <c r="AX1163" s="124"/>
      <c r="AY1163" s="38"/>
      <c r="AZ1163" s="124"/>
      <c r="BA1163" s="137"/>
      <c r="BB1163" s="124"/>
      <c r="BC1163" s="137"/>
      <c r="BD1163" s="124"/>
      <c r="BE1163" s="38"/>
      <c r="BF1163" s="123"/>
      <c r="BG1163" s="16"/>
      <c r="BH1163" s="16"/>
      <c r="BI1163" s="16"/>
      <c r="BJ1163" s="16"/>
      <c r="BK1163" s="16"/>
      <c r="BL1163" s="16"/>
      <c r="BM1163" s="16"/>
      <c r="BN1163" s="16"/>
      <c r="BO1163" s="16"/>
      <c r="BP1163" s="16"/>
      <c r="BQ1163" s="16"/>
      <c r="BR1163" s="16"/>
      <c r="BS1163" s="16"/>
      <c r="BT1163" s="16"/>
      <c r="BU1163" s="16"/>
      <c r="BV1163" s="16"/>
      <c r="BW1163" s="16"/>
      <c r="BX1163" s="16"/>
      <c r="BY1163" s="16"/>
      <c r="BZ1163" s="16"/>
      <c r="CA1163" s="16"/>
      <c r="CB1163" s="16"/>
      <c r="CC1163" s="16"/>
      <c r="CD1163" s="16"/>
      <c r="CE1163" s="16"/>
      <c r="CF1163" s="16"/>
      <c r="CG1163" s="16"/>
      <c r="CH1163" s="16"/>
      <c r="CI1163" s="16"/>
      <c r="CJ1163" s="16"/>
      <c r="CK1163" s="16"/>
      <c r="CL1163" s="16"/>
      <c r="CM1163" s="16"/>
      <c r="CN1163" s="16"/>
      <c r="CO1163" s="16"/>
      <c r="CP1163" s="16"/>
    </row>
    <row r="1164" ht="15.75" customHeight="1">
      <c r="A1164" s="21" t="s">
        <v>5570</v>
      </c>
      <c r="B1164" s="17" t="s">
        <v>944</v>
      </c>
      <c r="C1164" s="17" t="s">
        <v>123</v>
      </c>
      <c r="D1164" s="492" t="s">
        <v>5571</v>
      </c>
      <c r="E1164" s="138" t="s">
        <v>5572</v>
      </c>
      <c r="F1164" s="154" t="s">
        <v>5573</v>
      </c>
      <c r="G1164" s="317"/>
      <c r="H1164" s="22" t="s">
        <v>2505</v>
      </c>
      <c r="I1164" s="23" t="s">
        <v>2506</v>
      </c>
      <c r="J1164" s="237"/>
      <c r="K1164" s="23">
        <v>1.0</v>
      </c>
      <c r="L1164" s="23">
        <v>2018.0</v>
      </c>
      <c r="M1164" s="25">
        <f t="shared" si="760"/>
        <v>7</v>
      </c>
      <c r="N1164" s="26">
        <f t="shared" si="761"/>
        <v>2</v>
      </c>
      <c r="O1164" s="27" t="str">
        <f t="shared" si="3"/>
        <v>#N/A</v>
      </c>
      <c r="P1164" s="28"/>
      <c r="Q1164" s="28"/>
      <c r="R1164" s="28"/>
      <c r="S1164" s="28"/>
      <c r="T1164" s="29">
        <f t="shared" si="762"/>
        <v>83234.42857</v>
      </c>
      <c r="U1164" s="28"/>
      <c r="V1164" s="30">
        <f t="shared" si="425"/>
        <v>582641</v>
      </c>
      <c r="W1164" s="30"/>
      <c r="X1164" s="33"/>
      <c r="Y1164" s="33">
        <f t="shared" si="763"/>
        <v>0.534134119</v>
      </c>
      <c r="Z1164" s="692"/>
      <c r="AA1164" s="665"/>
      <c r="AB1164" s="36"/>
      <c r="AC1164" s="36"/>
      <c r="AD1164" s="228" t="str">
        <f>HYPERLINK("https://www.crunchbase.com/funding_round/consorto-pre-seed--162dcf6f"," Oct 17, 2018")</f>
        <v> Oct 17, 2018</v>
      </c>
      <c r="AE1164" s="38">
        <v>27744.0</v>
      </c>
      <c r="AF1164" s="158" t="str">
        <f>HYPERLINK("https://www.crunchbase.com/funding_round/consorto-seed--2a3c7e91"," 28 Aug 2019")</f>
        <v> 28 Aug 2019</v>
      </c>
      <c r="AG1164" s="38">
        <v>554897.0</v>
      </c>
      <c r="AH1164" s="36"/>
      <c r="AI1164" s="159"/>
      <c r="AJ1164" s="44"/>
      <c r="AK1164" s="46"/>
      <c r="AL1164" s="44"/>
      <c r="AM1164" s="46"/>
      <c r="AN1164" s="44"/>
      <c r="AO1164" s="46"/>
      <c r="AP1164" s="44"/>
      <c r="AQ1164" s="46"/>
      <c r="AR1164" s="44"/>
      <c r="AS1164" s="44"/>
      <c r="AT1164" s="44"/>
      <c r="AU1164" s="45"/>
      <c r="AV1164" s="44"/>
      <c r="AW1164" s="38"/>
      <c r="AX1164" s="44"/>
      <c r="AY1164" s="38"/>
      <c r="AZ1164" s="44"/>
      <c r="BA1164" s="45"/>
      <c r="BB1164" s="44"/>
      <c r="BC1164" s="45"/>
      <c r="BD1164" s="44"/>
      <c r="BE1164" s="38"/>
      <c r="BF1164" s="36"/>
      <c r="BG1164" s="16"/>
      <c r="BH1164" s="16"/>
      <c r="BI1164" s="16"/>
      <c r="BJ1164" s="16"/>
      <c r="BK1164" s="16"/>
      <c r="BL1164" s="16"/>
      <c r="BM1164" s="16"/>
      <c r="BN1164" s="16"/>
      <c r="BO1164" s="16"/>
      <c r="BP1164" s="16"/>
      <c r="BQ1164" s="16"/>
      <c r="BR1164" s="16"/>
      <c r="BS1164" s="16"/>
      <c r="BT1164" s="16"/>
      <c r="BU1164" s="16"/>
      <c r="BV1164" s="16"/>
      <c r="BW1164" s="16"/>
      <c r="BX1164" s="16"/>
      <c r="BY1164" s="16"/>
      <c r="BZ1164" s="16"/>
      <c r="CA1164" s="16"/>
      <c r="CB1164" s="16"/>
      <c r="CC1164" s="16"/>
      <c r="CD1164" s="16"/>
      <c r="CE1164" s="16"/>
      <c r="CF1164" s="16"/>
      <c r="CG1164" s="16"/>
      <c r="CH1164" s="16"/>
      <c r="CI1164" s="16"/>
      <c r="CJ1164" s="16"/>
      <c r="CK1164" s="16"/>
      <c r="CL1164" s="16"/>
      <c r="CM1164" s="16"/>
      <c r="CN1164" s="16"/>
      <c r="CO1164" s="16"/>
      <c r="CP1164" s="16"/>
    </row>
    <row r="1165" ht="15.75" customHeight="1">
      <c r="A1165" s="47" t="s">
        <v>5574</v>
      </c>
      <c r="C1165" s="48" t="s">
        <v>132</v>
      </c>
      <c r="D1165" s="351"/>
      <c r="E1165" s="49" t="s">
        <v>5575</v>
      </c>
      <c r="F1165" s="352" t="s">
        <v>5576</v>
      </c>
      <c r="G1165" s="353"/>
      <c r="H1165" s="53" t="s">
        <v>3118</v>
      </c>
      <c r="I1165" s="54" t="s">
        <v>329</v>
      </c>
      <c r="J1165" s="55"/>
      <c r="K1165" s="54">
        <v>2.0</v>
      </c>
      <c r="L1165" s="56">
        <v>2020.0</v>
      </c>
      <c r="M1165" s="55"/>
      <c r="N1165" s="55"/>
      <c r="O1165" s="27" t="str">
        <f t="shared" si="3"/>
        <v>#N/A</v>
      </c>
      <c r="P1165" s="55"/>
      <c r="Q1165" s="55"/>
      <c r="R1165" s="55"/>
      <c r="S1165" s="55"/>
      <c r="T1165" s="55"/>
      <c r="U1165" s="55"/>
      <c r="V1165" s="30">
        <f t="shared" si="425"/>
        <v>566600</v>
      </c>
      <c r="W1165" s="30"/>
      <c r="X1165" s="58"/>
      <c r="Y1165" s="58"/>
      <c r="Z1165" s="692"/>
      <c r="AA1165" s="665"/>
      <c r="AB1165" s="55"/>
      <c r="AC1165" s="55"/>
      <c r="AD1165" s="880">
        <v>44934.0</v>
      </c>
      <c r="AE1165" s="38">
        <v>566600.0</v>
      </c>
      <c r="AF1165" s="355"/>
      <c r="AG1165" s="55"/>
      <c r="AH1165" s="55"/>
      <c r="AI1165" s="55"/>
      <c r="AJ1165" s="55"/>
      <c r="AK1165" s="55"/>
      <c r="AL1165" s="55"/>
      <c r="AM1165" s="55"/>
      <c r="AN1165" s="55"/>
      <c r="AO1165" s="55"/>
      <c r="AP1165" s="356"/>
      <c r="AQ1165" s="356"/>
      <c r="AR1165" s="55"/>
      <c r="AS1165" s="55"/>
      <c r="AT1165" s="55"/>
      <c r="AU1165" s="722"/>
      <c r="AV1165" s="55"/>
      <c r="AW1165" s="38"/>
      <c r="AX1165" s="55"/>
      <c r="AY1165" s="38"/>
      <c r="AZ1165" s="55"/>
      <c r="BA1165" s="722"/>
      <c r="BB1165" s="55"/>
      <c r="BC1165" s="38"/>
      <c r="BD1165" s="55"/>
      <c r="BE1165" s="38"/>
      <c r="BF1165" s="55"/>
      <c r="BG1165" s="534"/>
      <c r="BH1165" s="534"/>
      <c r="BI1165" s="534"/>
      <c r="BJ1165" s="534"/>
      <c r="BK1165" s="534"/>
      <c r="BL1165" s="534"/>
      <c r="BM1165" s="534"/>
      <c r="BN1165" s="534"/>
      <c r="BO1165" s="534"/>
      <c r="BP1165" s="534"/>
      <c r="BQ1165" s="534"/>
      <c r="BR1165" s="534"/>
      <c r="BS1165" s="534"/>
      <c r="BT1165" s="534"/>
      <c r="BU1165" s="534"/>
      <c r="BV1165" s="534"/>
      <c r="BW1165" s="534"/>
      <c r="BX1165" s="534"/>
      <c r="BY1165" s="534"/>
      <c r="BZ1165" s="534"/>
      <c r="CA1165" s="534"/>
      <c r="CB1165" s="534"/>
      <c r="CC1165" s="534"/>
      <c r="CD1165" s="534"/>
      <c r="CE1165" s="534"/>
      <c r="CF1165" s="534"/>
      <c r="CG1165" s="534"/>
      <c r="CH1165" s="534"/>
      <c r="CI1165" s="534"/>
      <c r="CJ1165" s="534"/>
      <c r="CK1165" s="534"/>
      <c r="CL1165" s="534"/>
      <c r="CM1165" s="534"/>
      <c r="CN1165" s="534"/>
      <c r="CO1165" s="534"/>
      <c r="CP1165" s="534"/>
    </row>
    <row r="1166" ht="15.75" customHeight="1">
      <c r="A1166" s="21" t="s">
        <v>5577</v>
      </c>
      <c r="B1166" s="68"/>
      <c r="C1166" s="69" t="s">
        <v>276</v>
      </c>
      <c r="D1166" s="200" t="s">
        <v>5578</v>
      </c>
      <c r="E1166" s="200" t="s">
        <v>5579</v>
      </c>
      <c r="F1166" s="154" t="s">
        <v>5580</v>
      </c>
      <c r="G1166" s="71" t="s">
        <v>5581</v>
      </c>
      <c r="H1166" s="912" t="s">
        <v>695</v>
      </c>
      <c r="I1166" s="913" t="s">
        <v>5582</v>
      </c>
      <c r="J1166" s="155"/>
      <c r="K1166" s="26">
        <v>1.0</v>
      </c>
      <c r="L1166" s="26">
        <v>2015.0</v>
      </c>
      <c r="M1166" s="25">
        <f>year(now()) -L1166</f>
        <v>10</v>
      </c>
      <c r="N1166" s="26">
        <f>counta(AE1166,AG1166,AI1166,AK1166,AM1166,AO1166,AQ1166,AS1166,AU1166,AW1166,AY1166,BA1166,BC1166)</f>
        <v>1</v>
      </c>
      <c r="O1166" s="27" t="str">
        <f t="shared" si="3"/>
        <v>#N/A</v>
      </c>
      <c r="P1166" s="28"/>
      <c r="Q1166" s="28"/>
      <c r="R1166" s="28"/>
      <c r="S1166" s="28"/>
      <c r="T1166" s="29">
        <f>V1166/M1166</f>
        <v>55509.75</v>
      </c>
      <c r="U1166" s="28"/>
      <c r="V1166" s="30">
        <f t="shared" si="425"/>
        <v>555097.5</v>
      </c>
      <c r="W1166" s="30"/>
      <c r="X1166" s="73"/>
      <c r="Y1166" s="33">
        <f>(max(AE1166,AG1166,AI1166,AK1166,AM1166,AO1166,AQ1166,AS1166,AU1166,AW1166,AY1166,BA1166,BC1166)/min(AE1166,AG1166,AI1166,AK1166))^(1/M1166)-1</f>
        <v>0</v>
      </c>
      <c r="Z1166" s="692"/>
      <c r="AA1166" s="665"/>
      <c r="AB1166" s="74"/>
      <c r="AC1166" s="74"/>
      <c r="AD1166" s="79"/>
      <c r="AE1166" s="84"/>
      <c r="AF1166" s="175" t="str">
        <f>HYPERLINK("https://www.crunchbase.com/organization/jogogo#section-funding-rounds"," 11/21/2016")</f>
        <v> 11/21/2016</v>
      </c>
      <c r="AG1166" s="76">
        <v>555097.5</v>
      </c>
      <c r="AH1166" s="77"/>
      <c r="AI1166" s="78"/>
      <c r="AJ1166" s="79"/>
      <c r="AK1166" s="84"/>
      <c r="AL1166" s="79"/>
      <c r="AM1166" s="84"/>
      <c r="AN1166" s="79"/>
      <c r="AO1166" s="84"/>
      <c r="AP1166" s="79"/>
      <c r="AQ1166" s="84"/>
      <c r="AR1166" s="79"/>
      <c r="AS1166" s="79"/>
      <c r="AT1166" s="79"/>
      <c r="AU1166" s="80"/>
      <c r="AV1166" s="79"/>
      <c r="AW1166" s="38"/>
      <c r="AX1166" s="79"/>
      <c r="AY1166" s="38"/>
      <c r="AZ1166" s="79"/>
      <c r="BA1166" s="80"/>
      <c r="BB1166" s="79"/>
      <c r="BC1166" s="80"/>
      <c r="BD1166" s="79"/>
      <c r="BE1166" s="38"/>
      <c r="BF1166" s="74"/>
      <c r="BG1166" s="16"/>
      <c r="BH1166" s="16"/>
      <c r="BI1166" s="16"/>
      <c r="BJ1166" s="16"/>
      <c r="BK1166" s="16"/>
      <c r="BL1166" s="16"/>
      <c r="BM1166" s="16"/>
      <c r="BN1166" s="16"/>
      <c r="BO1166" s="16"/>
      <c r="BP1166" s="16"/>
      <c r="BQ1166" s="16"/>
      <c r="BR1166" s="16"/>
      <c r="BS1166" s="16"/>
      <c r="BT1166" s="16"/>
      <c r="BU1166" s="16"/>
      <c r="BV1166" s="16"/>
      <c r="BW1166" s="16"/>
      <c r="BX1166" s="16"/>
      <c r="BY1166" s="16"/>
      <c r="BZ1166" s="16"/>
      <c r="CA1166" s="16"/>
      <c r="CB1166" s="16"/>
      <c r="CC1166" s="16"/>
      <c r="CD1166" s="16"/>
      <c r="CE1166" s="16"/>
      <c r="CF1166" s="16"/>
      <c r="CG1166" s="16"/>
      <c r="CH1166" s="16"/>
      <c r="CI1166" s="16"/>
      <c r="CJ1166" s="16"/>
      <c r="CK1166" s="16"/>
      <c r="CL1166" s="16"/>
      <c r="CM1166" s="16"/>
      <c r="CN1166" s="16"/>
      <c r="CO1166" s="16"/>
      <c r="CP1166" s="16"/>
    </row>
    <row r="1167" ht="15.75" customHeight="1">
      <c r="A1167" s="47" t="s">
        <v>5583</v>
      </c>
      <c r="C1167" s="48" t="s">
        <v>84</v>
      </c>
      <c r="D1167" s="351"/>
      <c r="E1167" s="617" t="s">
        <v>5584</v>
      </c>
      <c r="F1167" s="749" t="s">
        <v>5585</v>
      </c>
      <c r="G1167" s="353"/>
      <c r="H1167" s="53" t="s">
        <v>328</v>
      </c>
      <c r="I1167" s="54" t="s">
        <v>329</v>
      </c>
      <c r="J1167" s="55"/>
      <c r="K1167" s="55"/>
      <c r="L1167" s="56">
        <v>2020.0</v>
      </c>
      <c r="M1167" s="55"/>
      <c r="N1167" s="55"/>
      <c r="O1167" s="27" t="str">
        <f t="shared" si="3"/>
        <v>#N/A</v>
      </c>
      <c r="P1167" s="55"/>
      <c r="Q1167" s="55"/>
      <c r="R1167" s="55"/>
      <c r="S1167" s="55"/>
      <c r="T1167" s="55"/>
      <c r="U1167" s="55"/>
      <c r="V1167" s="30">
        <f t="shared" si="425"/>
        <v>551800</v>
      </c>
      <c r="W1167" s="30"/>
      <c r="X1167" s="58"/>
      <c r="Y1167" s="58"/>
      <c r="Z1167" s="692"/>
      <c r="AA1167" s="665"/>
      <c r="AB1167" s="55"/>
      <c r="AC1167" s="55"/>
      <c r="AD1167" s="355"/>
      <c r="AE1167" s="55"/>
      <c r="AF1167" s="62">
        <v>44909.0</v>
      </c>
      <c r="AG1167" s="38">
        <f>(310.5+241.3)*1000</f>
        <v>551800</v>
      </c>
      <c r="AH1167" s="55"/>
      <c r="AI1167" s="55"/>
      <c r="AJ1167" s="55"/>
      <c r="AK1167" s="55"/>
      <c r="AL1167" s="55"/>
      <c r="AM1167" s="55"/>
      <c r="AN1167" s="55"/>
      <c r="AO1167" s="55"/>
      <c r="AP1167" s="356"/>
      <c r="AQ1167" s="356"/>
      <c r="AR1167" s="55"/>
      <c r="AS1167" s="55"/>
      <c r="AT1167" s="55"/>
      <c r="AU1167" s="722"/>
      <c r="AV1167" s="55"/>
      <c r="AW1167" s="38"/>
      <c r="AX1167" s="55"/>
      <c r="AY1167" s="38"/>
      <c r="AZ1167" s="55"/>
      <c r="BA1167" s="722"/>
      <c r="BB1167" s="55"/>
      <c r="BC1167" s="722"/>
      <c r="BD1167" s="55"/>
      <c r="BE1167" s="38"/>
      <c r="BF1167" s="55"/>
      <c r="BG1167" s="16"/>
      <c r="BH1167" s="16"/>
      <c r="BI1167" s="16"/>
      <c r="BJ1167" s="16"/>
      <c r="BK1167" s="16"/>
      <c r="BL1167" s="16"/>
      <c r="BM1167" s="16"/>
      <c r="BN1167" s="16"/>
      <c r="BO1167" s="16"/>
      <c r="BP1167" s="16"/>
      <c r="BQ1167" s="16"/>
      <c r="BR1167" s="16"/>
      <c r="BS1167" s="16"/>
      <c r="BT1167" s="16"/>
      <c r="BU1167" s="16"/>
      <c r="BV1167" s="16"/>
      <c r="BW1167" s="16"/>
      <c r="BX1167" s="16"/>
      <c r="BY1167" s="16"/>
      <c r="BZ1167" s="16"/>
      <c r="CA1167" s="16"/>
      <c r="CB1167" s="16"/>
      <c r="CC1167" s="16"/>
      <c r="CD1167" s="16"/>
      <c r="CE1167" s="16"/>
      <c r="CF1167" s="16"/>
      <c r="CG1167" s="16"/>
      <c r="CH1167" s="16"/>
      <c r="CI1167" s="16"/>
      <c r="CJ1167" s="16"/>
      <c r="CK1167" s="16"/>
      <c r="CL1167" s="16"/>
      <c r="CM1167" s="16"/>
      <c r="CN1167" s="16"/>
      <c r="CO1167" s="16"/>
      <c r="CP1167" s="16"/>
    </row>
    <row r="1168" ht="15.75" customHeight="1">
      <c r="A1168" s="860" t="s">
        <v>5586</v>
      </c>
      <c r="B1168" s="115"/>
      <c r="C1168" s="116" t="s">
        <v>513</v>
      </c>
      <c r="D1168" s="192" t="s">
        <v>5587</v>
      </c>
      <c r="E1168" s="192" t="s">
        <v>5588</v>
      </c>
      <c r="F1168" s="118" t="s">
        <v>5589</v>
      </c>
      <c r="G1168" s="286"/>
      <c r="H1168" s="119" t="s">
        <v>72</v>
      </c>
      <c r="I1168" s="25" t="s">
        <v>5590</v>
      </c>
      <c r="J1168" s="287"/>
      <c r="K1168" s="123"/>
      <c r="L1168" s="25">
        <v>2019.0</v>
      </c>
      <c r="M1168" s="25">
        <f>year(now()) -L1168</f>
        <v>6</v>
      </c>
      <c r="N1168" s="26">
        <f>counta(AE1168,AG1168,AI1168,AK1168,AM1168,AO1168,AQ1168,AS1168,AU1168,AW1168,AY1168,BA1168,BC1168)</f>
        <v>1</v>
      </c>
      <c r="O1168" s="27" t="str">
        <f t="shared" si="3"/>
        <v>#N/A</v>
      </c>
      <c r="P1168" s="28"/>
      <c r="Q1168" s="28"/>
      <c r="R1168" s="28"/>
      <c r="S1168" s="28"/>
      <c r="T1168" s="29">
        <f>V1168/M1168</f>
        <v>89166.66667</v>
      </c>
      <c r="U1168" s="28"/>
      <c r="V1168" s="30">
        <f t="shared" si="425"/>
        <v>535000</v>
      </c>
      <c r="W1168" s="30"/>
      <c r="X1168" s="403"/>
      <c r="Y1168" s="33">
        <f>(max(AE1168,AG1168,AI1168,AK1168,AM1168,AO1168,AQ1168,AS1168,AU1168,AW1168,AY1168,BA1168,BC1168)/min(AE1168,AG1168,AI1168,AK1168))^(1/M1168)-1</f>
        <v>0</v>
      </c>
      <c r="Z1168" s="692"/>
      <c r="AA1168" s="665"/>
      <c r="AB1168" s="123"/>
      <c r="AC1168" s="123"/>
      <c r="AD1168" s="124"/>
      <c r="AE1168" s="125"/>
      <c r="AF1168" s="320">
        <v>43739.0</v>
      </c>
      <c r="AG1168" s="127">
        <v>535000.0</v>
      </c>
      <c r="AH1168" s="123"/>
      <c r="AI1168" s="128"/>
      <c r="AJ1168" s="124"/>
      <c r="AK1168" s="127"/>
      <c r="AL1168" s="124"/>
      <c r="AM1168" s="125"/>
      <c r="AN1168" s="124"/>
      <c r="AO1168" s="125"/>
      <c r="AP1168" s="124"/>
      <c r="AQ1168" s="125"/>
      <c r="AR1168" s="124"/>
      <c r="AS1168" s="124"/>
      <c r="AT1168" s="124"/>
      <c r="AU1168" s="137"/>
      <c r="AV1168" s="124"/>
      <c r="AW1168" s="38"/>
      <c r="AX1168" s="124"/>
      <c r="AY1168" s="38"/>
      <c r="AZ1168" s="124"/>
      <c r="BA1168" s="137"/>
      <c r="BB1168" s="124"/>
      <c r="BC1168" s="137"/>
      <c r="BD1168" s="124"/>
      <c r="BE1168" s="38"/>
      <c r="BF1168" s="123"/>
      <c r="BG1168" s="16"/>
      <c r="BH1168" s="16"/>
      <c r="BI1168" s="16"/>
      <c r="BJ1168" s="16"/>
      <c r="BK1168" s="16"/>
      <c r="BL1168" s="16"/>
      <c r="BM1168" s="16"/>
      <c r="BN1168" s="16"/>
      <c r="BO1168" s="16"/>
      <c r="BP1168" s="16"/>
      <c r="BQ1168" s="16"/>
      <c r="BR1168" s="16"/>
      <c r="BS1168" s="16"/>
      <c r="BT1168" s="16"/>
      <c r="BU1168" s="16"/>
      <c r="BV1168" s="16"/>
      <c r="BW1168" s="16"/>
      <c r="BX1168" s="16"/>
      <c r="BY1168" s="16"/>
      <c r="BZ1168" s="16"/>
      <c r="CA1168" s="16"/>
      <c r="CB1168" s="16"/>
      <c r="CC1168" s="16"/>
      <c r="CD1168" s="16"/>
      <c r="CE1168" s="16"/>
      <c r="CF1168" s="16"/>
      <c r="CG1168" s="16"/>
      <c r="CH1168" s="16"/>
      <c r="CI1168" s="16"/>
      <c r="CJ1168" s="16"/>
      <c r="CK1168" s="16"/>
      <c r="CL1168" s="16"/>
      <c r="CM1168" s="16"/>
      <c r="CN1168" s="16"/>
      <c r="CO1168" s="16"/>
      <c r="CP1168" s="16"/>
    </row>
    <row r="1169" ht="15.75" customHeight="1">
      <c r="A1169" s="1519" t="s">
        <v>5591</v>
      </c>
      <c r="C1169" s="48" t="s">
        <v>84</v>
      </c>
      <c r="D1169" s="351"/>
      <c r="E1169" s="49" t="s">
        <v>5592</v>
      </c>
      <c r="F1169" s="352" t="s">
        <v>5593</v>
      </c>
      <c r="G1169" s="353"/>
      <c r="H1169" s="53" t="s">
        <v>5594</v>
      </c>
      <c r="I1169" s="54" t="s">
        <v>4624</v>
      </c>
      <c r="J1169" s="55"/>
      <c r="K1169" s="54">
        <v>3.0</v>
      </c>
      <c r="L1169" s="56">
        <v>2019.0</v>
      </c>
      <c r="M1169" s="55"/>
      <c r="N1169" s="55"/>
      <c r="O1169" s="27" t="str">
        <f t="shared" si="3"/>
        <v>#N/A</v>
      </c>
      <c r="P1169" s="55"/>
      <c r="Q1169" s="55"/>
      <c r="R1169" s="55"/>
      <c r="S1169" s="55"/>
      <c r="T1169" s="55"/>
      <c r="U1169" s="55"/>
      <c r="V1169" s="30">
        <f t="shared" si="425"/>
        <v>525000</v>
      </c>
      <c r="W1169" s="30"/>
      <c r="X1169" s="58"/>
      <c r="Y1169" s="58"/>
      <c r="Z1169" s="692"/>
      <c r="AA1169" s="665"/>
      <c r="AB1169" s="55"/>
      <c r="AC1169" s="55"/>
      <c r="AD1169" s="62">
        <v>44519.0</v>
      </c>
      <c r="AE1169" s="38">
        <v>125000.0</v>
      </c>
      <c r="AF1169" s="62">
        <v>45012.0</v>
      </c>
      <c r="AG1169" s="38">
        <v>400000.0</v>
      </c>
      <c r="AH1169" s="55"/>
      <c r="AI1169" s="38"/>
      <c r="AJ1169" s="55"/>
      <c r="AK1169" s="38"/>
      <c r="AL1169" s="55"/>
      <c r="AM1169" s="38"/>
      <c r="AN1169" s="55"/>
      <c r="AO1169" s="38"/>
      <c r="AP1169" s="356"/>
      <c r="AQ1169" s="38"/>
      <c r="AR1169" s="55"/>
      <c r="AS1169" s="38"/>
      <c r="AT1169" s="55"/>
      <c r="AU1169" s="38"/>
      <c r="AV1169" s="55"/>
      <c r="AW1169" s="38"/>
      <c r="AX1169" s="55"/>
      <c r="AY1169" s="38"/>
      <c r="AZ1169" s="55"/>
      <c r="BA1169" s="38"/>
      <c r="BB1169" s="55"/>
      <c r="BC1169" s="38"/>
      <c r="BD1169" s="55"/>
      <c r="BE1169" s="38"/>
      <c r="BF1169" s="55"/>
      <c r="BG1169" s="16"/>
      <c r="BH1169" s="16"/>
      <c r="BI1169" s="16"/>
      <c r="BJ1169" s="16"/>
      <c r="BK1169" s="16"/>
      <c r="BL1169" s="16"/>
      <c r="BM1169" s="16"/>
      <c r="BN1169" s="16"/>
      <c r="BO1169" s="16"/>
      <c r="BP1169" s="16"/>
      <c r="BQ1169" s="16"/>
      <c r="BR1169" s="16"/>
      <c r="BS1169" s="16"/>
      <c r="BT1169" s="16"/>
      <c r="BU1169" s="16"/>
      <c r="BV1169" s="16"/>
      <c r="BW1169" s="16"/>
      <c r="BX1169" s="16"/>
      <c r="BY1169" s="16"/>
      <c r="BZ1169" s="16"/>
      <c r="CA1169" s="16"/>
      <c r="CB1169" s="16"/>
      <c r="CC1169" s="16"/>
      <c r="CD1169" s="16"/>
      <c r="CE1169" s="16"/>
      <c r="CF1169" s="16"/>
      <c r="CG1169" s="16"/>
      <c r="CH1169" s="16"/>
      <c r="CI1169" s="16"/>
      <c r="CJ1169" s="16"/>
      <c r="CK1169" s="16"/>
      <c r="CL1169" s="16"/>
      <c r="CM1169" s="16"/>
      <c r="CN1169" s="16"/>
      <c r="CO1169" s="16"/>
      <c r="CP1169" s="16"/>
    </row>
    <row r="1170" ht="15.75" customHeight="1">
      <c r="A1170" s="1162" t="s">
        <v>5595</v>
      </c>
      <c r="B1170" s="16"/>
      <c r="C1170" s="17" t="s">
        <v>123</v>
      </c>
      <c r="D1170" s="236" t="s">
        <v>5596</v>
      </c>
      <c r="E1170" s="18" t="s">
        <v>5597</v>
      </c>
      <c r="F1170" s="20" t="s">
        <v>5598</v>
      </c>
      <c r="G1170" s="317"/>
      <c r="H1170" s="22" t="s">
        <v>5599</v>
      </c>
      <c r="I1170" s="23" t="s">
        <v>1384</v>
      </c>
      <c r="J1170" s="237"/>
      <c r="K1170" s="23"/>
      <c r="L1170" s="23">
        <v>2014.0</v>
      </c>
      <c r="M1170" s="25">
        <f t="shared" ref="M1170:M1179" si="764">year(now()) -L1170</f>
        <v>11</v>
      </c>
      <c r="N1170" s="26">
        <f t="shared" ref="N1170:N1179" si="765">counta(AE1170,AG1170,AI1170,AK1170,AM1170,AO1170,AQ1170,AS1170,AU1170,AW1170,AY1170,BA1170,BC1170)</f>
        <v>1</v>
      </c>
      <c r="O1170" s="27" t="str">
        <f t="shared" si="3"/>
        <v>#N/A</v>
      </c>
      <c r="P1170" s="28"/>
      <c r="Q1170" s="28"/>
      <c r="R1170" s="28"/>
      <c r="S1170" s="28"/>
      <c r="T1170" s="29">
        <f t="shared" ref="T1170:T1178" si="766">V1170/M1170</f>
        <v>46818.18182</v>
      </c>
      <c r="U1170" s="28"/>
      <c r="V1170" s="30">
        <f t="shared" si="425"/>
        <v>515000</v>
      </c>
      <c r="W1170" s="30"/>
      <c r="X1170" s="33"/>
      <c r="Y1170" s="33">
        <f t="shared" ref="Y1170:Y1179" si="767">(max(AE1170,AG1170,AI1170,AK1170,AM1170,AO1170,AQ1170,AS1170,AU1170,AW1170,AY1170,BA1170,BC1170)/min(AE1170,AG1170,AI1170,AK1170))^(1/M1170)-1</f>
        <v>0</v>
      </c>
      <c r="Z1170" s="692"/>
      <c r="AA1170" s="665"/>
      <c r="AB1170" s="36"/>
      <c r="AC1170" s="36"/>
      <c r="AD1170" s="37"/>
      <c r="AE1170" s="40"/>
      <c r="AF1170" s="320">
        <v>42109.0</v>
      </c>
      <c r="AG1170" s="1520">
        <v>515000.0</v>
      </c>
      <c r="AH1170" s="919"/>
      <c r="AI1170" s="159"/>
      <c r="AJ1170" s="37"/>
      <c r="AK1170" s="46"/>
      <c r="AL1170" s="44"/>
      <c r="AM1170" s="46"/>
      <c r="AN1170" s="37"/>
      <c r="AO1170" s="38"/>
      <c r="AP1170" s="37"/>
      <c r="AQ1170" s="38"/>
      <c r="AR1170" s="44"/>
      <c r="AS1170" s="44"/>
      <c r="AT1170" s="44"/>
      <c r="AU1170" s="45"/>
      <c r="AV1170" s="44"/>
      <c r="AW1170" s="38"/>
      <c r="AX1170" s="44"/>
      <c r="AY1170" s="38"/>
      <c r="AZ1170" s="44"/>
      <c r="BA1170" s="45"/>
      <c r="BB1170" s="44"/>
      <c r="BC1170" s="45"/>
      <c r="BD1170" s="44"/>
      <c r="BE1170" s="38"/>
      <c r="BF1170" s="36"/>
      <c r="BG1170" s="16"/>
      <c r="BH1170" s="16"/>
      <c r="BI1170" s="16"/>
      <c r="BJ1170" s="16"/>
      <c r="BK1170" s="16"/>
      <c r="BL1170" s="16"/>
      <c r="BM1170" s="16"/>
      <c r="BN1170" s="16"/>
      <c r="BO1170" s="16"/>
      <c r="BP1170" s="16"/>
      <c r="BQ1170" s="16"/>
      <c r="BR1170" s="16"/>
      <c r="BS1170" s="16"/>
      <c r="BT1170" s="16"/>
      <c r="BU1170" s="16"/>
      <c r="BV1170" s="16"/>
      <c r="BW1170" s="16"/>
      <c r="BX1170" s="16"/>
      <c r="BY1170" s="16"/>
      <c r="BZ1170" s="16"/>
      <c r="CA1170" s="16"/>
      <c r="CB1170" s="16"/>
      <c r="CC1170" s="16"/>
      <c r="CD1170" s="16"/>
      <c r="CE1170" s="16"/>
      <c r="CF1170" s="16"/>
      <c r="CG1170" s="16"/>
      <c r="CH1170" s="16"/>
      <c r="CI1170" s="16"/>
      <c r="CJ1170" s="16"/>
      <c r="CK1170" s="16"/>
      <c r="CL1170" s="16"/>
      <c r="CM1170" s="16"/>
      <c r="CN1170" s="16"/>
      <c r="CO1170" s="16"/>
      <c r="CP1170" s="16"/>
    </row>
    <row r="1171" ht="15.75" customHeight="1">
      <c r="A1171" s="442" t="s">
        <v>5600</v>
      </c>
      <c r="B1171" s="16" t="s">
        <v>5601</v>
      </c>
      <c r="C1171" s="17" t="s">
        <v>123</v>
      </c>
      <c r="D1171" s="184"/>
      <c r="E1171" s="138" t="s">
        <v>5602</v>
      </c>
      <c r="F1171" s="173" t="s">
        <v>5603</v>
      </c>
      <c r="G1171" s="442"/>
      <c r="H1171" s="21" t="s">
        <v>271</v>
      </c>
      <c r="I1171" s="23" t="s">
        <v>272</v>
      </c>
      <c r="J1171" s="527" t="s">
        <v>5604</v>
      </c>
      <c r="K1171" s="36">
        <v>3.0</v>
      </c>
      <c r="L1171" s="23">
        <v>2018.0</v>
      </c>
      <c r="M1171" s="25">
        <f t="shared" si="764"/>
        <v>7</v>
      </c>
      <c r="N1171" s="26">
        <f t="shared" si="765"/>
        <v>1</v>
      </c>
      <c r="O1171" s="27" t="str">
        <f t="shared" si="3"/>
        <v>#N/A</v>
      </c>
      <c r="P1171" s="28"/>
      <c r="Q1171" s="28"/>
      <c r="R1171" s="28"/>
      <c r="S1171" s="28"/>
      <c r="T1171" s="29">
        <f t="shared" si="766"/>
        <v>71428.57143</v>
      </c>
      <c r="U1171" s="28"/>
      <c r="V1171" s="30">
        <f t="shared" si="425"/>
        <v>500000</v>
      </c>
      <c r="W1171" s="30"/>
      <c r="X1171" s="847"/>
      <c r="Y1171" s="33">
        <f t="shared" si="767"/>
        <v>0</v>
      </c>
      <c r="Z1171" s="692"/>
      <c r="AA1171" s="665"/>
      <c r="AB1171" s="36"/>
      <c r="AC1171" s="36"/>
      <c r="AD1171" s="44"/>
      <c r="AE1171" s="46"/>
      <c r="AF1171" s="158" t="str">
        <f>HYPERLINK("https://www.crunchbase.com/organization/abstract-tokenization#section-funding-rounds","Jul 18, 2018")</f>
        <v>Jul 18, 2018</v>
      </c>
      <c r="AG1171" s="38">
        <v>500000.0</v>
      </c>
      <c r="AH1171" s="36"/>
      <c r="AI1171" s="46"/>
      <c r="AJ1171" s="44"/>
      <c r="AK1171" s="46"/>
      <c r="AL1171" s="44"/>
      <c r="AM1171" s="46"/>
      <c r="AN1171" s="44"/>
      <c r="AO1171" s="46"/>
      <c r="AP1171" s="44"/>
      <c r="AQ1171" s="46"/>
      <c r="AR1171" s="44"/>
      <c r="AS1171" s="44"/>
      <c r="AT1171" s="44"/>
      <c r="AU1171" s="45"/>
      <c r="AV1171" s="44"/>
      <c r="AW1171" s="38"/>
      <c r="AX1171" s="44"/>
      <c r="AY1171" s="38"/>
      <c r="AZ1171" s="44"/>
      <c r="BA1171" s="45"/>
      <c r="BB1171" s="44"/>
      <c r="BC1171" s="45"/>
      <c r="BD1171" s="44"/>
      <c r="BE1171" s="38"/>
      <c r="BF1171" s="36"/>
      <c r="BG1171" s="16"/>
      <c r="BH1171" s="16"/>
      <c r="BI1171" s="16"/>
      <c r="BJ1171" s="16"/>
      <c r="BK1171" s="16"/>
      <c r="BL1171" s="16"/>
      <c r="BM1171" s="16"/>
      <c r="BN1171" s="16"/>
      <c r="BO1171" s="16"/>
      <c r="BP1171" s="16"/>
      <c r="BQ1171" s="16"/>
      <c r="BR1171" s="16"/>
      <c r="BS1171" s="16"/>
      <c r="BT1171" s="16"/>
      <c r="BU1171" s="16"/>
      <c r="BV1171" s="16"/>
      <c r="BW1171" s="16"/>
      <c r="BX1171" s="16"/>
      <c r="BY1171" s="16"/>
      <c r="BZ1171" s="16"/>
      <c r="CA1171" s="16"/>
      <c r="CB1171" s="16"/>
      <c r="CC1171" s="16"/>
      <c r="CD1171" s="16"/>
      <c r="CE1171" s="16"/>
      <c r="CF1171" s="16"/>
      <c r="CG1171" s="16"/>
      <c r="CH1171" s="16"/>
      <c r="CI1171" s="16"/>
      <c r="CJ1171" s="16"/>
      <c r="CK1171" s="16"/>
      <c r="CL1171" s="16"/>
      <c r="CM1171" s="16"/>
      <c r="CN1171" s="16"/>
      <c r="CO1171" s="16"/>
      <c r="CP1171" s="16"/>
    </row>
    <row r="1172" ht="15.75" customHeight="1">
      <c r="A1172" s="270" t="s">
        <v>5605</v>
      </c>
      <c r="B1172" s="17"/>
      <c r="C1172" s="17" t="s">
        <v>207</v>
      </c>
      <c r="D1172" s="245"/>
      <c r="E1172" s="236" t="s">
        <v>5606</v>
      </c>
      <c r="F1172" s="1521" t="s">
        <v>5607</v>
      </c>
      <c r="G1172" s="22"/>
      <c r="H1172" s="22" t="s">
        <v>1065</v>
      </c>
      <c r="I1172" s="23" t="s">
        <v>4223</v>
      </c>
      <c r="J1172" s="24"/>
      <c r="K1172" s="23">
        <v>2.0</v>
      </c>
      <c r="L1172" s="23">
        <v>2015.0</v>
      </c>
      <c r="M1172" s="25">
        <f t="shared" si="764"/>
        <v>10</v>
      </c>
      <c r="N1172" s="26">
        <f t="shared" si="765"/>
        <v>1</v>
      </c>
      <c r="O1172" s="27" t="str">
        <f t="shared" si="3"/>
        <v>#N/A</v>
      </c>
      <c r="P1172" s="28"/>
      <c r="Q1172" s="28"/>
      <c r="R1172" s="28"/>
      <c r="S1172" s="28"/>
      <c r="T1172" s="29">
        <f t="shared" si="766"/>
        <v>50000</v>
      </c>
      <c r="U1172" s="28"/>
      <c r="V1172" s="30">
        <f t="shared" si="425"/>
        <v>500000</v>
      </c>
      <c r="W1172" s="30"/>
      <c r="X1172" s="33"/>
      <c r="Y1172" s="33">
        <f t="shared" si="767"/>
        <v>0</v>
      </c>
      <c r="Z1172" s="692"/>
      <c r="AA1172" s="665"/>
      <c r="AB1172" s="36"/>
      <c r="AC1172" s="36"/>
      <c r="AD1172" s="44"/>
      <c r="AE1172" s="46"/>
      <c r="AF1172" s="320" t="str">
        <f>HYPERLINK("https://www.crunchbase.com/funding_round/coworker-seed--84e2d774","Aug 10, 2019")</f>
        <v>Aug 10, 2019</v>
      </c>
      <c r="AG1172" s="38">
        <v>500000.0</v>
      </c>
      <c r="AH1172" s="36"/>
      <c r="AI1172" s="159"/>
      <c r="AJ1172" s="473"/>
      <c r="AK1172" s="46"/>
      <c r="AL1172" s="44"/>
      <c r="AM1172" s="46"/>
      <c r="AN1172" s="44"/>
      <c r="AO1172" s="46"/>
      <c r="AP1172" s="44"/>
      <c r="AQ1172" s="46"/>
      <c r="AR1172" s="44"/>
      <c r="AS1172" s="44"/>
      <c r="AT1172" s="44"/>
      <c r="AU1172" s="45"/>
      <c r="AV1172" s="44"/>
      <c r="AW1172" s="38"/>
      <c r="AX1172" s="44"/>
      <c r="AY1172" s="38"/>
      <c r="AZ1172" s="44"/>
      <c r="BA1172" s="45"/>
      <c r="BB1172" s="44"/>
      <c r="BC1172" s="45"/>
      <c r="BD1172" s="44"/>
      <c r="BE1172" s="38"/>
      <c r="BF1172" s="36"/>
      <c r="BG1172" s="16"/>
      <c r="BH1172" s="16"/>
      <c r="BI1172" s="16"/>
      <c r="BJ1172" s="16"/>
      <c r="BK1172" s="16"/>
      <c r="BL1172" s="16"/>
      <c r="BM1172" s="16"/>
      <c r="BN1172" s="16"/>
      <c r="BO1172" s="16"/>
      <c r="BP1172" s="16"/>
      <c r="BQ1172" s="16"/>
      <c r="BR1172" s="16"/>
      <c r="BS1172" s="16"/>
      <c r="BT1172" s="16"/>
      <c r="BU1172" s="16"/>
      <c r="BV1172" s="16"/>
      <c r="BW1172" s="16"/>
      <c r="BX1172" s="16"/>
      <c r="BY1172" s="16"/>
      <c r="BZ1172" s="16"/>
      <c r="CA1172" s="16"/>
      <c r="CB1172" s="16"/>
      <c r="CC1172" s="16"/>
      <c r="CD1172" s="16"/>
      <c r="CE1172" s="16"/>
      <c r="CF1172" s="16"/>
      <c r="CG1172" s="16"/>
      <c r="CH1172" s="16"/>
      <c r="CI1172" s="16"/>
      <c r="CJ1172" s="16"/>
      <c r="CK1172" s="16"/>
      <c r="CL1172" s="16"/>
      <c r="CM1172" s="16"/>
      <c r="CN1172" s="16"/>
      <c r="CO1172" s="16"/>
      <c r="CP1172" s="16"/>
    </row>
    <row r="1173" ht="15.75" customHeight="1">
      <c r="A1173" s="21" t="s">
        <v>5608</v>
      </c>
      <c r="B1173" s="69" t="s">
        <v>2234</v>
      </c>
      <c r="C1173" s="69" t="s">
        <v>5609</v>
      </c>
      <c r="D1173" s="200" t="s">
        <v>5610</v>
      </c>
      <c r="E1173" s="138" t="s">
        <v>5611</v>
      </c>
      <c r="F1173" s="154" t="s">
        <v>5612</v>
      </c>
      <c r="G1173" s="71" t="s">
        <v>5613</v>
      </c>
      <c r="H1173" s="186"/>
      <c r="I1173" s="74"/>
      <c r="J1173" s="155"/>
      <c r="K1173" s="74" t="s">
        <v>723</v>
      </c>
      <c r="L1173" s="26">
        <v>2017.0</v>
      </c>
      <c r="M1173" s="25">
        <f t="shared" si="764"/>
        <v>8</v>
      </c>
      <c r="N1173" s="26">
        <f t="shared" si="765"/>
        <v>1</v>
      </c>
      <c r="O1173" s="27" t="str">
        <f t="shared" si="3"/>
        <v>#N/A</v>
      </c>
      <c r="P1173" s="28"/>
      <c r="Q1173" s="28"/>
      <c r="R1173" s="28"/>
      <c r="S1173" s="28"/>
      <c r="T1173" s="29">
        <f t="shared" si="766"/>
        <v>62500</v>
      </c>
      <c r="U1173" s="28"/>
      <c r="V1173" s="30">
        <f t="shared" si="425"/>
        <v>500000</v>
      </c>
      <c r="W1173" s="30"/>
      <c r="X1173" s="32"/>
      <c r="Y1173" s="33">
        <f t="shared" si="767"/>
        <v>0</v>
      </c>
      <c r="Z1173" s="692"/>
      <c r="AA1173" s="665"/>
      <c r="AB1173" s="74"/>
      <c r="AC1173" s="74"/>
      <c r="AD1173" s="79"/>
      <c r="AE1173" s="84"/>
      <c r="AF1173" s="175" t="str">
        <f>HYPERLINK("https://www.crunchbase.com/organization/kairos-iot#section-funding-rounds"," 7/1/2018")</f>
        <v> 7/1/2018</v>
      </c>
      <c r="AG1173" s="894">
        <v>500000.0</v>
      </c>
      <c r="AH1173" s="74"/>
      <c r="AI1173" s="78"/>
      <c r="AJ1173" s="79"/>
      <c r="AK1173" s="84"/>
      <c r="AL1173" s="79"/>
      <c r="AM1173" s="807"/>
      <c r="AN1173" s="79"/>
      <c r="AO1173" s="84"/>
      <c r="AP1173" s="79"/>
      <c r="AQ1173" s="84"/>
      <c r="AR1173" s="79"/>
      <c r="AS1173" s="79"/>
      <c r="AT1173" s="79"/>
      <c r="AU1173" s="80"/>
      <c r="AV1173" s="79"/>
      <c r="AW1173" s="38"/>
      <c r="AX1173" s="79"/>
      <c r="AY1173" s="38"/>
      <c r="AZ1173" s="79"/>
      <c r="BA1173" s="80"/>
      <c r="BB1173" s="79"/>
      <c r="BC1173" s="80"/>
      <c r="BD1173" s="79"/>
      <c r="BE1173" s="38"/>
      <c r="BF1173" s="74"/>
      <c r="BG1173" s="16"/>
      <c r="BH1173" s="16"/>
      <c r="BI1173" s="16"/>
      <c r="BJ1173" s="16"/>
      <c r="BK1173" s="16"/>
      <c r="BL1173" s="16"/>
      <c r="BM1173" s="16"/>
      <c r="BN1173" s="16"/>
      <c r="BO1173" s="16"/>
      <c r="BP1173" s="16"/>
      <c r="BQ1173" s="16"/>
      <c r="BR1173" s="16"/>
      <c r="BS1173" s="16"/>
      <c r="BT1173" s="16"/>
      <c r="BU1173" s="16"/>
      <c r="BV1173" s="16"/>
      <c r="BW1173" s="16"/>
      <c r="BX1173" s="16"/>
      <c r="BY1173" s="16"/>
      <c r="BZ1173" s="16"/>
      <c r="CA1173" s="16"/>
      <c r="CB1173" s="16"/>
      <c r="CC1173" s="16"/>
      <c r="CD1173" s="16"/>
      <c r="CE1173" s="16"/>
      <c r="CF1173" s="16"/>
      <c r="CG1173" s="16"/>
      <c r="CH1173" s="16"/>
      <c r="CI1173" s="16"/>
      <c r="CJ1173" s="16"/>
      <c r="CK1173" s="16"/>
      <c r="CL1173" s="16"/>
      <c r="CM1173" s="16"/>
      <c r="CN1173" s="16"/>
      <c r="CO1173" s="16"/>
      <c r="CP1173" s="16"/>
    </row>
    <row r="1174" ht="15.75" customHeight="1">
      <c r="A1174" s="892" t="s">
        <v>5614</v>
      </c>
      <c r="B1174" s="115"/>
      <c r="C1174" s="116" t="s">
        <v>5400</v>
      </c>
      <c r="D1174" s="449"/>
      <c r="E1174" s="192" t="s">
        <v>5615</v>
      </c>
      <c r="F1174" s="118" t="s">
        <v>5616</v>
      </c>
      <c r="G1174" s="930"/>
      <c r="H1174" s="543" t="s">
        <v>3793</v>
      </c>
      <c r="I1174" s="25" t="s">
        <v>5617</v>
      </c>
      <c r="J1174" s="1326"/>
      <c r="K1174" s="123"/>
      <c r="L1174" s="25">
        <v>2017.0</v>
      </c>
      <c r="M1174" s="25">
        <f t="shared" si="764"/>
        <v>8</v>
      </c>
      <c r="N1174" s="26">
        <f t="shared" si="765"/>
        <v>1</v>
      </c>
      <c r="O1174" s="27" t="str">
        <f t="shared" si="3"/>
        <v>#N/A</v>
      </c>
      <c r="P1174" s="28"/>
      <c r="Q1174" s="28"/>
      <c r="R1174" s="28"/>
      <c r="S1174" s="28"/>
      <c r="T1174" s="29">
        <f t="shared" si="766"/>
        <v>62500</v>
      </c>
      <c r="U1174" s="28"/>
      <c r="V1174" s="30">
        <f t="shared" si="425"/>
        <v>500000</v>
      </c>
      <c r="W1174" s="30"/>
      <c r="X1174" s="403"/>
      <c r="Y1174" s="33">
        <f t="shared" si="767"/>
        <v>0</v>
      </c>
      <c r="Z1174" s="692"/>
      <c r="AA1174" s="665"/>
      <c r="AB1174" s="123"/>
      <c r="AC1174" s="123"/>
      <c r="AD1174" s="124"/>
      <c r="AE1174" s="125"/>
      <c r="AF1174" s="320">
        <v>43992.0</v>
      </c>
      <c r="AG1174" s="127">
        <v>500000.0</v>
      </c>
      <c r="AH1174" s="123"/>
      <c r="AI1174" s="128"/>
      <c r="AJ1174" s="124"/>
      <c r="AK1174" s="125"/>
      <c r="AL1174" s="124"/>
      <c r="AM1174" s="125"/>
      <c r="AN1174" s="124"/>
      <c r="AO1174" s="125"/>
      <c r="AP1174" s="124"/>
      <c r="AQ1174" s="125"/>
      <c r="AR1174" s="124"/>
      <c r="AS1174" s="124"/>
      <c r="AT1174" s="124"/>
      <c r="AU1174" s="137"/>
      <c r="AV1174" s="124"/>
      <c r="AW1174" s="38"/>
      <c r="AX1174" s="124"/>
      <c r="AY1174" s="38"/>
      <c r="AZ1174" s="124"/>
      <c r="BA1174" s="137"/>
      <c r="BB1174" s="124"/>
      <c r="BC1174" s="137"/>
      <c r="BD1174" s="124"/>
      <c r="BE1174" s="38"/>
      <c r="BF1174" s="123"/>
      <c r="BG1174" s="16"/>
      <c r="BH1174" s="16"/>
      <c r="BI1174" s="16"/>
      <c r="BJ1174" s="16"/>
      <c r="BK1174" s="16"/>
      <c r="BL1174" s="16"/>
      <c r="BM1174" s="16"/>
      <c r="BN1174" s="16"/>
      <c r="BO1174" s="16"/>
      <c r="BP1174" s="16"/>
      <c r="BQ1174" s="16"/>
      <c r="BR1174" s="16"/>
      <c r="BS1174" s="16"/>
      <c r="BT1174" s="16"/>
      <c r="BU1174" s="16"/>
      <c r="BV1174" s="16"/>
      <c r="BW1174" s="16"/>
      <c r="BX1174" s="16"/>
      <c r="BY1174" s="16"/>
      <c r="BZ1174" s="16"/>
      <c r="CA1174" s="16"/>
      <c r="CB1174" s="16"/>
      <c r="CC1174" s="16"/>
      <c r="CD1174" s="16"/>
      <c r="CE1174" s="16"/>
      <c r="CF1174" s="16"/>
      <c r="CG1174" s="16"/>
      <c r="CH1174" s="16"/>
      <c r="CI1174" s="16"/>
      <c r="CJ1174" s="16"/>
      <c r="CK1174" s="16"/>
      <c r="CL1174" s="16"/>
      <c r="CM1174" s="16"/>
      <c r="CN1174" s="16"/>
      <c r="CO1174" s="16"/>
      <c r="CP1174" s="16"/>
    </row>
    <row r="1175" ht="15.75" customHeight="1">
      <c r="A1175" s="21" t="s">
        <v>5618</v>
      </c>
      <c r="B1175" s="68"/>
      <c r="C1175" s="69" t="s">
        <v>513</v>
      </c>
      <c r="D1175" s="192" t="s">
        <v>5619</v>
      </c>
      <c r="E1175" s="192" t="s">
        <v>5620</v>
      </c>
      <c r="F1175" s="118" t="s">
        <v>5621</v>
      </c>
      <c r="G1175" s="174"/>
      <c r="H1175" s="407" t="s">
        <v>5622</v>
      </c>
      <c r="I1175" s="26" t="s">
        <v>5623</v>
      </c>
      <c r="J1175" s="514"/>
      <c r="K1175" s="74"/>
      <c r="L1175" s="26">
        <v>2013.0</v>
      </c>
      <c r="M1175" s="25">
        <f t="shared" si="764"/>
        <v>12</v>
      </c>
      <c r="N1175" s="26">
        <f t="shared" si="765"/>
        <v>1</v>
      </c>
      <c r="O1175" s="27" t="str">
        <f t="shared" si="3"/>
        <v>#N/A</v>
      </c>
      <c r="P1175" s="28"/>
      <c r="Q1175" s="28"/>
      <c r="R1175" s="28"/>
      <c r="S1175" s="28"/>
      <c r="T1175" s="29">
        <f t="shared" si="766"/>
        <v>41666.66667</v>
      </c>
      <c r="U1175" s="28"/>
      <c r="V1175" s="30">
        <f t="shared" si="425"/>
        <v>500000</v>
      </c>
      <c r="W1175" s="30"/>
      <c r="X1175" s="32"/>
      <c r="Y1175" s="33">
        <f t="shared" si="767"/>
        <v>0</v>
      </c>
      <c r="Z1175" s="692"/>
      <c r="AA1175" s="665"/>
      <c r="AB1175" s="74"/>
      <c r="AC1175" s="74"/>
      <c r="AD1175" s="79"/>
      <c r="AE1175" s="84"/>
      <c r="AF1175" s="869">
        <v>41782.0</v>
      </c>
      <c r="AG1175" s="76">
        <v>500000.0</v>
      </c>
      <c r="AH1175" s="74"/>
      <c r="AI1175" s="435"/>
      <c r="AJ1175" s="79"/>
      <c r="AK1175" s="84"/>
      <c r="AL1175" s="79"/>
      <c r="AM1175" s="84"/>
      <c r="AN1175" s="79"/>
      <c r="AO1175" s="84"/>
      <c r="AP1175" s="79"/>
      <c r="AQ1175" s="84"/>
      <c r="AR1175" s="79"/>
      <c r="AS1175" s="79"/>
      <c r="AT1175" s="79"/>
      <c r="AU1175" s="80"/>
      <c r="AV1175" s="79"/>
      <c r="AW1175" s="38"/>
      <c r="AX1175" s="79"/>
      <c r="AY1175" s="38"/>
      <c r="AZ1175" s="79"/>
      <c r="BA1175" s="80"/>
      <c r="BB1175" s="79"/>
      <c r="BC1175" s="80"/>
      <c r="BD1175" s="79"/>
      <c r="BE1175" s="38"/>
      <c r="BF1175" s="74"/>
      <c r="BG1175" s="16"/>
      <c r="BH1175" s="16"/>
      <c r="BI1175" s="16"/>
      <c r="BJ1175" s="16"/>
      <c r="BK1175" s="16"/>
      <c r="BL1175" s="16"/>
      <c r="BM1175" s="16"/>
      <c r="BN1175" s="16"/>
      <c r="BO1175" s="16"/>
      <c r="BP1175" s="16"/>
      <c r="BQ1175" s="16"/>
      <c r="BR1175" s="16"/>
      <c r="BS1175" s="16"/>
      <c r="BT1175" s="16"/>
      <c r="BU1175" s="16"/>
      <c r="BV1175" s="16"/>
      <c r="BW1175" s="16"/>
      <c r="BX1175" s="16"/>
      <c r="BY1175" s="16"/>
      <c r="BZ1175" s="16"/>
      <c r="CA1175" s="16"/>
      <c r="CB1175" s="16"/>
      <c r="CC1175" s="16"/>
      <c r="CD1175" s="16"/>
      <c r="CE1175" s="16"/>
      <c r="CF1175" s="16"/>
      <c r="CG1175" s="16"/>
      <c r="CH1175" s="16"/>
      <c r="CI1175" s="16"/>
      <c r="CJ1175" s="16"/>
      <c r="CK1175" s="16"/>
      <c r="CL1175" s="16"/>
      <c r="CM1175" s="16"/>
      <c r="CN1175" s="16"/>
      <c r="CO1175" s="16"/>
      <c r="CP1175" s="16"/>
    </row>
    <row r="1176" ht="15.75" customHeight="1">
      <c r="A1176" s="931" t="s">
        <v>5624</v>
      </c>
      <c r="B1176" s="68"/>
      <c r="C1176" s="69" t="s">
        <v>59</v>
      </c>
      <c r="D1176" s="184"/>
      <c r="E1176" s="192" t="s">
        <v>5625</v>
      </c>
      <c r="F1176" s="118" t="s">
        <v>5626</v>
      </c>
      <c r="G1176" s="174"/>
      <c r="H1176" s="407" t="s">
        <v>5627</v>
      </c>
      <c r="I1176" s="26" t="s">
        <v>4096</v>
      </c>
      <c r="J1176" s="509"/>
      <c r="K1176" s="74"/>
      <c r="L1176" s="26">
        <v>2016.0</v>
      </c>
      <c r="M1176" s="25">
        <f t="shared" si="764"/>
        <v>9</v>
      </c>
      <c r="N1176" s="26">
        <f t="shared" si="765"/>
        <v>1</v>
      </c>
      <c r="O1176" s="27" t="str">
        <f t="shared" si="3"/>
        <v>#N/A</v>
      </c>
      <c r="P1176" s="28"/>
      <c r="Q1176" s="28"/>
      <c r="R1176" s="28"/>
      <c r="S1176" s="28"/>
      <c r="T1176" s="29">
        <f t="shared" si="766"/>
        <v>55555.55556</v>
      </c>
      <c r="U1176" s="28"/>
      <c r="V1176" s="30">
        <f t="shared" si="425"/>
        <v>500000</v>
      </c>
      <c r="W1176" s="30"/>
      <c r="X1176" s="32"/>
      <c r="Y1176" s="33">
        <f t="shared" si="767"/>
        <v>0</v>
      </c>
      <c r="Z1176" s="692"/>
      <c r="AA1176" s="665"/>
      <c r="AB1176" s="74"/>
      <c r="AC1176" s="74"/>
      <c r="AD1176" s="79"/>
      <c r="AE1176" s="84"/>
      <c r="AF1176" s="914">
        <v>42522.0</v>
      </c>
      <c r="AG1176" s="76">
        <v>500000.0</v>
      </c>
      <c r="AH1176" s="74"/>
      <c r="AI1176" s="78"/>
      <c r="AJ1176" s="79"/>
      <c r="AK1176" s="84"/>
      <c r="AL1176" s="279"/>
      <c r="AM1176" s="76"/>
      <c r="AN1176" s="79"/>
      <c r="AO1176" s="84"/>
      <c r="AP1176" s="79"/>
      <c r="AQ1176" s="84"/>
      <c r="AR1176" s="79"/>
      <c r="AS1176" s="79"/>
      <c r="AT1176" s="79"/>
      <c r="AU1176" s="80"/>
      <c r="AV1176" s="79"/>
      <c r="AW1176" s="38"/>
      <c r="AX1176" s="79"/>
      <c r="AY1176" s="38"/>
      <c r="AZ1176" s="79"/>
      <c r="BA1176" s="80"/>
      <c r="BB1176" s="79"/>
      <c r="BC1176" s="80"/>
      <c r="BD1176" s="79"/>
      <c r="BE1176" s="38"/>
      <c r="BF1176" s="74"/>
      <c r="BG1176" s="16"/>
      <c r="BH1176" s="16"/>
      <c r="BI1176" s="16"/>
      <c r="BJ1176" s="16"/>
      <c r="BK1176" s="16"/>
      <c r="BL1176" s="16"/>
      <c r="BM1176" s="16"/>
      <c r="BN1176" s="16"/>
      <c r="BO1176" s="16"/>
      <c r="BP1176" s="16"/>
      <c r="BQ1176" s="16"/>
      <c r="BR1176" s="16"/>
      <c r="BS1176" s="16"/>
      <c r="BT1176" s="16"/>
      <c r="BU1176" s="16"/>
      <c r="BV1176" s="16"/>
      <c r="BW1176" s="16"/>
      <c r="BX1176" s="16"/>
      <c r="BY1176" s="16"/>
      <c r="BZ1176" s="16"/>
      <c r="CA1176" s="16"/>
      <c r="CB1176" s="16"/>
      <c r="CC1176" s="16"/>
      <c r="CD1176" s="16"/>
      <c r="CE1176" s="16"/>
      <c r="CF1176" s="16"/>
      <c r="CG1176" s="16"/>
      <c r="CH1176" s="16"/>
      <c r="CI1176" s="16"/>
      <c r="CJ1176" s="16"/>
      <c r="CK1176" s="16"/>
      <c r="CL1176" s="16"/>
      <c r="CM1176" s="16"/>
      <c r="CN1176" s="16"/>
      <c r="CO1176" s="16"/>
      <c r="CP1176" s="16"/>
    </row>
    <row r="1177" ht="15.75" customHeight="1">
      <c r="A1177" s="442" t="s">
        <v>5628</v>
      </c>
      <c r="B1177" s="16" t="s">
        <v>2105</v>
      </c>
      <c r="C1177" s="16" t="s">
        <v>207</v>
      </c>
      <c r="D1177" s="192" t="s">
        <v>5629</v>
      </c>
      <c r="E1177" s="192" t="s">
        <v>5630</v>
      </c>
      <c r="F1177" s="118" t="s">
        <v>5631</v>
      </c>
      <c r="G1177" s="22" t="s">
        <v>5632</v>
      </c>
      <c r="H1177" s="22" t="s">
        <v>163</v>
      </c>
      <c r="I1177" s="23" t="s">
        <v>164</v>
      </c>
      <c r="J1177" s="24" t="s">
        <v>1812</v>
      </c>
      <c r="K1177" s="23">
        <v>1.0</v>
      </c>
      <c r="L1177" s="23">
        <v>2014.0</v>
      </c>
      <c r="M1177" s="25">
        <f t="shared" si="764"/>
        <v>11</v>
      </c>
      <c r="N1177" s="26">
        <f t="shared" si="765"/>
        <v>1</v>
      </c>
      <c r="O1177" s="27" t="str">
        <f t="shared" si="3"/>
        <v>#N/A</v>
      </c>
      <c r="P1177" s="28"/>
      <c r="Q1177" s="28"/>
      <c r="R1177" s="28"/>
      <c r="S1177" s="28"/>
      <c r="T1177" s="29">
        <f t="shared" si="766"/>
        <v>45454.54545</v>
      </c>
      <c r="U1177" s="28"/>
      <c r="V1177" s="30">
        <f t="shared" si="425"/>
        <v>500000</v>
      </c>
      <c r="W1177" s="30"/>
      <c r="X1177" s="33"/>
      <c r="Y1177" s="33">
        <f t="shared" si="767"/>
        <v>0</v>
      </c>
      <c r="Z1177" s="692"/>
      <c r="AA1177" s="665"/>
      <c r="AB1177" s="36"/>
      <c r="AC1177" s="36"/>
      <c r="AD1177" s="42">
        <v>42088.0</v>
      </c>
      <c r="AE1177" s="38">
        <v>500000.0</v>
      </c>
      <c r="AF1177" s="932"/>
      <c r="AG1177" s="46"/>
      <c r="AH1177" s="36"/>
      <c r="AI1177" s="159"/>
      <c r="AJ1177" s="44"/>
      <c r="AK1177" s="46"/>
      <c r="AL1177" s="44"/>
      <c r="AM1177" s="46"/>
      <c r="AN1177" s="44"/>
      <c r="AO1177" s="46"/>
      <c r="AP1177" s="44"/>
      <c r="AQ1177" s="46"/>
      <c r="AR1177" s="44"/>
      <c r="AS1177" s="44"/>
      <c r="AT1177" s="44"/>
      <c r="AU1177" s="45"/>
      <c r="AV1177" s="44"/>
      <c r="AW1177" s="38"/>
      <c r="AX1177" s="44"/>
      <c r="AY1177" s="38"/>
      <c r="AZ1177" s="44"/>
      <c r="BA1177" s="45"/>
      <c r="BB1177" s="44"/>
      <c r="BC1177" s="45"/>
      <c r="BD1177" s="44"/>
      <c r="BE1177" s="38"/>
      <c r="BF1177" s="36"/>
      <c r="BG1177" s="534"/>
      <c r="BH1177" s="534"/>
      <c r="BI1177" s="534"/>
      <c r="BJ1177" s="534"/>
      <c r="BK1177" s="534"/>
      <c r="BL1177" s="534"/>
      <c r="BM1177" s="534"/>
      <c r="BN1177" s="534"/>
      <c r="BO1177" s="534"/>
      <c r="BP1177" s="534"/>
      <c r="BQ1177" s="534"/>
      <c r="BR1177" s="534"/>
      <c r="BS1177" s="534"/>
      <c r="BT1177" s="534"/>
      <c r="BU1177" s="534"/>
      <c r="BV1177" s="534"/>
      <c r="BW1177" s="534"/>
      <c r="BX1177" s="534"/>
      <c r="BY1177" s="534"/>
      <c r="BZ1177" s="534"/>
      <c r="CA1177" s="534"/>
      <c r="CB1177" s="534"/>
      <c r="CC1177" s="534"/>
      <c r="CD1177" s="534"/>
      <c r="CE1177" s="534"/>
      <c r="CF1177" s="534"/>
      <c r="CG1177" s="534"/>
      <c r="CH1177" s="534"/>
      <c r="CI1177" s="534"/>
      <c r="CJ1177" s="534"/>
      <c r="CK1177" s="534"/>
      <c r="CL1177" s="534"/>
      <c r="CM1177" s="534"/>
      <c r="CN1177" s="534"/>
      <c r="CO1177" s="534"/>
      <c r="CP1177" s="534"/>
    </row>
    <row r="1178" ht="15.75" customHeight="1">
      <c r="A1178" s="21" t="s">
        <v>5633</v>
      </c>
      <c r="B1178" s="69" t="s">
        <v>5634</v>
      </c>
      <c r="C1178" s="69" t="s">
        <v>59</v>
      </c>
      <c r="D1178" s="200" t="s">
        <v>5635</v>
      </c>
      <c r="E1178" s="200" t="s">
        <v>5636</v>
      </c>
      <c r="F1178" s="154" t="s">
        <v>5637</v>
      </c>
      <c r="G1178" s="140" t="s">
        <v>5638</v>
      </c>
      <c r="H1178" s="140" t="s">
        <v>5639</v>
      </c>
      <c r="I1178" s="26" t="s">
        <v>1703</v>
      </c>
      <c r="J1178" s="72" t="s">
        <v>5640</v>
      </c>
      <c r="K1178" s="26">
        <v>4.0</v>
      </c>
      <c r="L1178" s="26">
        <v>2018.0</v>
      </c>
      <c r="M1178" s="25">
        <f t="shared" si="764"/>
        <v>7</v>
      </c>
      <c r="N1178" s="26">
        <f t="shared" si="765"/>
        <v>1</v>
      </c>
      <c r="O1178" s="27" t="str">
        <f t="shared" si="3"/>
        <v>#N/A</v>
      </c>
      <c r="P1178" s="28"/>
      <c r="Q1178" s="28"/>
      <c r="R1178" s="28"/>
      <c r="S1178" s="28"/>
      <c r="T1178" s="29">
        <f t="shared" si="766"/>
        <v>71428.57143</v>
      </c>
      <c r="U1178" s="28"/>
      <c r="V1178" s="30">
        <f t="shared" si="425"/>
        <v>500000</v>
      </c>
      <c r="W1178" s="30"/>
      <c r="X1178" s="73"/>
      <c r="Y1178" s="33">
        <f t="shared" si="767"/>
        <v>0</v>
      </c>
      <c r="Z1178" s="692"/>
      <c r="AA1178" s="665"/>
      <c r="AB1178" s="74"/>
      <c r="AC1178" s="74"/>
      <c r="AD1178" s="181" t="str">
        <f>HYPERLINK("https://www.crunchbase.com/funding_round/halo-2e0a-pre-seed--dc9dbdee"," Jun 5, 2019        
")</f>
        <v> Jun 5, 2019        
</v>
      </c>
      <c r="AE1178" s="76">
        <v>500000.0</v>
      </c>
      <c r="AF1178" s="338"/>
      <c r="AG1178" s="84"/>
      <c r="AH1178" s="74"/>
      <c r="AI1178" s="78"/>
      <c r="AJ1178" s="79"/>
      <c r="AK1178" s="84"/>
      <c r="AL1178" s="79"/>
      <c r="AM1178" s="84"/>
      <c r="AN1178" s="79"/>
      <c r="AO1178" s="84"/>
      <c r="AP1178" s="79"/>
      <c r="AQ1178" s="84"/>
      <c r="AR1178" s="79"/>
      <c r="AS1178" s="79"/>
      <c r="AT1178" s="79"/>
      <c r="AU1178" s="80"/>
      <c r="AV1178" s="79"/>
      <c r="AW1178" s="38"/>
      <c r="AX1178" s="79"/>
      <c r="AY1178" s="38"/>
      <c r="AZ1178" s="79"/>
      <c r="BA1178" s="80"/>
      <c r="BB1178" s="79"/>
      <c r="BC1178" s="80"/>
      <c r="BD1178" s="79"/>
      <c r="BE1178" s="38"/>
      <c r="BF1178" s="74"/>
      <c r="BG1178" s="16"/>
      <c r="BH1178" s="16"/>
      <c r="BI1178" s="16"/>
      <c r="BJ1178" s="16"/>
      <c r="BK1178" s="16"/>
      <c r="BL1178" s="16"/>
      <c r="BM1178" s="16"/>
      <c r="BN1178" s="16"/>
      <c r="BO1178" s="16"/>
      <c r="BP1178" s="16"/>
      <c r="BQ1178" s="16"/>
      <c r="BR1178" s="16"/>
      <c r="BS1178" s="16"/>
      <c r="BT1178" s="16"/>
      <c r="BU1178" s="16"/>
      <c r="BV1178" s="16"/>
      <c r="BW1178" s="16"/>
      <c r="BX1178" s="16"/>
      <c r="BY1178" s="16"/>
      <c r="BZ1178" s="16"/>
      <c r="CA1178" s="16"/>
      <c r="CB1178" s="16"/>
      <c r="CC1178" s="16"/>
      <c r="CD1178" s="16"/>
      <c r="CE1178" s="16"/>
      <c r="CF1178" s="16"/>
      <c r="CG1178" s="16"/>
      <c r="CH1178" s="16"/>
      <c r="CI1178" s="16"/>
      <c r="CJ1178" s="16"/>
      <c r="CK1178" s="16"/>
      <c r="CL1178" s="16"/>
      <c r="CM1178" s="16"/>
      <c r="CN1178" s="16"/>
      <c r="CO1178" s="16"/>
      <c r="CP1178" s="16"/>
    </row>
    <row r="1179" ht="15.75" customHeight="1">
      <c r="A1179" s="860" t="s">
        <v>5641</v>
      </c>
      <c r="B1179" s="68"/>
      <c r="C1179" s="69" t="s">
        <v>84</v>
      </c>
      <c r="D1179" s="192" t="s">
        <v>5642</v>
      </c>
      <c r="E1179" s="192" t="s">
        <v>5643</v>
      </c>
      <c r="F1179" s="118" t="s">
        <v>5644</v>
      </c>
      <c r="G1179" s="186"/>
      <c r="H1179" s="71" t="s">
        <v>1918</v>
      </c>
      <c r="I1179" s="26" t="s">
        <v>1384</v>
      </c>
      <c r="J1179" s="155"/>
      <c r="K1179" s="74"/>
      <c r="L1179" s="26">
        <v>2018.0</v>
      </c>
      <c r="M1179" s="25">
        <f t="shared" si="764"/>
        <v>7</v>
      </c>
      <c r="N1179" s="26">
        <f t="shared" si="765"/>
        <v>1</v>
      </c>
      <c r="O1179" s="27" t="str">
        <f t="shared" si="3"/>
        <v>#N/A</v>
      </c>
      <c r="P1179" s="273"/>
      <c r="Q1179" s="273"/>
      <c r="R1179" s="273"/>
      <c r="S1179" s="273"/>
      <c r="T1179" s="273"/>
      <c r="U1179" s="273"/>
      <c r="V1179" s="30">
        <f t="shared" si="425"/>
        <v>500000</v>
      </c>
      <c r="W1179" s="30"/>
      <c r="X1179" s="32"/>
      <c r="Y1179" s="33">
        <f t="shared" si="767"/>
        <v>0</v>
      </c>
      <c r="Z1179" s="692"/>
      <c r="AA1179" s="665"/>
      <c r="AB1179" s="74"/>
      <c r="AC1179" s="74"/>
      <c r="AD1179" s="180">
        <v>43435.0</v>
      </c>
      <c r="AE1179" s="38">
        <v>500000.0</v>
      </c>
      <c r="AF1179" s="39"/>
      <c r="AG1179" s="38"/>
      <c r="AH1179" s="36"/>
      <c r="AI1179" s="41"/>
      <c r="AJ1179" s="44"/>
      <c r="AK1179" s="46"/>
      <c r="AL1179" s="44"/>
      <c r="AM1179" s="84"/>
      <c r="AN1179" s="79"/>
      <c r="AO1179" s="84"/>
      <c r="AP1179" s="79"/>
      <c r="AQ1179" s="84"/>
      <c r="AR1179" s="79"/>
      <c r="AS1179" s="79"/>
      <c r="AT1179" s="79"/>
      <c r="AU1179" s="80"/>
      <c r="AV1179" s="79"/>
      <c r="AW1179" s="38"/>
      <c r="AX1179" s="79"/>
      <c r="AY1179" s="38"/>
      <c r="AZ1179" s="79"/>
      <c r="BA1179" s="80"/>
      <c r="BB1179" s="79"/>
      <c r="BC1179" s="80"/>
      <c r="BD1179" s="79"/>
      <c r="BE1179" s="38"/>
      <c r="BF1179" s="74"/>
      <c r="BG1179" s="16"/>
      <c r="BH1179" s="16"/>
      <c r="BI1179" s="16"/>
      <c r="BJ1179" s="16"/>
      <c r="BK1179" s="16"/>
      <c r="BL1179" s="16"/>
      <c r="BM1179" s="16"/>
      <c r="BN1179" s="16"/>
      <c r="BO1179" s="16"/>
      <c r="BP1179" s="16"/>
      <c r="BQ1179" s="16"/>
      <c r="BR1179" s="16"/>
      <c r="BS1179" s="16"/>
      <c r="BT1179" s="16"/>
      <c r="BU1179" s="16"/>
      <c r="BV1179" s="16"/>
      <c r="BW1179" s="16"/>
      <c r="BX1179" s="16"/>
      <c r="BY1179" s="16"/>
      <c r="BZ1179" s="16"/>
      <c r="CA1179" s="16"/>
      <c r="CB1179" s="16"/>
      <c r="CC1179" s="16"/>
      <c r="CD1179" s="16"/>
      <c r="CE1179" s="16"/>
      <c r="CF1179" s="16"/>
      <c r="CG1179" s="16"/>
      <c r="CH1179" s="16"/>
      <c r="CI1179" s="16"/>
      <c r="CJ1179" s="16"/>
      <c r="CK1179" s="16"/>
      <c r="CL1179" s="16"/>
      <c r="CM1179" s="16"/>
      <c r="CN1179" s="16"/>
      <c r="CO1179" s="16"/>
      <c r="CP1179" s="16"/>
    </row>
    <row r="1180" ht="15.75" customHeight="1">
      <c r="A1180" s="400" t="s">
        <v>5645</v>
      </c>
      <c r="B1180" s="115"/>
      <c r="C1180" s="116" t="s">
        <v>84</v>
      </c>
      <c r="D1180" s="401" t="s">
        <v>5646</v>
      </c>
      <c r="E1180" s="161" t="s">
        <v>5647</v>
      </c>
      <c r="F1180" s="402" t="s">
        <v>5648</v>
      </c>
      <c r="G1180" s="286"/>
      <c r="H1180" s="119" t="s">
        <v>5649</v>
      </c>
      <c r="I1180" s="25" t="s">
        <v>5650</v>
      </c>
      <c r="J1180" s="287"/>
      <c r="K1180" s="25">
        <v>1.0</v>
      </c>
      <c r="L1180" s="25">
        <v>2021.0</v>
      </c>
      <c r="M1180" s="123"/>
      <c r="N1180" s="123"/>
      <c r="O1180" s="27" t="str">
        <f t="shared" si="3"/>
        <v>#N/A</v>
      </c>
      <c r="P1180" s="55"/>
      <c r="Q1180" s="55"/>
      <c r="R1180" s="55"/>
      <c r="S1180" s="55"/>
      <c r="T1180" s="55"/>
      <c r="U1180" s="55"/>
      <c r="V1180" s="30">
        <f t="shared" si="425"/>
        <v>500000</v>
      </c>
      <c r="W1180" s="30"/>
      <c r="X1180" s="403"/>
      <c r="Y1180" s="403"/>
      <c r="Z1180" s="692"/>
      <c r="AA1180" s="665"/>
      <c r="AB1180" s="123"/>
      <c r="AC1180" s="123"/>
      <c r="AD1180" s="404">
        <v>44858.0</v>
      </c>
      <c r="AE1180" s="170">
        <v>500000.0</v>
      </c>
      <c r="AF1180" s="453"/>
      <c r="AG1180" s="123"/>
      <c r="AH1180" s="123"/>
      <c r="AI1180" s="123"/>
      <c r="AJ1180" s="123"/>
      <c r="AK1180" s="123"/>
      <c r="AL1180" s="123"/>
      <c r="AM1180" s="123"/>
      <c r="AN1180" s="123"/>
      <c r="AO1180" s="123"/>
      <c r="AP1180" s="123"/>
      <c r="AQ1180" s="123"/>
      <c r="AR1180" s="123"/>
      <c r="AS1180" s="123"/>
      <c r="AT1180" s="123"/>
      <c r="AU1180" s="137"/>
      <c r="AV1180" s="123"/>
      <c r="AW1180" s="38"/>
      <c r="AX1180" s="123"/>
      <c r="AY1180" s="38"/>
      <c r="AZ1180" s="123"/>
      <c r="BA1180" s="137"/>
      <c r="BB1180" s="123"/>
      <c r="BC1180" s="137"/>
      <c r="BD1180" s="123"/>
      <c r="BE1180" s="38"/>
      <c r="BF1180" s="123"/>
      <c r="BG1180" s="16"/>
      <c r="BH1180" s="16"/>
      <c r="BI1180" s="16"/>
      <c r="BJ1180" s="16"/>
      <c r="BK1180" s="16"/>
      <c r="BL1180" s="16"/>
      <c r="BM1180" s="16"/>
      <c r="BN1180" s="16"/>
      <c r="BO1180" s="16"/>
      <c r="BP1180" s="16"/>
      <c r="BQ1180" s="16"/>
      <c r="BR1180" s="16"/>
      <c r="BS1180" s="16"/>
      <c r="BT1180" s="16"/>
      <c r="BU1180" s="16"/>
      <c r="BV1180" s="16"/>
      <c r="BW1180" s="16"/>
      <c r="BX1180" s="16"/>
      <c r="BY1180" s="16"/>
      <c r="BZ1180" s="16"/>
      <c r="CA1180" s="16"/>
      <c r="CB1180" s="16"/>
      <c r="CC1180" s="16"/>
      <c r="CD1180" s="16"/>
      <c r="CE1180" s="16"/>
      <c r="CF1180" s="16"/>
      <c r="CG1180" s="16"/>
      <c r="CH1180" s="16"/>
      <c r="CI1180" s="16"/>
      <c r="CJ1180" s="16"/>
      <c r="CK1180" s="16"/>
      <c r="CL1180" s="16"/>
      <c r="CM1180" s="16"/>
      <c r="CN1180" s="16"/>
      <c r="CO1180" s="16"/>
      <c r="CP1180" s="16"/>
    </row>
    <row r="1181" ht="15.75" customHeight="1">
      <c r="A1181" s="21" t="s">
        <v>5651</v>
      </c>
      <c r="B1181" s="68"/>
      <c r="C1181" s="69" t="s">
        <v>2808</v>
      </c>
      <c r="D1181" s="200" t="s">
        <v>5652</v>
      </c>
      <c r="E1181" s="200" t="s">
        <v>5653</v>
      </c>
      <c r="F1181" s="1335" t="s">
        <v>5654</v>
      </c>
      <c r="G1181" s="71" t="s">
        <v>5655</v>
      </c>
      <c r="H1181" s="71" t="s">
        <v>5656</v>
      </c>
      <c r="I1181" s="26" t="s">
        <v>129</v>
      </c>
      <c r="J1181" s="72" t="s">
        <v>5657</v>
      </c>
      <c r="K1181" s="26">
        <v>2.0</v>
      </c>
      <c r="L1181" s="26">
        <v>2015.0</v>
      </c>
      <c r="M1181" s="25">
        <f>year(now()) -L1181</f>
        <v>10</v>
      </c>
      <c r="N1181" s="26">
        <f>counta(AE1181,AG1181,AI1181,AK1181,AM1181,AO1181,AQ1181,AS1181,AU1181,AW1181,AY1181,BA1181,BC1181)</f>
        <v>1</v>
      </c>
      <c r="O1181" s="27" t="str">
        <f t="shared" si="3"/>
        <v>#N/A</v>
      </c>
      <c r="P1181" s="28"/>
      <c r="Q1181" s="28"/>
      <c r="R1181" s="28"/>
      <c r="S1181" s="28"/>
      <c r="T1181" s="29">
        <f>V1181/M1181</f>
        <v>47500</v>
      </c>
      <c r="U1181" s="28"/>
      <c r="V1181" s="30">
        <f t="shared" si="425"/>
        <v>475000</v>
      </c>
      <c r="W1181" s="30"/>
      <c r="X1181" s="73"/>
      <c r="Y1181" s="33">
        <f>(max(AE1181,AG1181,AI1181,AK1181,AM1181,AO1181,AQ1181,AS1181,AU1181,AW1181,AY1181,BA1181,BC1181)/min(AE1181,AG1181,AI1181,AK1181))^(1/M1181)-1</f>
        <v>0</v>
      </c>
      <c r="Z1181" s="692"/>
      <c r="AA1181" s="665"/>
      <c r="AB1181" s="74"/>
      <c r="AC1181" s="74"/>
      <c r="AD1181" s="79"/>
      <c r="AE1181" s="84"/>
      <c r="AF1181" s="175" t="str">
        <f>HYPERLINK("https://www.crunchbase.com/organization/stringbean-technologies#section-funding-rounds"," Apr 6, 2017")</f>
        <v> Apr 6, 2017</v>
      </c>
      <c r="AG1181" s="76">
        <v>475000.0</v>
      </c>
      <c r="AH1181" s="74"/>
      <c r="AI1181" s="78"/>
      <c r="AJ1181" s="79"/>
      <c r="AK1181" s="84"/>
      <c r="AL1181" s="79"/>
      <c r="AM1181" s="84"/>
      <c r="AN1181" s="79"/>
      <c r="AO1181" s="84"/>
      <c r="AP1181" s="79"/>
      <c r="AQ1181" s="84"/>
      <c r="AR1181" s="79"/>
      <c r="AS1181" s="79"/>
      <c r="AT1181" s="79"/>
      <c r="AU1181" s="80"/>
      <c r="AV1181" s="79"/>
      <c r="AW1181" s="38"/>
      <c r="AX1181" s="79"/>
      <c r="AY1181" s="38"/>
      <c r="AZ1181" s="79"/>
      <c r="BA1181" s="80"/>
      <c r="BB1181" s="79"/>
      <c r="BC1181" s="80"/>
      <c r="BD1181" s="79"/>
      <c r="BE1181" s="38"/>
      <c r="BF1181" s="74"/>
      <c r="BG1181" s="16"/>
      <c r="BH1181" s="16"/>
      <c r="BI1181" s="16"/>
      <c r="BJ1181" s="16"/>
      <c r="BK1181" s="16"/>
      <c r="BL1181" s="16"/>
      <c r="BM1181" s="16"/>
      <c r="BN1181" s="16"/>
      <c r="BO1181" s="16"/>
      <c r="BP1181" s="16"/>
      <c r="BQ1181" s="16"/>
      <c r="BR1181" s="16"/>
      <c r="BS1181" s="16"/>
      <c r="BT1181" s="16"/>
      <c r="BU1181" s="16"/>
      <c r="BV1181" s="16"/>
      <c r="BW1181" s="16"/>
      <c r="BX1181" s="16"/>
      <c r="BY1181" s="16"/>
      <c r="BZ1181" s="16"/>
      <c r="CA1181" s="16"/>
      <c r="CB1181" s="16"/>
      <c r="CC1181" s="16"/>
      <c r="CD1181" s="16"/>
      <c r="CE1181" s="16"/>
      <c r="CF1181" s="16"/>
      <c r="CG1181" s="16"/>
      <c r="CH1181" s="16"/>
      <c r="CI1181" s="16"/>
      <c r="CJ1181" s="16"/>
      <c r="CK1181" s="16"/>
      <c r="CL1181" s="16"/>
      <c r="CM1181" s="16"/>
      <c r="CN1181" s="16"/>
      <c r="CO1181" s="16"/>
      <c r="CP1181" s="16"/>
    </row>
    <row r="1182" ht="15.75" customHeight="1">
      <c r="A1182" s="400" t="s">
        <v>5658</v>
      </c>
      <c r="B1182" s="115"/>
      <c r="C1182" s="116" t="s">
        <v>68</v>
      </c>
      <c r="D1182" s="449"/>
      <c r="E1182" s="161" t="s">
        <v>5659</v>
      </c>
      <c r="F1182" s="402" t="s">
        <v>5660</v>
      </c>
      <c r="G1182" s="286"/>
      <c r="H1182" s="119" t="s">
        <v>194</v>
      </c>
      <c r="I1182" s="25" t="s">
        <v>195</v>
      </c>
      <c r="J1182" s="287"/>
      <c r="K1182" s="25">
        <v>3.0</v>
      </c>
      <c r="L1182" s="25">
        <v>2021.0</v>
      </c>
      <c r="M1182" s="123"/>
      <c r="N1182" s="123"/>
      <c r="O1182" s="27" t="str">
        <f t="shared" si="3"/>
        <v>#N/A</v>
      </c>
      <c r="P1182" s="55"/>
      <c r="Q1182" s="55"/>
      <c r="R1182" s="55"/>
      <c r="S1182" s="55"/>
      <c r="T1182" s="55"/>
      <c r="U1182" s="55"/>
      <c r="V1182" s="30">
        <f t="shared" si="425"/>
        <v>442600</v>
      </c>
      <c r="W1182" s="30"/>
      <c r="X1182" s="403"/>
      <c r="Y1182" s="403"/>
      <c r="Z1182" s="692"/>
      <c r="AA1182" s="665"/>
      <c r="AB1182" s="123"/>
      <c r="AC1182" s="123"/>
      <c r="AD1182" s="404">
        <v>44896.0</v>
      </c>
      <c r="AE1182" s="335">
        <v>442600.0</v>
      </c>
      <c r="AF1182" s="453"/>
      <c r="AG1182" s="123"/>
      <c r="AH1182" s="123"/>
      <c r="AI1182" s="123"/>
      <c r="AJ1182" s="123"/>
      <c r="AK1182" s="123"/>
      <c r="AL1182" s="123"/>
      <c r="AM1182" s="123"/>
      <c r="AN1182" s="123"/>
      <c r="AO1182" s="123"/>
      <c r="AP1182" s="123"/>
      <c r="AQ1182" s="123"/>
      <c r="AR1182" s="123"/>
      <c r="AS1182" s="123"/>
      <c r="AT1182" s="123"/>
      <c r="AU1182" s="137"/>
      <c r="AV1182" s="123"/>
      <c r="AW1182" s="38"/>
      <c r="AX1182" s="123"/>
      <c r="AY1182" s="38"/>
      <c r="AZ1182" s="123"/>
      <c r="BA1182" s="137"/>
      <c r="BB1182" s="123"/>
      <c r="BC1182" s="137"/>
      <c r="BD1182" s="123"/>
      <c r="BE1182" s="38"/>
      <c r="BF1182" s="123"/>
      <c r="BG1182" s="16"/>
      <c r="BH1182" s="16"/>
      <c r="BI1182" s="16"/>
      <c r="BJ1182" s="16"/>
      <c r="BK1182" s="16"/>
      <c r="BL1182" s="16"/>
      <c r="BM1182" s="16"/>
      <c r="BN1182" s="16"/>
      <c r="BO1182" s="16"/>
      <c r="BP1182" s="16"/>
      <c r="BQ1182" s="16"/>
      <c r="BR1182" s="16"/>
      <c r="BS1182" s="16"/>
      <c r="BT1182" s="16"/>
      <c r="BU1182" s="16"/>
      <c r="BV1182" s="16"/>
      <c r="BW1182" s="16"/>
      <c r="BX1182" s="16"/>
      <c r="BY1182" s="16"/>
      <c r="BZ1182" s="16"/>
      <c r="CA1182" s="16"/>
      <c r="CB1182" s="16"/>
      <c r="CC1182" s="16"/>
      <c r="CD1182" s="16"/>
      <c r="CE1182" s="16"/>
      <c r="CF1182" s="16"/>
      <c r="CG1182" s="16"/>
      <c r="CH1182" s="16"/>
      <c r="CI1182" s="16"/>
      <c r="CJ1182" s="16"/>
      <c r="CK1182" s="16"/>
      <c r="CL1182" s="16"/>
      <c r="CM1182" s="16"/>
      <c r="CN1182" s="16"/>
      <c r="CO1182" s="16"/>
      <c r="CP1182" s="16"/>
    </row>
    <row r="1183" ht="15.75" customHeight="1">
      <c r="A1183" s="21" t="s">
        <v>5661</v>
      </c>
      <c r="B1183" s="68"/>
      <c r="C1183" s="69" t="s">
        <v>2808</v>
      </c>
      <c r="D1183" s="200" t="s">
        <v>5662</v>
      </c>
      <c r="E1183" s="138" t="s">
        <v>5663</v>
      </c>
      <c r="F1183" s="173" t="s">
        <v>5664</v>
      </c>
      <c r="G1183" s="140" t="s">
        <v>5665</v>
      </c>
      <c r="H1183" s="140" t="s">
        <v>128</v>
      </c>
      <c r="I1183" s="71" t="s">
        <v>129</v>
      </c>
      <c r="J1183" s="72" t="s">
        <v>798</v>
      </c>
      <c r="K1183" s="74" t="s">
        <v>723</v>
      </c>
      <c r="L1183" s="74" t="s">
        <v>723</v>
      </c>
      <c r="M1183" s="25" t="str">
        <f t="shared" ref="M1183:M1184" si="768">year(now()) -L1183</f>
        <v>#VALUE!</v>
      </c>
      <c r="N1183" s="26">
        <f t="shared" ref="N1183:N1184" si="769">counta(AE1183,AG1183,AI1183,AK1183,AM1183,AO1183,AQ1183,AS1183,AU1183,AW1183,AY1183,BA1183,BC1183)</f>
        <v>1</v>
      </c>
      <c r="O1183" s="27" t="str">
        <f t="shared" si="3"/>
        <v>#N/A</v>
      </c>
      <c r="P1183" s="28"/>
      <c r="Q1183" s="28"/>
      <c r="R1183" s="28"/>
      <c r="S1183" s="28"/>
      <c r="T1183" s="28" t="str">
        <f t="shared" ref="T1183:T1184" si="770">V1183/M1183</f>
        <v>#VALUE!</v>
      </c>
      <c r="U1183" s="28"/>
      <c r="V1183" s="30">
        <f t="shared" si="425"/>
        <v>415000</v>
      </c>
      <c r="W1183" s="30"/>
      <c r="X1183" s="32"/>
      <c r="Y1183" s="33" t="str">
        <f t="shared" ref="Y1183:Y1184" si="771">(max(AE1183,AG1183,AI1183,AK1183,AM1183,AO1183,AQ1183,AS1183,AU1183,AW1183,AY1183,BA1183,BC1183)/min(AE1183,AG1183,AI1183,AK1183))^(1/M1183)-1</f>
        <v>#VALUE!</v>
      </c>
      <c r="Z1183" s="692"/>
      <c r="AA1183" s="665"/>
      <c r="AB1183" s="74"/>
      <c r="AC1183" s="74"/>
      <c r="AD1183" s="79"/>
      <c r="AE1183" s="84"/>
      <c r="AF1183" s="175" t="str">
        <f>HYPERLINK("https://angel.co/company/owal-inc/funding","May, 2016")</f>
        <v>May, 2016</v>
      </c>
      <c r="AG1183" s="76">
        <v>415000.0</v>
      </c>
      <c r="AH1183" s="74"/>
      <c r="AI1183" s="78"/>
      <c r="AJ1183" s="79"/>
      <c r="AK1183" s="84"/>
      <c r="AL1183" s="79"/>
      <c r="AM1183" s="84"/>
      <c r="AN1183" s="79"/>
      <c r="AO1183" s="84"/>
      <c r="AP1183" s="79"/>
      <c r="AQ1183" s="84"/>
      <c r="AR1183" s="79"/>
      <c r="AS1183" s="79"/>
      <c r="AT1183" s="79"/>
      <c r="AU1183" s="80"/>
      <c r="AV1183" s="79"/>
      <c r="AW1183" s="38"/>
      <c r="AX1183" s="79"/>
      <c r="AY1183" s="38"/>
      <c r="AZ1183" s="79"/>
      <c r="BA1183" s="80"/>
      <c r="BB1183" s="79"/>
      <c r="BC1183" s="80"/>
      <c r="BD1183" s="79"/>
      <c r="BE1183" s="38"/>
      <c r="BF1183" s="74"/>
      <c r="BG1183" s="16"/>
      <c r="BH1183" s="16"/>
      <c r="BI1183" s="16"/>
      <c r="BJ1183" s="16"/>
      <c r="BK1183" s="16"/>
      <c r="BL1183" s="16"/>
      <c r="BM1183" s="16"/>
      <c r="BN1183" s="16"/>
      <c r="BO1183" s="16"/>
      <c r="BP1183" s="16"/>
      <c r="BQ1183" s="16"/>
      <c r="BR1183" s="16"/>
      <c r="BS1183" s="16"/>
      <c r="BT1183" s="16"/>
      <c r="BU1183" s="16"/>
      <c r="BV1183" s="16"/>
      <c r="BW1183" s="16"/>
      <c r="BX1183" s="16"/>
      <c r="BY1183" s="16"/>
      <c r="BZ1183" s="16"/>
      <c r="CA1183" s="16"/>
      <c r="CB1183" s="16"/>
      <c r="CC1183" s="16"/>
      <c r="CD1183" s="16"/>
      <c r="CE1183" s="16"/>
      <c r="CF1183" s="16"/>
      <c r="CG1183" s="16"/>
      <c r="CH1183" s="16"/>
      <c r="CI1183" s="16"/>
      <c r="CJ1183" s="16"/>
      <c r="CK1183" s="16"/>
      <c r="CL1183" s="16"/>
      <c r="CM1183" s="16"/>
      <c r="CN1183" s="16"/>
      <c r="CO1183" s="16"/>
      <c r="CP1183" s="16"/>
    </row>
    <row r="1184" ht="15.75" customHeight="1">
      <c r="A1184" s="666" t="s">
        <v>5666</v>
      </c>
      <c r="B1184" s="115" t="s">
        <v>1056</v>
      </c>
      <c r="C1184" s="115" t="s">
        <v>132</v>
      </c>
      <c r="D1184" s="667" t="s">
        <v>5667</v>
      </c>
      <c r="E1184" s="667" t="s">
        <v>5668</v>
      </c>
      <c r="F1184" s="668" t="s">
        <v>5669</v>
      </c>
      <c r="G1184" s="286" t="s">
        <v>5670</v>
      </c>
      <c r="H1184" s="286" t="s">
        <v>5671</v>
      </c>
      <c r="I1184" s="25" t="s">
        <v>263</v>
      </c>
      <c r="J1184" s="287">
        <v>27623.0</v>
      </c>
      <c r="K1184" s="123">
        <v>3.0</v>
      </c>
      <c r="L1184" s="25">
        <v>2014.0</v>
      </c>
      <c r="M1184" s="25">
        <f t="shared" si="768"/>
        <v>11</v>
      </c>
      <c r="N1184" s="26">
        <f t="shared" si="769"/>
        <v>2</v>
      </c>
      <c r="O1184" s="27" t="str">
        <f t="shared" si="3"/>
        <v>#N/A</v>
      </c>
      <c r="P1184" s="28"/>
      <c r="Q1184" s="28"/>
      <c r="R1184" s="28"/>
      <c r="S1184" s="28"/>
      <c r="T1184" s="29">
        <f t="shared" si="770"/>
        <v>36363.63636</v>
      </c>
      <c r="U1184" s="28"/>
      <c r="V1184" s="30">
        <f t="shared" si="425"/>
        <v>400000</v>
      </c>
      <c r="W1184" s="30"/>
      <c r="X1184" s="403"/>
      <c r="Y1184" s="33">
        <f t="shared" si="771"/>
        <v>0.1935128372</v>
      </c>
      <c r="Z1184" s="692"/>
      <c r="AA1184" s="665"/>
      <c r="AB1184" s="123"/>
      <c r="AC1184" s="123"/>
      <c r="AD1184" s="124"/>
      <c r="AE1184" s="125"/>
      <c r="AF1184" s="126" t="str">
        <f>HYPERLINK("https://www.crunchbase.com/organization/servusconnect#section-funding-rounds"," Dec 22, 2017")</f>
        <v> Dec 22, 2017</v>
      </c>
      <c r="AG1184" s="127">
        <v>50000.0</v>
      </c>
      <c r="AH1184" s="1331" t="str">
        <f>HYPERLINK("https://www.crunchbase.com/funding_round/servusconnect-seed--63c8ff37","Feb 3, 2017")</f>
        <v>Feb 3, 2017</v>
      </c>
      <c r="AI1184" s="759">
        <v>350000.0</v>
      </c>
      <c r="AJ1184" s="124"/>
      <c r="AK1184" s="125"/>
      <c r="AL1184" s="124"/>
      <c r="AM1184" s="125"/>
      <c r="AN1184" s="124"/>
      <c r="AO1184" s="125"/>
      <c r="AP1184" s="124"/>
      <c r="AQ1184" s="125"/>
      <c r="AR1184" s="124"/>
      <c r="AS1184" s="124"/>
      <c r="AT1184" s="124"/>
      <c r="AU1184" s="137"/>
      <c r="AV1184" s="124"/>
      <c r="AW1184" s="38"/>
      <c r="AX1184" s="124"/>
      <c r="AY1184" s="38"/>
      <c r="AZ1184" s="124"/>
      <c r="BA1184" s="137"/>
      <c r="BB1184" s="124"/>
      <c r="BC1184" s="137"/>
      <c r="BD1184" s="124"/>
      <c r="BE1184" s="38"/>
      <c r="BF1184" s="123"/>
      <c r="BG1184" s="16"/>
      <c r="BH1184" s="16"/>
      <c r="BI1184" s="16"/>
      <c r="BJ1184" s="16"/>
      <c r="BK1184" s="16"/>
      <c r="BL1184" s="16"/>
      <c r="BM1184" s="16"/>
      <c r="BN1184" s="16"/>
      <c r="BO1184" s="16"/>
      <c r="BP1184" s="16"/>
      <c r="BQ1184" s="16"/>
      <c r="BR1184" s="16"/>
      <c r="BS1184" s="16"/>
      <c r="BT1184" s="16"/>
      <c r="BU1184" s="16"/>
      <c r="BV1184" s="16"/>
      <c r="BW1184" s="16"/>
      <c r="BX1184" s="16"/>
      <c r="BY1184" s="16"/>
      <c r="BZ1184" s="16"/>
      <c r="CA1184" s="16"/>
      <c r="CB1184" s="16"/>
      <c r="CC1184" s="16"/>
      <c r="CD1184" s="16"/>
      <c r="CE1184" s="16"/>
      <c r="CF1184" s="16"/>
      <c r="CG1184" s="16"/>
      <c r="CH1184" s="16"/>
      <c r="CI1184" s="16"/>
      <c r="CJ1184" s="16"/>
      <c r="CK1184" s="16"/>
      <c r="CL1184" s="16"/>
      <c r="CM1184" s="16"/>
      <c r="CN1184" s="16"/>
      <c r="CO1184" s="16"/>
      <c r="CP1184" s="16"/>
    </row>
    <row r="1185" ht="15.75" customHeight="1">
      <c r="A1185" s="462" t="s">
        <v>5672</v>
      </c>
      <c r="B1185" s="16"/>
      <c r="C1185" s="17" t="s">
        <v>132</v>
      </c>
      <c r="D1185" s="245"/>
      <c r="E1185" s="18" t="s">
        <v>5673</v>
      </c>
      <c r="F1185" s="173" t="s">
        <v>5674</v>
      </c>
      <c r="G1185" s="1522"/>
      <c r="H1185" s="22" t="s">
        <v>2473</v>
      </c>
      <c r="I1185" s="23" t="s">
        <v>1088</v>
      </c>
      <c r="J1185" s="509"/>
      <c r="K1185" s="23">
        <v>2.0</v>
      </c>
      <c r="L1185" s="23">
        <v>2016.0</v>
      </c>
      <c r="M1185" s="222"/>
      <c r="N1185" s="23"/>
      <c r="O1185" s="27" t="str">
        <f t="shared" si="3"/>
        <v>#N/A</v>
      </c>
      <c r="P1185" s="464"/>
      <c r="Q1185" s="464"/>
      <c r="R1185" s="464"/>
      <c r="S1185" s="464"/>
      <c r="T1185" s="464"/>
      <c r="U1185" s="464"/>
      <c r="V1185" s="30">
        <f t="shared" si="425"/>
        <v>400000</v>
      </c>
      <c r="W1185" s="30"/>
      <c r="X1185" s="33"/>
      <c r="Y1185" s="33"/>
      <c r="Z1185" s="692"/>
      <c r="AA1185" s="665"/>
      <c r="AB1185" s="36"/>
      <c r="AC1185" s="36"/>
      <c r="AD1185" s="37"/>
      <c r="AE1185" s="1108"/>
      <c r="AF1185" s="158" t="str">
        <f>HYPERLINK("https://www.crunchbase.com/funding_round/fourstay-seed--f494b168","Jul 1, 2019")</f>
        <v>Jul 1, 2019</v>
      </c>
      <c r="AG1185" s="38">
        <v>400000.0</v>
      </c>
      <c r="AH1185" s="36"/>
      <c r="AI1185" s="46"/>
      <c r="AJ1185" s="37"/>
      <c r="AK1185" s="715"/>
      <c r="AL1185" s="44"/>
      <c r="AM1185" s="46"/>
      <c r="AN1185" s="44"/>
      <c r="AO1185" s="46"/>
      <c r="AP1185" s="44"/>
      <c r="AQ1185" s="46"/>
      <c r="AR1185" s="44"/>
      <c r="AS1185" s="44"/>
      <c r="AT1185" s="44"/>
      <c r="AU1185" s="45"/>
      <c r="AV1185" s="44"/>
      <c r="AW1185" s="38"/>
      <c r="AX1185" s="44"/>
      <c r="AY1185" s="38"/>
      <c r="AZ1185" s="44"/>
      <c r="BA1185" s="45"/>
      <c r="BB1185" s="44"/>
      <c r="BC1185" s="45"/>
      <c r="BD1185" s="44"/>
      <c r="BE1185" s="38"/>
      <c r="BF1185" s="36"/>
      <c r="BG1185" s="16"/>
      <c r="BH1185" s="16"/>
      <c r="BI1185" s="16"/>
      <c r="BJ1185" s="16"/>
      <c r="BK1185" s="16"/>
      <c r="BL1185" s="16"/>
      <c r="BM1185" s="16"/>
      <c r="BN1185" s="16"/>
      <c r="BO1185" s="16"/>
      <c r="BP1185" s="16"/>
      <c r="BQ1185" s="16"/>
      <c r="BR1185" s="16"/>
      <c r="BS1185" s="16"/>
      <c r="BT1185" s="16"/>
      <c r="BU1185" s="16"/>
      <c r="BV1185" s="16"/>
      <c r="BW1185" s="16"/>
      <c r="BX1185" s="16"/>
      <c r="BY1185" s="16"/>
      <c r="BZ1185" s="16"/>
      <c r="CA1185" s="16"/>
      <c r="CB1185" s="16"/>
      <c r="CC1185" s="16"/>
      <c r="CD1185" s="16"/>
      <c r="CE1185" s="16"/>
      <c r="CF1185" s="16"/>
      <c r="CG1185" s="16"/>
      <c r="CH1185" s="16"/>
      <c r="CI1185" s="16"/>
      <c r="CJ1185" s="16"/>
      <c r="CK1185" s="16"/>
      <c r="CL1185" s="16"/>
      <c r="CM1185" s="16"/>
      <c r="CN1185" s="16"/>
      <c r="CO1185" s="16"/>
      <c r="CP1185" s="16"/>
    </row>
    <row r="1186" ht="15.75" customHeight="1">
      <c r="A1186" s="47" t="s">
        <v>5675</v>
      </c>
      <c r="B1186" s="115"/>
      <c r="C1186" s="116" t="s">
        <v>5676</v>
      </c>
      <c r="D1186" s="161" t="s">
        <v>5677</v>
      </c>
      <c r="E1186" s="192" t="s">
        <v>5678</v>
      </c>
      <c r="F1186" s="118" t="s">
        <v>5679</v>
      </c>
      <c r="G1186" s="543"/>
      <c r="H1186" s="119" t="s">
        <v>357</v>
      </c>
      <c r="I1186" s="25" t="s">
        <v>358</v>
      </c>
      <c r="J1186" s="1523"/>
      <c r="K1186" s="25">
        <v>2.0</v>
      </c>
      <c r="L1186" s="25">
        <v>2018.0</v>
      </c>
      <c r="M1186" s="25"/>
      <c r="N1186" s="25"/>
      <c r="O1186" s="27" t="str">
        <f t="shared" si="3"/>
        <v>#N/A</v>
      </c>
      <c r="P1186" s="356"/>
      <c r="Q1186" s="356"/>
      <c r="R1186" s="356"/>
      <c r="S1186" s="356"/>
      <c r="T1186" s="356"/>
      <c r="U1186" s="356"/>
      <c r="V1186" s="30">
        <f t="shared" si="425"/>
        <v>400000</v>
      </c>
      <c r="W1186" s="30"/>
      <c r="X1186" s="597"/>
      <c r="Y1186" s="597"/>
      <c r="Z1186" s="692"/>
      <c r="AA1186" s="665"/>
      <c r="AB1186" s="123"/>
      <c r="AC1186" s="123"/>
      <c r="AD1186" s="455" t="str">
        <f>HYPERLINK("https://www.crunchbase.com/funding_round/light-line-delivery-pre-seed--55021c5b","Oct 10, 2021")</f>
        <v>Oct 10, 2021</v>
      </c>
      <c r="AE1186" s="127">
        <v>400000.0</v>
      </c>
      <c r="AF1186" s="721"/>
      <c r="AG1186" s="127"/>
      <c r="AH1186" s="123"/>
      <c r="AI1186" s="128"/>
      <c r="AJ1186" s="1324"/>
      <c r="AK1186" s="127"/>
      <c r="AL1186" s="169"/>
      <c r="AM1186" s="127"/>
      <c r="AN1186" s="124"/>
      <c r="AO1186" s="125"/>
      <c r="AP1186" s="124"/>
      <c r="AQ1186" s="125"/>
      <c r="AR1186" s="124"/>
      <c r="AS1186" s="124"/>
      <c r="AT1186" s="124"/>
      <c r="AU1186" s="137"/>
      <c r="AV1186" s="124"/>
      <c r="AW1186" s="38"/>
      <c r="AX1186" s="124"/>
      <c r="AY1186" s="38"/>
      <c r="AZ1186" s="124"/>
      <c r="BA1186" s="137"/>
      <c r="BB1186" s="124"/>
      <c r="BC1186" s="137"/>
      <c r="BD1186" s="124"/>
      <c r="BE1186" s="38"/>
      <c r="BF1186" s="123"/>
      <c r="BG1186" s="16"/>
      <c r="BH1186" s="16"/>
      <c r="BI1186" s="16"/>
      <c r="BJ1186" s="16"/>
      <c r="BK1186" s="16"/>
      <c r="BL1186" s="16"/>
      <c r="BM1186" s="16"/>
      <c r="BN1186" s="16"/>
      <c r="BO1186" s="16"/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6"/>
      <c r="CA1186" s="16"/>
      <c r="CB1186" s="16"/>
      <c r="CC1186" s="16"/>
      <c r="CD1186" s="16"/>
      <c r="CE1186" s="16"/>
      <c r="CF1186" s="16"/>
      <c r="CG1186" s="16"/>
      <c r="CH1186" s="16"/>
      <c r="CI1186" s="16"/>
      <c r="CJ1186" s="16"/>
      <c r="CK1186" s="16"/>
      <c r="CL1186" s="16"/>
      <c r="CM1186" s="16"/>
      <c r="CN1186" s="16"/>
      <c r="CO1186" s="16"/>
      <c r="CP1186" s="16"/>
    </row>
    <row r="1187" ht="15.75" customHeight="1">
      <c r="A1187" s="47" t="s">
        <v>5680</v>
      </c>
      <c r="B1187" s="68"/>
      <c r="C1187" s="69" t="s">
        <v>84</v>
      </c>
      <c r="D1187" s="48"/>
      <c r="E1187" s="50" t="s">
        <v>5681</v>
      </c>
      <c r="F1187" s="70" t="s">
        <v>5682</v>
      </c>
      <c r="G1187" s="174"/>
      <c r="H1187" s="71" t="s">
        <v>328</v>
      </c>
      <c r="I1187" s="26" t="s">
        <v>329</v>
      </c>
      <c r="J1187" s="514"/>
      <c r="K1187" s="26">
        <v>1.0</v>
      </c>
      <c r="L1187" s="26">
        <v>2022.0</v>
      </c>
      <c r="M1187" s="25"/>
      <c r="N1187" s="26"/>
      <c r="O1187" s="27" t="str">
        <f t="shared" si="3"/>
        <v>#N/A</v>
      </c>
      <c r="P1187" s="273"/>
      <c r="Q1187" s="273"/>
      <c r="R1187" s="273"/>
      <c r="S1187" s="273"/>
      <c r="T1187" s="273"/>
      <c r="U1187" s="273"/>
      <c r="V1187" s="30">
        <f t="shared" si="425"/>
        <v>385000</v>
      </c>
      <c r="W1187" s="30"/>
      <c r="X1187" s="73"/>
      <c r="Y1187" s="73"/>
      <c r="Z1187" s="692"/>
      <c r="AA1187" s="665"/>
      <c r="AB1187" s="74"/>
      <c r="AC1187" s="74"/>
      <c r="AD1187" s="75">
        <v>44833.0</v>
      </c>
      <c r="AE1187" s="76">
        <f>1.1*350000</f>
        <v>385000</v>
      </c>
      <c r="AF1187" s="338"/>
      <c r="AG1187" s="76"/>
      <c r="AH1187" s="74"/>
      <c r="AI1187" s="78"/>
      <c r="AJ1187" s="279"/>
      <c r="AK1187" s="76"/>
      <c r="AL1187" s="79"/>
      <c r="AM1187" s="84"/>
      <c r="AN1187" s="79"/>
      <c r="AO1187" s="84"/>
      <c r="AP1187" s="79"/>
      <c r="AQ1187" s="84"/>
      <c r="AR1187" s="79"/>
      <c r="AS1187" s="79"/>
      <c r="AT1187" s="79"/>
      <c r="AU1187" s="80"/>
      <c r="AV1187" s="79"/>
      <c r="AW1187" s="38"/>
      <c r="AX1187" s="79"/>
      <c r="AY1187" s="38"/>
      <c r="AZ1187" s="79"/>
      <c r="BA1187" s="80"/>
      <c r="BB1187" s="79"/>
      <c r="BC1187" s="80"/>
      <c r="BD1187" s="79"/>
      <c r="BE1187" s="38"/>
      <c r="BF1187" s="74"/>
      <c r="BG1187" s="16"/>
      <c r="BH1187" s="16"/>
      <c r="BI1187" s="16"/>
      <c r="BJ1187" s="16"/>
      <c r="BK1187" s="16"/>
      <c r="BL1187" s="16"/>
      <c r="BM1187" s="16"/>
      <c r="BN1187" s="16"/>
      <c r="BO1187" s="16"/>
      <c r="BP1187" s="16"/>
      <c r="BQ1187" s="16"/>
      <c r="BR1187" s="16"/>
      <c r="BS1187" s="16"/>
      <c r="BT1187" s="16"/>
      <c r="BU1187" s="16"/>
      <c r="BV1187" s="16"/>
      <c r="BW1187" s="16"/>
      <c r="BX1187" s="16"/>
      <c r="BY1187" s="16"/>
      <c r="BZ1187" s="16"/>
      <c r="CA1187" s="16"/>
      <c r="CB1187" s="16"/>
      <c r="CC1187" s="16"/>
      <c r="CD1187" s="16"/>
      <c r="CE1187" s="16"/>
      <c r="CF1187" s="16"/>
      <c r="CG1187" s="16"/>
      <c r="CH1187" s="16"/>
      <c r="CI1187" s="16"/>
      <c r="CJ1187" s="16"/>
      <c r="CK1187" s="16"/>
      <c r="CL1187" s="16"/>
      <c r="CM1187" s="16"/>
      <c r="CN1187" s="16"/>
      <c r="CO1187" s="16"/>
      <c r="CP1187" s="16"/>
    </row>
    <row r="1188" ht="15.75" customHeight="1">
      <c r="A1188" s="47" t="s">
        <v>5683</v>
      </c>
      <c r="C1188" s="48" t="s">
        <v>84</v>
      </c>
      <c r="D1188" s="351"/>
      <c r="E1188" s="617" t="s">
        <v>5684</v>
      </c>
      <c r="F1188" s="749" t="s">
        <v>5685</v>
      </c>
      <c r="G1188" s="353"/>
      <c r="H1188" s="53" t="s">
        <v>5686</v>
      </c>
      <c r="I1188" s="54" t="s">
        <v>461</v>
      </c>
      <c r="J1188" s="55"/>
      <c r="K1188" s="54">
        <v>1.0</v>
      </c>
      <c r="L1188" s="56">
        <v>2019.0</v>
      </c>
      <c r="M1188" s="55"/>
      <c r="N1188" s="55"/>
      <c r="O1188" s="27" t="str">
        <f t="shared" si="3"/>
        <v>#N/A</v>
      </c>
      <c r="P1188" s="55"/>
      <c r="Q1188" s="55"/>
      <c r="R1188" s="55"/>
      <c r="S1188" s="55"/>
      <c r="T1188" s="55"/>
      <c r="U1188" s="55"/>
      <c r="V1188" s="30">
        <f t="shared" si="425"/>
        <v>370300</v>
      </c>
      <c r="W1188" s="30"/>
      <c r="X1188" s="58"/>
      <c r="Y1188" s="58"/>
      <c r="Z1188" s="692"/>
      <c r="AA1188" s="665"/>
      <c r="AB1188" s="55"/>
      <c r="AC1188" s="55"/>
      <c r="AD1188" s="62">
        <v>44914.0</v>
      </c>
      <c r="AE1188" s="38">
        <f>(211.1+159.2)*1000</f>
        <v>370300</v>
      </c>
      <c r="AF1188" s="355"/>
      <c r="AG1188" s="55"/>
      <c r="AH1188" s="55"/>
      <c r="AI1188" s="55"/>
      <c r="AJ1188" s="55"/>
      <c r="AK1188" s="55"/>
      <c r="AL1188" s="55"/>
      <c r="AM1188" s="55"/>
      <c r="AN1188" s="55"/>
      <c r="AO1188" s="55"/>
      <c r="AP1188" s="356"/>
      <c r="AQ1188" s="356"/>
      <c r="AR1188" s="55"/>
      <c r="AS1188" s="55"/>
      <c r="AT1188" s="55"/>
      <c r="AU1188" s="722"/>
      <c r="AV1188" s="55"/>
      <c r="AW1188" s="38"/>
      <c r="AX1188" s="55"/>
      <c r="AY1188" s="38"/>
      <c r="AZ1188" s="55"/>
      <c r="BA1188" s="722"/>
      <c r="BB1188" s="55"/>
      <c r="BC1188" s="722"/>
      <c r="BD1188" s="55"/>
      <c r="BE1188" s="38"/>
      <c r="BF1188" s="55"/>
      <c r="BG1188" s="16"/>
      <c r="BH1188" s="16"/>
      <c r="BI1188" s="16"/>
      <c r="BJ1188" s="16"/>
      <c r="BK1188" s="16"/>
      <c r="BL1188" s="16"/>
      <c r="BM1188" s="16"/>
      <c r="BN1188" s="16"/>
      <c r="BO1188" s="16"/>
      <c r="BP1188" s="16"/>
      <c r="BQ1188" s="16"/>
      <c r="BR1188" s="16"/>
      <c r="BS1188" s="16"/>
      <c r="BT1188" s="16"/>
      <c r="BU1188" s="16"/>
      <c r="BV1188" s="16"/>
      <c r="BW1188" s="16"/>
      <c r="BX1188" s="16"/>
      <c r="BY1188" s="16"/>
      <c r="BZ1188" s="16"/>
      <c r="CA1188" s="16"/>
      <c r="CB1188" s="16"/>
      <c r="CC1188" s="16"/>
      <c r="CD1188" s="16"/>
      <c r="CE1188" s="16"/>
      <c r="CF1188" s="16"/>
      <c r="CG1188" s="16"/>
      <c r="CH1188" s="16"/>
      <c r="CI1188" s="16"/>
      <c r="CJ1188" s="16"/>
      <c r="CK1188" s="16"/>
      <c r="CL1188" s="16"/>
      <c r="CM1188" s="16"/>
      <c r="CN1188" s="16"/>
      <c r="CO1188" s="16"/>
      <c r="CP1188" s="16"/>
    </row>
    <row r="1189" ht="15.75" customHeight="1">
      <c r="A1189" s="1524" t="s">
        <v>5687</v>
      </c>
      <c r="B1189" s="760"/>
      <c r="C1189" s="824" t="s">
        <v>513</v>
      </c>
      <c r="D1189" s="825" t="s">
        <v>5688</v>
      </c>
      <c r="E1189" s="825" t="s">
        <v>5689</v>
      </c>
      <c r="F1189" s="826" t="s">
        <v>5690</v>
      </c>
      <c r="G1189" s="1525"/>
      <c r="H1189" s="827" t="s">
        <v>526</v>
      </c>
      <c r="I1189" s="830" t="s">
        <v>65</v>
      </c>
      <c r="J1189" s="829"/>
      <c r="K1189" s="831"/>
      <c r="L1189" s="830">
        <v>2016.0</v>
      </c>
      <c r="M1189" s="25">
        <f t="shared" ref="M1189:M1196" si="772">year(now()) -L1189</f>
        <v>9</v>
      </c>
      <c r="N1189" s="26">
        <f t="shared" ref="N1189:N1196" si="773">counta(AE1189,AG1189,AI1189,AK1189,AM1189,AO1189,AQ1189,AS1189,AU1189,AW1189,AY1189,BA1189,BC1189)</f>
        <v>1</v>
      </c>
      <c r="O1189" s="27" t="str">
        <f t="shared" si="3"/>
        <v>#N/A</v>
      </c>
      <c r="P1189" s="28"/>
      <c r="Q1189" s="28"/>
      <c r="R1189" s="28"/>
      <c r="S1189" s="28"/>
      <c r="T1189" s="29">
        <f t="shared" ref="T1189:T1196" si="774">V1189/M1189</f>
        <v>38888.88889</v>
      </c>
      <c r="U1189" s="28"/>
      <c r="V1189" s="30">
        <f t="shared" si="425"/>
        <v>350000</v>
      </c>
      <c r="W1189" s="30"/>
      <c r="X1189" s="1526"/>
      <c r="Y1189" s="33">
        <f t="shared" ref="Y1189:Y1196" si="775">(max(AE1189,AG1189,AI1189,AK1189,AM1189,AO1189,AQ1189,AS1189,AU1189,AW1189,AY1189,BA1189,BC1189)/min(AE1189,AG1189,AI1189,AK1189))^(1/M1189)-1</f>
        <v>0</v>
      </c>
      <c r="Z1189" s="692"/>
      <c r="AA1189" s="665"/>
      <c r="AB1189" s="831"/>
      <c r="AC1189" s="831"/>
      <c r="AD1189" s="832"/>
      <c r="AE1189" s="833"/>
      <c r="AF1189" s="1527">
        <v>42005.0</v>
      </c>
      <c r="AG1189" s="837">
        <v>350000.0</v>
      </c>
      <c r="AH1189" s="831"/>
      <c r="AI1189" s="835"/>
      <c r="AJ1189" s="832"/>
      <c r="AK1189" s="833"/>
      <c r="AL1189" s="832"/>
      <c r="AM1189" s="833"/>
      <c r="AN1189" s="832"/>
      <c r="AO1189" s="833"/>
      <c r="AP1189" s="832"/>
      <c r="AQ1189" s="833"/>
      <c r="AR1189" s="832"/>
      <c r="AS1189" s="832"/>
      <c r="AT1189" s="832"/>
      <c r="AU1189" s="838"/>
      <c r="AV1189" s="832"/>
      <c r="AW1189" s="38"/>
      <c r="AX1189" s="832"/>
      <c r="AY1189" s="38"/>
      <c r="AZ1189" s="832"/>
      <c r="BA1189" s="838"/>
      <c r="BB1189" s="832"/>
      <c r="BC1189" s="838"/>
      <c r="BD1189" s="832"/>
      <c r="BE1189" s="38"/>
      <c r="BF1189" s="831"/>
      <c r="BG1189" s="16"/>
      <c r="BH1189" s="16"/>
      <c r="BI1189" s="16"/>
      <c r="BJ1189" s="16"/>
      <c r="BK1189" s="16"/>
      <c r="BL1189" s="16"/>
      <c r="BM1189" s="16"/>
      <c r="BN1189" s="16"/>
      <c r="BO1189" s="16"/>
      <c r="BP1189" s="16"/>
      <c r="BQ1189" s="16"/>
      <c r="BR1189" s="16"/>
      <c r="BS1189" s="16"/>
      <c r="BT1189" s="16"/>
      <c r="BU1189" s="16"/>
      <c r="BV1189" s="16"/>
      <c r="BW1189" s="16"/>
      <c r="BX1189" s="16"/>
      <c r="BY1189" s="16"/>
      <c r="BZ1189" s="16"/>
      <c r="CA1189" s="16"/>
      <c r="CB1189" s="16"/>
      <c r="CC1189" s="16"/>
      <c r="CD1189" s="16"/>
      <c r="CE1189" s="16"/>
      <c r="CF1189" s="16"/>
      <c r="CG1189" s="16"/>
      <c r="CH1189" s="16"/>
      <c r="CI1189" s="16"/>
      <c r="CJ1189" s="16"/>
      <c r="CK1189" s="16"/>
      <c r="CL1189" s="16"/>
      <c r="CM1189" s="16"/>
      <c r="CN1189" s="16"/>
      <c r="CO1189" s="16"/>
      <c r="CP1189" s="16"/>
    </row>
    <row r="1190" ht="15.75" customHeight="1">
      <c r="A1190" s="1162" t="s">
        <v>5691</v>
      </c>
      <c r="B1190" s="69" t="s">
        <v>5692</v>
      </c>
      <c r="C1190" s="69" t="s">
        <v>123</v>
      </c>
      <c r="D1190" s="236" t="s">
        <v>5693</v>
      </c>
      <c r="E1190" s="236" t="s">
        <v>5694</v>
      </c>
      <c r="F1190" s="803" t="s">
        <v>5695</v>
      </c>
      <c r="G1190" s="174"/>
      <c r="H1190" s="71" t="s">
        <v>5696</v>
      </c>
      <c r="I1190" s="26" t="s">
        <v>2010</v>
      </c>
      <c r="J1190" s="514"/>
      <c r="K1190" s="74"/>
      <c r="L1190" s="26">
        <v>2014.0</v>
      </c>
      <c r="M1190" s="25">
        <f t="shared" si="772"/>
        <v>11</v>
      </c>
      <c r="N1190" s="26">
        <f t="shared" si="773"/>
        <v>1</v>
      </c>
      <c r="O1190" s="27" t="str">
        <f t="shared" si="3"/>
        <v>#N/A</v>
      </c>
      <c r="P1190" s="28"/>
      <c r="Q1190" s="28"/>
      <c r="R1190" s="28"/>
      <c r="S1190" s="28"/>
      <c r="T1190" s="29">
        <f t="shared" si="774"/>
        <v>29545.45455</v>
      </c>
      <c r="U1190" s="28"/>
      <c r="V1190" s="30">
        <f t="shared" si="425"/>
        <v>325000</v>
      </c>
      <c r="W1190" s="30"/>
      <c r="X1190" s="32"/>
      <c r="Y1190" s="33">
        <f t="shared" si="775"/>
        <v>0</v>
      </c>
      <c r="Z1190" s="692"/>
      <c r="AA1190" s="665"/>
      <c r="AB1190" s="74"/>
      <c r="AC1190" s="74"/>
      <c r="AD1190" s="44"/>
      <c r="AE1190" s="46"/>
      <c r="AF1190" s="320">
        <v>43622.0</v>
      </c>
      <c r="AG1190" s="38">
        <v>325000.0</v>
      </c>
      <c r="AH1190" s="36"/>
      <c r="AI1190" s="159"/>
      <c r="AJ1190" s="44"/>
      <c r="AK1190" s="46"/>
      <c r="AL1190" s="44"/>
      <c r="AM1190" s="46"/>
      <c r="AN1190" s="44"/>
      <c r="AO1190" s="38"/>
      <c r="AP1190" s="44"/>
      <c r="AQ1190" s="46"/>
      <c r="AR1190" s="44"/>
      <c r="AS1190" s="44"/>
      <c r="AT1190" s="44"/>
      <c r="AU1190" s="45"/>
      <c r="AV1190" s="44"/>
      <c r="AW1190" s="38"/>
      <c r="AX1190" s="44"/>
      <c r="AY1190" s="38"/>
      <c r="AZ1190" s="44"/>
      <c r="BA1190" s="45"/>
      <c r="BB1190" s="44"/>
      <c r="BC1190" s="45"/>
      <c r="BD1190" s="44"/>
      <c r="BE1190" s="38"/>
      <c r="BF1190" s="36"/>
      <c r="BG1190" s="16"/>
      <c r="BH1190" s="16"/>
      <c r="BI1190" s="16"/>
      <c r="BJ1190" s="16"/>
      <c r="BK1190" s="16"/>
      <c r="BL1190" s="16"/>
      <c r="BM1190" s="16"/>
      <c r="BN1190" s="16"/>
      <c r="BO1190" s="16"/>
      <c r="BP1190" s="16"/>
      <c r="BQ1190" s="16"/>
      <c r="BR1190" s="16"/>
      <c r="BS1190" s="16"/>
      <c r="BT1190" s="16"/>
      <c r="BU1190" s="16"/>
      <c r="BV1190" s="16"/>
      <c r="BW1190" s="16"/>
      <c r="BX1190" s="16"/>
      <c r="BY1190" s="16"/>
      <c r="BZ1190" s="16"/>
      <c r="CA1190" s="16"/>
      <c r="CB1190" s="16"/>
      <c r="CC1190" s="16"/>
      <c r="CD1190" s="16"/>
      <c r="CE1190" s="16"/>
      <c r="CF1190" s="16"/>
      <c r="CG1190" s="16"/>
      <c r="CH1190" s="16"/>
      <c r="CI1190" s="16"/>
      <c r="CJ1190" s="16"/>
      <c r="CK1190" s="16"/>
      <c r="CL1190" s="16"/>
      <c r="CM1190" s="16"/>
      <c r="CN1190" s="16"/>
      <c r="CO1190" s="16"/>
      <c r="CP1190" s="16"/>
    </row>
    <row r="1191" ht="15.75" customHeight="1">
      <c r="A1191" s="162" t="s">
        <v>5697</v>
      </c>
      <c r="B1191" s="116"/>
      <c r="C1191" s="116" t="s">
        <v>5634</v>
      </c>
      <c r="D1191" s="540" t="s">
        <v>5698</v>
      </c>
      <c r="E1191" s="540" t="s">
        <v>5699</v>
      </c>
      <c r="F1191" s="744" t="s">
        <v>5700</v>
      </c>
      <c r="G1191" s="1528" t="s">
        <v>5701</v>
      </c>
      <c r="H1191" s="119" t="s">
        <v>2009</v>
      </c>
      <c r="I1191" s="25" t="s">
        <v>2010</v>
      </c>
      <c r="J1191" s="904"/>
      <c r="K1191" s="25">
        <v>2.0</v>
      </c>
      <c r="L1191" s="142">
        <v>2014.0</v>
      </c>
      <c r="M1191" s="25">
        <f t="shared" si="772"/>
        <v>11</v>
      </c>
      <c r="N1191" s="26">
        <f t="shared" si="773"/>
        <v>1</v>
      </c>
      <c r="O1191" s="27" t="str">
        <f t="shared" si="3"/>
        <v>#N/A</v>
      </c>
      <c r="P1191" s="28"/>
      <c r="Q1191" s="28"/>
      <c r="R1191" s="28"/>
      <c r="S1191" s="28"/>
      <c r="T1191" s="29">
        <f t="shared" si="774"/>
        <v>29491.36364</v>
      </c>
      <c r="U1191" s="28"/>
      <c r="V1191" s="30">
        <f t="shared" si="425"/>
        <v>324405</v>
      </c>
      <c r="W1191" s="30"/>
      <c r="X1191" s="597"/>
      <c r="Y1191" s="33">
        <f t="shared" si="775"/>
        <v>0</v>
      </c>
      <c r="Z1191" s="692"/>
      <c r="AA1191" s="665"/>
      <c r="AB1191" s="123"/>
      <c r="AC1191" s="123"/>
      <c r="AD1191" s="164"/>
      <c r="AE1191" s="905"/>
      <c r="AF1191" s="906" t="str">
        <f>HYPERLINK("https://www.crunchbase.com/funding_round/proximi-io-seed--b6ab5fde"," Dec 21, 2015")
</f>
        <v> Dec 21, 2015</v>
      </c>
      <c r="AG1191" s="127">
        <v>324405.0</v>
      </c>
      <c r="AH1191" s="907"/>
      <c r="AI1191" s="908"/>
      <c r="AJ1191" s="1529"/>
      <c r="AK1191" s="165"/>
      <c r="AL1191" s="169"/>
      <c r="AM1191" s="127"/>
      <c r="AN1191" s="124"/>
      <c r="AO1191" s="125"/>
      <c r="AP1191" s="124"/>
      <c r="AQ1191" s="125"/>
      <c r="AR1191" s="124"/>
      <c r="AS1191" s="124"/>
      <c r="AT1191" s="124"/>
      <c r="AU1191" s="137"/>
      <c r="AV1191" s="124"/>
      <c r="AW1191" s="38"/>
      <c r="AX1191" s="124"/>
      <c r="AY1191" s="38"/>
      <c r="AZ1191" s="124"/>
      <c r="BA1191" s="137"/>
      <c r="BB1191" s="124"/>
      <c r="BC1191" s="137"/>
      <c r="BD1191" s="124"/>
      <c r="BE1191" s="38"/>
      <c r="BF1191" s="123"/>
      <c r="BG1191" s="534"/>
      <c r="BH1191" s="534"/>
      <c r="BI1191" s="534"/>
      <c r="BJ1191" s="534"/>
      <c r="BK1191" s="534"/>
      <c r="BL1191" s="534"/>
      <c r="BM1191" s="534"/>
      <c r="BN1191" s="534"/>
      <c r="BO1191" s="534"/>
      <c r="BP1191" s="534"/>
      <c r="BQ1191" s="534"/>
      <c r="BR1191" s="534"/>
      <c r="BS1191" s="534"/>
      <c r="BT1191" s="534"/>
      <c r="BU1191" s="534"/>
      <c r="BV1191" s="534"/>
      <c r="BW1191" s="534"/>
      <c r="BX1191" s="534"/>
      <c r="BY1191" s="534"/>
      <c r="BZ1191" s="534"/>
      <c r="CA1191" s="534"/>
      <c r="CB1191" s="534"/>
      <c r="CC1191" s="534"/>
      <c r="CD1191" s="534"/>
      <c r="CE1191" s="534"/>
      <c r="CF1191" s="534"/>
      <c r="CG1191" s="534"/>
      <c r="CH1191" s="534"/>
      <c r="CI1191" s="534"/>
      <c r="CJ1191" s="534"/>
      <c r="CK1191" s="534"/>
      <c r="CL1191" s="534"/>
      <c r="CM1191" s="534"/>
      <c r="CN1191" s="534"/>
      <c r="CO1191" s="534"/>
      <c r="CP1191" s="534"/>
    </row>
    <row r="1192" ht="15.75" customHeight="1">
      <c r="A1192" s="21" t="s">
        <v>5702</v>
      </c>
      <c r="B1192" s="68"/>
      <c r="C1192" s="69" t="s">
        <v>123</v>
      </c>
      <c r="D1192" s="200" t="s">
        <v>5703</v>
      </c>
      <c r="E1192" s="200" t="s">
        <v>5704</v>
      </c>
      <c r="F1192" s="565" t="s">
        <v>5705</v>
      </c>
      <c r="G1192" s="54" t="s">
        <v>5706</v>
      </c>
      <c r="H1192" s="71" t="s">
        <v>148</v>
      </c>
      <c r="I1192" s="26" t="s">
        <v>1338</v>
      </c>
      <c r="J1192" s="72" t="s">
        <v>150</v>
      </c>
      <c r="K1192" s="26">
        <v>2.0</v>
      </c>
      <c r="L1192" s="26">
        <v>2019.0</v>
      </c>
      <c r="M1192" s="25">
        <f t="shared" si="772"/>
        <v>6</v>
      </c>
      <c r="N1192" s="26">
        <f t="shared" si="773"/>
        <v>2</v>
      </c>
      <c r="O1192" s="27" t="str">
        <f t="shared" si="3"/>
        <v>#N/A</v>
      </c>
      <c r="P1192" s="28"/>
      <c r="Q1192" s="28"/>
      <c r="R1192" s="28"/>
      <c r="S1192" s="28"/>
      <c r="T1192" s="29">
        <f t="shared" si="774"/>
        <v>53333.33333</v>
      </c>
      <c r="U1192" s="28"/>
      <c r="V1192" s="30">
        <f t="shared" si="425"/>
        <v>320000</v>
      </c>
      <c r="W1192" s="30"/>
      <c r="X1192" s="73"/>
      <c r="Y1192" s="33">
        <f t="shared" si="775"/>
        <v>0.3245416728</v>
      </c>
      <c r="Z1192" s="692"/>
      <c r="AA1192" s="665"/>
      <c r="AB1192" s="74"/>
      <c r="AC1192" s="74"/>
      <c r="AD1192" s="426" t="str">
        <f>HYPERLINK("https://www.crunchbase.com/organization/vairt-inc#section-funding-rounds"," Jan 1, 2017")</f>
        <v> Jan 1, 2017</v>
      </c>
      <c r="AE1192" s="76">
        <v>270000.0</v>
      </c>
      <c r="AF1192" s="175" t="str">
        <f>HYPERLINK("https://www.crunchbase.com/funding_round/vairt-inc-seed--50e68e3e","Jan 22, 2019")</f>
        <v>Jan 22, 2019</v>
      </c>
      <c r="AG1192" s="76">
        <v>50000.0</v>
      </c>
      <c r="AH1192" s="77"/>
      <c r="AI1192" s="78"/>
      <c r="AJ1192" s="79"/>
      <c r="AK1192" s="84"/>
      <c r="AL1192" s="79"/>
      <c r="AM1192" s="84"/>
      <c r="AN1192" s="79"/>
      <c r="AO1192" s="84"/>
      <c r="AP1192" s="79"/>
      <c r="AQ1192" s="84"/>
      <c r="AR1192" s="79"/>
      <c r="AS1192" s="79"/>
      <c r="AT1192" s="79"/>
      <c r="AU1192" s="80"/>
      <c r="AV1192" s="79"/>
      <c r="AW1192" s="38"/>
      <c r="AX1192" s="79"/>
      <c r="AY1192" s="38"/>
      <c r="AZ1192" s="79"/>
      <c r="BA1192" s="80"/>
      <c r="BB1192" s="79"/>
      <c r="BC1192" s="80"/>
      <c r="BD1192" s="79"/>
      <c r="BE1192" s="38"/>
      <c r="BF1192" s="74"/>
      <c r="BG1192" s="16"/>
      <c r="BH1192" s="16"/>
      <c r="BI1192" s="16"/>
      <c r="BJ1192" s="16"/>
      <c r="BK1192" s="16"/>
      <c r="BL1192" s="16"/>
      <c r="BM1192" s="16"/>
      <c r="BN1192" s="16"/>
      <c r="BO1192" s="16"/>
      <c r="BP1192" s="16"/>
      <c r="BQ1192" s="16"/>
      <c r="BR1192" s="16"/>
      <c r="BS1192" s="16"/>
      <c r="BT1192" s="16"/>
      <c r="BU1192" s="16"/>
      <c r="BV1192" s="16"/>
      <c r="BW1192" s="16"/>
      <c r="BX1192" s="16"/>
      <c r="BY1192" s="16"/>
      <c r="BZ1192" s="16"/>
      <c r="CA1192" s="16"/>
      <c r="CB1192" s="16"/>
      <c r="CC1192" s="16"/>
      <c r="CD1192" s="16"/>
      <c r="CE1192" s="16"/>
      <c r="CF1192" s="16"/>
      <c r="CG1192" s="16"/>
      <c r="CH1192" s="16"/>
      <c r="CI1192" s="16"/>
      <c r="CJ1192" s="16"/>
      <c r="CK1192" s="16"/>
      <c r="CL1192" s="16"/>
      <c r="CM1192" s="16"/>
      <c r="CN1192" s="16"/>
      <c r="CO1192" s="16"/>
      <c r="CP1192" s="16"/>
    </row>
    <row r="1193" ht="15.75" customHeight="1">
      <c r="A1193" s="162" t="s">
        <v>5707</v>
      </c>
      <c r="B1193" s="116"/>
      <c r="C1193" s="116" t="s">
        <v>1007</v>
      </c>
      <c r="D1193" s="192" t="s">
        <v>5708</v>
      </c>
      <c r="E1193" s="192" t="s">
        <v>5709</v>
      </c>
      <c r="F1193" s="1416" t="s">
        <v>5710</v>
      </c>
      <c r="G1193" s="1530" t="s">
        <v>5613</v>
      </c>
      <c r="H1193" s="119"/>
      <c r="I1193" s="25"/>
      <c r="J1193" s="1164"/>
      <c r="K1193" s="25"/>
      <c r="L1193" s="25">
        <v>2014.0</v>
      </c>
      <c r="M1193" s="25">
        <f t="shared" si="772"/>
        <v>11</v>
      </c>
      <c r="N1193" s="26">
        <f t="shared" si="773"/>
        <v>1</v>
      </c>
      <c r="O1193" s="27" t="str">
        <f t="shared" si="3"/>
        <v>#N/A</v>
      </c>
      <c r="P1193" s="28"/>
      <c r="Q1193" s="28"/>
      <c r="R1193" s="28"/>
      <c r="S1193" s="28"/>
      <c r="T1193" s="29">
        <f t="shared" si="774"/>
        <v>28863.63636</v>
      </c>
      <c r="U1193" s="28"/>
      <c r="V1193" s="30">
        <f t="shared" si="425"/>
        <v>317500</v>
      </c>
      <c r="W1193" s="30"/>
      <c r="X1193" s="597"/>
      <c r="Y1193" s="33">
        <f t="shared" si="775"/>
        <v>0</v>
      </c>
      <c r="Z1193" s="692"/>
      <c r="AA1193" s="665"/>
      <c r="AB1193" s="123"/>
      <c r="AC1193" s="123"/>
      <c r="AD1193" s="164"/>
      <c r="AE1193" s="1499"/>
      <c r="AF1193" s="1175">
        <v>41579.0</v>
      </c>
      <c r="AG1193" s="1365">
        <v>317500.0</v>
      </c>
      <c r="AH1193" s="55"/>
      <c r="AI1193" s="55"/>
      <c r="AJ1193" s="124"/>
      <c r="AK1193" s="125"/>
      <c r="AL1193" s="124"/>
      <c r="AM1193" s="125"/>
      <c r="AN1193" s="124"/>
      <c r="AO1193" s="125"/>
      <c r="AP1193" s="124"/>
      <c r="AQ1193" s="125"/>
      <c r="AR1193" s="124"/>
      <c r="AS1193" s="124"/>
      <c r="AT1193" s="124"/>
      <c r="AU1193" s="137"/>
      <c r="AV1193" s="124"/>
      <c r="AW1193" s="38"/>
      <c r="AX1193" s="124"/>
      <c r="AY1193" s="38"/>
      <c r="AZ1193" s="124"/>
      <c r="BA1193" s="137"/>
      <c r="BB1193" s="124"/>
      <c r="BC1193" s="137"/>
      <c r="BD1193" s="124"/>
      <c r="BE1193" s="38"/>
      <c r="BF1193" s="123"/>
      <c r="BG1193" s="16"/>
      <c r="BH1193" s="16"/>
      <c r="BI1193" s="16"/>
      <c r="BJ1193" s="16"/>
      <c r="BK1193" s="16"/>
      <c r="BL1193" s="16"/>
      <c r="BM1193" s="16"/>
      <c r="BN1193" s="16"/>
      <c r="BO1193" s="16"/>
      <c r="BP1193" s="16"/>
      <c r="BQ1193" s="16"/>
      <c r="BR1193" s="16"/>
      <c r="BS1193" s="16"/>
      <c r="BT1193" s="16"/>
      <c r="BU1193" s="16"/>
      <c r="BV1193" s="16"/>
      <c r="BW1193" s="16"/>
      <c r="BX1193" s="16"/>
      <c r="BY1193" s="16"/>
      <c r="BZ1193" s="16"/>
      <c r="CA1193" s="16"/>
      <c r="CB1193" s="16"/>
      <c r="CC1193" s="16"/>
      <c r="CD1193" s="16"/>
      <c r="CE1193" s="16"/>
      <c r="CF1193" s="16"/>
      <c r="CG1193" s="16"/>
      <c r="CH1193" s="16"/>
      <c r="CI1193" s="16"/>
      <c r="CJ1193" s="16"/>
      <c r="CK1193" s="16"/>
      <c r="CL1193" s="16"/>
      <c r="CM1193" s="16"/>
      <c r="CN1193" s="16"/>
      <c r="CO1193" s="16"/>
      <c r="CP1193" s="16"/>
    </row>
    <row r="1194" ht="15.75" customHeight="1">
      <c r="A1194" s="1531" t="s">
        <v>5711</v>
      </c>
      <c r="B1194" s="69"/>
      <c r="C1194" s="69" t="s">
        <v>123</v>
      </c>
      <c r="D1194" s="192" t="s">
        <v>5712</v>
      </c>
      <c r="E1194" s="192" t="s">
        <v>5713</v>
      </c>
      <c r="F1194" s="118" t="s">
        <v>5714</v>
      </c>
      <c r="G1194" s="140"/>
      <c r="H1194" s="71" t="s">
        <v>716</v>
      </c>
      <c r="I1194" s="26" t="s">
        <v>5715</v>
      </c>
      <c r="J1194" s="72"/>
      <c r="K1194" s="74"/>
      <c r="L1194" s="26">
        <v>2018.0</v>
      </c>
      <c r="M1194" s="25">
        <f t="shared" si="772"/>
        <v>7</v>
      </c>
      <c r="N1194" s="26">
        <f t="shared" si="773"/>
        <v>1</v>
      </c>
      <c r="O1194" s="27" t="str">
        <f t="shared" si="3"/>
        <v>#N/A</v>
      </c>
      <c r="P1194" s="28"/>
      <c r="Q1194" s="28"/>
      <c r="R1194" s="28"/>
      <c r="S1194" s="28"/>
      <c r="T1194" s="29">
        <f t="shared" si="774"/>
        <v>42857.14286</v>
      </c>
      <c r="U1194" s="28"/>
      <c r="V1194" s="30">
        <f t="shared" si="425"/>
        <v>300000</v>
      </c>
      <c r="W1194" s="30"/>
      <c r="X1194" s="32"/>
      <c r="Y1194" s="33">
        <f t="shared" si="775"/>
        <v>0</v>
      </c>
      <c r="Z1194" s="692"/>
      <c r="AA1194" s="665"/>
      <c r="AB1194" s="74"/>
      <c r="AC1194" s="74"/>
      <c r="AD1194" s="37"/>
      <c r="AE1194" s="38"/>
      <c r="AF1194" s="869">
        <v>43160.0</v>
      </c>
      <c r="AG1194" s="38">
        <v>300000.0</v>
      </c>
      <c r="AH1194" s="36"/>
      <c r="AI1194" s="159"/>
      <c r="AJ1194" s="44"/>
      <c r="AK1194" s="46"/>
      <c r="AL1194" s="44"/>
      <c r="AM1194" s="46"/>
      <c r="AN1194" s="44"/>
      <c r="AO1194" s="46"/>
      <c r="AP1194" s="44"/>
      <c r="AQ1194" s="46"/>
      <c r="AR1194" s="44"/>
      <c r="AS1194" s="44"/>
      <c r="AT1194" s="44"/>
      <c r="AU1194" s="45"/>
      <c r="AV1194" s="44"/>
      <c r="AW1194" s="38"/>
      <c r="AX1194" s="44"/>
      <c r="AY1194" s="38"/>
      <c r="AZ1194" s="44"/>
      <c r="BA1194" s="45"/>
      <c r="BB1194" s="44"/>
      <c r="BC1194" s="45"/>
      <c r="BD1194" s="44"/>
      <c r="BE1194" s="38"/>
      <c r="BF1194" s="36"/>
      <c r="BG1194" s="16"/>
      <c r="BH1194" s="16"/>
      <c r="BI1194" s="16"/>
      <c r="BJ1194" s="16"/>
      <c r="BK1194" s="16"/>
      <c r="BL1194" s="16"/>
      <c r="BM1194" s="16"/>
      <c r="BN1194" s="16"/>
      <c r="BO1194" s="16"/>
      <c r="BP1194" s="16"/>
      <c r="BQ1194" s="16"/>
      <c r="BR1194" s="16"/>
      <c r="BS1194" s="16"/>
      <c r="BT1194" s="16"/>
      <c r="BU1194" s="16"/>
      <c r="BV1194" s="16"/>
      <c r="BW1194" s="16"/>
      <c r="BX1194" s="16"/>
      <c r="BY1194" s="16"/>
      <c r="BZ1194" s="16"/>
      <c r="CA1194" s="16"/>
      <c r="CB1194" s="16"/>
      <c r="CC1194" s="16"/>
      <c r="CD1194" s="16"/>
      <c r="CE1194" s="16"/>
      <c r="CF1194" s="16"/>
      <c r="CG1194" s="16"/>
      <c r="CH1194" s="16"/>
      <c r="CI1194" s="16"/>
      <c r="CJ1194" s="16"/>
      <c r="CK1194" s="16"/>
      <c r="CL1194" s="16"/>
      <c r="CM1194" s="16"/>
      <c r="CN1194" s="16"/>
      <c r="CO1194" s="16"/>
      <c r="CP1194" s="16"/>
    </row>
    <row r="1195" ht="15.75" customHeight="1">
      <c r="A1195" s="442" t="s">
        <v>5716</v>
      </c>
      <c r="B1195" s="68" t="s">
        <v>2105</v>
      </c>
      <c r="C1195" s="858" t="s">
        <v>1007</v>
      </c>
      <c r="D1195" s="200" t="s">
        <v>5717</v>
      </c>
      <c r="E1195" s="200" t="s">
        <v>5718</v>
      </c>
      <c r="F1195" s="185" t="s">
        <v>5719</v>
      </c>
      <c r="G1195" s="71" t="s">
        <v>5720</v>
      </c>
      <c r="H1195" s="71" t="s">
        <v>601</v>
      </c>
      <c r="I1195" s="26" t="s">
        <v>129</v>
      </c>
      <c r="J1195" s="72" t="s">
        <v>3339</v>
      </c>
      <c r="K1195" s="26">
        <v>2.0</v>
      </c>
      <c r="L1195" s="142">
        <v>2011.0</v>
      </c>
      <c r="M1195" s="25">
        <f t="shared" si="772"/>
        <v>14</v>
      </c>
      <c r="N1195" s="26">
        <f t="shared" si="773"/>
        <v>1</v>
      </c>
      <c r="O1195" s="27" t="str">
        <f t="shared" si="3"/>
        <v>#N/A</v>
      </c>
      <c r="P1195" s="28"/>
      <c r="Q1195" s="28"/>
      <c r="R1195" s="28"/>
      <c r="S1195" s="28"/>
      <c r="T1195" s="29">
        <f t="shared" si="774"/>
        <v>21428.57143</v>
      </c>
      <c r="U1195" s="28"/>
      <c r="V1195" s="30">
        <f t="shared" si="425"/>
        <v>300000</v>
      </c>
      <c r="W1195" s="30"/>
      <c r="X1195" s="73"/>
      <c r="Y1195" s="33">
        <f t="shared" si="775"/>
        <v>0</v>
      </c>
      <c r="Z1195" s="692"/>
      <c r="AA1195" s="665"/>
      <c r="AB1195" s="74"/>
      <c r="AC1195" s="74"/>
      <c r="AD1195" s="79"/>
      <c r="AE1195" s="84"/>
      <c r="AF1195" s="175" t="str">
        <f>HYPERLINK("https://www.crunchbase.com/organization/radiator-labs-inc#section-funding-rounds"," Aug 20, 2015")</f>
        <v> Aug 20, 2015</v>
      </c>
      <c r="AG1195" s="76">
        <v>300000.0</v>
      </c>
      <c r="AH1195" s="434"/>
      <c r="AI1195" s="435"/>
      <c r="AJ1195" s="79"/>
      <c r="AK1195" s="84"/>
      <c r="AL1195" s="79"/>
      <c r="AM1195" s="84"/>
      <c r="AN1195" s="79"/>
      <c r="AO1195" s="84"/>
      <c r="AP1195" s="79"/>
      <c r="AQ1195" s="84"/>
      <c r="AR1195" s="79"/>
      <c r="AS1195" s="79"/>
      <c r="AT1195" s="79"/>
      <c r="AU1195" s="80"/>
      <c r="AV1195" s="79"/>
      <c r="AW1195" s="38"/>
      <c r="AX1195" s="79"/>
      <c r="AY1195" s="38"/>
      <c r="AZ1195" s="79"/>
      <c r="BA1195" s="80"/>
      <c r="BB1195" s="79"/>
      <c r="BC1195" s="80"/>
      <c r="BD1195" s="79"/>
      <c r="BE1195" s="38"/>
      <c r="BF1195" s="74"/>
      <c r="BG1195" s="16"/>
      <c r="BH1195" s="16"/>
      <c r="BI1195" s="16"/>
      <c r="BJ1195" s="16"/>
      <c r="BK1195" s="16"/>
      <c r="BL1195" s="16"/>
      <c r="BM1195" s="16"/>
      <c r="BN1195" s="16"/>
      <c r="BO1195" s="16"/>
      <c r="BP1195" s="16"/>
      <c r="BQ1195" s="16"/>
      <c r="BR1195" s="16"/>
      <c r="BS1195" s="16"/>
      <c r="BT1195" s="16"/>
      <c r="BU1195" s="16"/>
      <c r="BV1195" s="16"/>
      <c r="BW1195" s="16"/>
      <c r="BX1195" s="16"/>
      <c r="BY1195" s="16"/>
      <c r="BZ1195" s="16"/>
      <c r="CA1195" s="16"/>
      <c r="CB1195" s="16"/>
      <c r="CC1195" s="16"/>
      <c r="CD1195" s="16"/>
      <c r="CE1195" s="16"/>
      <c r="CF1195" s="16"/>
      <c r="CG1195" s="16"/>
      <c r="CH1195" s="16"/>
      <c r="CI1195" s="16"/>
      <c r="CJ1195" s="16"/>
      <c r="CK1195" s="16"/>
      <c r="CL1195" s="16"/>
      <c r="CM1195" s="16"/>
      <c r="CN1195" s="16"/>
      <c r="CO1195" s="16"/>
      <c r="CP1195" s="16"/>
    </row>
    <row r="1196" ht="15.75" customHeight="1">
      <c r="A1196" s="666" t="s">
        <v>5721</v>
      </c>
      <c r="B1196" s="115" t="s">
        <v>3914</v>
      </c>
      <c r="C1196" s="116" t="s">
        <v>132</v>
      </c>
      <c r="D1196" s="667" t="s">
        <v>5722</v>
      </c>
      <c r="E1196" s="667" t="s">
        <v>5723</v>
      </c>
      <c r="F1196" s="668" t="s">
        <v>5724</v>
      </c>
      <c r="G1196" s="286" t="s">
        <v>5725</v>
      </c>
      <c r="H1196" s="286" t="s">
        <v>5726</v>
      </c>
      <c r="I1196" s="123" t="s">
        <v>5727</v>
      </c>
      <c r="J1196" s="287" t="s">
        <v>5728</v>
      </c>
      <c r="K1196" s="123">
        <v>1.0</v>
      </c>
      <c r="L1196" s="25">
        <v>2015.0</v>
      </c>
      <c r="M1196" s="25">
        <f t="shared" si="772"/>
        <v>10</v>
      </c>
      <c r="N1196" s="26">
        <f t="shared" si="773"/>
        <v>1</v>
      </c>
      <c r="O1196" s="27" t="str">
        <f t="shared" si="3"/>
        <v>#N/A</v>
      </c>
      <c r="P1196" s="28"/>
      <c r="Q1196" s="28"/>
      <c r="R1196" s="28"/>
      <c r="S1196" s="28"/>
      <c r="T1196" s="29">
        <f t="shared" si="774"/>
        <v>30000</v>
      </c>
      <c r="U1196" s="28"/>
      <c r="V1196" s="30">
        <f t="shared" si="425"/>
        <v>300000</v>
      </c>
      <c r="W1196" s="30"/>
      <c r="X1196" s="403"/>
      <c r="Y1196" s="33">
        <f t="shared" si="775"/>
        <v>0</v>
      </c>
      <c r="Z1196" s="692"/>
      <c r="AA1196" s="665"/>
      <c r="AB1196" s="123"/>
      <c r="AC1196" s="123"/>
      <c r="AD1196" s="124"/>
      <c r="AE1196" s="125"/>
      <c r="AF1196" s="126" t="str">
        <f>HYPERLINK("https://www.crunchbase.com/organization/sharplaunch#section-funding-rounds"," Aug 30, 2016")</f>
        <v> Aug 30, 2016</v>
      </c>
      <c r="AG1196" s="127">
        <v>300000.0</v>
      </c>
      <c r="AH1196" s="123"/>
      <c r="AI1196" s="128"/>
      <c r="AJ1196" s="124"/>
      <c r="AK1196" s="125"/>
      <c r="AL1196" s="124"/>
      <c r="AM1196" s="125"/>
      <c r="AN1196" s="124"/>
      <c r="AO1196" s="125"/>
      <c r="AP1196" s="124"/>
      <c r="AQ1196" s="125"/>
      <c r="AR1196" s="124"/>
      <c r="AS1196" s="124"/>
      <c r="AT1196" s="124"/>
      <c r="AU1196" s="137"/>
      <c r="AV1196" s="124"/>
      <c r="AW1196" s="38"/>
      <c r="AX1196" s="124"/>
      <c r="AY1196" s="38"/>
      <c r="AZ1196" s="124"/>
      <c r="BA1196" s="137"/>
      <c r="BB1196" s="124"/>
      <c r="BC1196" s="137"/>
      <c r="BD1196" s="124"/>
      <c r="BE1196" s="38"/>
      <c r="BF1196" s="123"/>
      <c r="BG1196" s="534"/>
      <c r="BH1196" s="534"/>
      <c r="BI1196" s="534"/>
      <c r="BJ1196" s="534"/>
      <c r="BK1196" s="534"/>
      <c r="BL1196" s="534"/>
      <c r="BM1196" s="534"/>
      <c r="BN1196" s="534"/>
      <c r="BO1196" s="534"/>
      <c r="BP1196" s="534"/>
      <c r="BQ1196" s="534"/>
      <c r="BR1196" s="534"/>
      <c r="BS1196" s="534"/>
      <c r="BT1196" s="534"/>
      <c r="BU1196" s="534"/>
      <c r="BV1196" s="534"/>
      <c r="BW1196" s="534"/>
      <c r="BX1196" s="534"/>
      <c r="BY1196" s="534"/>
      <c r="BZ1196" s="534"/>
      <c r="CA1196" s="534"/>
      <c r="CB1196" s="534"/>
      <c r="CC1196" s="534"/>
      <c r="CD1196" s="534"/>
      <c r="CE1196" s="534"/>
      <c r="CF1196" s="534"/>
      <c r="CG1196" s="534"/>
      <c r="CH1196" s="534"/>
      <c r="CI1196" s="534"/>
      <c r="CJ1196" s="534"/>
      <c r="CK1196" s="534"/>
      <c r="CL1196" s="534"/>
      <c r="CM1196" s="534"/>
      <c r="CN1196" s="534"/>
      <c r="CO1196" s="534"/>
      <c r="CP1196" s="534"/>
    </row>
    <row r="1197" ht="15.75" customHeight="1">
      <c r="A1197" s="21" t="s">
        <v>5729</v>
      </c>
      <c r="B1197" s="16"/>
      <c r="C1197" s="17" t="s">
        <v>59</v>
      </c>
      <c r="D1197" s="48"/>
      <c r="E1197" s="138" t="s">
        <v>5730</v>
      </c>
      <c r="F1197" s="177" t="s">
        <v>5731</v>
      </c>
      <c r="G1197" s="317"/>
      <c r="H1197" s="22" t="s">
        <v>120</v>
      </c>
      <c r="I1197" s="23" t="s">
        <v>65</v>
      </c>
      <c r="J1197" s="237"/>
      <c r="K1197" s="23">
        <v>1.0</v>
      </c>
      <c r="L1197" s="23">
        <v>2014.0</v>
      </c>
      <c r="M1197" s="222"/>
      <c r="N1197" s="23"/>
      <c r="O1197" s="27" t="str">
        <f t="shared" si="3"/>
        <v>#N/A</v>
      </c>
      <c r="P1197" s="464"/>
      <c r="Q1197" s="464"/>
      <c r="R1197" s="464"/>
      <c r="S1197" s="464"/>
      <c r="T1197" s="464"/>
      <c r="U1197" s="464"/>
      <c r="V1197" s="30">
        <f t="shared" si="425"/>
        <v>300000</v>
      </c>
      <c r="W1197" s="30"/>
      <c r="X1197" s="33"/>
      <c r="Y1197" s="33"/>
      <c r="Z1197" s="692"/>
      <c r="AA1197" s="665"/>
      <c r="AB1197" s="36"/>
      <c r="AC1197" s="36"/>
      <c r="AD1197" s="44"/>
      <c r="AE1197" s="46"/>
      <c r="AF1197" s="158" t="str">
        <f>HYPERLINK("https://www.crunchbase.com/funding_round/biome-seed--859d0f89","Jun 1, 2020")</f>
        <v>Jun 1, 2020</v>
      </c>
      <c r="AG1197" s="38">
        <v>300000.0</v>
      </c>
      <c r="AH1197" s="36"/>
      <c r="AI1197" s="159"/>
      <c r="AJ1197" s="44"/>
      <c r="AK1197" s="46"/>
      <c r="AL1197" s="44"/>
      <c r="AM1197" s="46"/>
      <c r="AN1197" s="44"/>
      <c r="AO1197" s="46"/>
      <c r="AP1197" s="44"/>
      <c r="AQ1197" s="46"/>
      <c r="AR1197" s="44"/>
      <c r="AS1197" s="44"/>
      <c r="AT1197" s="44"/>
      <c r="AU1197" s="45"/>
      <c r="AV1197" s="44"/>
      <c r="AW1197" s="38"/>
      <c r="AX1197" s="44"/>
      <c r="AY1197" s="38"/>
      <c r="AZ1197" s="44"/>
      <c r="BA1197" s="45"/>
      <c r="BB1197" s="44"/>
      <c r="BC1197" s="45"/>
      <c r="BD1197" s="44"/>
      <c r="BE1197" s="38"/>
      <c r="BF1197" s="36"/>
      <c r="BG1197" s="16"/>
      <c r="BH1197" s="16"/>
      <c r="BI1197" s="16"/>
      <c r="BJ1197" s="16"/>
      <c r="BK1197" s="16"/>
      <c r="BL1197" s="16"/>
      <c r="BM1197" s="16"/>
      <c r="BN1197" s="16"/>
      <c r="BO1197" s="16"/>
      <c r="BP1197" s="16"/>
      <c r="BQ1197" s="16"/>
      <c r="BR1197" s="16"/>
      <c r="BS1197" s="16"/>
      <c r="BT1197" s="16"/>
      <c r="BU1197" s="16"/>
      <c r="BV1197" s="16"/>
      <c r="BW1197" s="16"/>
      <c r="BX1197" s="16"/>
      <c r="BY1197" s="16"/>
      <c r="BZ1197" s="16"/>
      <c r="CA1197" s="16"/>
      <c r="CB1197" s="16"/>
      <c r="CC1197" s="16"/>
      <c r="CD1197" s="16"/>
      <c r="CE1197" s="16"/>
      <c r="CF1197" s="16"/>
      <c r="CG1197" s="16"/>
      <c r="CH1197" s="16"/>
      <c r="CI1197" s="16"/>
      <c r="CJ1197" s="16"/>
      <c r="CK1197" s="16"/>
      <c r="CL1197" s="16"/>
      <c r="CM1197" s="16"/>
      <c r="CN1197" s="16"/>
      <c r="CO1197" s="16"/>
      <c r="CP1197" s="16"/>
    </row>
    <row r="1198" ht="15.75" customHeight="1">
      <c r="A1198" s="400" t="s">
        <v>5732</v>
      </c>
      <c r="B1198" s="115"/>
      <c r="C1198" s="116" t="s">
        <v>132</v>
      </c>
      <c r="D1198" s="161" t="s">
        <v>5733</v>
      </c>
      <c r="E1198" s="192" t="s">
        <v>5734</v>
      </c>
      <c r="F1198" s="118" t="s">
        <v>5735</v>
      </c>
      <c r="G1198" s="604"/>
      <c r="H1198" s="119" t="s">
        <v>64</v>
      </c>
      <c r="I1198" s="25" t="s">
        <v>65</v>
      </c>
      <c r="J1198" s="287"/>
      <c r="K1198" s="25">
        <v>2.0</v>
      </c>
      <c r="L1198" s="25">
        <v>2020.0</v>
      </c>
      <c r="M1198" s="25">
        <f>year(now()) -L1198</f>
        <v>5</v>
      </c>
      <c r="N1198" s="26">
        <f>counta(AE1198,AG1198,AI1198,AK1198,AM1198,AO1198,AQ1198,AS1198,AU1198,AW1198,AY1198,BA1198,BC1198)</f>
        <v>1</v>
      </c>
      <c r="O1198" s="27" t="str">
        <f t="shared" si="3"/>
        <v>#N/A</v>
      </c>
      <c r="P1198" s="28"/>
      <c r="Q1198" s="28"/>
      <c r="R1198" s="28"/>
      <c r="S1198" s="28"/>
      <c r="T1198" s="29">
        <f>V1198/M1198</f>
        <v>47200</v>
      </c>
      <c r="U1198" s="28"/>
      <c r="V1198" s="30">
        <f t="shared" si="425"/>
        <v>236000</v>
      </c>
      <c r="W1198" s="30"/>
      <c r="X1198" s="597"/>
      <c r="Y1198" s="33">
        <f>(max(AE1198,AG1198,AI1198,AK1198,AM1198,AO1198,AQ1198,AS1198,AU1198,AW1198,AY1198,BA1198,BC1198)/min(AE1198,AG1198,AI1198,AK1198))^(1/M1198)-1</f>
        <v>0</v>
      </c>
      <c r="Z1198" s="692"/>
      <c r="AA1198" s="665"/>
      <c r="AB1198" s="123"/>
      <c r="AC1198" s="123"/>
      <c r="AD1198" s="124"/>
      <c r="AE1198" s="125"/>
      <c r="AF1198" s="194" t="str">
        <f>HYPERLINK("https://www.crunchbase.com/funding_round/loanbase-seed--f527b25b","Oct 20, 2014")</f>
        <v>Oct 20, 2014</v>
      </c>
      <c r="AG1198" s="127">
        <v>236000.0</v>
      </c>
      <c r="AH1198" s="123"/>
      <c r="AI1198" s="128"/>
      <c r="AJ1198" s="169"/>
      <c r="AK1198" s="127"/>
      <c r="AL1198" s="169"/>
      <c r="AM1198" s="127"/>
      <c r="AN1198" s="124"/>
      <c r="AO1198" s="125"/>
      <c r="AP1198" s="124"/>
      <c r="AQ1198" s="125"/>
      <c r="AR1198" s="124"/>
      <c r="AS1198" s="124"/>
      <c r="AT1198" s="124"/>
      <c r="AU1198" s="137"/>
      <c r="AV1198" s="124"/>
      <c r="AW1198" s="38"/>
      <c r="AX1198" s="124"/>
      <c r="AY1198" s="38"/>
      <c r="AZ1198" s="124"/>
      <c r="BA1198" s="137"/>
      <c r="BB1198" s="124"/>
      <c r="BC1198" s="137"/>
      <c r="BD1198" s="124"/>
      <c r="BE1198" s="38"/>
      <c r="BF1198" s="123"/>
      <c r="BG1198" s="16"/>
      <c r="BH1198" s="16"/>
      <c r="BI1198" s="16"/>
      <c r="BJ1198" s="16"/>
      <c r="BK1198" s="16"/>
      <c r="BL1198" s="16"/>
      <c r="BM1198" s="16"/>
      <c r="BN1198" s="16"/>
      <c r="BO1198" s="16"/>
      <c r="BP1198" s="16"/>
      <c r="BQ1198" s="16"/>
      <c r="BR1198" s="16"/>
      <c r="BS1198" s="16"/>
      <c r="BT1198" s="16"/>
      <c r="BU1198" s="16"/>
      <c r="BV1198" s="16"/>
      <c r="BW1198" s="16"/>
      <c r="BX1198" s="16"/>
      <c r="BY1198" s="16"/>
      <c r="BZ1198" s="16"/>
      <c r="CA1198" s="16"/>
      <c r="CB1198" s="16"/>
      <c r="CC1198" s="16"/>
      <c r="CD1198" s="16"/>
      <c r="CE1198" s="16"/>
      <c r="CF1198" s="16"/>
      <c r="CG1198" s="16"/>
      <c r="CH1198" s="16"/>
      <c r="CI1198" s="16"/>
      <c r="CJ1198" s="16"/>
      <c r="CK1198" s="16"/>
      <c r="CL1198" s="16"/>
      <c r="CM1198" s="16"/>
      <c r="CN1198" s="16"/>
      <c r="CO1198" s="16"/>
      <c r="CP1198" s="16"/>
    </row>
    <row r="1199" ht="15.75" customHeight="1">
      <c r="A1199" s="400" t="s">
        <v>5736</v>
      </c>
      <c r="B1199" s="115"/>
      <c r="C1199" s="116" t="s">
        <v>713</v>
      </c>
      <c r="D1199" s="401" t="s">
        <v>5737</v>
      </c>
      <c r="E1199" s="401" t="s">
        <v>5738</v>
      </c>
      <c r="F1199" s="402" t="s">
        <v>5739</v>
      </c>
      <c r="G1199" s="286"/>
      <c r="H1199" s="119" t="s">
        <v>5740</v>
      </c>
      <c r="I1199" s="25" t="s">
        <v>372</v>
      </c>
      <c r="J1199" s="287"/>
      <c r="K1199" s="25">
        <v>1.0</v>
      </c>
      <c r="L1199" s="25">
        <v>2019.0</v>
      </c>
      <c r="M1199" s="123"/>
      <c r="N1199" s="123"/>
      <c r="O1199" s="27" t="str">
        <f t="shared" si="3"/>
        <v>#N/A</v>
      </c>
      <c r="P1199" s="55"/>
      <c r="Q1199" s="55"/>
      <c r="R1199" s="55"/>
      <c r="S1199" s="55"/>
      <c r="T1199" s="55"/>
      <c r="U1199" s="55"/>
      <c r="V1199" s="30">
        <f t="shared" si="425"/>
        <v>225000</v>
      </c>
      <c r="W1199" s="30"/>
      <c r="X1199" s="403"/>
      <c r="Y1199" s="403"/>
      <c r="Z1199" s="692"/>
      <c r="AA1199" s="665"/>
      <c r="AB1199" s="123"/>
      <c r="AC1199" s="123"/>
      <c r="AD1199" s="404">
        <v>44860.0</v>
      </c>
      <c r="AE1199" s="170">
        <v>225000.0</v>
      </c>
      <c r="AF1199" s="453"/>
      <c r="AG1199" s="123"/>
      <c r="AH1199" s="123"/>
      <c r="AI1199" s="123"/>
      <c r="AJ1199" s="123"/>
      <c r="AK1199" s="123"/>
      <c r="AL1199" s="123"/>
      <c r="AM1199" s="123"/>
      <c r="AN1199" s="123"/>
      <c r="AO1199" s="123"/>
      <c r="AP1199" s="123"/>
      <c r="AQ1199" s="123"/>
      <c r="AR1199" s="123"/>
      <c r="AS1199" s="123"/>
      <c r="AT1199" s="123"/>
      <c r="AU1199" s="137"/>
      <c r="AV1199" s="123"/>
      <c r="AW1199" s="38"/>
      <c r="AX1199" s="123"/>
      <c r="AY1199" s="38"/>
      <c r="AZ1199" s="123"/>
      <c r="BA1199" s="137"/>
      <c r="BB1199" s="123"/>
      <c r="BC1199" s="137"/>
      <c r="BD1199" s="123"/>
      <c r="BE1199" s="38"/>
      <c r="BF1199" s="123"/>
      <c r="BG1199" s="16"/>
      <c r="BH1199" s="16"/>
      <c r="BI1199" s="16"/>
      <c r="BJ1199" s="16"/>
      <c r="BK1199" s="16"/>
      <c r="BL1199" s="16"/>
      <c r="BM1199" s="16"/>
      <c r="BN1199" s="16"/>
      <c r="BO1199" s="16"/>
      <c r="BP1199" s="16"/>
      <c r="BQ1199" s="16"/>
      <c r="BR1199" s="16"/>
      <c r="BS1199" s="16"/>
      <c r="BT1199" s="16"/>
      <c r="BU1199" s="16"/>
      <c r="BV1199" s="16"/>
      <c r="BW1199" s="16"/>
      <c r="BX1199" s="16"/>
      <c r="BY1199" s="16"/>
      <c r="BZ1199" s="16"/>
      <c r="CA1199" s="16"/>
      <c r="CB1199" s="16"/>
      <c r="CC1199" s="16"/>
      <c r="CD1199" s="16"/>
      <c r="CE1199" s="16"/>
      <c r="CF1199" s="16"/>
      <c r="CG1199" s="16"/>
      <c r="CH1199" s="16"/>
      <c r="CI1199" s="16"/>
      <c r="CJ1199" s="16"/>
      <c r="CK1199" s="16"/>
      <c r="CL1199" s="16"/>
      <c r="CM1199" s="16"/>
      <c r="CN1199" s="16"/>
      <c r="CO1199" s="16"/>
      <c r="CP1199" s="16"/>
    </row>
    <row r="1200" ht="15.75" customHeight="1">
      <c r="A1200" s="442" t="s">
        <v>5741</v>
      </c>
      <c r="B1200" s="68"/>
      <c r="C1200" s="69" t="s">
        <v>123</v>
      </c>
      <c r="D1200" s="184" t="s">
        <v>5742</v>
      </c>
      <c r="E1200" s="184" t="s">
        <v>5743</v>
      </c>
      <c r="F1200" s="185" t="s">
        <v>5744</v>
      </c>
      <c r="G1200" s="186" t="s">
        <v>5745</v>
      </c>
      <c r="H1200" s="186" t="s">
        <v>1472</v>
      </c>
      <c r="I1200" s="74" t="s">
        <v>5746</v>
      </c>
      <c r="J1200" s="155"/>
      <c r="K1200" s="74">
        <v>3.0</v>
      </c>
      <c r="L1200" s="26">
        <v>2016.0</v>
      </c>
      <c r="M1200" s="25">
        <f t="shared" ref="M1200:M1201" si="776">year(now()) -L1200</f>
        <v>9</v>
      </c>
      <c r="N1200" s="26">
        <f t="shared" ref="N1200:N1201" si="777">counta(AE1200,AG1200,AI1200,AK1200,AM1200,AO1200,AQ1200,AS1200,AU1200,AW1200,AY1200,BA1200,BC1200)</f>
        <v>1</v>
      </c>
      <c r="O1200" s="27" t="str">
        <f t="shared" si="3"/>
        <v>#N/A</v>
      </c>
      <c r="P1200" s="28"/>
      <c r="Q1200" s="28"/>
      <c r="R1200" s="28"/>
      <c r="S1200" s="28"/>
      <c r="T1200" s="29">
        <f t="shared" ref="T1200:T1201" si="778">V1200/M1200</f>
        <v>22222.22222</v>
      </c>
      <c r="U1200" s="28"/>
      <c r="V1200" s="30">
        <f t="shared" si="425"/>
        <v>200000</v>
      </c>
      <c r="W1200" s="30"/>
      <c r="X1200" s="32"/>
      <c r="Y1200" s="33">
        <f t="shared" ref="Y1200:Y1201" si="779">(max(AE1200,AG1200,AI1200,AK1200,AM1200,AO1200,AQ1200,AS1200,AU1200,AW1200,AY1200,BA1200,BC1200)/min(AE1200,AG1200,AI1200,AK1200))^(1/M1200)-1</f>
        <v>0</v>
      </c>
      <c r="Z1200" s="692"/>
      <c r="AA1200" s="665"/>
      <c r="AB1200" s="74"/>
      <c r="AC1200" s="74"/>
      <c r="AD1200" s="228" t="str">
        <f>HYPERLINK("https://www.crunchbase.com/organization/faber-connect#section-funding-rounds"," Jun 26, 2017")</f>
        <v> Jun 26, 2017</v>
      </c>
      <c r="AE1200" s="38">
        <v>200000.0</v>
      </c>
      <c r="AF1200" s="39"/>
      <c r="AG1200" s="46"/>
      <c r="AH1200" s="36"/>
      <c r="AI1200" s="159"/>
      <c r="AJ1200" s="44"/>
      <c r="AK1200" s="46"/>
      <c r="AL1200" s="44"/>
      <c r="AM1200" s="46"/>
      <c r="AN1200" s="44"/>
      <c r="AO1200" s="46"/>
      <c r="AP1200" s="44"/>
      <c r="AQ1200" s="46"/>
      <c r="AR1200" s="44"/>
      <c r="AS1200" s="44"/>
      <c r="AT1200" s="44"/>
      <c r="AU1200" s="45"/>
      <c r="AV1200" s="44"/>
      <c r="AW1200" s="38"/>
      <c r="AX1200" s="44"/>
      <c r="AY1200" s="38"/>
      <c r="AZ1200" s="44"/>
      <c r="BA1200" s="45"/>
      <c r="BB1200" s="44"/>
      <c r="BC1200" s="45"/>
      <c r="BD1200" s="44"/>
      <c r="BE1200" s="38"/>
      <c r="BF1200" s="36"/>
      <c r="BG1200" s="534"/>
      <c r="BH1200" s="534"/>
      <c r="BI1200" s="534"/>
      <c r="BJ1200" s="534"/>
      <c r="BK1200" s="534"/>
      <c r="BL1200" s="534"/>
      <c r="BM1200" s="534"/>
      <c r="BN1200" s="534"/>
      <c r="BO1200" s="534"/>
      <c r="BP1200" s="534"/>
      <c r="BQ1200" s="534"/>
      <c r="BR1200" s="534"/>
      <c r="BS1200" s="534"/>
      <c r="BT1200" s="534"/>
      <c r="BU1200" s="534"/>
      <c r="BV1200" s="534"/>
      <c r="BW1200" s="534"/>
      <c r="BX1200" s="534"/>
      <c r="BY1200" s="534"/>
      <c r="BZ1200" s="534"/>
      <c r="CA1200" s="534"/>
      <c r="CB1200" s="534"/>
      <c r="CC1200" s="534"/>
      <c r="CD1200" s="534"/>
      <c r="CE1200" s="534"/>
      <c r="CF1200" s="534"/>
      <c r="CG1200" s="534"/>
      <c r="CH1200" s="534"/>
      <c r="CI1200" s="534"/>
      <c r="CJ1200" s="534"/>
      <c r="CK1200" s="534"/>
      <c r="CL1200" s="534"/>
      <c r="CM1200" s="534"/>
      <c r="CN1200" s="534"/>
      <c r="CO1200" s="534"/>
      <c r="CP1200" s="534"/>
    </row>
    <row r="1201" ht="15.75" customHeight="1">
      <c r="A1201" s="1162" t="s">
        <v>5747</v>
      </c>
      <c r="B1201" s="17"/>
      <c r="C1201" s="17" t="s">
        <v>207</v>
      </c>
      <c r="D1201" s="236" t="s">
        <v>5748</v>
      </c>
      <c r="E1201" s="236" t="s">
        <v>5749</v>
      </c>
      <c r="F1201" s="1521" t="s">
        <v>5750</v>
      </c>
      <c r="G1201" s="22"/>
      <c r="H1201" s="22" t="s">
        <v>2488</v>
      </c>
      <c r="I1201" s="23" t="s">
        <v>5751</v>
      </c>
      <c r="J1201" s="24"/>
      <c r="K1201" s="23"/>
      <c r="L1201" s="23">
        <v>2014.0</v>
      </c>
      <c r="M1201" s="25">
        <f t="shared" si="776"/>
        <v>11</v>
      </c>
      <c r="N1201" s="26">
        <f t="shared" si="777"/>
        <v>1</v>
      </c>
      <c r="O1201" s="27" t="str">
        <f t="shared" si="3"/>
        <v>#N/A</v>
      </c>
      <c r="P1201" s="28"/>
      <c r="Q1201" s="28"/>
      <c r="R1201" s="28"/>
      <c r="S1201" s="28"/>
      <c r="T1201" s="29">
        <f t="shared" si="778"/>
        <v>18181.81818</v>
      </c>
      <c r="U1201" s="28"/>
      <c r="V1201" s="30">
        <f t="shared" si="425"/>
        <v>200000</v>
      </c>
      <c r="W1201" s="30"/>
      <c r="X1201" s="33"/>
      <c r="Y1201" s="33">
        <f t="shared" si="779"/>
        <v>0</v>
      </c>
      <c r="Z1201" s="692"/>
      <c r="AA1201" s="665"/>
      <c r="AB1201" s="36"/>
      <c r="AC1201" s="36"/>
      <c r="AD1201" s="44"/>
      <c r="AE1201" s="46"/>
      <c r="AF1201" s="320">
        <v>41091.0</v>
      </c>
      <c r="AG1201" s="38">
        <v>200000.0</v>
      </c>
      <c r="AH1201" s="36"/>
      <c r="AI1201" s="159"/>
      <c r="AJ1201" s="44"/>
      <c r="AK1201" s="46"/>
      <c r="AL1201" s="44"/>
      <c r="AM1201" s="46"/>
      <c r="AN1201" s="44"/>
      <c r="AO1201" s="46"/>
      <c r="AP1201" s="44"/>
      <c r="AQ1201" s="46"/>
      <c r="AR1201" s="44"/>
      <c r="AS1201" s="44"/>
      <c r="AT1201" s="44"/>
      <c r="AU1201" s="45"/>
      <c r="AV1201" s="44"/>
      <c r="AW1201" s="38"/>
      <c r="AX1201" s="44"/>
      <c r="AY1201" s="38"/>
      <c r="AZ1201" s="44"/>
      <c r="BA1201" s="45"/>
      <c r="BB1201" s="44"/>
      <c r="BC1201" s="45"/>
      <c r="BD1201" s="44"/>
      <c r="BE1201" s="38"/>
      <c r="BF1201" s="36"/>
      <c r="BG1201" s="16"/>
      <c r="BH1201" s="16"/>
      <c r="BI1201" s="16"/>
      <c r="BJ1201" s="16"/>
      <c r="BK1201" s="16"/>
      <c r="BL1201" s="16"/>
      <c r="BM1201" s="16"/>
      <c r="BN1201" s="16"/>
      <c r="BO1201" s="16"/>
      <c r="BP1201" s="16"/>
      <c r="BQ1201" s="16"/>
      <c r="BR1201" s="16"/>
      <c r="BS1201" s="16"/>
      <c r="BT1201" s="16"/>
      <c r="BU1201" s="16"/>
      <c r="BV1201" s="16"/>
      <c r="BW1201" s="16"/>
      <c r="BX1201" s="16"/>
      <c r="BY1201" s="16"/>
      <c r="BZ1201" s="16"/>
      <c r="CA1201" s="16"/>
      <c r="CB1201" s="16"/>
      <c r="CC1201" s="16"/>
      <c r="CD1201" s="16"/>
      <c r="CE1201" s="16"/>
      <c r="CF1201" s="16"/>
      <c r="CG1201" s="16"/>
      <c r="CH1201" s="16"/>
      <c r="CI1201" s="16"/>
      <c r="CJ1201" s="16"/>
      <c r="CK1201" s="16"/>
      <c r="CL1201" s="16"/>
      <c r="CM1201" s="16"/>
      <c r="CN1201" s="16"/>
      <c r="CO1201" s="16"/>
      <c r="CP1201" s="16"/>
    </row>
    <row r="1202" ht="15.75" customHeight="1">
      <c r="A1202" s="400" t="s">
        <v>5752</v>
      </c>
      <c r="B1202" s="115"/>
      <c r="C1202" s="116" t="s">
        <v>59</v>
      </c>
      <c r="D1202" s="401" t="s">
        <v>5753</v>
      </c>
      <c r="E1202" s="401" t="s">
        <v>5754</v>
      </c>
      <c r="F1202" s="402" t="s">
        <v>5755</v>
      </c>
      <c r="G1202" s="286"/>
      <c r="H1202" s="119" t="s">
        <v>5756</v>
      </c>
      <c r="I1202" s="25" t="s">
        <v>4990</v>
      </c>
      <c r="J1202" s="287"/>
      <c r="K1202" s="25">
        <v>1.0</v>
      </c>
      <c r="L1202" s="25">
        <v>2008.0</v>
      </c>
      <c r="M1202" s="123"/>
      <c r="N1202" s="123"/>
      <c r="O1202" s="27" t="str">
        <f t="shared" si="3"/>
        <v>#N/A</v>
      </c>
      <c r="P1202" s="55"/>
      <c r="Q1202" s="55"/>
      <c r="R1202" s="55"/>
      <c r="S1202" s="55"/>
      <c r="T1202" s="55"/>
      <c r="U1202" s="55"/>
      <c r="V1202" s="30">
        <f t="shared" si="425"/>
        <v>200000</v>
      </c>
      <c r="W1202" s="31">
        <v>1400000.0</v>
      </c>
      <c r="X1202" s="403"/>
      <c r="Y1202" s="403"/>
      <c r="Z1202" s="692"/>
      <c r="AA1202" s="665"/>
      <c r="AB1202" s="123"/>
      <c r="AC1202" s="123"/>
      <c r="AD1202" s="452"/>
      <c r="AE1202" s="125"/>
      <c r="AF1202" s="404">
        <v>40973.0</v>
      </c>
      <c r="AG1202" s="127">
        <v>200000.0</v>
      </c>
      <c r="AH1202" s="123"/>
      <c r="AI1202" s="128"/>
      <c r="AJ1202" s="123"/>
      <c r="AK1202" s="123"/>
      <c r="AL1202" s="123"/>
      <c r="AM1202" s="125"/>
      <c r="AN1202" s="123"/>
      <c r="AO1202" s="123"/>
      <c r="AP1202" s="881"/>
      <c r="AQ1202" s="123"/>
      <c r="AR1202" s="123"/>
      <c r="AS1202" s="123"/>
      <c r="AT1202" s="123"/>
      <c r="AU1202" s="137"/>
      <c r="AV1202" s="123"/>
      <c r="AW1202" s="38"/>
      <c r="AX1202" s="123"/>
      <c r="AY1202" s="38"/>
      <c r="AZ1202" s="404">
        <v>43658.0</v>
      </c>
      <c r="BA1202" s="137"/>
      <c r="BB1202" s="123"/>
      <c r="BC1202" s="137"/>
      <c r="BD1202" s="123"/>
      <c r="BE1202" s="38"/>
      <c r="BF1202" s="123"/>
      <c r="BG1202" s="16"/>
      <c r="BH1202" s="16"/>
      <c r="BI1202" s="16"/>
      <c r="BJ1202" s="16"/>
      <c r="BK1202" s="16"/>
      <c r="BL1202" s="16"/>
      <c r="BM1202" s="16"/>
      <c r="BN1202" s="16"/>
      <c r="BO1202" s="16"/>
      <c r="BP1202" s="16"/>
      <c r="BQ1202" s="16"/>
      <c r="BR1202" s="16"/>
      <c r="BS1202" s="16"/>
      <c r="BT1202" s="16"/>
      <c r="BU1202" s="16"/>
      <c r="BV1202" s="16"/>
      <c r="BW1202" s="16"/>
      <c r="BX1202" s="16"/>
      <c r="BY1202" s="16"/>
      <c r="BZ1202" s="16"/>
      <c r="CA1202" s="16"/>
      <c r="CB1202" s="16"/>
      <c r="CC1202" s="16"/>
      <c r="CD1202" s="16"/>
      <c r="CE1202" s="16"/>
      <c r="CF1202" s="16"/>
      <c r="CG1202" s="16"/>
      <c r="CH1202" s="16"/>
      <c r="CI1202" s="16"/>
      <c r="CJ1202" s="16"/>
      <c r="CK1202" s="16"/>
      <c r="CL1202" s="16"/>
      <c r="CM1202" s="16"/>
      <c r="CN1202" s="16"/>
      <c r="CO1202" s="16"/>
      <c r="CP1202" s="16"/>
    </row>
    <row r="1203" ht="15.75" customHeight="1">
      <c r="A1203" s="866" t="s">
        <v>5757</v>
      </c>
      <c r="B1203" s="16"/>
      <c r="C1203" s="17" t="s">
        <v>207</v>
      </c>
      <c r="D1203" s="337"/>
      <c r="E1203" s="236" t="s">
        <v>5758</v>
      </c>
      <c r="F1203" s="803" t="s">
        <v>5759</v>
      </c>
      <c r="G1203" s="317"/>
      <c r="H1203" s="22" t="s">
        <v>5760</v>
      </c>
      <c r="I1203" s="23" t="s">
        <v>5761</v>
      </c>
      <c r="J1203" s="237"/>
      <c r="K1203" s="36"/>
      <c r="L1203" s="23">
        <v>2019.0</v>
      </c>
      <c r="M1203" s="25">
        <f t="shared" ref="M1203:M1215" si="780">year(now()) -L1203</f>
        <v>6</v>
      </c>
      <c r="N1203" s="26">
        <f t="shared" ref="N1203:N1215" si="781">counta(AE1203,AG1203,AI1203,AK1203,AM1203,AO1203,AQ1203,AS1203,AU1203,AW1203,AY1203,BA1203,BC1203)</f>
        <v>1</v>
      </c>
      <c r="O1203" s="27" t="str">
        <f t="shared" si="3"/>
        <v>#N/A</v>
      </c>
      <c r="P1203" s="28"/>
      <c r="Q1203" s="28"/>
      <c r="R1203" s="28"/>
      <c r="S1203" s="28"/>
      <c r="T1203" s="29">
        <f t="shared" ref="T1203:T1215" si="782">V1203/M1203</f>
        <v>30833.33333</v>
      </c>
      <c r="U1203" s="28"/>
      <c r="V1203" s="30">
        <f t="shared" si="425"/>
        <v>185000</v>
      </c>
      <c r="W1203" s="30"/>
      <c r="X1203" s="847"/>
      <c r="Y1203" s="33">
        <f t="shared" ref="Y1203:Y1215" si="783">(max(AE1203,AG1203,AI1203,AK1203,AM1203,AO1203,AQ1203,AS1203,AU1203,AW1203,AY1203,BA1203,BC1203)/min(AE1203,AG1203,AI1203,AK1203))^(1/M1203)-1</f>
        <v>0</v>
      </c>
      <c r="Z1203" s="692"/>
      <c r="AA1203" s="665"/>
      <c r="AB1203" s="36"/>
      <c r="AC1203" s="36"/>
      <c r="AD1203" s="227">
        <v>43691.0</v>
      </c>
      <c r="AE1203" s="38">
        <v>185000.0</v>
      </c>
      <c r="AF1203" s="39"/>
      <c r="AG1203" s="46"/>
      <c r="AH1203" s="36"/>
      <c r="AI1203" s="159"/>
      <c r="AJ1203" s="44"/>
      <c r="AK1203" s="46"/>
      <c r="AL1203" s="44"/>
      <c r="AM1203" s="46"/>
      <c r="AN1203" s="44"/>
      <c r="AO1203" s="46"/>
      <c r="AP1203" s="44"/>
      <c r="AQ1203" s="46"/>
      <c r="AR1203" s="44"/>
      <c r="AS1203" s="44"/>
      <c r="AT1203" s="44"/>
      <c r="AU1203" s="45"/>
      <c r="AV1203" s="44"/>
      <c r="AW1203" s="38"/>
      <c r="AX1203" s="44"/>
      <c r="AY1203" s="38"/>
      <c r="AZ1203" s="44"/>
      <c r="BA1203" s="45"/>
      <c r="BB1203" s="44"/>
      <c r="BC1203" s="45"/>
      <c r="BD1203" s="44"/>
      <c r="BE1203" s="38"/>
      <c r="BF1203" s="36"/>
      <c r="BG1203" s="16"/>
      <c r="BH1203" s="16"/>
      <c r="BI1203" s="16"/>
      <c r="BJ1203" s="16"/>
      <c r="BK1203" s="16"/>
      <c r="BL1203" s="16"/>
      <c r="BM1203" s="16"/>
      <c r="BN1203" s="16"/>
      <c r="BO1203" s="16"/>
      <c r="BP1203" s="16"/>
      <c r="BQ1203" s="16"/>
      <c r="BR1203" s="16"/>
      <c r="BS1203" s="16"/>
      <c r="BT1203" s="16"/>
      <c r="BU1203" s="16"/>
      <c r="BV1203" s="16"/>
      <c r="BW1203" s="16"/>
      <c r="BX1203" s="16"/>
      <c r="BY1203" s="16"/>
      <c r="BZ1203" s="16"/>
      <c r="CA1203" s="16"/>
      <c r="CB1203" s="16"/>
      <c r="CC1203" s="16"/>
      <c r="CD1203" s="16"/>
      <c r="CE1203" s="16"/>
      <c r="CF1203" s="16"/>
      <c r="CG1203" s="16"/>
      <c r="CH1203" s="16"/>
      <c r="CI1203" s="16"/>
      <c r="CJ1203" s="16"/>
      <c r="CK1203" s="16"/>
      <c r="CL1203" s="16"/>
      <c r="CM1203" s="16"/>
      <c r="CN1203" s="16"/>
      <c r="CO1203" s="16"/>
      <c r="CP1203" s="16"/>
    </row>
    <row r="1204" ht="15.75" customHeight="1">
      <c r="A1204" s="1532" t="s">
        <v>5762</v>
      </c>
      <c r="B1204" s="16" t="s">
        <v>5763</v>
      </c>
      <c r="C1204" s="17" t="s">
        <v>5764</v>
      </c>
      <c r="D1204" s="337"/>
      <c r="E1204" s="138" t="s">
        <v>5765</v>
      </c>
      <c r="F1204" s="652"/>
      <c r="G1204" s="317"/>
      <c r="H1204" s="317" t="s">
        <v>163</v>
      </c>
      <c r="I1204" s="36" t="s">
        <v>164</v>
      </c>
      <c r="J1204" s="237"/>
      <c r="K1204" s="74" t="s">
        <v>723</v>
      </c>
      <c r="L1204" s="74" t="s">
        <v>723</v>
      </c>
      <c r="M1204" s="25" t="str">
        <f t="shared" si="780"/>
        <v>#VALUE!</v>
      </c>
      <c r="N1204" s="26">
        <f t="shared" si="781"/>
        <v>1</v>
      </c>
      <c r="O1204" s="27" t="str">
        <f t="shared" si="3"/>
        <v>#N/A</v>
      </c>
      <c r="P1204" s="28"/>
      <c r="Q1204" s="28"/>
      <c r="R1204" s="28"/>
      <c r="S1204" s="28"/>
      <c r="T1204" s="28" t="str">
        <f t="shared" si="782"/>
        <v>#VALUE!</v>
      </c>
      <c r="U1204" s="28"/>
      <c r="V1204" s="30">
        <f t="shared" si="425"/>
        <v>167000</v>
      </c>
      <c r="W1204" s="30"/>
      <c r="X1204" s="32"/>
      <c r="Y1204" s="33" t="str">
        <f t="shared" si="783"/>
        <v>#VALUE!</v>
      </c>
      <c r="Z1204" s="692"/>
      <c r="AA1204" s="665"/>
      <c r="AB1204" s="36"/>
      <c r="AC1204" s="36"/>
      <c r="AD1204" s="44"/>
      <c r="AE1204" s="46"/>
      <c r="AF1204" s="158" t="str">
        <f> HYPERLINK("https://www.crunchbase.com/funding_round/argus-seed--b781b210#section-overview", "Jun 23, 2012")</f>
        <v>Jun 23, 2012</v>
      </c>
      <c r="AG1204" s="38">
        <v>167000.0</v>
      </c>
      <c r="AH1204" s="36"/>
      <c r="AI1204" s="46"/>
      <c r="AJ1204" s="44"/>
      <c r="AK1204" s="46"/>
      <c r="AL1204" s="44"/>
      <c r="AM1204" s="46"/>
      <c r="AN1204" s="44"/>
      <c r="AO1204" s="46"/>
      <c r="AP1204" s="44"/>
      <c r="AQ1204" s="46"/>
      <c r="AR1204" s="44"/>
      <c r="AS1204" s="44"/>
      <c r="AT1204" s="44"/>
      <c r="AU1204" s="45"/>
      <c r="AV1204" s="44"/>
      <c r="AW1204" s="38"/>
      <c r="AX1204" s="44"/>
      <c r="AY1204" s="38"/>
      <c r="AZ1204" s="44"/>
      <c r="BA1204" s="45"/>
      <c r="BB1204" s="44"/>
      <c r="BC1204" s="45"/>
      <c r="BD1204" s="44"/>
      <c r="BE1204" s="38"/>
      <c r="BF1204" s="36"/>
      <c r="BG1204" s="534"/>
      <c r="BH1204" s="534"/>
      <c r="BI1204" s="534"/>
      <c r="BJ1204" s="534"/>
      <c r="BK1204" s="534"/>
      <c r="BL1204" s="534"/>
      <c r="BM1204" s="534"/>
      <c r="BN1204" s="534"/>
      <c r="BO1204" s="534"/>
      <c r="BP1204" s="534"/>
      <c r="BQ1204" s="534"/>
      <c r="BR1204" s="534"/>
      <c r="BS1204" s="534"/>
      <c r="BT1204" s="534"/>
      <c r="BU1204" s="534"/>
      <c r="BV1204" s="534"/>
      <c r="BW1204" s="534"/>
      <c r="BX1204" s="534"/>
      <c r="BY1204" s="534"/>
      <c r="BZ1204" s="534"/>
      <c r="CA1204" s="534"/>
      <c r="CB1204" s="534"/>
      <c r="CC1204" s="534"/>
      <c r="CD1204" s="534"/>
      <c r="CE1204" s="534"/>
      <c r="CF1204" s="534"/>
      <c r="CG1204" s="534"/>
      <c r="CH1204" s="534"/>
      <c r="CI1204" s="534"/>
      <c r="CJ1204" s="534"/>
      <c r="CK1204" s="534"/>
      <c r="CL1204" s="534"/>
      <c r="CM1204" s="534"/>
      <c r="CN1204" s="534"/>
      <c r="CO1204" s="534"/>
      <c r="CP1204" s="534"/>
    </row>
    <row r="1205" ht="15.75" customHeight="1">
      <c r="A1205" s="21" t="s">
        <v>5766</v>
      </c>
      <c r="B1205" s="69" t="s">
        <v>5767</v>
      </c>
      <c r="C1205" s="69" t="s">
        <v>84</v>
      </c>
      <c r="D1205" s="200" t="s">
        <v>5768</v>
      </c>
      <c r="E1205" s="200" t="s">
        <v>5769</v>
      </c>
      <c r="F1205" s="154" t="s">
        <v>5770</v>
      </c>
      <c r="G1205" s="140" t="s">
        <v>5771</v>
      </c>
      <c r="H1205" s="562" t="s">
        <v>1833</v>
      </c>
      <c r="I1205" s="26" t="s">
        <v>651</v>
      </c>
      <c r="J1205" s="761" t="s">
        <v>5772</v>
      </c>
      <c r="K1205" s="26">
        <v>1.0</v>
      </c>
      <c r="L1205" s="26">
        <v>2012.0</v>
      </c>
      <c r="M1205" s="25">
        <f t="shared" si="780"/>
        <v>13</v>
      </c>
      <c r="N1205" s="26">
        <f t="shared" si="781"/>
        <v>1</v>
      </c>
      <c r="O1205" s="27" t="str">
        <f t="shared" si="3"/>
        <v>#N/A</v>
      </c>
      <c r="P1205" s="28"/>
      <c r="Q1205" s="28"/>
      <c r="R1205" s="28"/>
      <c r="S1205" s="28"/>
      <c r="T1205" s="29">
        <f t="shared" si="782"/>
        <v>11538.46154</v>
      </c>
      <c r="U1205" s="28"/>
      <c r="V1205" s="30">
        <f t="shared" si="425"/>
        <v>150000</v>
      </c>
      <c r="W1205" s="30"/>
      <c r="X1205" s="73"/>
      <c r="Y1205" s="33">
        <f t="shared" si="783"/>
        <v>0</v>
      </c>
      <c r="Z1205" s="692"/>
      <c r="AA1205" s="665"/>
      <c r="AB1205" s="74"/>
      <c r="AC1205" s="74"/>
      <c r="AD1205" s="79"/>
      <c r="AE1205" s="84"/>
      <c r="AF1205" s="175" t="str">
        <f>HYPERLINK("https://www.crunchbase.com/organization/homejab#section-funding-rounds"," Apr 26, 2013")</f>
        <v> Apr 26, 2013</v>
      </c>
      <c r="AG1205" s="76">
        <v>150000.0</v>
      </c>
      <c r="AH1205" s="74"/>
      <c r="AI1205" s="78"/>
      <c r="AJ1205" s="79"/>
      <c r="AK1205" s="84"/>
      <c r="AL1205" s="79"/>
      <c r="AM1205" s="84"/>
      <c r="AN1205" s="79"/>
      <c r="AO1205" s="84"/>
      <c r="AP1205" s="79"/>
      <c r="AQ1205" s="84"/>
      <c r="AR1205" s="79"/>
      <c r="AS1205" s="79"/>
      <c r="AT1205" s="79"/>
      <c r="AU1205" s="80"/>
      <c r="AV1205" s="79"/>
      <c r="AW1205" s="38"/>
      <c r="AX1205" s="79"/>
      <c r="AY1205" s="38"/>
      <c r="AZ1205" s="79"/>
      <c r="BA1205" s="80"/>
      <c r="BB1205" s="79"/>
      <c r="BC1205" s="80"/>
      <c r="BD1205" s="79"/>
      <c r="BE1205" s="38"/>
      <c r="BF1205" s="74"/>
      <c r="BG1205" s="16"/>
      <c r="BH1205" s="16"/>
      <c r="BI1205" s="16"/>
      <c r="BJ1205" s="16"/>
      <c r="BK1205" s="16"/>
      <c r="BL1205" s="16"/>
      <c r="BM1205" s="16"/>
      <c r="BN1205" s="16"/>
      <c r="BO1205" s="16"/>
      <c r="BP1205" s="16"/>
      <c r="BQ1205" s="16"/>
      <c r="BR1205" s="16"/>
      <c r="BS1205" s="16"/>
      <c r="BT1205" s="16"/>
      <c r="BU1205" s="16"/>
      <c r="BV1205" s="16"/>
      <c r="BW1205" s="16"/>
      <c r="BX1205" s="16"/>
      <c r="BY1205" s="16"/>
      <c r="BZ1205" s="16"/>
      <c r="CA1205" s="16"/>
      <c r="CB1205" s="16"/>
      <c r="CC1205" s="16"/>
      <c r="CD1205" s="16"/>
      <c r="CE1205" s="16"/>
      <c r="CF1205" s="16"/>
      <c r="CG1205" s="16"/>
      <c r="CH1205" s="16"/>
      <c r="CI1205" s="16"/>
      <c r="CJ1205" s="16"/>
      <c r="CK1205" s="16"/>
      <c r="CL1205" s="16"/>
      <c r="CM1205" s="16"/>
      <c r="CN1205" s="16"/>
      <c r="CO1205" s="16"/>
      <c r="CP1205" s="16"/>
    </row>
    <row r="1206" ht="15.75" customHeight="1">
      <c r="A1206" s="860" t="s">
        <v>5773</v>
      </c>
      <c r="B1206" s="68"/>
      <c r="C1206" s="69" t="s">
        <v>513</v>
      </c>
      <c r="D1206" s="337"/>
      <c r="E1206" s="192" t="s">
        <v>5774</v>
      </c>
      <c r="F1206" s="756" t="s">
        <v>5775</v>
      </c>
      <c r="G1206" s="186"/>
      <c r="H1206" s="71" t="s">
        <v>2478</v>
      </c>
      <c r="I1206" s="26" t="s">
        <v>65</v>
      </c>
      <c r="J1206" s="155"/>
      <c r="K1206" s="74"/>
      <c r="L1206" s="26">
        <v>2019.0</v>
      </c>
      <c r="M1206" s="25">
        <f t="shared" si="780"/>
        <v>6</v>
      </c>
      <c r="N1206" s="26">
        <f t="shared" si="781"/>
        <v>1</v>
      </c>
      <c r="O1206" s="27" t="str">
        <f t="shared" si="3"/>
        <v>#N/A</v>
      </c>
      <c r="P1206" s="28"/>
      <c r="Q1206" s="28"/>
      <c r="R1206" s="28"/>
      <c r="S1206" s="28"/>
      <c r="T1206" s="29">
        <f t="shared" si="782"/>
        <v>25000</v>
      </c>
      <c r="U1206" s="28"/>
      <c r="V1206" s="30">
        <f t="shared" si="425"/>
        <v>150000</v>
      </c>
      <c r="W1206" s="30"/>
      <c r="X1206" s="32"/>
      <c r="Y1206" s="33">
        <f t="shared" si="783"/>
        <v>0</v>
      </c>
      <c r="Z1206" s="692"/>
      <c r="AA1206" s="665"/>
      <c r="AB1206" s="74"/>
      <c r="AC1206" s="74"/>
      <c r="AD1206" s="79"/>
      <c r="AE1206" s="84"/>
      <c r="AF1206" s="320">
        <v>43906.0</v>
      </c>
      <c r="AG1206" s="76">
        <v>150000.0</v>
      </c>
      <c r="AH1206" s="74"/>
      <c r="AI1206" s="78"/>
      <c r="AJ1206" s="79"/>
      <c r="AK1206" s="84"/>
      <c r="AL1206" s="79"/>
      <c r="AM1206" s="84"/>
      <c r="AN1206" s="79"/>
      <c r="AO1206" s="84"/>
      <c r="AP1206" s="79"/>
      <c r="AQ1206" s="84"/>
      <c r="AR1206" s="79"/>
      <c r="AS1206" s="79"/>
      <c r="AT1206" s="79"/>
      <c r="AU1206" s="80"/>
      <c r="AV1206" s="79"/>
      <c r="AW1206" s="38"/>
      <c r="AX1206" s="79"/>
      <c r="AY1206" s="38"/>
      <c r="AZ1206" s="79"/>
      <c r="BA1206" s="80"/>
      <c r="BB1206" s="79"/>
      <c r="BC1206" s="80"/>
      <c r="BD1206" s="79"/>
      <c r="BE1206" s="38"/>
      <c r="BF1206" s="74"/>
      <c r="BG1206" s="16"/>
      <c r="BH1206" s="16"/>
      <c r="BI1206" s="16"/>
      <c r="BJ1206" s="16"/>
      <c r="BK1206" s="16"/>
      <c r="BL1206" s="16"/>
      <c r="BM1206" s="16"/>
      <c r="BN1206" s="16"/>
      <c r="BO1206" s="16"/>
      <c r="BP1206" s="16"/>
      <c r="BQ1206" s="16"/>
      <c r="BR1206" s="16"/>
      <c r="BS1206" s="16"/>
      <c r="BT1206" s="16"/>
      <c r="BU1206" s="16"/>
      <c r="BV1206" s="16"/>
      <c r="BW1206" s="16"/>
      <c r="BX1206" s="16"/>
      <c r="BY1206" s="16"/>
      <c r="BZ1206" s="16"/>
      <c r="CA1206" s="16"/>
      <c r="CB1206" s="16"/>
      <c r="CC1206" s="16"/>
      <c r="CD1206" s="16"/>
      <c r="CE1206" s="16"/>
      <c r="CF1206" s="16"/>
      <c r="CG1206" s="16"/>
      <c r="CH1206" s="16"/>
      <c r="CI1206" s="16"/>
      <c r="CJ1206" s="16"/>
      <c r="CK1206" s="16"/>
      <c r="CL1206" s="16"/>
      <c r="CM1206" s="16"/>
      <c r="CN1206" s="16"/>
      <c r="CO1206" s="16"/>
      <c r="CP1206" s="16"/>
    </row>
    <row r="1207" ht="15.75" customHeight="1">
      <c r="A1207" s="21" t="s">
        <v>5776</v>
      </c>
      <c r="B1207" s="68"/>
      <c r="C1207" s="69" t="s">
        <v>84</v>
      </c>
      <c r="D1207" s="200" t="s">
        <v>5777</v>
      </c>
      <c r="E1207" s="200" t="s">
        <v>5778</v>
      </c>
      <c r="F1207" s="154" t="s">
        <v>5779</v>
      </c>
      <c r="G1207" s="71" t="s">
        <v>3273</v>
      </c>
      <c r="H1207" s="186"/>
      <c r="I1207" s="74"/>
      <c r="J1207" s="155"/>
      <c r="K1207" s="26">
        <v>2.0</v>
      </c>
      <c r="L1207" s="26">
        <v>2014.0</v>
      </c>
      <c r="M1207" s="25">
        <f t="shared" si="780"/>
        <v>11</v>
      </c>
      <c r="N1207" s="26">
        <f t="shared" si="781"/>
        <v>1</v>
      </c>
      <c r="O1207" s="27" t="str">
        <f t="shared" si="3"/>
        <v>#N/A</v>
      </c>
      <c r="P1207" s="28"/>
      <c r="Q1207" s="28"/>
      <c r="R1207" s="28"/>
      <c r="S1207" s="28"/>
      <c r="T1207" s="29">
        <f t="shared" si="782"/>
        <v>13636.36364</v>
      </c>
      <c r="U1207" s="28"/>
      <c r="V1207" s="30">
        <f t="shared" si="425"/>
        <v>150000</v>
      </c>
      <c r="W1207" s="30"/>
      <c r="X1207" s="73"/>
      <c r="Y1207" s="33">
        <f t="shared" si="783"/>
        <v>0</v>
      </c>
      <c r="Z1207" s="692"/>
      <c r="AA1207" s="665"/>
      <c r="AB1207" s="74"/>
      <c r="AC1207" s="74"/>
      <c r="AD1207" s="79"/>
      <c r="AE1207" s="84"/>
      <c r="AF1207" s="175" t="str">
        <f>HYPERLINK("https://www.crunchbase.com/organization/mycoop#section-funding-rounds"," 1/1/2017")</f>
        <v> 1/1/2017</v>
      </c>
      <c r="AG1207" s="76">
        <v>150000.0</v>
      </c>
      <c r="AH1207" s="74"/>
      <c r="AI1207" s="78"/>
      <c r="AJ1207" s="79"/>
      <c r="AK1207" s="84"/>
      <c r="AL1207" s="79"/>
      <c r="AM1207" s="84"/>
      <c r="AN1207" s="79"/>
      <c r="AO1207" s="84"/>
      <c r="AP1207" s="79"/>
      <c r="AQ1207" s="84"/>
      <c r="AR1207" s="79"/>
      <c r="AS1207" s="79"/>
      <c r="AT1207" s="79"/>
      <c r="AU1207" s="80"/>
      <c r="AV1207" s="79"/>
      <c r="AW1207" s="38"/>
      <c r="AX1207" s="79"/>
      <c r="AY1207" s="38"/>
      <c r="AZ1207" s="79"/>
      <c r="BA1207" s="80"/>
      <c r="BB1207" s="79"/>
      <c r="BC1207" s="80"/>
      <c r="BD1207" s="79"/>
      <c r="BE1207" s="38"/>
      <c r="BF1207" s="74"/>
      <c r="BG1207" s="16"/>
      <c r="BH1207" s="16"/>
      <c r="BI1207" s="16"/>
      <c r="BJ1207" s="16"/>
      <c r="BK1207" s="16"/>
      <c r="BL1207" s="16"/>
      <c r="BM1207" s="16"/>
      <c r="BN1207" s="16"/>
      <c r="BO1207" s="16"/>
      <c r="BP1207" s="16"/>
      <c r="BQ1207" s="16"/>
      <c r="BR1207" s="16"/>
      <c r="BS1207" s="16"/>
      <c r="BT1207" s="16"/>
      <c r="BU1207" s="16"/>
      <c r="BV1207" s="16"/>
      <c r="BW1207" s="16"/>
      <c r="BX1207" s="16"/>
      <c r="BY1207" s="16"/>
      <c r="BZ1207" s="16"/>
      <c r="CA1207" s="16"/>
      <c r="CB1207" s="16"/>
      <c r="CC1207" s="16"/>
      <c r="CD1207" s="16"/>
      <c r="CE1207" s="16"/>
      <c r="CF1207" s="16"/>
      <c r="CG1207" s="16"/>
      <c r="CH1207" s="16"/>
      <c r="CI1207" s="16"/>
      <c r="CJ1207" s="16"/>
      <c r="CK1207" s="16"/>
      <c r="CL1207" s="16"/>
      <c r="CM1207" s="16"/>
      <c r="CN1207" s="16"/>
      <c r="CO1207" s="16"/>
      <c r="CP1207" s="16"/>
    </row>
    <row r="1208" ht="15.75" customHeight="1">
      <c r="A1208" s="931" t="s">
        <v>5780</v>
      </c>
      <c r="B1208" s="68"/>
      <c r="C1208" s="69" t="s">
        <v>123</v>
      </c>
      <c r="D1208" s="192" t="s">
        <v>5781</v>
      </c>
      <c r="E1208" s="192" t="s">
        <v>5782</v>
      </c>
      <c r="F1208" s="1533"/>
      <c r="G1208" s="71"/>
      <c r="H1208" s="71" t="s">
        <v>129</v>
      </c>
      <c r="I1208" s="26" t="s">
        <v>129</v>
      </c>
      <c r="J1208" s="72"/>
      <c r="K1208" s="74"/>
      <c r="L1208" s="26">
        <v>2015.0</v>
      </c>
      <c r="M1208" s="25">
        <f t="shared" si="780"/>
        <v>10</v>
      </c>
      <c r="N1208" s="26">
        <f t="shared" si="781"/>
        <v>1</v>
      </c>
      <c r="O1208" s="27" t="str">
        <f t="shared" si="3"/>
        <v>#N/A</v>
      </c>
      <c r="P1208" s="28"/>
      <c r="Q1208" s="28"/>
      <c r="R1208" s="28"/>
      <c r="S1208" s="28"/>
      <c r="T1208" s="29">
        <f t="shared" si="782"/>
        <v>15000</v>
      </c>
      <c r="U1208" s="28"/>
      <c r="V1208" s="30">
        <f t="shared" si="425"/>
        <v>150000</v>
      </c>
      <c r="W1208" s="30"/>
      <c r="X1208" s="32"/>
      <c r="Y1208" s="33">
        <f t="shared" si="783"/>
        <v>0</v>
      </c>
      <c r="Z1208" s="692"/>
      <c r="AA1208" s="665"/>
      <c r="AB1208" s="74"/>
      <c r="AC1208" s="74"/>
      <c r="AD1208" s="79"/>
      <c r="AE1208" s="84"/>
      <c r="AF1208" s="225">
        <v>42706.0</v>
      </c>
      <c r="AG1208" s="76">
        <v>150000.0</v>
      </c>
      <c r="AH1208" s="74"/>
      <c r="AI1208" s="78"/>
      <c r="AJ1208" s="79"/>
      <c r="AK1208" s="84"/>
      <c r="AL1208" s="79"/>
      <c r="AM1208" s="84"/>
      <c r="AN1208" s="79"/>
      <c r="AO1208" s="84"/>
      <c r="AP1208" s="79"/>
      <c r="AQ1208" s="84"/>
      <c r="AR1208" s="79"/>
      <c r="AS1208" s="79"/>
      <c r="AT1208" s="79"/>
      <c r="AU1208" s="80"/>
      <c r="AV1208" s="79"/>
      <c r="AW1208" s="38"/>
      <c r="AX1208" s="79"/>
      <c r="AY1208" s="38"/>
      <c r="AZ1208" s="79"/>
      <c r="BA1208" s="80"/>
      <c r="BB1208" s="79"/>
      <c r="BC1208" s="80"/>
      <c r="BD1208" s="79"/>
      <c r="BE1208" s="38"/>
      <c r="BF1208" s="74"/>
      <c r="BG1208" s="16"/>
      <c r="BH1208" s="16"/>
      <c r="BI1208" s="16"/>
      <c r="BJ1208" s="16"/>
      <c r="BK1208" s="16"/>
      <c r="BL1208" s="16"/>
      <c r="BM1208" s="16"/>
      <c r="BN1208" s="16"/>
      <c r="BO1208" s="16"/>
      <c r="BP1208" s="16"/>
      <c r="BQ1208" s="16"/>
      <c r="BR1208" s="16"/>
      <c r="BS1208" s="16"/>
      <c r="BT1208" s="16"/>
      <c r="BU1208" s="16"/>
      <c r="BV1208" s="16"/>
      <c r="BW1208" s="16"/>
      <c r="BX1208" s="16"/>
      <c r="BY1208" s="16"/>
      <c r="BZ1208" s="16"/>
      <c r="CA1208" s="16"/>
      <c r="CB1208" s="16"/>
      <c r="CC1208" s="16"/>
      <c r="CD1208" s="16"/>
      <c r="CE1208" s="16"/>
      <c r="CF1208" s="16"/>
      <c r="CG1208" s="16"/>
      <c r="CH1208" s="16"/>
      <c r="CI1208" s="16"/>
      <c r="CJ1208" s="16"/>
      <c r="CK1208" s="16"/>
      <c r="CL1208" s="16"/>
      <c r="CM1208" s="16"/>
      <c r="CN1208" s="16"/>
      <c r="CO1208" s="16"/>
      <c r="CP1208" s="16"/>
    </row>
    <row r="1209" ht="15.75" customHeight="1">
      <c r="A1209" s="21" t="s">
        <v>5783</v>
      </c>
      <c r="B1209" s="69" t="s">
        <v>5784</v>
      </c>
      <c r="C1209" s="69" t="s">
        <v>513</v>
      </c>
      <c r="D1209" s="138" t="s">
        <v>5785</v>
      </c>
      <c r="E1209" s="138" t="s">
        <v>5786</v>
      </c>
      <c r="F1209" s="173" t="s">
        <v>5787</v>
      </c>
      <c r="G1209" s="186"/>
      <c r="H1209" s="71" t="s">
        <v>328</v>
      </c>
      <c r="I1209" s="69" t="s">
        <v>5788</v>
      </c>
      <c r="J1209" s="155"/>
      <c r="K1209" s="74" t="s">
        <v>723</v>
      </c>
      <c r="L1209" s="26">
        <v>2015.0</v>
      </c>
      <c r="M1209" s="25">
        <f t="shared" si="780"/>
        <v>10</v>
      </c>
      <c r="N1209" s="26">
        <f t="shared" si="781"/>
        <v>1</v>
      </c>
      <c r="O1209" s="27" t="str">
        <f t="shared" si="3"/>
        <v>#N/A</v>
      </c>
      <c r="P1209" s="28"/>
      <c r="Q1209" s="28"/>
      <c r="R1209" s="28"/>
      <c r="S1209" s="28"/>
      <c r="T1209" s="29">
        <f t="shared" si="782"/>
        <v>14464.527</v>
      </c>
      <c r="U1209" s="28"/>
      <c r="V1209" s="30">
        <f t="shared" si="425"/>
        <v>144645.27</v>
      </c>
      <c r="W1209" s="30"/>
      <c r="X1209" s="32"/>
      <c r="Y1209" s="33">
        <f t="shared" si="783"/>
        <v>0</v>
      </c>
      <c r="Z1209" s="692"/>
      <c r="AA1209" s="665"/>
      <c r="AB1209" s="74"/>
      <c r="AC1209" s="74"/>
      <c r="AD1209" s="79"/>
      <c r="AE1209" s="84"/>
      <c r="AF1209" s="175" t="str">
        <f>HYPERLINK("https://www.crunchbase.com/funding_round/hypersay-seed--b276095d"," Oct 25, 2018        
")</f>
        <v> Oct 25, 2018        
</v>
      </c>
      <c r="AG1209" s="76">
        <v>144645.27</v>
      </c>
      <c r="AH1209" s="74"/>
      <c r="AI1209" s="78"/>
      <c r="AJ1209" s="79"/>
      <c r="AK1209" s="84"/>
      <c r="AL1209" s="79"/>
      <c r="AM1209" s="84"/>
      <c r="AN1209" s="79"/>
      <c r="AO1209" s="84"/>
      <c r="AP1209" s="79"/>
      <c r="AQ1209" s="84"/>
      <c r="AR1209" s="79"/>
      <c r="AS1209" s="79"/>
      <c r="AT1209" s="79"/>
      <c r="AU1209" s="80"/>
      <c r="AV1209" s="79"/>
      <c r="AW1209" s="38"/>
      <c r="AX1209" s="79"/>
      <c r="AY1209" s="38"/>
      <c r="AZ1209" s="79"/>
      <c r="BA1209" s="80"/>
      <c r="BB1209" s="79"/>
      <c r="BC1209" s="80"/>
      <c r="BD1209" s="79"/>
      <c r="BE1209" s="38"/>
      <c r="BF1209" s="74"/>
      <c r="BG1209" s="16"/>
      <c r="BH1209" s="16"/>
      <c r="BI1209" s="16"/>
      <c r="BJ1209" s="16"/>
      <c r="BK1209" s="16"/>
      <c r="BL1209" s="16"/>
      <c r="BM1209" s="16"/>
      <c r="BN1209" s="16"/>
      <c r="BO1209" s="16"/>
      <c r="BP1209" s="16"/>
      <c r="BQ1209" s="16"/>
      <c r="BR1209" s="16"/>
      <c r="BS1209" s="16"/>
      <c r="BT1209" s="16"/>
      <c r="BU1209" s="16"/>
      <c r="BV1209" s="16"/>
      <c r="BW1209" s="16"/>
      <c r="BX1209" s="16"/>
      <c r="BY1209" s="16"/>
      <c r="BZ1209" s="16"/>
      <c r="CA1209" s="16"/>
      <c r="CB1209" s="16"/>
      <c r="CC1209" s="16"/>
      <c r="CD1209" s="16"/>
      <c r="CE1209" s="16"/>
      <c r="CF1209" s="16"/>
      <c r="CG1209" s="16"/>
      <c r="CH1209" s="16"/>
      <c r="CI1209" s="16"/>
      <c r="CJ1209" s="16"/>
      <c r="CK1209" s="16"/>
      <c r="CL1209" s="16"/>
      <c r="CM1209" s="16"/>
      <c r="CN1209" s="16"/>
      <c r="CO1209" s="16"/>
      <c r="CP1209" s="16"/>
    </row>
    <row r="1210" ht="15.75" customHeight="1">
      <c r="A1210" s="21" t="s">
        <v>5789</v>
      </c>
      <c r="B1210" s="68"/>
      <c r="C1210" s="69" t="s">
        <v>5790</v>
      </c>
      <c r="D1210" s="380"/>
      <c r="E1210" s="192" t="s">
        <v>5791</v>
      </c>
      <c r="F1210" s="118" t="s">
        <v>5792</v>
      </c>
      <c r="G1210" s="140"/>
      <c r="H1210" s="71" t="s">
        <v>5793</v>
      </c>
      <c r="I1210" s="71" t="s">
        <v>65</v>
      </c>
      <c r="J1210" s="72"/>
      <c r="K1210" s="74"/>
      <c r="L1210" s="26">
        <v>2015.0</v>
      </c>
      <c r="M1210" s="25">
        <f t="shared" si="780"/>
        <v>10</v>
      </c>
      <c r="N1210" s="26">
        <f t="shared" si="781"/>
        <v>1</v>
      </c>
      <c r="O1210" s="27" t="str">
        <f t="shared" si="3"/>
        <v>#N/A</v>
      </c>
      <c r="P1210" s="28"/>
      <c r="Q1210" s="28"/>
      <c r="R1210" s="28"/>
      <c r="S1210" s="28"/>
      <c r="T1210" s="29">
        <f t="shared" si="782"/>
        <v>12500</v>
      </c>
      <c r="U1210" s="28"/>
      <c r="V1210" s="30">
        <f t="shared" si="425"/>
        <v>125000</v>
      </c>
      <c r="W1210" s="30"/>
      <c r="X1210" s="32"/>
      <c r="Y1210" s="33">
        <f t="shared" si="783"/>
        <v>0</v>
      </c>
      <c r="Z1210" s="692"/>
      <c r="AA1210" s="665"/>
      <c r="AB1210" s="74"/>
      <c r="AC1210" s="74"/>
      <c r="AD1210" s="79"/>
      <c r="AE1210" s="84"/>
      <c r="AF1210" s="320">
        <v>42622.0</v>
      </c>
      <c r="AG1210" s="76">
        <v>125000.0</v>
      </c>
      <c r="AH1210" s="74"/>
      <c r="AI1210" s="78"/>
      <c r="AJ1210" s="79"/>
      <c r="AK1210" s="84"/>
      <c r="AL1210" s="79"/>
      <c r="AM1210" s="84"/>
      <c r="AN1210" s="79"/>
      <c r="AO1210" s="84"/>
      <c r="AP1210" s="79"/>
      <c r="AQ1210" s="84"/>
      <c r="AR1210" s="79"/>
      <c r="AS1210" s="79"/>
      <c r="AT1210" s="79"/>
      <c r="AU1210" s="80"/>
      <c r="AV1210" s="79"/>
      <c r="AW1210" s="38"/>
      <c r="AX1210" s="79"/>
      <c r="AY1210" s="38"/>
      <c r="AZ1210" s="79"/>
      <c r="BA1210" s="80"/>
      <c r="BB1210" s="79"/>
      <c r="BC1210" s="80"/>
      <c r="BD1210" s="79"/>
      <c r="BE1210" s="38"/>
      <c r="BF1210" s="74"/>
      <c r="BG1210" s="16"/>
      <c r="BH1210" s="16"/>
      <c r="BI1210" s="16"/>
      <c r="BJ1210" s="16"/>
      <c r="BK1210" s="16"/>
      <c r="BL1210" s="16"/>
      <c r="BM1210" s="16"/>
      <c r="BN1210" s="16"/>
      <c r="BO1210" s="16"/>
      <c r="BP1210" s="16"/>
      <c r="BQ1210" s="16"/>
      <c r="BR1210" s="16"/>
      <c r="BS1210" s="16"/>
      <c r="BT1210" s="16"/>
      <c r="BU1210" s="16"/>
      <c r="BV1210" s="16"/>
      <c r="BW1210" s="16"/>
      <c r="BX1210" s="16"/>
      <c r="BY1210" s="16"/>
      <c r="BZ1210" s="16"/>
      <c r="CA1210" s="16"/>
      <c r="CB1210" s="16"/>
      <c r="CC1210" s="16"/>
      <c r="CD1210" s="16"/>
      <c r="CE1210" s="16"/>
      <c r="CF1210" s="16"/>
      <c r="CG1210" s="16"/>
      <c r="CH1210" s="16"/>
      <c r="CI1210" s="16"/>
      <c r="CJ1210" s="16"/>
      <c r="CK1210" s="16"/>
      <c r="CL1210" s="16"/>
      <c r="CM1210" s="16"/>
      <c r="CN1210" s="16"/>
      <c r="CO1210" s="16"/>
      <c r="CP1210" s="16"/>
    </row>
    <row r="1211" ht="15.75" customHeight="1">
      <c r="A1211" s="1358" t="s">
        <v>5794</v>
      </c>
      <c r="B1211" s="115" t="s">
        <v>5795</v>
      </c>
      <c r="C1211" s="116" t="s">
        <v>123</v>
      </c>
      <c r="D1211" s="667" t="s">
        <v>5796</v>
      </c>
      <c r="E1211" s="1338" t="s">
        <v>5797</v>
      </c>
      <c r="F1211" s="1338" t="s">
        <v>5798</v>
      </c>
      <c r="G1211" s="286" t="s">
        <v>5799</v>
      </c>
      <c r="H1211" s="286" t="s">
        <v>5800</v>
      </c>
      <c r="I1211" s="123" t="s">
        <v>5801</v>
      </c>
      <c r="J1211" s="287" t="s">
        <v>5802</v>
      </c>
      <c r="K1211" s="123">
        <v>3.0</v>
      </c>
      <c r="L1211" s="25">
        <v>2016.0</v>
      </c>
      <c r="M1211" s="25">
        <f t="shared" si="780"/>
        <v>9</v>
      </c>
      <c r="N1211" s="26">
        <f t="shared" si="781"/>
        <v>1</v>
      </c>
      <c r="O1211" s="27" t="str">
        <f t="shared" si="3"/>
        <v>#N/A</v>
      </c>
      <c r="P1211" s="28"/>
      <c r="Q1211" s="28"/>
      <c r="R1211" s="28"/>
      <c r="S1211" s="28"/>
      <c r="T1211" s="29">
        <f t="shared" si="782"/>
        <v>13333.33333</v>
      </c>
      <c r="U1211" s="28"/>
      <c r="V1211" s="30">
        <f t="shared" si="425"/>
        <v>120000</v>
      </c>
      <c r="W1211" s="30"/>
      <c r="X1211" s="403"/>
      <c r="Y1211" s="33">
        <f t="shared" si="783"/>
        <v>0</v>
      </c>
      <c r="Z1211" s="692"/>
      <c r="AA1211" s="665"/>
      <c r="AB1211" s="123"/>
      <c r="AC1211" s="123"/>
      <c r="AD1211" s="167" t="str">
        <f>HYPERLINK("https://www.crunchbase.com/organization/permitzone#section-funding-rounds"," Feb 22, 2016")</f>
        <v> Feb 22, 2016</v>
      </c>
      <c r="AE1211" s="127">
        <v>120000.0</v>
      </c>
      <c r="AF1211" s="166"/>
      <c r="AG1211" s="127"/>
      <c r="AH1211" s="25"/>
      <c r="AI1211" s="759"/>
      <c r="AJ1211" s="124"/>
      <c r="AK1211" s="125"/>
      <c r="AL1211" s="124"/>
      <c r="AM1211" s="125"/>
      <c r="AN1211" s="124"/>
      <c r="AO1211" s="125"/>
      <c r="AP1211" s="124"/>
      <c r="AQ1211" s="125"/>
      <c r="AR1211" s="124"/>
      <c r="AS1211" s="124"/>
      <c r="AT1211" s="124"/>
      <c r="AU1211" s="137"/>
      <c r="AV1211" s="124"/>
      <c r="AW1211" s="38"/>
      <c r="AX1211" s="124"/>
      <c r="AY1211" s="38"/>
      <c r="AZ1211" s="124"/>
      <c r="BA1211" s="137"/>
      <c r="BB1211" s="124"/>
      <c r="BC1211" s="137"/>
      <c r="BD1211" s="124"/>
      <c r="BE1211" s="38"/>
      <c r="BF1211" s="123"/>
      <c r="BG1211" s="16"/>
      <c r="BH1211" s="16"/>
      <c r="BI1211" s="16"/>
      <c r="BJ1211" s="16"/>
      <c r="BK1211" s="16"/>
      <c r="BL1211" s="16"/>
      <c r="BM1211" s="16"/>
      <c r="BN1211" s="16"/>
      <c r="BO1211" s="16"/>
      <c r="BP1211" s="16"/>
      <c r="BQ1211" s="16"/>
      <c r="BR1211" s="16"/>
      <c r="BS1211" s="16"/>
      <c r="BT1211" s="16"/>
      <c r="BU1211" s="16"/>
      <c r="BV1211" s="16"/>
      <c r="BW1211" s="16"/>
      <c r="BX1211" s="16"/>
      <c r="BY1211" s="16"/>
      <c r="BZ1211" s="16"/>
      <c r="CA1211" s="16"/>
      <c r="CB1211" s="16"/>
      <c r="CC1211" s="16"/>
      <c r="CD1211" s="16"/>
      <c r="CE1211" s="16"/>
      <c r="CF1211" s="16"/>
      <c r="CG1211" s="16"/>
      <c r="CH1211" s="16"/>
      <c r="CI1211" s="16"/>
      <c r="CJ1211" s="16"/>
      <c r="CK1211" s="16"/>
      <c r="CL1211" s="16"/>
      <c r="CM1211" s="16"/>
      <c r="CN1211" s="16"/>
      <c r="CO1211" s="16"/>
      <c r="CP1211" s="16"/>
    </row>
    <row r="1212" ht="15.75" customHeight="1">
      <c r="A1212" s="866" t="s">
        <v>5803</v>
      </c>
      <c r="B1212" s="16"/>
      <c r="C1212" s="17" t="s">
        <v>84</v>
      </c>
      <c r="D1212" s="236" t="s">
        <v>5804</v>
      </c>
      <c r="E1212" s="236" t="s">
        <v>5805</v>
      </c>
      <c r="F1212" s="803" t="s">
        <v>5806</v>
      </c>
      <c r="G1212" s="317"/>
      <c r="H1212" s="22" t="s">
        <v>64</v>
      </c>
      <c r="I1212" s="23" t="s">
        <v>65</v>
      </c>
      <c r="J1212" s="237"/>
      <c r="K1212" s="36"/>
      <c r="L1212" s="23">
        <v>2017.0</v>
      </c>
      <c r="M1212" s="25">
        <f t="shared" si="780"/>
        <v>8</v>
      </c>
      <c r="N1212" s="26">
        <f t="shared" si="781"/>
        <v>1</v>
      </c>
      <c r="O1212" s="27" t="str">
        <f t="shared" si="3"/>
        <v>#N/A</v>
      </c>
      <c r="P1212" s="28"/>
      <c r="Q1212" s="28"/>
      <c r="R1212" s="28"/>
      <c r="S1212" s="28"/>
      <c r="T1212" s="29">
        <f t="shared" si="782"/>
        <v>15000</v>
      </c>
      <c r="U1212" s="28"/>
      <c r="V1212" s="30">
        <f t="shared" si="425"/>
        <v>120000</v>
      </c>
      <c r="W1212" s="30"/>
      <c r="X1212" s="847"/>
      <c r="Y1212" s="33">
        <f t="shared" si="783"/>
        <v>0</v>
      </c>
      <c r="Z1212" s="692"/>
      <c r="AA1212" s="665"/>
      <c r="AB1212" s="36"/>
      <c r="AC1212" s="886"/>
      <c r="AD1212" s="37"/>
      <c r="AE1212" s="38"/>
      <c r="AF1212" s="320">
        <v>43162.0</v>
      </c>
      <c r="AG1212" s="38">
        <v>120000.0</v>
      </c>
      <c r="AH1212" s="36"/>
      <c r="AI1212" s="159"/>
      <c r="AJ1212" s="44"/>
      <c r="AK1212" s="46"/>
      <c r="AL1212" s="44"/>
      <c r="AM1212" s="46"/>
      <c r="AN1212" s="44"/>
      <c r="AO1212" s="46"/>
      <c r="AP1212" s="44"/>
      <c r="AQ1212" s="46"/>
      <c r="AR1212" s="44"/>
      <c r="AS1212" s="44"/>
      <c r="AT1212" s="44"/>
      <c r="AU1212" s="45"/>
      <c r="AV1212" s="44"/>
      <c r="AW1212" s="38"/>
      <c r="AX1212" s="44"/>
      <c r="AY1212" s="38"/>
      <c r="AZ1212" s="44"/>
      <c r="BA1212" s="45"/>
      <c r="BB1212" s="44"/>
      <c r="BC1212" s="45"/>
      <c r="BD1212" s="44"/>
      <c r="BE1212" s="38"/>
      <c r="BF1212" s="36"/>
      <c r="BG1212" s="16"/>
      <c r="BH1212" s="16"/>
      <c r="BI1212" s="16"/>
      <c r="BJ1212" s="16"/>
      <c r="BK1212" s="16"/>
      <c r="BL1212" s="16"/>
      <c r="BM1212" s="16"/>
      <c r="BN1212" s="16"/>
      <c r="BO1212" s="16"/>
      <c r="BP1212" s="16"/>
      <c r="BQ1212" s="16"/>
      <c r="BR1212" s="16"/>
      <c r="BS1212" s="16"/>
      <c r="BT1212" s="16"/>
      <c r="BU1212" s="16"/>
      <c r="BV1212" s="16"/>
      <c r="BW1212" s="16"/>
      <c r="BX1212" s="16"/>
      <c r="BY1212" s="16"/>
      <c r="BZ1212" s="16"/>
      <c r="CA1212" s="16"/>
      <c r="CB1212" s="16"/>
      <c r="CC1212" s="16"/>
      <c r="CD1212" s="16"/>
      <c r="CE1212" s="16"/>
      <c r="CF1212" s="16"/>
      <c r="CG1212" s="16"/>
      <c r="CH1212" s="16"/>
      <c r="CI1212" s="16"/>
      <c r="CJ1212" s="16"/>
      <c r="CK1212" s="16"/>
      <c r="CL1212" s="16"/>
      <c r="CM1212" s="16"/>
      <c r="CN1212" s="16"/>
      <c r="CO1212" s="16"/>
      <c r="CP1212" s="16"/>
    </row>
    <row r="1213" ht="15.75" customHeight="1">
      <c r="A1213" s="462" t="s">
        <v>5807</v>
      </c>
      <c r="B1213" s="16"/>
      <c r="C1213" s="17" t="s">
        <v>123</v>
      </c>
      <c r="D1213" s="236" t="s">
        <v>5808</v>
      </c>
      <c r="E1213" s="236" t="s">
        <v>5809</v>
      </c>
      <c r="F1213" s="803" t="s">
        <v>5810</v>
      </c>
      <c r="G1213" s="22"/>
      <c r="H1213" s="22" t="s">
        <v>64</v>
      </c>
      <c r="I1213" s="23" t="s">
        <v>65</v>
      </c>
      <c r="J1213" s="237"/>
      <c r="K1213" s="36"/>
      <c r="L1213" s="23">
        <v>2014.0</v>
      </c>
      <c r="M1213" s="25">
        <f t="shared" si="780"/>
        <v>11</v>
      </c>
      <c r="N1213" s="26">
        <f t="shared" si="781"/>
        <v>1</v>
      </c>
      <c r="O1213" s="27" t="str">
        <f t="shared" si="3"/>
        <v>#N/A</v>
      </c>
      <c r="P1213" s="28"/>
      <c r="Q1213" s="28"/>
      <c r="R1213" s="28"/>
      <c r="S1213" s="28"/>
      <c r="T1213" s="29">
        <f t="shared" si="782"/>
        <v>10909.09091</v>
      </c>
      <c r="U1213" s="28"/>
      <c r="V1213" s="30">
        <f t="shared" si="425"/>
        <v>120000</v>
      </c>
      <c r="W1213" s="30"/>
      <c r="X1213" s="847"/>
      <c r="Y1213" s="33">
        <f t="shared" si="783"/>
        <v>0</v>
      </c>
      <c r="Z1213" s="692"/>
      <c r="AA1213" s="665"/>
      <c r="AB1213" s="36"/>
      <c r="AC1213" s="36"/>
      <c r="AD1213" s="44"/>
      <c r="AE1213" s="46"/>
      <c r="AF1213" s="320">
        <v>42086.0</v>
      </c>
      <c r="AG1213" s="38">
        <v>120000.0</v>
      </c>
      <c r="AH1213" s="46"/>
      <c r="AI1213" s="159"/>
      <c r="AJ1213" s="44"/>
      <c r="AK1213" s="46"/>
      <c r="AL1213" s="44"/>
      <c r="AM1213" s="46"/>
      <c r="AN1213" s="44"/>
      <c r="AO1213" s="46"/>
      <c r="AP1213" s="44"/>
      <c r="AQ1213" s="46"/>
      <c r="AR1213" s="44"/>
      <c r="AS1213" s="44"/>
      <c r="AT1213" s="44"/>
      <c r="AU1213" s="45"/>
      <c r="AV1213" s="44"/>
      <c r="AW1213" s="38"/>
      <c r="AX1213" s="44"/>
      <c r="AY1213" s="38"/>
      <c r="AZ1213" s="44"/>
      <c r="BA1213" s="45"/>
      <c r="BB1213" s="44"/>
      <c r="BC1213" s="45"/>
      <c r="BD1213" s="44"/>
      <c r="BE1213" s="38"/>
      <c r="BF1213" s="46"/>
      <c r="BG1213" s="16"/>
      <c r="BH1213" s="16"/>
      <c r="BI1213" s="16"/>
      <c r="BJ1213" s="16"/>
      <c r="BK1213" s="16"/>
      <c r="BL1213" s="16"/>
      <c r="BM1213" s="16"/>
      <c r="BN1213" s="16"/>
      <c r="BO1213" s="16"/>
      <c r="BP1213" s="16"/>
      <c r="BQ1213" s="16"/>
      <c r="BR1213" s="16"/>
      <c r="BS1213" s="16"/>
      <c r="BT1213" s="16"/>
      <c r="BU1213" s="16"/>
      <c r="BV1213" s="16"/>
      <c r="BW1213" s="16"/>
      <c r="BX1213" s="16"/>
      <c r="BY1213" s="16"/>
      <c r="BZ1213" s="16"/>
      <c r="CA1213" s="16"/>
      <c r="CB1213" s="16"/>
      <c r="CC1213" s="16"/>
      <c r="CD1213" s="16"/>
      <c r="CE1213" s="16"/>
      <c r="CF1213" s="16"/>
      <c r="CG1213" s="16"/>
      <c r="CH1213" s="16"/>
      <c r="CI1213" s="16"/>
      <c r="CJ1213" s="16"/>
      <c r="CK1213" s="16"/>
      <c r="CL1213" s="16"/>
      <c r="CM1213" s="16"/>
      <c r="CN1213" s="16"/>
      <c r="CO1213" s="16"/>
      <c r="CP1213" s="16"/>
    </row>
    <row r="1214" ht="15.75" customHeight="1">
      <c r="A1214" s="860" t="s">
        <v>5811</v>
      </c>
      <c r="B1214" s="68"/>
      <c r="C1214" s="69" t="s">
        <v>1007</v>
      </c>
      <c r="D1214" s="192" t="s">
        <v>5812</v>
      </c>
      <c r="E1214" s="192" t="s">
        <v>5813</v>
      </c>
      <c r="F1214" s="118" t="s">
        <v>5814</v>
      </c>
      <c r="G1214" s="186"/>
      <c r="H1214" s="71" t="s">
        <v>5815</v>
      </c>
      <c r="I1214" s="26" t="s">
        <v>1547</v>
      </c>
      <c r="J1214" s="155"/>
      <c r="K1214" s="74"/>
      <c r="L1214" s="26">
        <v>2018.0</v>
      </c>
      <c r="M1214" s="25">
        <f t="shared" si="780"/>
        <v>7</v>
      </c>
      <c r="N1214" s="26">
        <f t="shared" si="781"/>
        <v>1</v>
      </c>
      <c r="O1214" s="27" t="str">
        <f t="shared" si="3"/>
        <v>#N/A</v>
      </c>
      <c r="P1214" s="28"/>
      <c r="Q1214" s="28"/>
      <c r="R1214" s="28"/>
      <c r="S1214" s="28"/>
      <c r="T1214" s="29">
        <f t="shared" si="782"/>
        <v>17142.85714</v>
      </c>
      <c r="U1214" s="28"/>
      <c r="V1214" s="30">
        <f t="shared" si="425"/>
        <v>120000</v>
      </c>
      <c r="W1214" s="30"/>
      <c r="X1214" s="32"/>
      <c r="Y1214" s="33">
        <f t="shared" si="783"/>
        <v>0</v>
      </c>
      <c r="Z1214" s="692"/>
      <c r="AA1214" s="665"/>
      <c r="AB1214" s="74"/>
      <c r="AC1214" s="74"/>
      <c r="AD1214" s="79"/>
      <c r="AE1214" s="84"/>
      <c r="AF1214" s="320">
        <v>43717.0</v>
      </c>
      <c r="AG1214" s="76">
        <v>120000.0</v>
      </c>
      <c r="AH1214" s="74"/>
      <c r="AI1214" s="78"/>
      <c r="AJ1214" s="79"/>
      <c r="AK1214" s="84"/>
      <c r="AL1214" s="79"/>
      <c r="AM1214" s="84"/>
      <c r="AN1214" s="79"/>
      <c r="AO1214" s="84"/>
      <c r="AP1214" s="79"/>
      <c r="AQ1214" s="84"/>
      <c r="AR1214" s="79"/>
      <c r="AS1214" s="79"/>
      <c r="AT1214" s="79"/>
      <c r="AU1214" s="80"/>
      <c r="AV1214" s="79"/>
      <c r="AW1214" s="38"/>
      <c r="AX1214" s="79"/>
      <c r="AY1214" s="38"/>
      <c r="AZ1214" s="79"/>
      <c r="BA1214" s="80"/>
      <c r="BB1214" s="79"/>
      <c r="BC1214" s="80"/>
      <c r="BD1214" s="79"/>
      <c r="BE1214" s="38"/>
      <c r="BF1214" s="74"/>
      <c r="BG1214" s="16"/>
      <c r="BH1214" s="16"/>
      <c r="BI1214" s="16"/>
      <c r="BJ1214" s="16"/>
      <c r="BK1214" s="16"/>
      <c r="BL1214" s="16"/>
      <c r="BM1214" s="16"/>
      <c r="BN1214" s="16"/>
      <c r="BO1214" s="16"/>
      <c r="BP1214" s="16"/>
      <c r="BQ1214" s="16"/>
      <c r="BR1214" s="16"/>
      <c r="BS1214" s="16"/>
      <c r="BT1214" s="16"/>
      <c r="BU1214" s="16"/>
      <c r="BV1214" s="16"/>
      <c r="BW1214" s="16"/>
      <c r="BX1214" s="16"/>
      <c r="BY1214" s="16"/>
      <c r="BZ1214" s="16"/>
      <c r="CA1214" s="16"/>
      <c r="CB1214" s="16"/>
      <c r="CC1214" s="16"/>
      <c r="CD1214" s="16"/>
      <c r="CE1214" s="16"/>
      <c r="CF1214" s="16"/>
      <c r="CG1214" s="16"/>
      <c r="CH1214" s="16"/>
      <c r="CI1214" s="16"/>
      <c r="CJ1214" s="16"/>
      <c r="CK1214" s="16"/>
      <c r="CL1214" s="16"/>
      <c r="CM1214" s="16"/>
      <c r="CN1214" s="16"/>
      <c r="CO1214" s="16"/>
      <c r="CP1214" s="16"/>
    </row>
    <row r="1215" ht="15.75" customHeight="1">
      <c r="A1215" s="21" t="s">
        <v>5816</v>
      </c>
      <c r="B1215" s="68"/>
      <c r="C1215" s="69" t="s">
        <v>132</v>
      </c>
      <c r="D1215" s="184"/>
      <c r="E1215" s="138" t="s">
        <v>5817</v>
      </c>
      <c r="F1215" s="177" t="s">
        <v>5818</v>
      </c>
      <c r="G1215" s="71"/>
      <c r="H1215" s="71" t="s">
        <v>1165</v>
      </c>
      <c r="I1215" s="26" t="s">
        <v>65</v>
      </c>
      <c r="J1215" s="72"/>
      <c r="K1215" s="26">
        <v>2.0</v>
      </c>
      <c r="L1215" s="26">
        <v>2019.0</v>
      </c>
      <c r="M1215" s="25">
        <f t="shared" si="780"/>
        <v>6</v>
      </c>
      <c r="N1215" s="26">
        <f t="shared" si="781"/>
        <v>1</v>
      </c>
      <c r="O1215" s="27" t="str">
        <f t="shared" si="3"/>
        <v>#N/A</v>
      </c>
      <c r="P1215" s="28"/>
      <c r="Q1215" s="28"/>
      <c r="R1215" s="28"/>
      <c r="S1215" s="28"/>
      <c r="T1215" s="29">
        <f t="shared" si="782"/>
        <v>20000</v>
      </c>
      <c r="U1215" s="28"/>
      <c r="V1215" s="30">
        <f t="shared" si="425"/>
        <v>120000</v>
      </c>
      <c r="W1215" s="30"/>
      <c r="X1215" s="73"/>
      <c r="Y1215" s="33">
        <f t="shared" si="783"/>
        <v>0</v>
      </c>
      <c r="Z1215" s="692"/>
      <c r="AA1215" s="665"/>
      <c r="AB1215" s="74"/>
      <c r="AC1215" s="74"/>
      <c r="AD1215" s="181" t="str">
        <f>HYPERLINK("https://www.crunchbase.com/funding_round/joyhub-pre-seed--efc62c95","Jul 12, 2020")</f>
        <v>Jul 12, 2020</v>
      </c>
      <c r="AE1215" s="76">
        <v>120000.0</v>
      </c>
      <c r="AF1215" s="338"/>
      <c r="AG1215" s="84"/>
      <c r="AH1215" s="74"/>
      <c r="AI1215" s="78"/>
      <c r="AJ1215" s="79"/>
      <c r="AK1215" s="84"/>
      <c r="AL1215" s="79"/>
      <c r="AM1215" s="84"/>
      <c r="AN1215" s="279"/>
      <c r="AO1215" s="76"/>
      <c r="AP1215" s="79"/>
      <c r="AQ1215" s="84"/>
      <c r="AR1215" s="79"/>
      <c r="AS1215" s="79"/>
      <c r="AT1215" s="79"/>
      <c r="AU1215" s="80"/>
      <c r="AV1215" s="79"/>
      <c r="AW1215" s="38"/>
      <c r="AX1215" s="79"/>
      <c r="AY1215" s="38"/>
      <c r="AZ1215" s="79"/>
      <c r="BA1215" s="80"/>
      <c r="BB1215" s="79"/>
      <c r="BC1215" s="80"/>
      <c r="BD1215" s="79"/>
      <c r="BE1215" s="38"/>
      <c r="BF1215" s="74"/>
      <c r="BG1215" s="16"/>
      <c r="BH1215" s="16"/>
      <c r="BI1215" s="16"/>
      <c r="BJ1215" s="16"/>
      <c r="BK1215" s="16"/>
      <c r="BL1215" s="16"/>
      <c r="BM1215" s="16"/>
      <c r="BN1215" s="16"/>
      <c r="BO1215" s="16"/>
      <c r="BP1215" s="16"/>
      <c r="BQ1215" s="16"/>
      <c r="BR1215" s="16"/>
      <c r="BS1215" s="16"/>
      <c r="BT1215" s="16"/>
      <c r="BU1215" s="16"/>
      <c r="BV1215" s="16"/>
      <c r="BW1215" s="16"/>
      <c r="BX1215" s="16"/>
      <c r="BY1215" s="16"/>
      <c r="BZ1215" s="16"/>
      <c r="CA1215" s="16"/>
      <c r="CB1215" s="16"/>
      <c r="CC1215" s="16"/>
      <c r="CD1215" s="16"/>
      <c r="CE1215" s="16"/>
      <c r="CF1215" s="16"/>
      <c r="CG1215" s="16"/>
      <c r="CH1215" s="16"/>
      <c r="CI1215" s="16"/>
      <c r="CJ1215" s="16"/>
      <c r="CK1215" s="16"/>
      <c r="CL1215" s="16"/>
      <c r="CM1215" s="16"/>
      <c r="CN1215" s="16"/>
      <c r="CO1215" s="16"/>
      <c r="CP1215" s="16"/>
    </row>
    <row r="1216" ht="15.75" customHeight="1">
      <c r="A1216" s="400" t="s">
        <v>5819</v>
      </c>
      <c r="B1216" s="115"/>
      <c r="C1216" s="116" t="s">
        <v>84</v>
      </c>
      <c r="D1216" s="449"/>
      <c r="E1216" s="401" t="s">
        <v>5820</v>
      </c>
      <c r="F1216" s="708" t="s">
        <v>5821</v>
      </c>
      <c r="G1216" s="286"/>
      <c r="H1216" s="119" t="s">
        <v>5822</v>
      </c>
      <c r="I1216" s="25" t="s">
        <v>461</v>
      </c>
      <c r="J1216" s="287"/>
      <c r="K1216" s="25">
        <v>1.0</v>
      </c>
      <c r="L1216" s="25">
        <v>2021.0</v>
      </c>
      <c r="M1216" s="123"/>
      <c r="N1216" s="123"/>
      <c r="O1216" s="27" t="str">
        <f t="shared" si="3"/>
        <v>#N/A</v>
      </c>
      <c r="P1216" s="55"/>
      <c r="Q1216" s="55"/>
      <c r="R1216" s="55"/>
      <c r="S1216" s="55"/>
      <c r="T1216" s="55"/>
      <c r="U1216" s="55"/>
      <c r="V1216" s="30">
        <f t="shared" si="425"/>
        <v>119600</v>
      </c>
      <c r="W1216" s="30"/>
      <c r="X1216" s="403"/>
      <c r="Y1216" s="403"/>
      <c r="Z1216" s="692"/>
      <c r="AA1216" s="665"/>
      <c r="AB1216" s="123"/>
      <c r="AC1216" s="123"/>
      <c r="AD1216" s="62">
        <v>44882.0</v>
      </c>
      <c r="AE1216" s="38">
        <f>1.04*115000</f>
        <v>119600</v>
      </c>
      <c r="AF1216" s="355"/>
      <c r="AG1216" s="38"/>
      <c r="AH1216" s="123"/>
      <c r="AI1216" s="123"/>
      <c r="AJ1216" s="123"/>
      <c r="AK1216" s="123"/>
      <c r="AL1216" s="123"/>
      <c r="AM1216" s="123"/>
      <c r="AN1216" s="123"/>
      <c r="AO1216" s="123"/>
      <c r="AP1216" s="123"/>
      <c r="AQ1216" s="123"/>
      <c r="AR1216" s="123"/>
      <c r="AS1216" s="123"/>
      <c r="AT1216" s="123"/>
      <c r="AU1216" s="137"/>
      <c r="AV1216" s="123"/>
      <c r="AW1216" s="38"/>
      <c r="AX1216" s="123"/>
      <c r="AY1216" s="38"/>
      <c r="AZ1216" s="123"/>
      <c r="BA1216" s="137"/>
      <c r="BB1216" s="123"/>
      <c r="BC1216" s="137"/>
      <c r="BD1216" s="123"/>
      <c r="BE1216" s="38"/>
      <c r="BF1216" s="123"/>
      <c r="BG1216" s="16"/>
      <c r="BH1216" s="16"/>
      <c r="BI1216" s="16"/>
      <c r="BJ1216" s="16"/>
      <c r="BK1216" s="16"/>
      <c r="BL1216" s="16"/>
      <c r="BM1216" s="16"/>
      <c r="BN1216" s="16"/>
      <c r="BO1216" s="16"/>
      <c r="BP1216" s="16"/>
      <c r="BQ1216" s="16"/>
      <c r="BR1216" s="16"/>
      <c r="BS1216" s="16"/>
      <c r="BT1216" s="16"/>
      <c r="BU1216" s="16"/>
      <c r="BV1216" s="16"/>
      <c r="BW1216" s="16"/>
      <c r="BX1216" s="16"/>
      <c r="BY1216" s="16"/>
      <c r="BZ1216" s="16"/>
      <c r="CA1216" s="16"/>
      <c r="CB1216" s="16"/>
      <c r="CC1216" s="16"/>
      <c r="CD1216" s="16"/>
      <c r="CE1216" s="16"/>
      <c r="CF1216" s="16"/>
      <c r="CG1216" s="16"/>
      <c r="CH1216" s="16"/>
      <c r="CI1216" s="16"/>
      <c r="CJ1216" s="16"/>
      <c r="CK1216" s="16"/>
      <c r="CL1216" s="16"/>
      <c r="CM1216" s="16"/>
      <c r="CN1216" s="16"/>
      <c r="CO1216" s="16"/>
      <c r="CP1216" s="16"/>
    </row>
    <row r="1217" ht="15.75" customHeight="1">
      <c r="A1217" s="823" t="s">
        <v>5823</v>
      </c>
      <c r="B1217" s="760"/>
      <c r="C1217" s="824" t="s">
        <v>513</v>
      </c>
      <c r="D1217" s="1534" t="s">
        <v>5824</v>
      </c>
      <c r="E1217" s="1272" t="s">
        <v>5825</v>
      </c>
      <c r="F1217" s="1535" t="s">
        <v>5826</v>
      </c>
      <c r="G1217" s="827" t="s">
        <v>2791</v>
      </c>
      <c r="H1217" s="1245"/>
      <c r="I1217" s="831"/>
      <c r="J1217" s="829"/>
      <c r="K1217" s="831" t="s">
        <v>723</v>
      </c>
      <c r="L1217" s="1536">
        <v>2014.0</v>
      </c>
      <c r="M1217" s="25">
        <f t="shared" ref="M1217:M1241" si="784">year(now()) -L1217</f>
        <v>11</v>
      </c>
      <c r="N1217" s="26">
        <f t="shared" ref="N1217:N1241" si="785">counta(AE1217,AG1217,AI1217,AK1217,AM1217,AO1217,AQ1217,AS1217,AU1217,AW1217,AY1217,BA1217,BC1217)</f>
        <v>1</v>
      </c>
      <c r="O1217" s="27" t="str">
        <f t="shared" si="3"/>
        <v>#N/A</v>
      </c>
      <c r="P1217" s="28"/>
      <c r="Q1217" s="28"/>
      <c r="R1217" s="28"/>
      <c r="S1217" s="28"/>
      <c r="T1217" s="29">
        <f t="shared" ref="T1217:T1221" si="786">V1217/M1217</f>
        <v>10000</v>
      </c>
      <c r="U1217" s="28"/>
      <c r="V1217" s="30">
        <f t="shared" si="425"/>
        <v>110000</v>
      </c>
      <c r="W1217" s="30"/>
      <c r="X1217" s="1526"/>
      <c r="Y1217" s="33">
        <f t="shared" ref="Y1217:Y1240" si="787">(max(AE1217,AG1217,AI1217,AK1217,AM1217,AO1217,AQ1217,AS1217,AU1217,AW1217,AY1217,BA1217,BC1217)/min(AE1217,AG1217,AI1217,AK1217))^(1/M1217)-1</f>
        <v>0</v>
      </c>
      <c r="Z1217" s="692"/>
      <c r="AA1217" s="665"/>
      <c r="AB1217" s="831"/>
      <c r="AC1217" s="831"/>
      <c r="AD1217" s="1537"/>
      <c r="AE1217" s="1249"/>
      <c r="AF1217" s="1248" t="str">
        <f>HYPERLINK("https://www.crunchbase.com/funding_round/fantasmo-studios-seed--199c9324"," 10/1/2015")</f>
        <v> 10/1/2015</v>
      </c>
      <c r="AG1217" s="1249">
        <v>110000.0</v>
      </c>
      <c r="AH1217" s="1538"/>
      <c r="AI1217" s="1539"/>
      <c r="AJ1217" s="1537"/>
      <c r="AK1217" s="1540"/>
      <c r="AL1217" s="1246"/>
      <c r="AM1217" s="1247"/>
      <c r="AN1217" s="1246"/>
      <c r="AO1217" s="1247"/>
      <c r="AP1217" s="1246"/>
      <c r="AQ1217" s="1247"/>
      <c r="AR1217" s="1246"/>
      <c r="AS1217" s="1246"/>
      <c r="AT1217" s="1246"/>
      <c r="AU1217" s="1541"/>
      <c r="AV1217" s="1246"/>
      <c r="AW1217" s="38"/>
      <c r="AX1217" s="1246"/>
      <c r="AY1217" s="38"/>
      <c r="AZ1217" s="1246"/>
      <c r="BA1217" s="1541"/>
      <c r="BB1217" s="1246"/>
      <c r="BC1217" s="1541"/>
      <c r="BD1217" s="1246"/>
      <c r="BE1217" s="38"/>
      <c r="BF1217" s="1250"/>
      <c r="BG1217" s="16"/>
      <c r="BH1217" s="16"/>
      <c r="BI1217" s="16"/>
      <c r="BJ1217" s="16"/>
      <c r="BK1217" s="16"/>
      <c r="BL1217" s="16"/>
      <c r="BM1217" s="16"/>
      <c r="BN1217" s="16"/>
      <c r="BO1217" s="16"/>
      <c r="BP1217" s="16"/>
      <c r="BQ1217" s="16"/>
      <c r="BR1217" s="16"/>
      <c r="BS1217" s="16"/>
      <c r="BT1217" s="16"/>
      <c r="BU1217" s="16"/>
      <c r="BV1217" s="16"/>
      <c r="BW1217" s="16"/>
      <c r="BX1217" s="16"/>
      <c r="BY1217" s="16"/>
      <c r="BZ1217" s="16"/>
      <c r="CA1217" s="16"/>
      <c r="CB1217" s="16"/>
      <c r="CC1217" s="16"/>
      <c r="CD1217" s="16"/>
      <c r="CE1217" s="16"/>
      <c r="CF1217" s="16"/>
      <c r="CG1217" s="16"/>
      <c r="CH1217" s="16"/>
      <c r="CI1217" s="16"/>
      <c r="CJ1217" s="16"/>
      <c r="CK1217" s="16"/>
      <c r="CL1217" s="16"/>
      <c r="CM1217" s="16"/>
      <c r="CN1217" s="16"/>
      <c r="CO1217" s="16"/>
      <c r="CP1217" s="16"/>
    </row>
    <row r="1218" ht="15.75" customHeight="1">
      <c r="A1218" s="666" t="s">
        <v>5827</v>
      </c>
      <c r="B1218" s="115" t="s">
        <v>501</v>
      </c>
      <c r="C1218" s="116" t="s">
        <v>123</v>
      </c>
      <c r="D1218" s="667" t="s">
        <v>5828</v>
      </c>
      <c r="E1218" s="667" t="s">
        <v>5829</v>
      </c>
      <c r="F1218" s="668" t="s">
        <v>5830</v>
      </c>
      <c r="G1218" s="286" t="s">
        <v>5831</v>
      </c>
      <c r="H1218" s="286" t="s">
        <v>4783</v>
      </c>
      <c r="I1218" s="123" t="s">
        <v>5832</v>
      </c>
      <c r="J1218" s="287">
        <v>4006.0</v>
      </c>
      <c r="K1218" s="123">
        <v>4.0</v>
      </c>
      <c r="L1218" s="25">
        <v>2017.0</v>
      </c>
      <c r="M1218" s="25">
        <f t="shared" si="784"/>
        <v>8</v>
      </c>
      <c r="N1218" s="26">
        <f t="shared" si="785"/>
        <v>1</v>
      </c>
      <c r="O1218" s="27" t="str">
        <f t="shared" si="3"/>
        <v>#N/A</v>
      </c>
      <c r="P1218" s="28"/>
      <c r="Q1218" s="28"/>
      <c r="R1218" s="28"/>
      <c r="S1218" s="28"/>
      <c r="T1218" s="29">
        <f t="shared" si="786"/>
        <v>12500</v>
      </c>
      <c r="U1218" s="28"/>
      <c r="V1218" s="30">
        <f t="shared" si="425"/>
        <v>100000</v>
      </c>
      <c r="W1218" s="30"/>
      <c r="X1218" s="403"/>
      <c r="Y1218" s="33">
        <f t="shared" si="787"/>
        <v>0</v>
      </c>
      <c r="Z1218" s="692"/>
      <c r="AA1218" s="665"/>
      <c r="AB1218" s="123"/>
      <c r="AC1218" s="123"/>
      <c r="AD1218" s="124"/>
      <c r="AE1218" s="125"/>
      <c r="AF1218" s="126" t="str">
        <f>HYPERLINK("https://angel.co/company/orbmaps/funding","Oct, 2018")</f>
        <v>Oct, 2018</v>
      </c>
      <c r="AG1218" s="127">
        <v>100000.0</v>
      </c>
      <c r="AH1218" s="123"/>
      <c r="AI1218" s="128"/>
      <c r="AJ1218" s="124"/>
      <c r="AK1218" s="125"/>
      <c r="AL1218" s="124"/>
      <c r="AM1218" s="125"/>
      <c r="AN1218" s="124"/>
      <c r="AO1218" s="125"/>
      <c r="AP1218" s="124"/>
      <c r="AQ1218" s="125"/>
      <c r="AR1218" s="124"/>
      <c r="AS1218" s="124"/>
      <c r="AT1218" s="124"/>
      <c r="AU1218" s="137"/>
      <c r="AV1218" s="124"/>
      <c r="AW1218" s="38"/>
      <c r="AX1218" s="124"/>
      <c r="AY1218" s="38"/>
      <c r="AZ1218" s="124"/>
      <c r="BA1218" s="137"/>
      <c r="BB1218" s="124"/>
      <c r="BC1218" s="137"/>
      <c r="BD1218" s="124"/>
      <c r="BE1218" s="38"/>
      <c r="BF1218" s="123"/>
      <c r="BG1218" s="16"/>
      <c r="BH1218" s="16"/>
      <c r="BI1218" s="16"/>
      <c r="BJ1218" s="16"/>
      <c r="BK1218" s="16"/>
      <c r="BL1218" s="16"/>
      <c r="BM1218" s="16"/>
      <c r="BN1218" s="16"/>
      <c r="BO1218" s="16"/>
      <c r="BP1218" s="16"/>
      <c r="BQ1218" s="16"/>
      <c r="BR1218" s="16"/>
      <c r="BS1218" s="16"/>
      <c r="BT1218" s="16"/>
      <c r="BU1218" s="16"/>
      <c r="BV1218" s="16"/>
      <c r="BW1218" s="16"/>
      <c r="BX1218" s="16"/>
      <c r="BY1218" s="16"/>
      <c r="BZ1218" s="16"/>
      <c r="CA1218" s="16"/>
      <c r="CB1218" s="16"/>
      <c r="CC1218" s="16"/>
      <c r="CD1218" s="16"/>
      <c r="CE1218" s="16"/>
      <c r="CF1218" s="16"/>
      <c r="CG1218" s="16"/>
      <c r="CH1218" s="16"/>
      <c r="CI1218" s="16"/>
      <c r="CJ1218" s="16"/>
      <c r="CK1218" s="16"/>
      <c r="CL1218" s="16"/>
      <c r="CM1218" s="16"/>
      <c r="CN1218" s="16"/>
      <c r="CO1218" s="16"/>
      <c r="CP1218" s="16"/>
    </row>
    <row r="1219" ht="15.75" customHeight="1">
      <c r="A1219" s="866" t="s">
        <v>5833</v>
      </c>
      <c r="B1219" s="68"/>
      <c r="C1219" s="69" t="s">
        <v>276</v>
      </c>
      <c r="D1219" s="192" t="s">
        <v>5834</v>
      </c>
      <c r="E1219" s="192" t="s">
        <v>5835</v>
      </c>
      <c r="F1219" s="118" t="s">
        <v>5836</v>
      </c>
      <c r="G1219" s="71"/>
      <c r="H1219" s="71" t="s">
        <v>129</v>
      </c>
      <c r="I1219" s="26" t="s">
        <v>156</v>
      </c>
      <c r="J1219" s="72"/>
      <c r="K1219" s="26"/>
      <c r="L1219" s="26">
        <v>2018.0</v>
      </c>
      <c r="M1219" s="25">
        <f t="shared" si="784"/>
        <v>7</v>
      </c>
      <c r="N1219" s="26">
        <f t="shared" si="785"/>
        <v>1</v>
      </c>
      <c r="O1219" s="27" t="str">
        <f t="shared" si="3"/>
        <v>#N/A</v>
      </c>
      <c r="P1219" s="28"/>
      <c r="Q1219" s="28"/>
      <c r="R1219" s="28"/>
      <c r="S1219" s="28"/>
      <c r="T1219" s="29">
        <f t="shared" si="786"/>
        <v>14285.71429</v>
      </c>
      <c r="U1219" s="28"/>
      <c r="V1219" s="30">
        <f t="shared" si="425"/>
        <v>100000</v>
      </c>
      <c r="W1219" s="30"/>
      <c r="X1219" s="73"/>
      <c r="Y1219" s="33">
        <f t="shared" si="787"/>
        <v>0</v>
      </c>
      <c r="Z1219" s="692"/>
      <c r="AA1219" s="665"/>
      <c r="AB1219" s="74"/>
      <c r="AC1219" s="74"/>
      <c r="AD1219" s="79"/>
      <c r="AE1219" s="84"/>
      <c r="AF1219" s="320">
        <v>43586.0</v>
      </c>
      <c r="AG1219" s="76">
        <v>100000.0</v>
      </c>
      <c r="AH1219" s="434"/>
      <c r="AI1219" s="435"/>
      <c r="AJ1219" s="279"/>
      <c r="AK1219" s="76"/>
      <c r="AL1219" s="79"/>
      <c r="AM1219" s="76"/>
      <c r="AN1219" s="79"/>
      <c r="AO1219" s="84"/>
      <c r="AP1219" s="79"/>
      <c r="AQ1219" s="84"/>
      <c r="AR1219" s="79"/>
      <c r="AS1219" s="79"/>
      <c r="AT1219" s="79"/>
      <c r="AU1219" s="80"/>
      <c r="AV1219" s="79"/>
      <c r="AW1219" s="38"/>
      <c r="AX1219" s="79"/>
      <c r="AY1219" s="38"/>
      <c r="AZ1219" s="79"/>
      <c r="BA1219" s="80"/>
      <c r="BB1219" s="79"/>
      <c r="BC1219" s="80"/>
      <c r="BD1219" s="79"/>
      <c r="BE1219" s="38"/>
      <c r="BF1219" s="74"/>
      <c r="BG1219" s="16"/>
      <c r="BH1219" s="16"/>
      <c r="BI1219" s="16"/>
      <c r="BJ1219" s="16"/>
      <c r="BK1219" s="16"/>
      <c r="BL1219" s="16"/>
      <c r="BM1219" s="16"/>
      <c r="BN1219" s="16"/>
      <c r="BO1219" s="16"/>
      <c r="BP1219" s="16"/>
      <c r="BQ1219" s="16"/>
      <c r="BR1219" s="16"/>
      <c r="BS1219" s="16"/>
      <c r="BT1219" s="16"/>
      <c r="BU1219" s="16"/>
      <c r="BV1219" s="16"/>
      <c r="BW1219" s="16"/>
      <c r="BX1219" s="16"/>
      <c r="BY1219" s="16"/>
      <c r="BZ1219" s="16"/>
      <c r="CA1219" s="16"/>
      <c r="CB1219" s="16"/>
      <c r="CC1219" s="16"/>
      <c r="CD1219" s="16"/>
      <c r="CE1219" s="16"/>
      <c r="CF1219" s="16"/>
      <c r="CG1219" s="16"/>
      <c r="CH1219" s="16"/>
      <c r="CI1219" s="16"/>
      <c r="CJ1219" s="16"/>
      <c r="CK1219" s="16"/>
      <c r="CL1219" s="16"/>
      <c r="CM1219" s="16"/>
      <c r="CN1219" s="16"/>
      <c r="CO1219" s="16"/>
      <c r="CP1219" s="16"/>
    </row>
    <row r="1220" ht="15.75" customHeight="1">
      <c r="A1220" s="860" t="s">
        <v>5837</v>
      </c>
      <c r="B1220" s="68"/>
      <c r="C1220" s="858" t="s">
        <v>123</v>
      </c>
      <c r="D1220" s="192" t="s">
        <v>5838</v>
      </c>
      <c r="E1220" s="192" t="s">
        <v>5839</v>
      </c>
      <c r="F1220" s="118" t="s">
        <v>5840</v>
      </c>
      <c r="G1220" s="186"/>
      <c r="H1220" s="71" t="s">
        <v>5841</v>
      </c>
      <c r="I1220" s="26" t="s">
        <v>5842</v>
      </c>
      <c r="J1220" s="155"/>
      <c r="K1220" s="74"/>
      <c r="L1220" s="26">
        <v>2012.0</v>
      </c>
      <c r="M1220" s="25">
        <f t="shared" si="784"/>
        <v>13</v>
      </c>
      <c r="N1220" s="26">
        <f t="shared" si="785"/>
        <v>1</v>
      </c>
      <c r="O1220" s="27" t="str">
        <f t="shared" si="3"/>
        <v>#N/A</v>
      </c>
      <c r="P1220" s="28"/>
      <c r="Q1220" s="28"/>
      <c r="R1220" s="28"/>
      <c r="S1220" s="28"/>
      <c r="T1220" s="29">
        <f t="shared" si="786"/>
        <v>7692.307692</v>
      </c>
      <c r="U1220" s="28"/>
      <c r="V1220" s="30">
        <f t="shared" si="425"/>
        <v>100000</v>
      </c>
      <c r="W1220" s="30"/>
      <c r="X1220" s="32"/>
      <c r="Y1220" s="33">
        <f t="shared" si="787"/>
        <v>0</v>
      </c>
      <c r="Z1220" s="692"/>
      <c r="AA1220" s="665"/>
      <c r="AB1220" s="74"/>
      <c r="AC1220" s="74"/>
      <c r="AD1220" s="79"/>
      <c r="AE1220" s="84"/>
      <c r="AF1220" s="869">
        <v>43858.0</v>
      </c>
      <c r="AG1220" s="76">
        <v>100000.0</v>
      </c>
      <c r="AH1220" s="74"/>
      <c r="AI1220" s="435"/>
      <c r="AJ1220" s="79"/>
      <c r="AK1220" s="84"/>
      <c r="AL1220" s="79"/>
      <c r="AM1220" s="84"/>
      <c r="AN1220" s="79"/>
      <c r="AO1220" s="84"/>
      <c r="AP1220" s="79"/>
      <c r="AQ1220" s="84"/>
      <c r="AR1220" s="79"/>
      <c r="AS1220" s="79"/>
      <c r="AT1220" s="79"/>
      <c r="AU1220" s="80"/>
      <c r="AV1220" s="79"/>
      <c r="AW1220" s="38"/>
      <c r="AX1220" s="79"/>
      <c r="AY1220" s="38"/>
      <c r="AZ1220" s="79"/>
      <c r="BA1220" s="80"/>
      <c r="BB1220" s="79"/>
      <c r="BC1220" s="80"/>
      <c r="BD1220" s="79"/>
      <c r="BE1220" s="38"/>
      <c r="BF1220" s="74"/>
      <c r="BG1220" s="16"/>
      <c r="BH1220" s="16"/>
      <c r="BI1220" s="16"/>
      <c r="BJ1220" s="16"/>
      <c r="BK1220" s="16"/>
      <c r="BL1220" s="16"/>
      <c r="BM1220" s="16"/>
      <c r="BN1220" s="16"/>
      <c r="BO1220" s="16"/>
      <c r="BP1220" s="16"/>
      <c r="BQ1220" s="16"/>
      <c r="BR1220" s="16"/>
      <c r="BS1220" s="16"/>
      <c r="BT1220" s="16"/>
      <c r="BU1220" s="16"/>
      <c r="BV1220" s="16"/>
      <c r="BW1220" s="16"/>
      <c r="BX1220" s="16"/>
      <c r="BY1220" s="16"/>
      <c r="BZ1220" s="16"/>
      <c r="CA1220" s="16"/>
      <c r="CB1220" s="16"/>
      <c r="CC1220" s="16"/>
      <c r="CD1220" s="16"/>
      <c r="CE1220" s="16"/>
      <c r="CF1220" s="16"/>
      <c r="CG1220" s="16"/>
      <c r="CH1220" s="16"/>
      <c r="CI1220" s="16"/>
      <c r="CJ1220" s="16"/>
      <c r="CK1220" s="16"/>
      <c r="CL1220" s="16"/>
      <c r="CM1220" s="16"/>
      <c r="CN1220" s="16"/>
      <c r="CO1220" s="16"/>
      <c r="CP1220" s="16"/>
    </row>
    <row r="1221" ht="15.75" customHeight="1">
      <c r="A1221" s="21" t="s">
        <v>5843</v>
      </c>
      <c r="B1221" s="69" t="s">
        <v>4081</v>
      </c>
      <c r="C1221" s="69" t="s">
        <v>132</v>
      </c>
      <c r="D1221" s="337"/>
      <c r="E1221" s="200" t="s">
        <v>5844</v>
      </c>
      <c r="F1221" s="154" t="s">
        <v>5845</v>
      </c>
      <c r="G1221" s="186"/>
      <c r="H1221" s="71" t="s">
        <v>1065</v>
      </c>
      <c r="I1221" s="26" t="s">
        <v>1935</v>
      </c>
      <c r="J1221" s="72" t="s">
        <v>639</v>
      </c>
      <c r="K1221" s="74" t="s">
        <v>723</v>
      </c>
      <c r="L1221" s="26">
        <v>2018.0</v>
      </c>
      <c r="M1221" s="25">
        <f t="shared" si="784"/>
        <v>7</v>
      </c>
      <c r="N1221" s="26">
        <f t="shared" si="785"/>
        <v>1</v>
      </c>
      <c r="O1221" s="27" t="str">
        <f t="shared" si="3"/>
        <v>#N/A</v>
      </c>
      <c r="P1221" s="28"/>
      <c r="Q1221" s="28"/>
      <c r="R1221" s="28"/>
      <c r="S1221" s="28"/>
      <c r="T1221" s="29">
        <f t="shared" si="786"/>
        <v>14285.71429</v>
      </c>
      <c r="U1221" s="28"/>
      <c r="V1221" s="30">
        <f t="shared" si="425"/>
        <v>100000</v>
      </c>
      <c r="W1221" s="30"/>
      <c r="X1221" s="32"/>
      <c r="Y1221" s="33">
        <f t="shared" si="787"/>
        <v>0</v>
      </c>
      <c r="Z1221" s="692"/>
      <c r="AA1221" s="665"/>
      <c r="AB1221" s="74"/>
      <c r="AC1221" s="74"/>
      <c r="AD1221" s="181" t="str">
        <f>HYPERLINK("https://www.crunchbase.com/funding_round/hilo-743a-pre-seed--d0922a23"," Jan 1, 2020        
")</f>
        <v> Jan 1, 2020        
</v>
      </c>
      <c r="AE1221" s="76">
        <v>100000.0</v>
      </c>
      <c r="AF1221" s="338"/>
      <c r="AG1221" s="84"/>
      <c r="AH1221" s="74"/>
      <c r="AI1221" s="78"/>
      <c r="AJ1221" s="79"/>
      <c r="AK1221" s="84"/>
      <c r="AL1221" s="79"/>
      <c r="AM1221" s="84"/>
      <c r="AN1221" s="79"/>
      <c r="AO1221" s="84"/>
      <c r="AP1221" s="79"/>
      <c r="AQ1221" s="84"/>
      <c r="AR1221" s="79"/>
      <c r="AS1221" s="79"/>
      <c r="AT1221" s="79"/>
      <c r="AU1221" s="80"/>
      <c r="AV1221" s="79"/>
      <c r="AW1221" s="38"/>
      <c r="AX1221" s="79"/>
      <c r="AY1221" s="38"/>
      <c r="AZ1221" s="79"/>
      <c r="BA1221" s="80"/>
      <c r="BB1221" s="79"/>
      <c r="BC1221" s="80"/>
      <c r="BD1221" s="79"/>
      <c r="BE1221" s="38"/>
      <c r="BF1221" s="74"/>
      <c r="BG1221" s="16"/>
      <c r="BH1221" s="16"/>
      <c r="BI1221" s="16"/>
      <c r="BJ1221" s="16"/>
      <c r="BK1221" s="16"/>
      <c r="BL1221" s="16"/>
      <c r="BM1221" s="16"/>
      <c r="BN1221" s="16"/>
      <c r="BO1221" s="16"/>
      <c r="BP1221" s="16"/>
      <c r="BQ1221" s="16"/>
      <c r="BR1221" s="16"/>
      <c r="BS1221" s="16"/>
      <c r="BT1221" s="16"/>
      <c r="BU1221" s="16"/>
      <c r="BV1221" s="16"/>
      <c r="BW1221" s="16"/>
      <c r="BX1221" s="16"/>
      <c r="BY1221" s="16"/>
      <c r="BZ1221" s="16"/>
      <c r="CA1221" s="16"/>
      <c r="CB1221" s="16"/>
      <c r="CC1221" s="16"/>
      <c r="CD1221" s="16"/>
      <c r="CE1221" s="16"/>
      <c r="CF1221" s="16"/>
      <c r="CG1221" s="16"/>
      <c r="CH1221" s="16"/>
      <c r="CI1221" s="16"/>
      <c r="CJ1221" s="16"/>
      <c r="CK1221" s="16"/>
      <c r="CL1221" s="16"/>
      <c r="CM1221" s="16"/>
      <c r="CN1221" s="16"/>
      <c r="CO1221" s="16"/>
      <c r="CP1221" s="16"/>
    </row>
    <row r="1222" ht="15.75" customHeight="1">
      <c r="A1222" s="21" t="s">
        <v>5846</v>
      </c>
      <c r="B1222" s="69" t="s">
        <v>5847</v>
      </c>
      <c r="C1222" s="69" t="s">
        <v>132</v>
      </c>
      <c r="D1222" s="200" t="s">
        <v>5848</v>
      </c>
      <c r="E1222" s="200" t="s">
        <v>5849</v>
      </c>
      <c r="F1222" s="841" t="s">
        <v>5850</v>
      </c>
      <c r="G1222" s="71" t="s">
        <v>3273</v>
      </c>
      <c r="H1222" s="186" t="s">
        <v>128</v>
      </c>
      <c r="I1222" s="74" t="s">
        <v>129</v>
      </c>
      <c r="J1222" s="155"/>
      <c r="K1222" s="26">
        <v>1.0</v>
      </c>
      <c r="L1222" s="26">
        <v>2016.0</v>
      </c>
      <c r="M1222" s="25">
        <f t="shared" si="784"/>
        <v>9</v>
      </c>
      <c r="N1222" s="26">
        <f t="shared" si="785"/>
        <v>1</v>
      </c>
      <c r="O1222" s="27" t="str">
        <f t="shared" si="3"/>
        <v>#N/A</v>
      </c>
      <c r="P1222" s="28"/>
      <c r="Q1222" s="28"/>
      <c r="R1222" s="28"/>
      <c r="S1222" s="28"/>
      <c r="T1222" s="28"/>
      <c r="U1222" s="28"/>
      <c r="V1222" s="30">
        <f t="shared" si="425"/>
        <v>100000</v>
      </c>
      <c r="W1222" s="30"/>
      <c r="X1222" s="73"/>
      <c r="Y1222" s="33">
        <f t="shared" si="787"/>
        <v>0</v>
      </c>
      <c r="Z1222" s="692"/>
      <c r="AA1222" s="665"/>
      <c r="AB1222" s="74"/>
      <c r="AC1222" s="74"/>
      <c r="AD1222" s="426" t="str">
        <f>HYPERLINK("https://www.crunchbase.com/organization/touchlight-innovations#section-funding-rounds","Mar 1, 2018")</f>
        <v>Mar 1, 2018</v>
      </c>
      <c r="AE1222" s="76">
        <v>100000.0</v>
      </c>
      <c r="AF1222" s="338"/>
      <c r="AG1222" s="84"/>
      <c r="AH1222" s="74"/>
      <c r="AI1222" s="78"/>
      <c r="AJ1222" s="79"/>
      <c r="AK1222" s="84"/>
      <c r="AL1222" s="79"/>
      <c r="AM1222" s="84"/>
      <c r="AN1222" s="79"/>
      <c r="AO1222" s="84"/>
      <c r="AP1222" s="79"/>
      <c r="AQ1222" s="84"/>
      <c r="AR1222" s="79"/>
      <c r="AS1222" s="79"/>
      <c r="AT1222" s="79"/>
      <c r="AU1222" s="80"/>
      <c r="AV1222" s="79"/>
      <c r="AW1222" s="38"/>
      <c r="AX1222" s="79"/>
      <c r="AY1222" s="38"/>
      <c r="AZ1222" s="79"/>
      <c r="BA1222" s="80"/>
      <c r="BB1222" s="79"/>
      <c r="BC1222" s="80"/>
      <c r="BD1222" s="79"/>
      <c r="BE1222" s="38"/>
      <c r="BF1222" s="74"/>
      <c r="BG1222" s="16"/>
      <c r="BH1222" s="16"/>
      <c r="BI1222" s="16"/>
      <c r="BJ1222" s="16"/>
      <c r="BK1222" s="16"/>
      <c r="BL1222" s="16"/>
      <c r="BM1222" s="16"/>
      <c r="BN1222" s="16"/>
      <c r="BO1222" s="16"/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6"/>
      <c r="CA1222" s="16"/>
      <c r="CB1222" s="16"/>
      <c r="CC1222" s="16"/>
      <c r="CD1222" s="16"/>
      <c r="CE1222" s="16"/>
      <c r="CF1222" s="16"/>
      <c r="CG1222" s="16"/>
      <c r="CH1222" s="16"/>
      <c r="CI1222" s="16"/>
      <c r="CJ1222" s="16"/>
      <c r="CK1222" s="16"/>
      <c r="CL1222" s="16"/>
      <c r="CM1222" s="16"/>
      <c r="CN1222" s="16"/>
      <c r="CO1222" s="16"/>
      <c r="CP1222" s="16"/>
    </row>
    <row r="1223" ht="15.75" customHeight="1">
      <c r="A1223" s="866" t="s">
        <v>5851</v>
      </c>
      <c r="B1223" s="16"/>
      <c r="C1223" s="17" t="s">
        <v>123</v>
      </c>
      <c r="D1223" s="236" t="s">
        <v>5852</v>
      </c>
      <c r="E1223" s="236" t="s">
        <v>5853</v>
      </c>
      <c r="F1223" s="1173" t="s">
        <v>5854</v>
      </c>
      <c r="G1223" s="22"/>
      <c r="H1223" s="22" t="s">
        <v>129</v>
      </c>
      <c r="I1223" s="23" t="s">
        <v>129</v>
      </c>
      <c r="J1223" s="24"/>
      <c r="K1223" s="23"/>
      <c r="L1223" s="23">
        <v>2017.0</v>
      </c>
      <c r="M1223" s="25">
        <f t="shared" si="784"/>
        <v>8</v>
      </c>
      <c r="N1223" s="26">
        <f t="shared" si="785"/>
        <v>1</v>
      </c>
      <c r="O1223" s="27" t="str">
        <f t="shared" si="3"/>
        <v>#N/A</v>
      </c>
      <c r="P1223" s="28"/>
      <c r="Q1223" s="28"/>
      <c r="R1223" s="28"/>
      <c r="S1223" s="28"/>
      <c r="T1223" s="29">
        <f t="shared" ref="T1223:T1241" si="788">V1223/M1223</f>
        <v>9375</v>
      </c>
      <c r="U1223" s="28"/>
      <c r="V1223" s="30">
        <f t="shared" si="425"/>
        <v>75000</v>
      </c>
      <c r="W1223" s="30"/>
      <c r="X1223" s="33"/>
      <c r="Y1223" s="33">
        <f t="shared" si="787"/>
        <v>0</v>
      </c>
      <c r="Z1223" s="692"/>
      <c r="AA1223" s="665"/>
      <c r="AB1223" s="36"/>
      <c r="AC1223" s="36"/>
      <c r="AD1223" s="44"/>
      <c r="AE1223" s="46"/>
      <c r="AF1223" s="320">
        <v>42922.0</v>
      </c>
      <c r="AG1223" s="38">
        <v>75000.0</v>
      </c>
      <c r="AH1223" s="36"/>
      <c r="AI1223" s="159"/>
      <c r="AJ1223" s="37"/>
      <c r="AK1223" s="38"/>
      <c r="AL1223" s="37"/>
      <c r="AM1223" s="38"/>
      <c r="AN1223" s="37"/>
      <c r="AO1223" s="38"/>
      <c r="AP1223" s="37"/>
      <c r="AQ1223" s="38"/>
      <c r="AR1223" s="44"/>
      <c r="AS1223" s="44"/>
      <c r="AT1223" s="44"/>
      <c r="AU1223" s="45"/>
      <c r="AV1223" s="44"/>
      <c r="AW1223" s="38"/>
      <c r="AX1223" s="44"/>
      <c r="AY1223" s="38"/>
      <c r="AZ1223" s="44"/>
      <c r="BA1223" s="45"/>
      <c r="BB1223" s="44"/>
      <c r="BC1223" s="45"/>
      <c r="BD1223" s="44"/>
      <c r="BE1223" s="38"/>
      <c r="BF1223" s="36"/>
      <c r="BG1223" s="16"/>
      <c r="BH1223" s="16"/>
      <c r="BI1223" s="16"/>
      <c r="BJ1223" s="16"/>
      <c r="BK1223" s="16"/>
      <c r="BL1223" s="16"/>
      <c r="BM1223" s="16"/>
      <c r="BN1223" s="16"/>
      <c r="BO1223" s="16"/>
      <c r="BP1223" s="16"/>
      <c r="BQ1223" s="16"/>
      <c r="BR1223" s="16"/>
      <c r="BS1223" s="16"/>
      <c r="BT1223" s="16"/>
      <c r="BU1223" s="16"/>
      <c r="BV1223" s="16"/>
      <c r="BW1223" s="16"/>
      <c r="BX1223" s="16"/>
      <c r="BY1223" s="16"/>
      <c r="BZ1223" s="16"/>
      <c r="CA1223" s="16"/>
      <c r="CB1223" s="16"/>
      <c r="CC1223" s="16"/>
      <c r="CD1223" s="16"/>
      <c r="CE1223" s="16"/>
      <c r="CF1223" s="16"/>
      <c r="CG1223" s="16"/>
      <c r="CH1223" s="16"/>
      <c r="CI1223" s="16"/>
      <c r="CJ1223" s="16"/>
      <c r="CK1223" s="16"/>
      <c r="CL1223" s="16"/>
      <c r="CM1223" s="16"/>
      <c r="CN1223" s="16"/>
      <c r="CO1223" s="16"/>
      <c r="CP1223" s="16"/>
    </row>
    <row r="1224" ht="15.75" customHeight="1">
      <c r="A1224" s="21" t="s">
        <v>5855</v>
      </c>
      <c r="B1224" s="68"/>
      <c r="C1224" s="69" t="s">
        <v>513</v>
      </c>
      <c r="D1224" s="138" t="s">
        <v>5856</v>
      </c>
      <c r="E1224" s="138" t="s">
        <v>5857</v>
      </c>
      <c r="F1224" s="173" t="s">
        <v>5858</v>
      </c>
      <c r="G1224" s="186"/>
      <c r="H1224" s="71" t="s">
        <v>2009</v>
      </c>
      <c r="I1224" s="26" t="s">
        <v>2010</v>
      </c>
      <c r="J1224" s="155"/>
      <c r="K1224" s="26">
        <v>3.0</v>
      </c>
      <c r="L1224" s="26">
        <v>2011.0</v>
      </c>
      <c r="M1224" s="25">
        <f t="shared" si="784"/>
        <v>14</v>
      </c>
      <c r="N1224" s="26">
        <f t="shared" si="785"/>
        <v>1</v>
      </c>
      <c r="O1224" s="27" t="str">
        <f t="shared" si="3"/>
        <v>#N/A</v>
      </c>
      <c r="P1224" s="28"/>
      <c r="Q1224" s="28"/>
      <c r="R1224" s="28"/>
      <c r="S1224" s="28"/>
      <c r="T1224" s="29">
        <f t="shared" si="788"/>
        <v>4035.714286</v>
      </c>
      <c r="U1224" s="28"/>
      <c r="V1224" s="30">
        <f t="shared" si="425"/>
        <v>56500</v>
      </c>
      <c r="W1224" s="30"/>
      <c r="X1224" s="73"/>
      <c r="Y1224" s="33">
        <f t="shared" si="787"/>
        <v>0</v>
      </c>
      <c r="Z1224" s="692"/>
      <c r="AA1224" s="665"/>
      <c r="AB1224" s="74"/>
      <c r="AC1224" s="74"/>
      <c r="AD1224" s="181" t="str">
        <f>HYPERLINK("https://www.crunchbase.com/funding_round/naava-pre-seed--3bc9cabb","Jan 9, 2016")</f>
        <v>Jan 9, 2016</v>
      </c>
      <c r="AE1224" s="76">
        <v>56500.0</v>
      </c>
      <c r="AF1224" s="338"/>
      <c r="AG1224" s="84"/>
      <c r="AH1224" s="74"/>
      <c r="AI1224" s="78"/>
      <c r="AJ1224" s="279"/>
      <c r="AK1224" s="76"/>
      <c r="AL1224" s="79"/>
      <c r="AM1224" s="76"/>
      <c r="AN1224" s="79"/>
      <c r="AO1224" s="84"/>
      <c r="AP1224" s="79"/>
      <c r="AQ1224" s="84"/>
      <c r="AR1224" s="79"/>
      <c r="AS1224" s="79"/>
      <c r="AT1224" s="79"/>
      <c r="AU1224" s="80"/>
      <c r="AV1224" s="79"/>
      <c r="AW1224" s="38"/>
      <c r="AX1224" s="79"/>
      <c r="AY1224" s="38"/>
      <c r="AZ1224" s="79"/>
      <c r="BA1224" s="80"/>
      <c r="BB1224" s="79"/>
      <c r="BC1224" s="80"/>
      <c r="BD1224" s="79"/>
      <c r="BE1224" s="38"/>
      <c r="BF1224" s="74"/>
      <c r="BG1224" s="16"/>
      <c r="BH1224" s="16"/>
      <c r="BI1224" s="16"/>
      <c r="BJ1224" s="16"/>
      <c r="BK1224" s="16"/>
      <c r="BL1224" s="16"/>
      <c r="BM1224" s="16"/>
      <c r="BN1224" s="16"/>
      <c r="BO1224" s="16"/>
      <c r="BP1224" s="16"/>
      <c r="BQ1224" s="16"/>
      <c r="BR1224" s="16"/>
      <c r="BS1224" s="16"/>
      <c r="BT1224" s="16"/>
      <c r="BU1224" s="16"/>
      <c r="BV1224" s="16"/>
      <c r="BW1224" s="16"/>
      <c r="BX1224" s="16"/>
      <c r="BY1224" s="16"/>
      <c r="BZ1224" s="16"/>
      <c r="CA1224" s="16"/>
      <c r="CB1224" s="16"/>
      <c r="CC1224" s="16"/>
      <c r="CD1224" s="16"/>
      <c r="CE1224" s="16"/>
      <c r="CF1224" s="16"/>
      <c r="CG1224" s="16"/>
      <c r="CH1224" s="16"/>
      <c r="CI1224" s="16"/>
      <c r="CJ1224" s="16"/>
      <c r="CK1224" s="16"/>
      <c r="CL1224" s="16"/>
      <c r="CM1224" s="16"/>
      <c r="CN1224" s="16"/>
      <c r="CO1224" s="16"/>
      <c r="CP1224" s="16"/>
    </row>
    <row r="1225" ht="15.75" customHeight="1">
      <c r="A1225" s="892" t="s">
        <v>5859</v>
      </c>
      <c r="B1225" s="115"/>
      <c r="C1225" s="116" t="s">
        <v>59</v>
      </c>
      <c r="D1225" s="449"/>
      <c r="E1225" s="192" t="s">
        <v>5860</v>
      </c>
      <c r="F1225" s="756" t="s">
        <v>5861</v>
      </c>
      <c r="G1225" s="286"/>
      <c r="H1225" s="119" t="s">
        <v>1616</v>
      </c>
      <c r="I1225" s="25" t="s">
        <v>518</v>
      </c>
      <c r="J1225" s="287"/>
      <c r="K1225" s="123"/>
      <c r="L1225" s="25">
        <v>2018.0</v>
      </c>
      <c r="M1225" s="25">
        <f t="shared" si="784"/>
        <v>7</v>
      </c>
      <c r="N1225" s="26">
        <f t="shared" si="785"/>
        <v>1</v>
      </c>
      <c r="O1225" s="27" t="str">
        <f t="shared" si="3"/>
        <v>#N/A</v>
      </c>
      <c r="P1225" s="28"/>
      <c r="Q1225" s="28"/>
      <c r="R1225" s="28"/>
      <c r="S1225" s="28"/>
      <c r="T1225" s="29">
        <f t="shared" si="788"/>
        <v>7714.285714</v>
      </c>
      <c r="U1225" s="28"/>
      <c r="V1225" s="30">
        <f t="shared" si="425"/>
        <v>54000</v>
      </c>
      <c r="W1225" s="30"/>
      <c r="X1225" s="403"/>
      <c r="Y1225" s="33">
        <f t="shared" si="787"/>
        <v>0</v>
      </c>
      <c r="Z1225" s="692"/>
      <c r="AA1225" s="665"/>
      <c r="AB1225" s="123"/>
      <c r="AC1225" s="123"/>
      <c r="AD1225" s="124"/>
      <c r="AE1225" s="125"/>
      <c r="AF1225" s="320">
        <v>43531.0</v>
      </c>
      <c r="AG1225" s="127">
        <v>54000.0</v>
      </c>
      <c r="AH1225" s="123"/>
      <c r="AI1225" s="128"/>
      <c r="AJ1225" s="169"/>
      <c r="AK1225" s="127"/>
      <c r="AL1225" s="169"/>
      <c r="AM1225" s="127"/>
      <c r="AN1225" s="124"/>
      <c r="AO1225" s="125"/>
      <c r="AP1225" s="124"/>
      <c r="AQ1225" s="125"/>
      <c r="AR1225" s="124"/>
      <c r="AS1225" s="124"/>
      <c r="AT1225" s="124"/>
      <c r="AU1225" s="137"/>
      <c r="AV1225" s="124"/>
      <c r="AW1225" s="38"/>
      <c r="AX1225" s="124"/>
      <c r="AY1225" s="38"/>
      <c r="AZ1225" s="124"/>
      <c r="BA1225" s="137"/>
      <c r="BB1225" s="124"/>
      <c r="BC1225" s="137"/>
      <c r="BD1225" s="124"/>
      <c r="BE1225" s="38"/>
      <c r="BF1225" s="123"/>
      <c r="BG1225" s="1144"/>
      <c r="BH1225" s="1144"/>
      <c r="BI1225" s="1144"/>
      <c r="BJ1225" s="1144"/>
      <c r="BK1225" s="1144"/>
      <c r="BL1225" s="1144"/>
      <c r="BM1225" s="1144"/>
      <c r="BN1225" s="1144"/>
      <c r="BO1225" s="1144"/>
      <c r="BP1225" s="1144"/>
      <c r="BQ1225" s="1144"/>
      <c r="BR1225" s="1144"/>
      <c r="BS1225" s="1144"/>
      <c r="BT1225" s="1144"/>
      <c r="BU1225" s="1144"/>
      <c r="BV1225" s="1144"/>
      <c r="BW1225" s="1144"/>
      <c r="BX1225" s="1144"/>
      <c r="BY1225" s="1144"/>
      <c r="BZ1225" s="1144"/>
      <c r="CA1225" s="1144"/>
      <c r="CB1225" s="1144"/>
      <c r="CC1225" s="1144"/>
      <c r="CD1225" s="1144"/>
      <c r="CE1225" s="1144"/>
      <c r="CF1225" s="1144"/>
      <c r="CG1225" s="1144"/>
      <c r="CH1225" s="1144"/>
      <c r="CI1225" s="1144"/>
      <c r="CJ1225" s="1144"/>
      <c r="CK1225" s="1144"/>
      <c r="CL1225" s="1144"/>
      <c r="CM1225" s="1144"/>
      <c r="CN1225" s="1144"/>
      <c r="CO1225" s="1144"/>
      <c r="CP1225" s="1144"/>
    </row>
    <row r="1226" ht="15.75" customHeight="1">
      <c r="A1226" s="21" t="s">
        <v>5862</v>
      </c>
      <c r="B1226" s="68"/>
      <c r="C1226" s="69" t="s">
        <v>5863</v>
      </c>
      <c r="D1226" s="337"/>
      <c r="E1226" s="138" t="s">
        <v>5864</v>
      </c>
      <c r="F1226" s="173" t="s">
        <v>5865</v>
      </c>
      <c r="G1226" s="54" t="s">
        <v>5866</v>
      </c>
      <c r="H1226" s="71" t="s">
        <v>5867</v>
      </c>
      <c r="I1226" s="26" t="s">
        <v>100</v>
      </c>
      <c r="J1226" s="155"/>
      <c r="K1226" s="74" t="s">
        <v>723</v>
      </c>
      <c r="L1226" s="26">
        <v>2014.0</v>
      </c>
      <c r="M1226" s="25">
        <f t="shared" si="784"/>
        <v>11</v>
      </c>
      <c r="N1226" s="26">
        <f t="shared" si="785"/>
        <v>1</v>
      </c>
      <c r="O1226" s="27" t="str">
        <f t="shared" si="3"/>
        <v>#N/A</v>
      </c>
      <c r="P1226" s="28"/>
      <c r="Q1226" s="28"/>
      <c r="R1226" s="28"/>
      <c r="S1226" s="28"/>
      <c r="T1226" s="29">
        <f t="shared" si="788"/>
        <v>4854.545455</v>
      </c>
      <c r="U1226" s="28"/>
      <c r="V1226" s="30">
        <f t="shared" si="425"/>
        <v>53400</v>
      </c>
      <c r="W1226" s="30"/>
      <c r="X1226" s="32"/>
      <c r="Y1226" s="33">
        <f t="shared" si="787"/>
        <v>0</v>
      </c>
      <c r="Z1226" s="692"/>
      <c r="AA1226" s="665"/>
      <c r="AB1226" s="74"/>
      <c r="AC1226" s="74"/>
      <c r="AD1226" s="44"/>
      <c r="AE1226" s="46"/>
      <c r="AF1226" s="918" t="str">
        <f>HYPERLINK("https://www.crunchbase.com/funding_round/roomhero-seed--5ade587e"," Mar 2, 2017")</f>
        <v> Mar 2, 2017</v>
      </c>
      <c r="AG1226" s="38">
        <v>53400.0</v>
      </c>
      <c r="AH1226" s="36"/>
      <c r="AI1226" s="159"/>
      <c r="AJ1226" s="44"/>
      <c r="AK1226" s="46"/>
      <c r="AL1226" s="37"/>
      <c r="AM1226" s="76"/>
      <c r="AN1226" s="79"/>
      <c r="AO1226" s="84"/>
      <c r="AP1226" s="79"/>
      <c r="AQ1226" s="84"/>
      <c r="AR1226" s="79"/>
      <c r="AS1226" s="79"/>
      <c r="AT1226" s="79"/>
      <c r="AU1226" s="80"/>
      <c r="AV1226" s="79"/>
      <c r="AW1226" s="38"/>
      <c r="AX1226" s="79"/>
      <c r="AY1226" s="38"/>
      <c r="AZ1226" s="79"/>
      <c r="BA1226" s="80"/>
      <c r="BB1226" s="79"/>
      <c r="BC1226" s="80"/>
      <c r="BD1226" s="79"/>
      <c r="BE1226" s="38"/>
      <c r="BF1226" s="74"/>
      <c r="BG1226" s="1542"/>
      <c r="BH1226" s="1542"/>
      <c r="BI1226" s="1542"/>
      <c r="BJ1226" s="1542"/>
      <c r="BK1226" s="1542"/>
      <c r="BL1226" s="1542"/>
      <c r="BM1226" s="1542"/>
      <c r="BN1226" s="1542"/>
      <c r="BO1226" s="1542"/>
      <c r="BP1226" s="1542"/>
      <c r="BQ1226" s="1542"/>
      <c r="BR1226" s="1542"/>
      <c r="BS1226" s="1542"/>
      <c r="BT1226" s="1542"/>
      <c r="BU1226" s="1542"/>
      <c r="BV1226" s="1542"/>
      <c r="BW1226" s="1542"/>
      <c r="BX1226" s="1542"/>
      <c r="BY1226" s="1542"/>
      <c r="BZ1226" s="1542"/>
      <c r="CA1226" s="1542"/>
      <c r="CB1226" s="1542"/>
      <c r="CC1226" s="1542"/>
      <c r="CD1226" s="1542"/>
      <c r="CE1226" s="1542"/>
      <c r="CF1226" s="1542"/>
      <c r="CG1226" s="1542"/>
      <c r="CH1226" s="1542"/>
      <c r="CI1226" s="1542"/>
      <c r="CJ1226" s="1542"/>
      <c r="CK1226" s="1542"/>
      <c r="CL1226" s="1542"/>
      <c r="CM1226" s="1542"/>
      <c r="CN1226" s="1542"/>
      <c r="CO1226" s="1542"/>
      <c r="CP1226" s="1542"/>
    </row>
    <row r="1227" ht="15.75" customHeight="1">
      <c r="A1227" s="21" t="s">
        <v>5868</v>
      </c>
      <c r="B1227" s="16"/>
      <c r="C1227" s="17"/>
      <c r="D1227" s="245"/>
      <c r="E1227" s="19" t="s">
        <v>5869</v>
      </c>
      <c r="F1227" s="493"/>
      <c r="G1227" s="810"/>
      <c r="H1227" s="810" t="s">
        <v>5870</v>
      </c>
      <c r="I1227" s="23" t="s">
        <v>65</v>
      </c>
      <c r="J1227" s="24"/>
      <c r="K1227" s="23"/>
      <c r="L1227" s="712">
        <v>2011.0</v>
      </c>
      <c r="M1227" s="25">
        <f t="shared" si="784"/>
        <v>14</v>
      </c>
      <c r="N1227" s="26">
        <f t="shared" si="785"/>
        <v>1</v>
      </c>
      <c r="O1227" s="27" t="str">
        <f t="shared" si="3"/>
        <v>#N/A</v>
      </c>
      <c r="P1227" s="28"/>
      <c r="Q1227" s="28"/>
      <c r="R1227" s="28"/>
      <c r="S1227" s="28"/>
      <c r="T1227" s="29">
        <f t="shared" si="788"/>
        <v>3571.428571</v>
      </c>
      <c r="U1227" s="28"/>
      <c r="V1227" s="30">
        <f t="shared" si="425"/>
        <v>50000</v>
      </c>
      <c r="W1227" s="30"/>
      <c r="X1227" s="33"/>
      <c r="Y1227" s="33">
        <f t="shared" si="787"/>
        <v>0</v>
      </c>
      <c r="Z1227" s="692"/>
      <c r="AA1227" s="665"/>
      <c r="AB1227" s="36"/>
      <c r="AC1227" s="36"/>
      <c r="AD1227" s="37"/>
      <c r="AE1227" s="38"/>
      <c r="AF1227" s="320">
        <v>42078.0</v>
      </c>
      <c r="AG1227" s="38">
        <v>50000.0</v>
      </c>
      <c r="AH1227" s="36"/>
      <c r="AI1227" s="46"/>
      <c r="AJ1227" s="37"/>
      <c r="AK1227" s="38"/>
      <c r="AL1227" s="37"/>
      <c r="AM1227" s="38"/>
      <c r="AN1227" s="44"/>
      <c r="AO1227" s="46"/>
      <c r="AP1227" s="967"/>
      <c r="AQ1227" s="968"/>
      <c r="AR1227" s="967"/>
      <c r="AS1227" s="38"/>
      <c r="AT1227" s="44"/>
      <c r="AU1227" s="45"/>
      <c r="AV1227" s="44"/>
      <c r="AW1227" s="38"/>
      <c r="AX1227" s="44"/>
      <c r="AY1227" s="38"/>
      <c r="AZ1227" s="44"/>
      <c r="BA1227" s="45"/>
      <c r="BB1227" s="44"/>
      <c r="BC1227" s="45"/>
      <c r="BD1227" s="44"/>
      <c r="BE1227" s="38"/>
      <c r="BF1227" s="36"/>
      <c r="BG1227" s="16"/>
      <c r="BH1227" s="16"/>
      <c r="BI1227" s="16"/>
      <c r="BJ1227" s="16"/>
      <c r="BK1227" s="16"/>
      <c r="BL1227" s="16"/>
      <c r="BM1227" s="16"/>
      <c r="BN1227" s="16"/>
      <c r="BO1227" s="16"/>
      <c r="BP1227" s="16"/>
      <c r="BQ1227" s="16"/>
      <c r="BR1227" s="16"/>
      <c r="BS1227" s="16"/>
      <c r="BT1227" s="16"/>
      <c r="BU1227" s="16"/>
      <c r="BV1227" s="16"/>
      <c r="BW1227" s="16"/>
      <c r="BX1227" s="16"/>
      <c r="BY1227" s="16"/>
      <c r="BZ1227" s="16"/>
      <c r="CA1227" s="16"/>
      <c r="CB1227" s="16"/>
      <c r="CC1227" s="16"/>
      <c r="CD1227" s="16"/>
      <c r="CE1227" s="16"/>
      <c r="CF1227" s="16"/>
      <c r="CG1227" s="16"/>
      <c r="CH1227" s="16"/>
      <c r="CI1227" s="16"/>
      <c r="CJ1227" s="16"/>
      <c r="CK1227" s="16"/>
      <c r="CL1227" s="16"/>
      <c r="CM1227" s="16"/>
      <c r="CN1227" s="16"/>
      <c r="CO1227" s="16"/>
      <c r="CP1227" s="16"/>
    </row>
    <row r="1228" ht="15.75" customHeight="1">
      <c r="A1228" s="1162" t="s">
        <v>5871</v>
      </c>
      <c r="B1228" s="16"/>
      <c r="C1228" s="17" t="s">
        <v>4115</v>
      </c>
      <c r="D1228" s="18" t="s">
        <v>5872</v>
      </c>
      <c r="E1228" s="18" t="s">
        <v>5873</v>
      </c>
      <c r="F1228" s="18" t="s">
        <v>5874</v>
      </c>
      <c r="G1228" s="317"/>
      <c r="H1228" s="22" t="s">
        <v>129</v>
      </c>
      <c r="I1228" s="23" t="s">
        <v>129</v>
      </c>
      <c r="J1228" s="237"/>
      <c r="K1228" s="74"/>
      <c r="L1228" s="23">
        <v>2011.0</v>
      </c>
      <c r="M1228" s="25">
        <f t="shared" si="784"/>
        <v>14</v>
      </c>
      <c r="N1228" s="26">
        <f t="shared" si="785"/>
        <v>1</v>
      </c>
      <c r="O1228" s="27" t="str">
        <f t="shared" si="3"/>
        <v>#N/A</v>
      </c>
      <c r="P1228" s="28"/>
      <c r="Q1228" s="28"/>
      <c r="R1228" s="28"/>
      <c r="S1228" s="28"/>
      <c r="T1228" s="29">
        <f t="shared" si="788"/>
        <v>3571.428571</v>
      </c>
      <c r="U1228" s="28"/>
      <c r="V1228" s="30">
        <f t="shared" si="425"/>
        <v>50000</v>
      </c>
      <c r="W1228" s="30"/>
      <c r="X1228" s="32"/>
      <c r="Y1228" s="33">
        <f t="shared" si="787"/>
        <v>0</v>
      </c>
      <c r="Z1228" s="692"/>
      <c r="AA1228" s="665"/>
      <c r="AB1228" s="36"/>
      <c r="AC1228" s="36"/>
      <c r="AD1228" s="44"/>
      <c r="AE1228" s="46"/>
      <c r="AF1228" s="320">
        <v>41897.0</v>
      </c>
      <c r="AG1228" s="38">
        <v>50000.0</v>
      </c>
      <c r="AH1228" s="36"/>
      <c r="AI1228" s="159"/>
      <c r="AJ1228" s="44"/>
      <c r="AK1228" s="46"/>
      <c r="AL1228" s="44"/>
      <c r="AM1228" s="46"/>
      <c r="AN1228" s="44"/>
      <c r="AO1228" s="46"/>
      <c r="AP1228" s="44"/>
      <c r="AQ1228" s="46"/>
      <c r="AR1228" s="44"/>
      <c r="AS1228" s="44"/>
      <c r="AT1228" s="44"/>
      <c r="AU1228" s="45"/>
      <c r="AV1228" s="44"/>
      <c r="AW1228" s="38"/>
      <c r="AX1228" s="44"/>
      <c r="AY1228" s="38"/>
      <c r="AZ1228" s="44"/>
      <c r="BA1228" s="45"/>
      <c r="BB1228" s="44"/>
      <c r="BC1228" s="45"/>
      <c r="BD1228" s="44"/>
      <c r="BE1228" s="38"/>
      <c r="BF1228" s="36"/>
      <c r="BG1228" s="16"/>
      <c r="BH1228" s="16"/>
      <c r="BI1228" s="16"/>
      <c r="BJ1228" s="16"/>
      <c r="BK1228" s="16"/>
      <c r="BL1228" s="16"/>
      <c r="BM1228" s="16"/>
      <c r="BN1228" s="16"/>
      <c r="BO1228" s="16"/>
      <c r="BP1228" s="16"/>
      <c r="BQ1228" s="16"/>
      <c r="BR1228" s="16"/>
      <c r="BS1228" s="16"/>
      <c r="BT1228" s="16"/>
      <c r="BU1228" s="16"/>
      <c r="BV1228" s="16"/>
      <c r="BW1228" s="16"/>
      <c r="BX1228" s="16"/>
      <c r="BY1228" s="16"/>
      <c r="BZ1228" s="16"/>
      <c r="CA1228" s="16"/>
      <c r="CB1228" s="16"/>
      <c r="CC1228" s="16"/>
      <c r="CD1228" s="16"/>
      <c r="CE1228" s="16"/>
      <c r="CF1228" s="16"/>
      <c r="CG1228" s="16"/>
      <c r="CH1228" s="16"/>
      <c r="CI1228" s="16"/>
      <c r="CJ1228" s="16"/>
      <c r="CK1228" s="16"/>
      <c r="CL1228" s="16"/>
      <c r="CM1228" s="16"/>
      <c r="CN1228" s="16"/>
      <c r="CO1228" s="16"/>
      <c r="CP1228" s="16"/>
    </row>
    <row r="1229" ht="15.75" customHeight="1">
      <c r="A1229" s="21" t="s">
        <v>5875</v>
      </c>
      <c r="B1229" s="68"/>
      <c r="C1229" s="69" t="s">
        <v>132</v>
      </c>
      <c r="D1229" s="138" t="s">
        <v>5876</v>
      </c>
      <c r="E1229" s="138" t="s">
        <v>5877</v>
      </c>
      <c r="F1229" s="173" t="s">
        <v>5878</v>
      </c>
      <c r="G1229" s="186"/>
      <c r="H1229" s="71" t="s">
        <v>309</v>
      </c>
      <c r="I1229" s="26" t="s">
        <v>2431</v>
      </c>
      <c r="J1229" s="155"/>
      <c r="K1229" s="26">
        <v>1.0</v>
      </c>
      <c r="L1229" s="26">
        <v>2017.0</v>
      </c>
      <c r="M1229" s="25">
        <f t="shared" si="784"/>
        <v>8</v>
      </c>
      <c r="N1229" s="26">
        <f t="shared" si="785"/>
        <v>1</v>
      </c>
      <c r="O1229" s="27" t="str">
        <f t="shared" si="3"/>
        <v>#N/A</v>
      </c>
      <c r="P1229" s="28"/>
      <c r="Q1229" s="28"/>
      <c r="R1229" s="28"/>
      <c r="S1229" s="28"/>
      <c r="T1229" s="29">
        <f t="shared" si="788"/>
        <v>6250</v>
      </c>
      <c r="U1229" s="28"/>
      <c r="V1229" s="30">
        <f t="shared" si="425"/>
        <v>50000</v>
      </c>
      <c r="W1229" s="30"/>
      <c r="X1229" s="73"/>
      <c r="Y1229" s="33">
        <f t="shared" si="787"/>
        <v>0</v>
      </c>
      <c r="Z1229" s="692"/>
      <c r="AA1229" s="665"/>
      <c r="AB1229" s="74"/>
      <c r="AC1229" s="74"/>
      <c r="AD1229" s="79"/>
      <c r="AE1229" s="84"/>
      <c r="AF1229" s="175" t="str">
        <f>HYPERLINK("https://www.crunchbase.com/organization/jack-3#section-funding-rounds"," Mar 1, 2018")</f>
        <v> Mar 1, 2018</v>
      </c>
      <c r="AG1229" s="76">
        <v>50000.0</v>
      </c>
      <c r="AH1229" s="74"/>
      <c r="AI1229" s="78"/>
      <c r="AJ1229" s="79"/>
      <c r="AK1229" s="84"/>
      <c r="AL1229" s="79"/>
      <c r="AM1229" s="84"/>
      <c r="AN1229" s="79"/>
      <c r="AO1229" s="84"/>
      <c r="AP1229" s="79"/>
      <c r="AQ1229" s="84"/>
      <c r="AR1229" s="79"/>
      <c r="AS1229" s="79"/>
      <c r="AT1229" s="79"/>
      <c r="AU1229" s="80"/>
      <c r="AV1229" s="79"/>
      <c r="AW1229" s="38"/>
      <c r="AX1229" s="79"/>
      <c r="AY1229" s="38"/>
      <c r="AZ1229" s="79"/>
      <c r="BA1229" s="80"/>
      <c r="BB1229" s="79"/>
      <c r="BC1229" s="80"/>
      <c r="BD1229" s="79"/>
      <c r="BE1229" s="38"/>
      <c r="BF1229" s="74"/>
      <c r="BG1229" s="16"/>
      <c r="BH1229" s="16"/>
      <c r="BI1229" s="16"/>
      <c r="BJ1229" s="16"/>
      <c r="BK1229" s="16"/>
      <c r="BL1229" s="16"/>
      <c r="BM1229" s="16"/>
      <c r="BN1229" s="16"/>
      <c r="BO1229" s="16"/>
      <c r="BP1229" s="16"/>
      <c r="BQ1229" s="16"/>
      <c r="BR1229" s="16"/>
      <c r="BS1229" s="16"/>
      <c r="BT1229" s="16"/>
      <c r="BU1229" s="16"/>
      <c r="BV1229" s="16"/>
      <c r="BW1229" s="16"/>
      <c r="BX1229" s="16"/>
      <c r="BY1229" s="16"/>
      <c r="BZ1229" s="16"/>
      <c r="CA1229" s="16"/>
      <c r="CB1229" s="16"/>
      <c r="CC1229" s="16"/>
      <c r="CD1229" s="16"/>
      <c r="CE1229" s="16"/>
      <c r="CF1229" s="16"/>
      <c r="CG1229" s="16"/>
      <c r="CH1229" s="16"/>
      <c r="CI1229" s="16"/>
      <c r="CJ1229" s="16"/>
      <c r="CK1229" s="16"/>
      <c r="CL1229" s="16"/>
      <c r="CM1229" s="16"/>
      <c r="CN1229" s="16"/>
      <c r="CO1229" s="16"/>
      <c r="CP1229" s="16"/>
    </row>
    <row r="1230" ht="15.75" customHeight="1">
      <c r="A1230" s="21" t="s">
        <v>5879</v>
      </c>
      <c r="B1230" s="68"/>
      <c r="C1230" s="69" t="s">
        <v>1257</v>
      </c>
      <c r="D1230" s="200" t="s">
        <v>5880</v>
      </c>
      <c r="E1230" s="200" t="s">
        <v>5881</v>
      </c>
      <c r="F1230" s="1335" t="s">
        <v>5882</v>
      </c>
      <c r="G1230" s="140" t="s">
        <v>5883</v>
      </c>
      <c r="H1230" s="140" t="s">
        <v>5883</v>
      </c>
      <c r="I1230" s="74"/>
      <c r="J1230" s="155"/>
      <c r="K1230" s="26">
        <v>1.0</v>
      </c>
      <c r="L1230" s="26">
        <v>2009.0</v>
      </c>
      <c r="M1230" s="25">
        <f t="shared" si="784"/>
        <v>16</v>
      </c>
      <c r="N1230" s="26">
        <f t="shared" si="785"/>
        <v>1</v>
      </c>
      <c r="O1230" s="27" t="str">
        <f t="shared" si="3"/>
        <v>#N/A</v>
      </c>
      <c r="P1230" s="28"/>
      <c r="Q1230" s="28"/>
      <c r="R1230" s="28"/>
      <c r="S1230" s="28"/>
      <c r="T1230" s="29">
        <f t="shared" si="788"/>
        <v>3125</v>
      </c>
      <c r="U1230" s="28"/>
      <c r="V1230" s="30">
        <f t="shared" si="425"/>
        <v>50000</v>
      </c>
      <c r="W1230" s="30"/>
      <c r="X1230" s="73"/>
      <c r="Y1230" s="33">
        <f t="shared" si="787"/>
        <v>0</v>
      </c>
      <c r="Z1230" s="692"/>
      <c r="AA1230" s="665"/>
      <c r="AB1230" s="74"/>
      <c r="AC1230" s="74"/>
      <c r="AD1230" s="79"/>
      <c r="AE1230" s="84"/>
      <c r="AF1230" s="175" t="str">
        <f>HYPERLINK("https://www.crunchbase.com/organization/strytex#section-funding-rounds2"," Apr 8, 2016")</f>
        <v> Apr 8, 2016</v>
      </c>
      <c r="AG1230" s="76">
        <v>50000.0</v>
      </c>
      <c r="AH1230" s="74"/>
      <c r="AI1230" s="78"/>
      <c r="AJ1230" s="79"/>
      <c r="AK1230" s="84"/>
      <c r="AL1230" s="79"/>
      <c r="AM1230" s="84"/>
      <c r="AN1230" s="79"/>
      <c r="AO1230" s="84"/>
      <c r="AP1230" s="79"/>
      <c r="AQ1230" s="84"/>
      <c r="AR1230" s="79"/>
      <c r="AS1230" s="79"/>
      <c r="AT1230" s="79"/>
      <c r="AU1230" s="80"/>
      <c r="AV1230" s="79"/>
      <c r="AW1230" s="38"/>
      <c r="AX1230" s="79"/>
      <c r="AY1230" s="38"/>
      <c r="AZ1230" s="79"/>
      <c r="BA1230" s="80"/>
      <c r="BB1230" s="79"/>
      <c r="BC1230" s="80"/>
      <c r="BD1230" s="79"/>
      <c r="BE1230" s="38"/>
      <c r="BF1230" s="74"/>
      <c r="BG1230" s="16"/>
      <c r="BH1230" s="16"/>
      <c r="BI1230" s="16"/>
      <c r="BJ1230" s="16"/>
      <c r="BK1230" s="16"/>
      <c r="BL1230" s="16"/>
      <c r="BM1230" s="16"/>
      <c r="BN1230" s="16"/>
      <c r="BO1230" s="16"/>
      <c r="BP1230" s="16"/>
      <c r="BQ1230" s="16"/>
      <c r="BR1230" s="16"/>
      <c r="BS1230" s="16"/>
      <c r="BT1230" s="16"/>
      <c r="BU1230" s="16"/>
      <c r="BV1230" s="16"/>
      <c r="BW1230" s="16"/>
      <c r="BX1230" s="16"/>
      <c r="BY1230" s="16"/>
      <c r="BZ1230" s="16"/>
      <c r="CA1230" s="16"/>
      <c r="CB1230" s="16"/>
      <c r="CC1230" s="16"/>
      <c r="CD1230" s="16"/>
      <c r="CE1230" s="16"/>
      <c r="CF1230" s="16"/>
      <c r="CG1230" s="16"/>
      <c r="CH1230" s="16"/>
      <c r="CI1230" s="16"/>
      <c r="CJ1230" s="16"/>
      <c r="CK1230" s="16"/>
      <c r="CL1230" s="16"/>
      <c r="CM1230" s="16"/>
      <c r="CN1230" s="16"/>
      <c r="CO1230" s="16"/>
      <c r="CP1230" s="16"/>
    </row>
    <row r="1231" ht="15.75" customHeight="1">
      <c r="A1231" s="931" t="s">
        <v>5884</v>
      </c>
      <c r="B1231" s="68"/>
      <c r="C1231" s="69" t="s">
        <v>84</v>
      </c>
      <c r="D1231" s="192" t="s">
        <v>5885</v>
      </c>
      <c r="E1231" s="192" t="s">
        <v>5886</v>
      </c>
      <c r="F1231" s="1487" t="s">
        <v>5887</v>
      </c>
      <c r="G1231" s="71"/>
      <c r="H1231" s="71" t="s">
        <v>5888</v>
      </c>
      <c r="I1231" s="26" t="s">
        <v>149</v>
      </c>
      <c r="J1231" s="72"/>
      <c r="K1231" s="74"/>
      <c r="L1231" s="26">
        <v>2018.0</v>
      </c>
      <c r="M1231" s="25">
        <f t="shared" si="784"/>
        <v>7</v>
      </c>
      <c r="N1231" s="26">
        <f t="shared" si="785"/>
        <v>1</v>
      </c>
      <c r="O1231" s="27" t="str">
        <f t="shared" si="3"/>
        <v>#N/A</v>
      </c>
      <c r="P1231" s="28"/>
      <c r="Q1231" s="28"/>
      <c r="R1231" s="28"/>
      <c r="S1231" s="28"/>
      <c r="T1231" s="29">
        <f t="shared" si="788"/>
        <v>7142.857143</v>
      </c>
      <c r="U1231" s="28"/>
      <c r="V1231" s="30">
        <f t="shared" si="425"/>
        <v>50000</v>
      </c>
      <c r="W1231" s="30"/>
      <c r="X1231" s="32"/>
      <c r="Y1231" s="33">
        <f t="shared" si="787"/>
        <v>0</v>
      </c>
      <c r="Z1231" s="692"/>
      <c r="AA1231" s="665"/>
      <c r="AB1231" s="74"/>
      <c r="AC1231" s="74"/>
      <c r="AD1231" s="79"/>
      <c r="AE1231" s="84"/>
      <c r="AF1231" s="225">
        <v>43164.0</v>
      </c>
      <c r="AG1231" s="76">
        <v>50000.0</v>
      </c>
      <c r="AH1231" s="74"/>
      <c r="AI1231" s="78"/>
      <c r="AJ1231" s="79"/>
      <c r="AK1231" s="84"/>
      <c r="AL1231" s="79"/>
      <c r="AM1231" s="84"/>
      <c r="AN1231" s="79"/>
      <c r="AO1231" s="84"/>
      <c r="AP1231" s="79"/>
      <c r="AQ1231" s="84"/>
      <c r="AR1231" s="79"/>
      <c r="AS1231" s="79"/>
      <c r="AT1231" s="79"/>
      <c r="AU1231" s="80"/>
      <c r="AV1231" s="79"/>
      <c r="AW1231" s="38"/>
      <c r="AX1231" s="79"/>
      <c r="AY1231" s="38"/>
      <c r="AZ1231" s="79"/>
      <c r="BA1231" s="80"/>
      <c r="BB1231" s="79"/>
      <c r="BC1231" s="80"/>
      <c r="BD1231" s="79"/>
      <c r="BE1231" s="38"/>
      <c r="BF1231" s="74"/>
      <c r="BG1231" s="16"/>
      <c r="BH1231" s="16"/>
      <c r="BI1231" s="16"/>
      <c r="BJ1231" s="16"/>
      <c r="BK1231" s="16"/>
      <c r="BL1231" s="16"/>
      <c r="BM1231" s="16"/>
      <c r="BN1231" s="16"/>
      <c r="BO1231" s="16"/>
      <c r="BP1231" s="16"/>
      <c r="BQ1231" s="16"/>
      <c r="BR1231" s="16"/>
      <c r="BS1231" s="16"/>
      <c r="BT1231" s="16"/>
      <c r="BU1231" s="16"/>
      <c r="BV1231" s="16"/>
      <c r="BW1231" s="16"/>
      <c r="BX1231" s="16"/>
      <c r="BY1231" s="16"/>
      <c r="BZ1231" s="16"/>
      <c r="CA1231" s="16"/>
      <c r="CB1231" s="16"/>
      <c r="CC1231" s="16"/>
      <c r="CD1231" s="16"/>
      <c r="CE1231" s="16"/>
      <c r="CF1231" s="16"/>
      <c r="CG1231" s="16"/>
      <c r="CH1231" s="16"/>
      <c r="CI1231" s="16"/>
      <c r="CJ1231" s="16"/>
      <c r="CK1231" s="16"/>
      <c r="CL1231" s="16"/>
      <c r="CM1231" s="16"/>
      <c r="CN1231" s="16"/>
      <c r="CO1231" s="16"/>
      <c r="CP1231" s="16"/>
    </row>
    <row r="1232" ht="15.75" customHeight="1">
      <c r="A1232" s="442" t="s">
        <v>5889</v>
      </c>
      <c r="B1232" s="16" t="s">
        <v>501</v>
      </c>
      <c r="C1232" s="17" t="s">
        <v>123</v>
      </c>
      <c r="D1232" s="184" t="s">
        <v>5890</v>
      </c>
      <c r="E1232" s="184" t="s">
        <v>5891</v>
      </c>
      <c r="F1232" s="185" t="s">
        <v>5892</v>
      </c>
      <c r="G1232" s="317" t="s">
        <v>5893</v>
      </c>
      <c r="H1232" s="317" t="s">
        <v>128</v>
      </c>
      <c r="I1232" s="36" t="s">
        <v>129</v>
      </c>
      <c r="J1232" s="237" t="s">
        <v>3154</v>
      </c>
      <c r="K1232" s="36">
        <v>2.0</v>
      </c>
      <c r="L1232" s="23">
        <v>2016.0</v>
      </c>
      <c r="M1232" s="25">
        <f t="shared" si="784"/>
        <v>9</v>
      </c>
      <c r="N1232" s="26">
        <f t="shared" si="785"/>
        <v>1</v>
      </c>
      <c r="O1232" s="27" t="str">
        <f t="shared" si="3"/>
        <v>#N/A</v>
      </c>
      <c r="P1232" s="28"/>
      <c r="Q1232" s="28"/>
      <c r="R1232" s="28"/>
      <c r="S1232" s="28"/>
      <c r="T1232" s="29">
        <f t="shared" si="788"/>
        <v>5555.555556</v>
      </c>
      <c r="U1232" s="28"/>
      <c r="V1232" s="30">
        <f t="shared" si="425"/>
        <v>50000</v>
      </c>
      <c r="W1232" s="30"/>
      <c r="X1232" s="847"/>
      <c r="Y1232" s="33">
        <f t="shared" si="787"/>
        <v>0</v>
      </c>
      <c r="Z1232" s="692"/>
      <c r="AA1232" s="665"/>
      <c r="AB1232" s="36"/>
      <c r="AC1232" s="36"/>
      <c r="AD1232" s="228" t="str">
        <f>HYPERLINK("https://www.crunchbase.com/organization/atlasx#section-funding-rounds"," Jun 24, 2016")</f>
        <v> Jun 24, 2016</v>
      </c>
      <c r="AE1232" s="38">
        <v>50000.0</v>
      </c>
      <c r="AF1232" s="39"/>
      <c r="AG1232" s="46"/>
      <c r="AH1232" s="36"/>
      <c r="AI1232" s="159"/>
      <c r="AJ1232" s="44"/>
      <c r="AK1232" s="46"/>
      <c r="AL1232" s="44"/>
      <c r="AM1232" s="46"/>
      <c r="AN1232" s="44"/>
      <c r="AO1232" s="46"/>
      <c r="AP1232" s="44"/>
      <c r="AQ1232" s="46"/>
      <c r="AR1232" s="44"/>
      <c r="AS1232" s="44"/>
      <c r="AT1232" s="44"/>
      <c r="AU1232" s="45"/>
      <c r="AV1232" s="44"/>
      <c r="AW1232" s="38"/>
      <c r="AX1232" s="44"/>
      <c r="AY1232" s="38"/>
      <c r="AZ1232" s="44"/>
      <c r="BA1232" s="45"/>
      <c r="BB1232" s="44"/>
      <c r="BC1232" s="45"/>
      <c r="BD1232" s="44"/>
      <c r="BE1232" s="38"/>
      <c r="BF1232" s="36"/>
      <c r="BG1232" s="16"/>
      <c r="BH1232" s="16"/>
      <c r="BI1232" s="16"/>
      <c r="BJ1232" s="16"/>
      <c r="BK1232" s="16"/>
      <c r="BL1232" s="16"/>
      <c r="BM1232" s="16"/>
      <c r="BN1232" s="16"/>
      <c r="BO1232" s="16"/>
      <c r="BP1232" s="16"/>
      <c r="BQ1232" s="16"/>
      <c r="BR1232" s="16"/>
      <c r="BS1232" s="16"/>
      <c r="BT1232" s="16"/>
      <c r="BU1232" s="16"/>
      <c r="BV1232" s="16"/>
      <c r="BW1232" s="16"/>
      <c r="BX1232" s="16"/>
      <c r="BY1232" s="16"/>
      <c r="BZ1232" s="16"/>
      <c r="CA1232" s="16"/>
      <c r="CB1232" s="16"/>
      <c r="CC1232" s="16"/>
      <c r="CD1232" s="16"/>
      <c r="CE1232" s="16"/>
      <c r="CF1232" s="16"/>
      <c r="CG1232" s="16"/>
      <c r="CH1232" s="16"/>
      <c r="CI1232" s="16"/>
      <c r="CJ1232" s="16"/>
      <c r="CK1232" s="16"/>
      <c r="CL1232" s="16"/>
      <c r="CM1232" s="16"/>
      <c r="CN1232" s="16"/>
      <c r="CO1232" s="16"/>
      <c r="CP1232" s="16"/>
    </row>
    <row r="1233" ht="15.75" customHeight="1">
      <c r="A1233" s="442" t="s">
        <v>5894</v>
      </c>
      <c r="B1233" s="68" t="s">
        <v>2541</v>
      </c>
      <c r="C1233" s="69" t="s">
        <v>123</v>
      </c>
      <c r="D1233" s="200" t="s">
        <v>5895</v>
      </c>
      <c r="E1233" s="200" t="s">
        <v>5896</v>
      </c>
      <c r="F1233" s="177" t="s">
        <v>5897</v>
      </c>
      <c r="G1233" s="186"/>
      <c r="H1233" s="186"/>
      <c r="I1233" s="74"/>
      <c r="J1233" s="155"/>
      <c r="K1233" s="74" t="s">
        <v>723</v>
      </c>
      <c r="L1233" s="26" t="s">
        <v>723</v>
      </c>
      <c r="M1233" s="25" t="str">
        <f t="shared" si="784"/>
        <v>#VALUE!</v>
      </c>
      <c r="N1233" s="26">
        <f t="shared" si="785"/>
        <v>1</v>
      </c>
      <c r="O1233" s="27" t="str">
        <f t="shared" si="3"/>
        <v>#N/A</v>
      </c>
      <c r="P1233" s="28"/>
      <c r="Q1233" s="28"/>
      <c r="R1233" s="28"/>
      <c r="S1233" s="28"/>
      <c r="T1233" s="28" t="str">
        <f t="shared" si="788"/>
        <v>#VALUE!</v>
      </c>
      <c r="U1233" s="28"/>
      <c r="V1233" s="30">
        <f t="shared" si="425"/>
        <v>44662.8</v>
      </c>
      <c r="W1233" s="30"/>
      <c r="X1233" s="32"/>
      <c r="Y1233" s="33" t="str">
        <f t="shared" si="787"/>
        <v>#VALUE!</v>
      </c>
      <c r="Z1233" s="692"/>
      <c r="AA1233" s="665"/>
      <c r="AB1233" s="74"/>
      <c r="AC1233" s="74"/>
      <c r="AD1233" s="44"/>
      <c r="AE1233" s="46"/>
      <c r="AF1233" s="158" t="str">
        <f>HYPERLINK("https://www.crunchbase.com/funding_round/findspace-seed--68e4aae1"," 3/30/2015")</f>
        <v> 3/30/2015</v>
      </c>
      <c r="AG1233" s="38">
        <v>44662.8</v>
      </c>
      <c r="AH1233" s="36"/>
      <c r="AI1233" s="159"/>
      <c r="AJ1233" s="44"/>
      <c r="AK1233" s="46"/>
      <c r="AL1233" s="44"/>
      <c r="AM1233" s="46"/>
      <c r="AN1233" s="44"/>
      <c r="AO1233" s="46"/>
      <c r="AP1233" s="44"/>
      <c r="AQ1233" s="46"/>
      <c r="AR1233" s="44"/>
      <c r="AS1233" s="44"/>
      <c r="AT1233" s="44"/>
      <c r="AU1233" s="45"/>
      <c r="AV1233" s="44"/>
      <c r="AW1233" s="38"/>
      <c r="AX1233" s="44"/>
      <c r="AY1233" s="38"/>
      <c r="AZ1233" s="44"/>
      <c r="BA1233" s="45"/>
      <c r="BB1233" s="44"/>
      <c r="BC1233" s="45"/>
      <c r="BD1233" s="44"/>
      <c r="BE1233" s="38"/>
      <c r="BF1233" s="36"/>
      <c r="BG1233" s="16"/>
      <c r="BH1233" s="16"/>
      <c r="BI1233" s="16"/>
      <c r="BJ1233" s="16"/>
      <c r="BK1233" s="16"/>
      <c r="BL1233" s="16"/>
      <c r="BM1233" s="16"/>
      <c r="BN1233" s="16"/>
      <c r="BO1233" s="16"/>
      <c r="BP1233" s="16"/>
      <c r="BQ1233" s="16"/>
      <c r="BR1233" s="16"/>
      <c r="BS1233" s="16"/>
      <c r="BT1233" s="16"/>
      <c r="BU1233" s="16"/>
      <c r="BV1233" s="16"/>
      <c r="BW1233" s="16"/>
      <c r="BX1233" s="16"/>
      <c r="BY1233" s="16"/>
      <c r="BZ1233" s="16"/>
      <c r="CA1233" s="16"/>
      <c r="CB1233" s="16"/>
      <c r="CC1233" s="16"/>
      <c r="CD1233" s="16"/>
      <c r="CE1233" s="16"/>
      <c r="CF1233" s="16"/>
      <c r="CG1233" s="16"/>
      <c r="CH1233" s="16"/>
      <c r="CI1233" s="16"/>
      <c r="CJ1233" s="16"/>
      <c r="CK1233" s="16"/>
      <c r="CL1233" s="16"/>
      <c r="CM1233" s="16"/>
      <c r="CN1233" s="16"/>
      <c r="CO1233" s="16"/>
      <c r="CP1233" s="16"/>
    </row>
    <row r="1234" ht="15.75" customHeight="1">
      <c r="A1234" s="21" t="s">
        <v>5898</v>
      </c>
      <c r="B1234" s="68"/>
      <c r="C1234" s="69" t="s">
        <v>123</v>
      </c>
      <c r="D1234" s="337"/>
      <c r="E1234" s="192" t="s">
        <v>5899</v>
      </c>
      <c r="F1234" s="118" t="s">
        <v>5900</v>
      </c>
      <c r="G1234" s="71"/>
      <c r="H1234" s="71" t="s">
        <v>5901</v>
      </c>
      <c r="I1234" s="26" t="s">
        <v>674</v>
      </c>
      <c r="J1234" s="72"/>
      <c r="K1234" s="74"/>
      <c r="L1234" s="26">
        <v>2015.0</v>
      </c>
      <c r="M1234" s="25">
        <f t="shared" si="784"/>
        <v>10</v>
      </c>
      <c r="N1234" s="26">
        <f t="shared" si="785"/>
        <v>1</v>
      </c>
      <c r="O1234" s="27" t="str">
        <f t="shared" si="3"/>
        <v>#N/A</v>
      </c>
      <c r="P1234" s="28"/>
      <c r="Q1234" s="28"/>
      <c r="R1234" s="28"/>
      <c r="S1234" s="28"/>
      <c r="T1234" s="29">
        <f t="shared" si="788"/>
        <v>4399.4</v>
      </c>
      <c r="U1234" s="28"/>
      <c r="V1234" s="30">
        <f t="shared" si="425"/>
        <v>43994</v>
      </c>
      <c r="W1234" s="30"/>
      <c r="X1234" s="32"/>
      <c r="Y1234" s="33">
        <f t="shared" si="787"/>
        <v>0</v>
      </c>
      <c r="Z1234" s="692"/>
      <c r="AA1234" s="665"/>
      <c r="AB1234" s="74"/>
      <c r="AC1234" s="74"/>
      <c r="AD1234" s="79"/>
      <c r="AE1234" s="84"/>
      <c r="AF1234" s="338"/>
      <c r="AG1234" s="84"/>
      <c r="AH1234" s="74"/>
      <c r="AI1234" s="1175">
        <v>43994.0</v>
      </c>
      <c r="AJ1234" s="1543">
        <v>1600000.0</v>
      </c>
      <c r="AK1234" s="84"/>
      <c r="AL1234" s="79"/>
      <c r="AM1234" s="84"/>
      <c r="AN1234" s="79"/>
      <c r="AO1234" s="84"/>
      <c r="AP1234" s="79"/>
      <c r="AQ1234" s="84"/>
      <c r="AR1234" s="79"/>
      <c r="AS1234" s="79"/>
      <c r="AT1234" s="79"/>
      <c r="AU1234" s="80"/>
      <c r="AV1234" s="79"/>
      <c r="AW1234" s="38"/>
      <c r="AX1234" s="79"/>
      <c r="AY1234" s="38"/>
      <c r="AZ1234" s="79"/>
      <c r="BA1234" s="80"/>
      <c r="BB1234" s="79"/>
      <c r="BC1234" s="80"/>
      <c r="BD1234" s="79"/>
      <c r="BE1234" s="38"/>
      <c r="BF1234" s="74"/>
      <c r="BG1234" s="534"/>
      <c r="BH1234" s="534"/>
      <c r="BI1234" s="534"/>
      <c r="BJ1234" s="534"/>
      <c r="BK1234" s="534"/>
      <c r="BL1234" s="534"/>
      <c r="BM1234" s="534"/>
      <c r="BN1234" s="534"/>
      <c r="BO1234" s="534"/>
      <c r="BP1234" s="534"/>
      <c r="BQ1234" s="534"/>
      <c r="BR1234" s="534"/>
      <c r="BS1234" s="534"/>
      <c r="BT1234" s="534"/>
      <c r="BU1234" s="534"/>
      <c r="BV1234" s="534"/>
      <c r="BW1234" s="534"/>
      <c r="BX1234" s="534"/>
      <c r="BY1234" s="534"/>
      <c r="BZ1234" s="534"/>
      <c r="CA1234" s="534"/>
      <c r="CB1234" s="534"/>
      <c r="CC1234" s="534"/>
      <c r="CD1234" s="534"/>
      <c r="CE1234" s="534"/>
      <c r="CF1234" s="534"/>
      <c r="CG1234" s="534"/>
      <c r="CH1234" s="534"/>
      <c r="CI1234" s="534"/>
      <c r="CJ1234" s="534"/>
      <c r="CK1234" s="534"/>
      <c r="CL1234" s="534"/>
      <c r="CM1234" s="534"/>
      <c r="CN1234" s="534"/>
      <c r="CO1234" s="534"/>
      <c r="CP1234" s="534"/>
    </row>
    <row r="1235" ht="15.75" customHeight="1">
      <c r="A1235" s="21" t="s">
        <v>5902</v>
      </c>
      <c r="B1235" s="68"/>
      <c r="C1235" s="69" t="s">
        <v>1186</v>
      </c>
      <c r="D1235" s="192" t="s">
        <v>5903</v>
      </c>
      <c r="E1235" s="138" t="s">
        <v>5904</v>
      </c>
      <c r="F1235" s="173" t="s">
        <v>5905</v>
      </c>
      <c r="G1235" s="1110" t="s">
        <v>3229</v>
      </c>
      <c r="H1235" s="186"/>
      <c r="I1235" s="74"/>
      <c r="J1235" s="155"/>
      <c r="K1235" s="26">
        <v>2.0</v>
      </c>
      <c r="L1235" s="26">
        <v>2014.0</v>
      </c>
      <c r="M1235" s="25">
        <f t="shared" si="784"/>
        <v>11</v>
      </c>
      <c r="N1235" s="26">
        <f t="shared" si="785"/>
        <v>1</v>
      </c>
      <c r="O1235" s="27" t="str">
        <f t="shared" si="3"/>
        <v>#N/A</v>
      </c>
      <c r="P1235" s="28"/>
      <c r="Q1235" s="28"/>
      <c r="R1235" s="28"/>
      <c r="S1235" s="28"/>
      <c r="T1235" s="29">
        <f t="shared" si="788"/>
        <v>3871.090909</v>
      </c>
      <c r="U1235" s="28"/>
      <c r="V1235" s="30">
        <f t="shared" si="425"/>
        <v>42582</v>
      </c>
      <c r="W1235" s="30"/>
      <c r="X1235" s="73"/>
      <c r="Y1235" s="33" t="str">
        <f t="shared" si="787"/>
        <v>#DIV/0!</v>
      </c>
      <c r="Z1235" s="692"/>
      <c r="AA1235" s="665"/>
      <c r="AB1235" s="74"/>
      <c r="AC1235" s="74"/>
      <c r="AD1235" s="44"/>
      <c r="AE1235" s="46"/>
      <c r="AF1235" s="39"/>
      <c r="AG1235" s="1544" t="str">
        <f>HYPERLINK("https://www.crunchbase.com/funding_round/fitspot-seed--aa229ddc"," Jul 31, 2016        
")</f>
        <v> Jul 31, 2016        
</v>
      </c>
      <c r="AH1235" s="1230">
        <v>3400000.0</v>
      </c>
      <c r="AI1235" s="159"/>
      <c r="AJ1235" s="44"/>
      <c r="AK1235" s="46"/>
      <c r="AL1235" s="44"/>
      <c r="AM1235" s="46"/>
      <c r="AN1235" s="44"/>
      <c r="AO1235" s="46"/>
      <c r="AP1235" s="44"/>
      <c r="AQ1235" s="46"/>
      <c r="AR1235" s="44"/>
      <c r="AS1235" s="44"/>
      <c r="AT1235" s="44"/>
      <c r="AU1235" s="45"/>
      <c r="AV1235" s="44"/>
      <c r="AW1235" s="38"/>
      <c r="AX1235" s="44"/>
      <c r="AY1235" s="38"/>
      <c r="AZ1235" s="44"/>
      <c r="BA1235" s="45"/>
      <c r="BB1235" s="44"/>
      <c r="BC1235" s="45"/>
      <c r="BD1235" s="44"/>
      <c r="BE1235" s="38"/>
      <c r="BF1235" s="36"/>
      <c r="BG1235" s="16"/>
      <c r="BH1235" s="16"/>
      <c r="BI1235" s="16"/>
      <c r="BJ1235" s="16"/>
      <c r="BK1235" s="16"/>
      <c r="BL1235" s="16"/>
      <c r="BM1235" s="16"/>
      <c r="BN1235" s="16"/>
      <c r="BO1235" s="16"/>
      <c r="BP1235" s="16"/>
      <c r="BQ1235" s="16"/>
      <c r="BR1235" s="16"/>
      <c r="BS1235" s="16"/>
      <c r="BT1235" s="16"/>
      <c r="BU1235" s="16"/>
      <c r="BV1235" s="16"/>
      <c r="BW1235" s="16"/>
      <c r="BX1235" s="16"/>
      <c r="BY1235" s="16"/>
      <c r="BZ1235" s="16"/>
      <c r="CA1235" s="16"/>
      <c r="CB1235" s="16"/>
      <c r="CC1235" s="16"/>
      <c r="CD1235" s="16"/>
      <c r="CE1235" s="16"/>
      <c r="CF1235" s="16"/>
      <c r="CG1235" s="16"/>
      <c r="CH1235" s="16"/>
      <c r="CI1235" s="16"/>
      <c r="CJ1235" s="16"/>
      <c r="CK1235" s="16"/>
      <c r="CL1235" s="16"/>
      <c r="CM1235" s="16"/>
      <c r="CN1235" s="16"/>
      <c r="CO1235" s="16"/>
      <c r="CP1235" s="16"/>
    </row>
    <row r="1236" ht="15.75" customHeight="1">
      <c r="A1236" s="892" t="s">
        <v>5906</v>
      </c>
      <c r="B1236" s="68"/>
      <c r="C1236" s="69" t="s">
        <v>123</v>
      </c>
      <c r="D1236" s="192" t="s">
        <v>5907</v>
      </c>
      <c r="E1236" s="192" t="s">
        <v>5908</v>
      </c>
      <c r="F1236" s="118" t="s">
        <v>5909</v>
      </c>
      <c r="G1236" s="186"/>
      <c r="H1236" s="71" t="s">
        <v>271</v>
      </c>
      <c r="I1236" s="26" t="s">
        <v>272</v>
      </c>
      <c r="J1236" s="155"/>
      <c r="K1236" s="74"/>
      <c r="L1236" s="26">
        <v>2014.0</v>
      </c>
      <c r="M1236" s="25">
        <f t="shared" si="784"/>
        <v>11</v>
      </c>
      <c r="N1236" s="26">
        <f t="shared" si="785"/>
        <v>1</v>
      </c>
      <c r="O1236" s="27" t="str">
        <f t="shared" si="3"/>
        <v>#N/A</v>
      </c>
      <c r="P1236" s="28"/>
      <c r="Q1236" s="28"/>
      <c r="R1236" s="28"/>
      <c r="S1236" s="28"/>
      <c r="T1236" s="29">
        <f t="shared" si="788"/>
        <v>3636.363636</v>
      </c>
      <c r="U1236" s="28"/>
      <c r="V1236" s="30">
        <f t="shared" si="425"/>
        <v>40000</v>
      </c>
      <c r="W1236" s="30"/>
      <c r="X1236" s="32"/>
      <c r="Y1236" s="33">
        <f t="shared" si="787"/>
        <v>0</v>
      </c>
      <c r="Z1236" s="692"/>
      <c r="AA1236" s="665"/>
      <c r="AB1236" s="74"/>
      <c r="AC1236" s="74"/>
      <c r="AD1236" s="44"/>
      <c r="AE1236" s="46"/>
      <c r="AF1236" s="225">
        <v>42163.0</v>
      </c>
      <c r="AG1236" s="38">
        <v>40000.0</v>
      </c>
      <c r="AH1236" s="36"/>
      <c r="AI1236" s="159"/>
      <c r="AJ1236" s="44"/>
      <c r="AK1236" s="46"/>
      <c r="AL1236" s="44"/>
      <c r="AM1236" s="46"/>
      <c r="AN1236" s="44"/>
      <c r="AO1236" s="46"/>
      <c r="AP1236" s="44"/>
      <c r="AQ1236" s="46"/>
      <c r="AR1236" s="44"/>
      <c r="AS1236" s="44"/>
      <c r="AT1236" s="44"/>
      <c r="AU1236" s="45"/>
      <c r="AV1236" s="44"/>
      <c r="AW1236" s="38"/>
      <c r="AX1236" s="44"/>
      <c r="AY1236" s="38"/>
      <c r="AZ1236" s="44"/>
      <c r="BA1236" s="45"/>
      <c r="BB1236" s="44"/>
      <c r="BC1236" s="45"/>
      <c r="BD1236" s="44"/>
      <c r="BE1236" s="38"/>
      <c r="BF1236" s="36"/>
      <c r="BG1236" s="16"/>
      <c r="BH1236" s="16"/>
      <c r="BI1236" s="16"/>
      <c r="BJ1236" s="16"/>
      <c r="BK1236" s="16"/>
      <c r="BL1236" s="16"/>
      <c r="BM1236" s="16"/>
      <c r="BN1236" s="16"/>
      <c r="BO1236" s="16"/>
      <c r="BP1236" s="16"/>
      <c r="BQ1236" s="16"/>
      <c r="BR1236" s="16"/>
      <c r="BS1236" s="16"/>
      <c r="BT1236" s="16"/>
      <c r="BU1236" s="16"/>
      <c r="BV1236" s="16"/>
      <c r="BW1236" s="16"/>
      <c r="BX1236" s="16"/>
      <c r="BY1236" s="16"/>
      <c r="BZ1236" s="16"/>
      <c r="CA1236" s="16"/>
      <c r="CB1236" s="16"/>
      <c r="CC1236" s="16"/>
      <c r="CD1236" s="16"/>
      <c r="CE1236" s="16"/>
      <c r="CF1236" s="16"/>
      <c r="CG1236" s="16"/>
      <c r="CH1236" s="16"/>
      <c r="CI1236" s="16"/>
      <c r="CJ1236" s="16"/>
      <c r="CK1236" s="16"/>
      <c r="CL1236" s="16"/>
      <c r="CM1236" s="16"/>
      <c r="CN1236" s="16"/>
      <c r="CO1236" s="16"/>
      <c r="CP1236" s="16"/>
    </row>
    <row r="1237" ht="15.75" customHeight="1">
      <c r="A1237" s="21" t="s">
        <v>5910</v>
      </c>
      <c r="B1237" s="69" t="s">
        <v>1814</v>
      </c>
      <c r="C1237" s="69" t="s">
        <v>132</v>
      </c>
      <c r="D1237" s="200" t="s">
        <v>5911</v>
      </c>
      <c r="E1237" s="200" t="s">
        <v>5912</v>
      </c>
      <c r="F1237" s="154" t="s">
        <v>5913</v>
      </c>
      <c r="G1237" s="1545" t="s">
        <v>2104</v>
      </c>
      <c r="H1237" s="140" t="s">
        <v>187</v>
      </c>
      <c r="I1237" s="26" t="s">
        <v>188</v>
      </c>
      <c r="J1237" s="72" t="s">
        <v>5914</v>
      </c>
      <c r="K1237" s="26">
        <v>2.0</v>
      </c>
      <c r="L1237" s="26">
        <v>2016.0</v>
      </c>
      <c r="M1237" s="25">
        <f t="shared" si="784"/>
        <v>9</v>
      </c>
      <c r="N1237" s="26">
        <f t="shared" si="785"/>
        <v>1</v>
      </c>
      <c r="O1237" s="27" t="str">
        <f t="shared" si="3"/>
        <v>#N/A</v>
      </c>
      <c r="P1237" s="28"/>
      <c r="Q1237" s="28"/>
      <c r="R1237" s="28"/>
      <c r="S1237" s="28"/>
      <c r="T1237" s="29">
        <f t="shared" si="788"/>
        <v>4444.444444</v>
      </c>
      <c r="U1237" s="28"/>
      <c r="V1237" s="30">
        <f t="shared" si="425"/>
        <v>40000</v>
      </c>
      <c r="W1237" s="30"/>
      <c r="X1237" s="73"/>
      <c r="Y1237" s="33">
        <f t="shared" si="787"/>
        <v>0</v>
      </c>
      <c r="Z1237" s="692"/>
      <c r="AA1237" s="665"/>
      <c r="AB1237" s="74"/>
      <c r="AC1237" s="74"/>
      <c r="AD1237" s="426" t="str">
        <f>HYPERLINK("https://www.crunchbase.com/organization/groundbreaker#section-funding-rounds"," Jul 14, 2017")</f>
        <v> Jul 14, 2017</v>
      </c>
      <c r="AE1237" s="76">
        <v>40000.0</v>
      </c>
      <c r="AF1237" s="338"/>
      <c r="AG1237" s="84"/>
      <c r="AH1237" s="74"/>
      <c r="AI1237" s="78"/>
      <c r="AJ1237" s="79"/>
      <c r="AK1237" s="84"/>
      <c r="AL1237" s="79"/>
      <c r="AM1237" s="84"/>
      <c r="AN1237" s="79"/>
      <c r="AO1237" s="84"/>
      <c r="AP1237" s="79"/>
      <c r="AQ1237" s="84"/>
      <c r="AR1237" s="79"/>
      <c r="AS1237" s="79"/>
      <c r="AT1237" s="79"/>
      <c r="AU1237" s="80"/>
      <c r="AV1237" s="79"/>
      <c r="AW1237" s="38"/>
      <c r="AX1237" s="79"/>
      <c r="AY1237" s="38"/>
      <c r="AZ1237" s="79"/>
      <c r="BA1237" s="80"/>
      <c r="BB1237" s="79"/>
      <c r="BC1237" s="80"/>
      <c r="BD1237" s="79"/>
      <c r="BE1237" s="38"/>
      <c r="BF1237" s="74"/>
      <c r="BG1237" s="16"/>
      <c r="BH1237" s="16"/>
      <c r="BI1237" s="16"/>
      <c r="BJ1237" s="16"/>
      <c r="BK1237" s="16"/>
      <c r="BL1237" s="16"/>
      <c r="BM1237" s="16"/>
      <c r="BN1237" s="16"/>
      <c r="BO1237" s="16"/>
      <c r="BP1237" s="16"/>
      <c r="BQ1237" s="16"/>
      <c r="BR1237" s="16"/>
      <c r="BS1237" s="16"/>
      <c r="BT1237" s="16"/>
      <c r="BU1237" s="16"/>
      <c r="BV1237" s="16"/>
      <c r="BW1237" s="16"/>
      <c r="BX1237" s="16"/>
      <c r="BY1237" s="16"/>
      <c r="BZ1237" s="16"/>
      <c r="CA1237" s="16"/>
      <c r="CB1237" s="16"/>
      <c r="CC1237" s="16"/>
      <c r="CD1237" s="16"/>
      <c r="CE1237" s="16"/>
      <c r="CF1237" s="16"/>
      <c r="CG1237" s="16"/>
      <c r="CH1237" s="16"/>
      <c r="CI1237" s="16"/>
      <c r="CJ1237" s="16"/>
      <c r="CK1237" s="16"/>
      <c r="CL1237" s="16"/>
      <c r="CM1237" s="16"/>
      <c r="CN1237" s="16"/>
      <c r="CO1237" s="16"/>
      <c r="CP1237" s="16"/>
    </row>
    <row r="1238" ht="15.75" customHeight="1">
      <c r="A1238" s="860" t="s">
        <v>985</v>
      </c>
      <c r="B1238" s="68"/>
      <c r="C1238" s="69" t="s">
        <v>207</v>
      </c>
      <c r="D1238" s="192" t="s">
        <v>5915</v>
      </c>
      <c r="E1238" s="192" t="s">
        <v>5916</v>
      </c>
      <c r="F1238" s="118" t="s">
        <v>5917</v>
      </c>
      <c r="G1238" s="186"/>
      <c r="H1238" s="71" t="s">
        <v>5918</v>
      </c>
      <c r="I1238" s="26" t="s">
        <v>634</v>
      </c>
      <c r="J1238" s="155"/>
      <c r="K1238" s="74"/>
      <c r="L1238" s="26">
        <v>2015.0</v>
      </c>
      <c r="M1238" s="25">
        <f t="shared" si="784"/>
        <v>10</v>
      </c>
      <c r="N1238" s="26">
        <f t="shared" si="785"/>
        <v>1</v>
      </c>
      <c r="O1238" s="27" t="str">
        <f t="shared" si="3"/>
        <v>#N/A</v>
      </c>
      <c r="P1238" s="28"/>
      <c r="Q1238" s="28"/>
      <c r="R1238" s="28"/>
      <c r="S1238" s="28"/>
      <c r="T1238" s="29">
        <f t="shared" si="788"/>
        <v>3000</v>
      </c>
      <c r="U1238" s="28"/>
      <c r="V1238" s="30">
        <f t="shared" si="425"/>
        <v>30000</v>
      </c>
      <c r="W1238" s="30"/>
      <c r="X1238" s="32"/>
      <c r="Y1238" s="33">
        <f t="shared" si="787"/>
        <v>0</v>
      </c>
      <c r="Z1238" s="692"/>
      <c r="AA1238" s="665"/>
      <c r="AB1238" s="74"/>
      <c r="AC1238" s="74"/>
      <c r="AD1238" s="44"/>
      <c r="AE1238" s="46"/>
      <c r="AF1238" s="869">
        <v>42126.0</v>
      </c>
      <c r="AG1238" s="1546">
        <v>30000.0</v>
      </c>
      <c r="AH1238" s="36"/>
      <c r="AI1238" s="41"/>
      <c r="AJ1238" s="44"/>
      <c r="AK1238" s="46"/>
      <c r="AL1238" s="44"/>
      <c r="AM1238" s="84"/>
      <c r="AN1238" s="79"/>
      <c r="AO1238" s="84"/>
      <c r="AP1238" s="79"/>
      <c r="AQ1238" s="84"/>
      <c r="AR1238" s="79"/>
      <c r="AS1238" s="79"/>
      <c r="AT1238" s="79"/>
      <c r="AU1238" s="80"/>
      <c r="AV1238" s="79"/>
      <c r="AW1238" s="38"/>
      <c r="AX1238" s="79"/>
      <c r="AY1238" s="38"/>
      <c r="AZ1238" s="79"/>
      <c r="BA1238" s="80"/>
      <c r="BB1238" s="79"/>
      <c r="BC1238" s="80"/>
      <c r="BD1238" s="79"/>
      <c r="BE1238" s="38"/>
      <c r="BF1238" s="74"/>
      <c r="BG1238" s="16"/>
      <c r="BH1238" s="16"/>
      <c r="BI1238" s="16"/>
      <c r="BJ1238" s="16"/>
      <c r="BK1238" s="16"/>
      <c r="BL1238" s="16"/>
      <c r="BM1238" s="16"/>
      <c r="BN1238" s="16"/>
      <c r="BO1238" s="16"/>
      <c r="BP1238" s="16"/>
      <c r="BQ1238" s="16"/>
      <c r="BR1238" s="16"/>
      <c r="BS1238" s="16"/>
      <c r="BT1238" s="16"/>
      <c r="BU1238" s="16"/>
      <c r="BV1238" s="16"/>
      <c r="BW1238" s="16"/>
      <c r="BX1238" s="16"/>
      <c r="BY1238" s="16"/>
      <c r="BZ1238" s="16"/>
      <c r="CA1238" s="16"/>
      <c r="CB1238" s="16"/>
      <c r="CC1238" s="16"/>
      <c r="CD1238" s="16"/>
      <c r="CE1238" s="16"/>
      <c r="CF1238" s="16"/>
      <c r="CG1238" s="16"/>
      <c r="CH1238" s="16"/>
      <c r="CI1238" s="16"/>
      <c r="CJ1238" s="16"/>
      <c r="CK1238" s="16"/>
      <c r="CL1238" s="16"/>
      <c r="CM1238" s="16"/>
      <c r="CN1238" s="16"/>
      <c r="CO1238" s="16"/>
      <c r="CP1238" s="16"/>
    </row>
    <row r="1239" ht="15.75" customHeight="1">
      <c r="A1239" s="21" t="s">
        <v>5919</v>
      </c>
      <c r="B1239" s="69" t="s">
        <v>944</v>
      </c>
      <c r="C1239" s="69" t="s">
        <v>84</v>
      </c>
      <c r="D1239" s="200" t="s">
        <v>5920</v>
      </c>
      <c r="E1239" s="138" t="s">
        <v>5921</v>
      </c>
      <c r="F1239" s="154" t="s">
        <v>5922</v>
      </c>
      <c r="G1239" s="186"/>
      <c r="H1239" s="71" t="s">
        <v>5417</v>
      </c>
      <c r="I1239" s="26" t="s">
        <v>329</v>
      </c>
      <c r="J1239" s="155"/>
      <c r="K1239" s="74" t="s">
        <v>723</v>
      </c>
      <c r="L1239" s="26">
        <v>2013.0</v>
      </c>
      <c r="M1239" s="25">
        <f t="shared" si="784"/>
        <v>12</v>
      </c>
      <c r="N1239" s="26">
        <f t="shared" si="785"/>
        <v>1</v>
      </c>
      <c r="O1239" s="27" t="str">
        <f t="shared" si="3"/>
        <v>#N/A</v>
      </c>
      <c r="P1239" s="28"/>
      <c r="Q1239" s="28"/>
      <c r="R1239" s="28"/>
      <c r="S1239" s="28"/>
      <c r="T1239" s="29">
        <f t="shared" si="788"/>
        <v>2216.666667</v>
      </c>
      <c r="U1239" s="28"/>
      <c r="V1239" s="30">
        <f t="shared" si="425"/>
        <v>26600</v>
      </c>
      <c r="W1239" s="30"/>
      <c r="X1239" s="32"/>
      <c r="Y1239" s="33">
        <f t="shared" si="787"/>
        <v>0</v>
      </c>
      <c r="Z1239" s="692"/>
      <c r="AA1239" s="665"/>
      <c r="AB1239" s="74"/>
      <c r="AC1239" s="74"/>
      <c r="AD1239" s="44"/>
      <c r="AE1239" s="46"/>
      <c r="AF1239" s="158" t="str">
        <f>HYPERLINK("https://www.crunchbase.com/search/funding_rounds/field/organizations/num_funding_rounds/dadshed","Dec 21, 2015")</f>
        <v>Dec 21, 2015</v>
      </c>
      <c r="AG1239" s="38">
        <v>26600.0</v>
      </c>
      <c r="AH1239" s="36"/>
      <c r="AI1239" s="159"/>
      <c r="AJ1239" s="37"/>
      <c r="AK1239" s="38"/>
      <c r="AL1239" s="37"/>
      <c r="AM1239" s="38"/>
      <c r="AN1239" s="44"/>
      <c r="AO1239" s="46"/>
      <c r="AP1239" s="44"/>
      <c r="AQ1239" s="46"/>
      <c r="AR1239" s="44"/>
      <c r="AS1239" s="44"/>
      <c r="AT1239" s="44"/>
      <c r="AU1239" s="45"/>
      <c r="AV1239" s="44"/>
      <c r="AW1239" s="38"/>
      <c r="AX1239" s="44"/>
      <c r="AY1239" s="38"/>
      <c r="AZ1239" s="44"/>
      <c r="BA1239" s="45"/>
      <c r="BB1239" s="44"/>
      <c r="BC1239" s="45"/>
      <c r="BD1239" s="44"/>
      <c r="BE1239" s="38"/>
      <c r="BF1239" s="36"/>
      <c r="BG1239" s="16"/>
      <c r="BH1239" s="16"/>
      <c r="BI1239" s="16"/>
      <c r="BJ1239" s="16"/>
      <c r="BK1239" s="16"/>
      <c r="BL1239" s="16"/>
      <c r="BM1239" s="16"/>
      <c r="BN1239" s="16"/>
      <c r="BO1239" s="16"/>
      <c r="BP1239" s="16"/>
      <c r="BQ1239" s="16"/>
      <c r="BR1239" s="16"/>
      <c r="BS1239" s="16"/>
      <c r="BT1239" s="16"/>
      <c r="BU1239" s="16"/>
      <c r="BV1239" s="16"/>
      <c r="BW1239" s="16"/>
      <c r="BX1239" s="16"/>
      <c r="BY1239" s="16"/>
      <c r="BZ1239" s="16"/>
      <c r="CA1239" s="16"/>
      <c r="CB1239" s="16"/>
      <c r="CC1239" s="16"/>
      <c r="CD1239" s="16"/>
      <c r="CE1239" s="16"/>
      <c r="CF1239" s="16"/>
      <c r="CG1239" s="16"/>
      <c r="CH1239" s="16"/>
      <c r="CI1239" s="16"/>
      <c r="CJ1239" s="16"/>
      <c r="CK1239" s="16"/>
      <c r="CL1239" s="16"/>
      <c r="CM1239" s="16"/>
      <c r="CN1239" s="16"/>
      <c r="CO1239" s="16"/>
      <c r="CP1239" s="16"/>
    </row>
    <row r="1240" ht="15.75" customHeight="1">
      <c r="A1240" s="21" t="s">
        <v>5923</v>
      </c>
      <c r="B1240" s="68"/>
      <c r="C1240" s="69" t="s">
        <v>5200</v>
      </c>
      <c r="D1240" s="192" t="s">
        <v>5924</v>
      </c>
      <c r="E1240" s="192" t="s">
        <v>5925</v>
      </c>
      <c r="F1240" s="173" t="s">
        <v>5926</v>
      </c>
      <c r="G1240" s="71"/>
      <c r="H1240" s="71" t="s">
        <v>114</v>
      </c>
      <c r="I1240" s="26" t="s">
        <v>115</v>
      </c>
      <c r="J1240" s="72"/>
      <c r="K1240" s="26"/>
      <c r="L1240" s="26">
        <v>2014.0</v>
      </c>
      <c r="M1240" s="25">
        <f t="shared" si="784"/>
        <v>11</v>
      </c>
      <c r="N1240" s="26">
        <f t="shared" si="785"/>
        <v>1</v>
      </c>
      <c r="O1240" s="27" t="str">
        <f t="shared" si="3"/>
        <v>#N/A</v>
      </c>
      <c r="P1240" s="28"/>
      <c r="Q1240" s="28"/>
      <c r="R1240" s="28"/>
      <c r="S1240" s="28"/>
      <c r="T1240" s="29">
        <f t="shared" si="788"/>
        <v>1090.909091</v>
      </c>
      <c r="U1240" s="28"/>
      <c r="V1240" s="30">
        <f t="shared" si="425"/>
        <v>12000</v>
      </c>
      <c r="W1240" s="30"/>
      <c r="X1240" s="73"/>
      <c r="Y1240" s="33">
        <f t="shared" si="787"/>
        <v>0</v>
      </c>
      <c r="Z1240" s="692"/>
      <c r="AA1240" s="665"/>
      <c r="AB1240" s="74"/>
      <c r="AC1240" s="74"/>
      <c r="AD1240" s="79"/>
      <c r="AE1240" s="84"/>
      <c r="AF1240" s="320">
        <v>42037.0</v>
      </c>
      <c r="AG1240" s="76">
        <v>12000.0</v>
      </c>
      <c r="AH1240" s="74"/>
      <c r="AI1240" s="78"/>
      <c r="AJ1240" s="79"/>
      <c r="AK1240" s="84"/>
      <c r="AL1240" s="79"/>
      <c r="AM1240" s="84"/>
      <c r="AN1240" s="79"/>
      <c r="AO1240" s="84"/>
      <c r="AP1240" s="79"/>
      <c r="AQ1240" s="84"/>
      <c r="AR1240" s="79"/>
      <c r="AS1240" s="79"/>
      <c r="AT1240" s="79"/>
      <c r="AU1240" s="80"/>
      <c r="AV1240" s="79"/>
      <c r="AW1240" s="38"/>
      <c r="AX1240" s="79"/>
      <c r="AY1240" s="38"/>
      <c r="AZ1240" s="79"/>
      <c r="BA1240" s="80"/>
      <c r="BB1240" s="79"/>
      <c r="BC1240" s="80"/>
      <c r="BD1240" s="79"/>
      <c r="BE1240" s="38"/>
      <c r="BF1240" s="74"/>
      <c r="BG1240" s="16"/>
      <c r="BH1240" s="16"/>
      <c r="BI1240" s="16"/>
      <c r="BJ1240" s="16"/>
      <c r="BK1240" s="16"/>
      <c r="BL1240" s="16"/>
      <c r="BM1240" s="16"/>
      <c r="BN1240" s="16"/>
      <c r="BO1240" s="16"/>
      <c r="BP1240" s="16"/>
      <c r="BQ1240" s="16"/>
      <c r="BR1240" s="16"/>
      <c r="BS1240" s="16"/>
      <c r="BT1240" s="16"/>
      <c r="BU1240" s="16"/>
      <c r="BV1240" s="16"/>
      <c r="BW1240" s="16"/>
      <c r="BX1240" s="16"/>
      <c r="BY1240" s="16"/>
      <c r="BZ1240" s="16"/>
      <c r="CA1240" s="16"/>
      <c r="CB1240" s="16"/>
      <c r="CC1240" s="16"/>
      <c r="CD1240" s="16"/>
      <c r="CE1240" s="16"/>
      <c r="CF1240" s="16"/>
      <c r="CG1240" s="16"/>
      <c r="CH1240" s="16"/>
      <c r="CI1240" s="16"/>
      <c r="CJ1240" s="16"/>
      <c r="CK1240" s="16"/>
      <c r="CL1240" s="16"/>
      <c r="CM1240" s="16"/>
      <c r="CN1240" s="16"/>
      <c r="CO1240" s="16"/>
      <c r="CP1240" s="16"/>
    </row>
    <row r="1241" ht="15.75" customHeight="1">
      <c r="A1241" s="462" t="s">
        <v>5927</v>
      </c>
      <c r="B1241" s="16"/>
      <c r="C1241" s="17" t="s">
        <v>123</v>
      </c>
      <c r="D1241" s="337"/>
      <c r="E1241" s="236" t="s">
        <v>5928</v>
      </c>
      <c r="F1241" s="1173" t="s">
        <v>5929</v>
      </c>
      <c r="G1241" s="317"/>
      <c r="H1241" s="317" t="s">
        <v>357</v>
      </c>
      <c r="I1241" s="36" t="s">
        <v>358</v>
      </c>
      <c r="J1241" s="237"/>
      <c r="K1241" s="36"/>
      <c r="L1241" s="23">
        <v>2016.0</v>
      </c>
      <c r="M1241" s="25">
        <f t="shared" si="784"/>
        <v>9</v>
      </c>
      <c r="N1241" s="26">
        <f t="shared" si="785"/>
        <v>1</v>
      </c>
      <c r="O1241" s="27" t="str">
        <f t="shared" si="3"/>
        <v>#N/A</v>
      </c>
      <c r="P1241" s="28" t="str">
        <f>RANK(T1241,$T$8:$T$333)</f>
        <v>#N/A</v>
      </c>
      <c r="Q1241" s="28" t="str">
        <f>rank(V1241,$V$8:$V$344)</f>
        <v>#N/A</v>
      </c>
      <c r="R1241" s="28"/>
      <c r="S1241" s="28">
        <f>rank(Y1241,$Y$8:$Y$80)</f>
        <v>51</v>
      </c>
      <c r="T1241" s="29">
        <f t="shared" si="788"/>
        <v>0.1111111111</v>
      </c>
      <c r="U1241" s="28"/>
      <c r="V1241" s="30">
        <f t="shared" si="425"/>
        <v>1</v>
      </c>
      <c r="W1241" s="30"/>
      <c r="X1241" s="32">
        <f>(max(AE1241,AG1241,AI1241,AK1241,AM1241,AO1241,AQ1241,AS1241,AU1241,AW1241,AY1241,BA1241,BC1241)/min(AE1241,AG1241,AI1241,AK1241,AM1241,AO1241,AQ1241,AS1241,AU1241,AW1241,AY1241,BA1241,BC1241))^(1/N1241)-1</f>
        <v>0</v>
      </c>
      <c r="Y1241" s="33">
        <f>(max(AE1241,AG1241,AI1241,AK1241,AM1241,AO1241,AQ1241,AS1241,AU1241,AW1241,AY1241,BA1241,BC1241)/min(AE1241,AG1241,AI1241,AK1241,AM1241,AO1241,AQ1241,AS1241,AU1241,AW1241,AY1241,BA1241,BC1241))^(1/M1241)-1</f>
        <v>0</v>
      </c>
      <c r="Z1241" s="692"/>
      <c r="AA1241" s="665"/>
      <c r="AB1241" s="36"/>
      <c r="AC1241" s="36"/>
      <c r="AD1241" s="898"/>
      <c r="AE1241" s="1174">
        <v>1.0</v>
      </c>
      <c r="AF1241" s="39"/>
      <c r="AG1241" s="46"/>
      <c r="AH1241" s="36"/>
      <c r="AI1241" s="159"/>
      <c r="AJ1241" s="227"/>
      <c r="AK1241" s="1547"/>
      <c r="AL1241" s="44"/>
      <c r="AM1241" s="46"/>
      <c r="AN1241" s="44"/>
      <c r="AO1241" s="46"/>
      <c r="AP1241" s="44"/>
      <c r="AQ1241" s="46"/>
      <c r="AR1241" s="44"/>
      <c r="AS1241" s="44"/>
      <c r="AT1241" s="44"/>
      <c r="AU1241" s="45"/>
      <c r="AV1241" s="44"/>
      <c r="AW1241" s="38"/>
      <c r="AX1241" s="44"/>
      <c r="AY1241" s="38"/>
      <c r="AZ1241" s="44"/>
      <c r="BA1241" s="45"/>
      <c r="BB1241" s="44"/>
      <c r="BC1241" s="45"/>
      <c r="BD1241" s="44"/>
      <c r="BE1241" s="38"/>
      <c r="BF1241" s="36"/>
      <c r="BG1241" s="16"/>
      <c r="BH1241" s="16"/>
      <c r="BI1241" s="16"/>
      <c r="BJ1241" s="16"/>
      <c r="BK1241" s="16"/>
      <c r="BL1241" s="16"/>
      <c r="BM1241" s="16"/>
      <c r="BN1241" s="16"/>
      <c r="BO1241" s="16"/>
      <c r="BP1241" s="16"/>
      <c r="BQ1241" s="16"/>
      <c r="BR1241" s="16"/>
      <c r="BS1241" s="16"/>
      <c r="BT1241" s="16"/>
      <c r="BU1241" s="16"/>
      <c r="BV1241" s="16"/>
      <c r="BW1241" s="16"/>
      <c r="BX1241" s="16"/>
      <c r="BY1241" s="16"/>
      <c r="BZ1241" s="16"/>
      <c r="CA1241" s="16"/>
      <c r="CB1241" s="16"/>
      <c r="CC1241" s="16"/>
      <c r="CD1241" s="16"/>
      <c r="CE1241" s="16"/>
      <c r="CF1241" s="16"/>
      <c r="CG1241" s="16"/>
      <c r="CH1241" s="16"/>
      <c r="CI1241" s="16"/>
      <c r="CJ1241" s="16"/>
      <c r="CK1241" s="16"/>
      <c r="CL1241" s="16"/>
      <c r="CM1241" s="16"/>
      <c r="CN1241" s="16"/>
      <c r="CO1241" s="16"/>
      <c r="CP1241" s="16"/>
    </row>
    <row r="1242" ht="15.75" customHeight="1">
      <c r="A1242" s="47" t="s">
        <v>5930</v>
      </c>
      <c r="B1242" s="16"/>
      <c r="C1242" s="17" t="s">
        <v>59</v>
      </c>
      <c r="D1242" s="231" t="s">
        <v>5931</v>
      </c>
      <c r="E1242" s="270" t="s">
        <v>5932</v>
      </c>
      <c r="F1242" s="803" t="s">
        <v>5933</v>
      </c>
      <c r="G1242" s="317"/>
      <c r="H1242" s="22" t="s">
        <v>3019</v>
      </c>
      <c r="I1242" s="22" t="s">
        <v>1384</v>
      </c>
      <c r="J1242" s="237"/>
      <c r="K1242" s="23">
        <v>3.0</v>
      </c>
      <c r="L1242" s="23">
        <v>2014.0</v>
      </c>
      <c r="M1242" s="222"/>
      <c r="N1242" s="23"/>
      <c r="O1242" s="27" t="str">
        <f t="shared" si="3"/>
        <v>#N/A</v>
      </c>
      <c r="P1242" s="464"/>
      <c r="Q1242" s="464"/>
      <c r="R1242" s="464"/>
      <c r="S1242" s="464"/>
      <c r="T1242" s="464"/>
      <c r="U1242" s="464"/>
      <c r="V1242" s="30">
        <f t="shared" si="425"/>
        <v>0</v>
      </c>
      <c r="W1242" s="31"/>
      <c r="X1242" s="33"/>
      <c r="Y1242" s="33"/>
      <c r="Z1242" s="59"/>
      <c r="AA1242" s="157"/>
      <c r="AB1242" s="36"/>
      <c r="AC1242" s="36"/>
      <c r="AD1242" s="43" t="str">
        <f>HYPERLINK("https://www.crunchbase.com/funding_round/apis-cor-pre-seed--8be07632", "Sep 1, 2020")</f>
        <v>Sep 1, 2020</v>
      </c>
      <c r="AE1242" s="38">
        <v>0.0</v>
      </c>
      <c r="AF1242" s="804" t="str">
        <f>HYPERLINK("https://www.crunchbase.com/funding_round/apis-cor-seed--f148aa6a", "Feb 13, 2021")</f>
        <v>Feb 13, 2021</v>
      </c>
      <c r="AG1242" s="38">
        <v>0.0</v>
      </c>
      <c r="AH1242" s="36"/>
      <c r="AI1242" s="46"/>
      <c r="AJ1242" s="804"/>
      <c r="AK1242" s="38"/>
      <c r="AL1242" s="804"/>
      <c r="AM1242" s="38"/>
      <c r="AN1242" s="37"/>
      <c r="AO1242" s="38"/>
      <c r="AP1242" s="37"/>
      <c r="AQ1242" s="46"/>
      <c r="AR1242" s="44"/>
      <c r="AS1242" s="44"/>
      <c r="AT1242" s="44"/>
      <c r="AU1242" s="45"/>
      <c r="AV1242" s="44"/>
      <c r="AW1242" s="38"/>
      <c r="AX1242" s="44"/>
      <c r="AY1242" s="38"/>
      <c r="AZ1242" s="44"/>
      <c r="BA1242" s="45"/>
      <c r="BB1242" s="44"/>
      <c r="BC1242" s="45"/>
      <c r="BD1242" s="44"/>
      <c r="BE1242" s="38"/>
      <c r="BF1242" s="36"/>
      <c r="BG1242" s="16"/>
      <c r="BH1242" s="16"/>
      <c r="BI1242" s="16"/>
      <c r="BJ1242" s="16"/>
      <c r="BK1242" s="16"/>
      <c r="BL1242" s="16"/>
      <c r="BM1242" s="16"/>
      <c r="BN1242" s="16"/>
      <c r="BO1242" s="16"/>
      <c r="BP1242" s="16"/>
      <c r="BQ1242" s="16"/>
      <c r="BR1242" s="16"/>
      <c r="BS1242" s="16"/>
      <c r="BT1242" s="16"/>
      <c r="BU1242" s="16"/>
      <c r="BV1242" s="16"/>
      <c r="BW1242" s="16"/>
      <c r="BX1242" s="16"/>
      <c r="BY1242" s="16"/>
      <c r="BZ1242" s="16"/>
      <c r="CA1242" s="16"/>
      <c r="CB1242" s="16"/>
      <c r="CC1242" s="16"/>
      <c r="CD1242" s="16"/>
      <c r="CE1242" s="16"/>
      <c r="CF1242" s="16"/>
      <c r="CG1242" s="16"/>
      <c r="CH1242" s="16"/>
      <c r="CI1242" s="16"/>
      <c r="CJ1242" s="16"/>
      <c r="CK1242" s="16"/>
      <c r="CL1242" s="16"/>
      <c r="CM1242" s="16"/>
      <c r="CN1242" s="16"/>
      <c r="CO1242" s="16"/>
      <c r="CP1242" s="16"/>
    </row>
    <row r="1243" ht="15.75" customHeight="1">
      <c r="A1243" s="245" t="s">
        <v>5934</v>
      </c>
      <c r="B1243" s="17"/>
      <c r="C1243" s="17" t="s">
        <v>76</v>
      </c>
      <c r="D1243" s="245"/>
      <c r="E1243" s="192" t="s">
        <v>5935</v>
      </c>
      <c r="F1243" s="118" t="s">
        <v>5936</v>
      </c>
      <c r="G1243" s="21"/>
      <c r="H1243" s="22" t="s">
        <v>163</v>
      </c>
      <c r="I1243" s="23" t="s">
        <v>164</v>
      </c>
      <c r="J1243" s="527"/>
      <c r="K1243" s="23">
        <v>1.0</v>
      </c>
      <c r="L1243" s="23">
        <v>2013.0</v>
      </c>
      <c r="M1243" s="222"/>
      <c r="N1243" s="23"/>
      <c r="O1243" s="27" t="str">
        <f t="shared" si="3"/>
        <v>#N/A</v>
      </c>
      <c r="P1243" s="28"/>
      <c r="Q1243" s="28"/>
      <c r="R1243" s="28"/>
      <c r="S1243" s="28"/>
      <c r="T1243" s="28"/>
      <c r="U1243" s="28"/>
      <c r="V1243" s="30">
        <f t="shared" si="425"/>
        <v>0</v>
      </c>
      <c r="W1243" s="30"/>
      <c r="X1243" s="33"/>
      <c r="Y1243" s="33"/>
      <c r="Z1243" s="692"/>
      <c r="AA1243" s="665"/>
      <c r="AB1243" s="36"/>
      <c r="AC1243" s="36"/>
      <c r="AD1243" s="227"/>
      <c r="AE1243" s="38"/>
      <c r="AF1243" s="225" t="str">
        <f>HYPERLINK("https://www.crunchbase.com/funding_round/cove-2-seed--8baff6ac","Apr 20, 2021")</f>
        <v>Apr 20, 2021</v>
      </c>
      <c r="AG1243" s="38">
        <v>0.0</v>
      </c>
      <c r="AH1243" s="36"/>
      <c r="AI1243" s="159"/>
      <c r="AJ1243" s="42"/>
      <c r="AK1243" s="38"/>
      <c r="AL1243" s="44"/>
      <c r="AM1243" s="38"/>
      <c r="AN1243" s="44"/>
      <c r="AO1243" s="46"/>
      <c r="AP1243" s="44"/>
      <c r="AQ1243" s="46"/>
      <c r="AR1243" s="44"/>
      <c r="AS1243" s="44"/>
      <c r="AT1243" s="44"/>
      <c r="AU1243" s="45"/>
      <c r="AV1243" s="44"/>
      <c r="AW1243" s="38"/>
      <c r="AX1243" s="44"/>
      <c r="AY1243" s="38"/>
      <c r="AZ1243" s="44"/>
      <c r="BA1243" s="45"/>
      <c r="BB1243" s="44"/>
      <c r="BC1243" s="45"/>
      <c r="BD1243" s="44"/>
      <c r="BE1243" s="38"/>
      <c r="BF1243" s="36"/>
      <c r="BG1243" s="16"/>
      <c r="BH1243" s="16"/>
      <c r="BI1243" s="16"/>
      <c r="BJ1243" s="16"/>
      <c r="BK1243" s="16"/>
      <c r="BL1243" s="16"/>
      <c r="BM1243" s="16"/>
      <c r="BN1243" s="16"/>
      <c r="BO1243" s="16"/>
      <c r="BP1243" s="16"/>
      <c r="BQ1243" s="16"/>
      <c r="BR1243" s="16"/>
      <c r="BS1243" s="16"/>
      <c r="BT1243" s="16"/>
      <c r="BU1243" s="16"/>
      <c r="BV1243" s="16"/>
      <c r="BW1243" s="16"/>
      <c r="BX1243" s="16"/>
      <c r="BY1243" s="16"/>
      <c r="BZ1243" s="16"/>
      <c r="CA1243" s="16"/>
      <c r="CB1243" s="16"/>
      <c r="CC1243" s="16"/>
      <c r="CD1243" s="16"/>
      <c r="CE1243" s="16"/>
      <c r="CF1243" s="16"/>
      <c r="CG1243" s="16"/>
      <c r="CH1243" s="16"/>
      <c r="CI1243" s="16"/>
      <c r="CJ1243" s="16"/>
      <c r="CK1243" s="16"/>
      <c r="CL1243" s="16"/>
      <c r="CM1243" s="16"/>
      <c r="CN1243" s="16"/>
      <c r="CO1243" s="16"/>
      <c r="CP1243" s="16"/>
    </row>
    <row r="1244" ht="15.75" customHeight="1">
      <c r="A1244" s="400" t="s">
        <v>5937</v>
      </c>
      <c r="B1244" s="115"/>
      <c r="C1244" s="116" t="s">
        <v>59</v>
      </c>
      <c r="D1244" s="731"/>
      <c r="E1244" s="161" t="s">
        <v>5938</v>
      </c>
      <c r="F1244" s="402" t="s">
        <v>5939</v>
      </c>
      <c r="G1244" s="930"/>
      <c r="H1244" s="119" t="s">
        <v>673</v>
      </c>
      <c r="I1244" s="25" t="s">
        <v>674</v>
      </c>
      <c r="J1244" s="1326"/>
      <c r="K1244" s="26">
        <v>2.0</v>
      </c>
      <c r="L1244" s="25">
        <v>2007.0</v>
      </c>
      <c r="M1244" s="25"/>
      <c r="N1244" s="26"/>
      <c r="O1244" s="27" t="str">
        <f t="shared" si="3"/>
        <v>#N/A</v>
      </c>
      <c r="P1244" s="55"/>
      <c r="Q1244" s="55"/>
      <c r="R1244" s="55"/>
      <c r="S1244" s="55"/>
      <c r="T1244" s="55"/>
      <c r="U1244" s="55"/>
      <c r="V1244" s="30">
        <f t="shared" si="425"/>
        <v>0</v>
      </c>
      <c r="W1244" s="30"/>
      <c r="X1244" s="73"/>
      <c r="Y1244" s="73"/>
      <c r="Z1244" s="692"/>
      <c r="AA1244" s="665"/>
      <c r="AB1244" s="123"/>
      <c r="AC1244" s="123"/>
      <c r="AD1244" s="322"/>
      <c r="AE1244" s="323"/>
      <c r="AF1244" s="324" t="str">
        <f>HYPERLINK("https://www.crunchbase.com/funding_round/ecovadis-seed--7dbc3a3a","Jan 1, 2009")</f>
        <v>Jan 1, 2009</v>
      </c>
      <c r="AG1244" s="325">
        <v>0.0</v>
      </c>
      <c r="AH1244" s="326"/>
      <c r="AI1244" s="327"/>
      <c r="AJ1244" s="322"/>
      <c r="AK1244" s="1260"/>
      <c r="AL1244" s="322"/>
      <c r="AM1244" s="323"/>
      <c r="AN1244" s="322"/>
      <c r="AO1244" s="323"/>
      <c r="AP1244" s="322"/>
      <c r="AQ1244" s="323"/>
      <c r="AR1244" s="322"/>
      <c r="AS1244" s="322"/>
      <c r="AT1244" s="322"/>
      <c r="AU1244" s="335"/>
      <c r="AV1244" s="322"/>
      <c r="AW1244" s="38"/>
      <c r="AX1244" s="322"/>
      <c r="AY1244" s="38"/>
      <c r="AZ1244" s="322"/>
      <c r="BA1244" s="335"/>
      <c r="BB1244" s="322"/>
      <c r="BC1244" s="335"/>
      <c r="BD1244" s="322"/>
      <c r="BE1244" s="38"/>
      <c r="BF1244" s="326"/>
      <c r="BG1244" s="16"/>
      <c r="BH1244" s="16"/>
      <c r="BI1244" s="16"/>
      <c r="BJ1244" s="16"/>
      <c r="BK1244" s="16"/>
      <c r="BL1244" s="16"/>
      <c r="BM1244" s="16"/>
      <c r="BN1244" s="16"/>
      <c r="BO1244" s="16"/>
      <c r="BP1244" s="16"/>
      <c r="BQ1244" s="16"/>
      <c r="BR1244" s="16"/>
      <c r="BS1244" s="16"/>
      <c r="BT1244" s="16"/>
      <c r="BU1244" s="16"/>
      <c r="BV1244" s="16"/>
      <c r="BW1244" s="16"/>
      <c r="BX1244" s="16"/>
      <c r="BY1244" s="16"/>
      <c r="BZ1244" s="16"/>
      <c r="CA1244" s="16"/>
      <c r="CB1244" s="16"/>
      <c r="CC1244" s="16"/>
      <c r="CD1244" s="16"/>
      <c r="CE1244" s="16"/>
      <c r="CF1244" s="16"/>
      <c r="CG1244" s="16"/>
      <c r="CH1244" s="16"/>
      <c r="CI1244" s="16"/>
      <c r="CJ1244" s="16"/>
      <c r="CK1244" s="16"/>
      <c r="CL1244" s="16"/>
      <c r="CM1244" s="16"/>
      <c r="CN1244" s="16"/>
      <c r="CO1244" s="16"/>
      <c r="CP1244" s="16"/>
    </row>
    <row r="1245" ht="15.75" customHeight="1">
      <c r="A1245" s="400" t="s">
        <v>5940</v>
      </c>
      <c r="B1245" s="69"/>
      <c r="C1245" s="69" t="s">
        <v>123</v>
      </c>
      <c r="D1245" s="231" t="s">
        <v>5941</v>
      </c>
      <c r="E1245" s="231" t="s">
        <v>5942</v>
      </c>
      <c r="F1245" s="177" t="s">
        <v>5943</v>
      </c>
      <c r="G1245" s="71" t="s">
        <v>5944</v>
      </c>
      <c r="H1245" s="71" t="s">
        <v>328</v>
      </c>
      <c r="I1245" s="26" t="s">
        <v>329</v>
      </c>
      <c r="J1245" s="72" t="s">
        <v>5945</v>
      </c>
      <c r="K1245" s="26">
        <v>3.0</v>
      </c>
      <c r="L1245" s="142">
        <v>2020.0</v>
      </c>
      <c r="M1245" s="25"/>
      <c r="N1245" s="26"/>
      <c r="O1245" s="27" t="str">
        <f t="shared" si="3"/>
        <v>#N/A</v>
      </c>
      <c r="P1245" s="28"/>
      <c r="Q1245" s="28"/>
      <c r="R1245" s="28"/>
      <c r="S1245" s="28"/>
      <c r="T1245" s="28"/>
      <c r="U1245" s="28"/>
      <c r="V1245" s="30">
        <f t="shared" si="425"/>
        <v>0</v>
      </c>
      <c r="W1245" s="30"/>
      <c r="X1245" s="73"/>
      <c r="Y1245" s="73"/>
      <c r="Z1245" s="692"/>
      <c r="AA1245" s="665"/>
      <c r="AB1245" s="74"/>
      <c r="AC1245" s="74"/>
      <c r="AD1245" s="391">
        <v>44116.0</v>
      </c>
      <c r="AE1245" s="76">
        <v>0.0</v>
      </c>
      <c r="AF1245" s="338"/>
      <c r="AG1245" s="76"/>
      <c r="AH1245" s="77"/>
      <c r="AI1245" s="78"/>
      <c r="AJ1245" s="1548"/>
      <c r="AK1245" s="971"/>
      <c r="AL1245" s="79"/>
      <c r="AM1245" s="76"/>
      <c r="AN1245" s="79"/>
      <c r="AO1245" s="76"/>
      <c r="AP1245" s="79"/>
      <c r="AQ1245" s="76"/>
      <c r="AR1245" s="79"/>
      <c r="AS1245" s="79"/>
      <c r="AT1245" s="79"/>
      <c r="AU1245" s="80"/>
      <c r="AV1245" s="79"/>
      <c r="AW1245" s="38"/>
      <c r="AX1245" s="79"/>
      <c r="AY1245" s="38"/>
      <c r="AZ1245" s="79"/>
      <c r="BA1245" s="80"/>
      <c r="BB1245" s="79"/>
      <c r="BC1245" s="80"/>
      <c r="BD1245" s="79"/>
      <c r="BE1245" s="38"/>
      <c r="BF1245" s="74"/>
      <c r="BG1245" s="16"/>
      <c r="BH1245" s="16"/>
      <c r="BI1245" s="16"/>
      <c r="BJ1245" s="16"/>
      <c r="BK1245" s="16"/>
      <c r="BL1245" s="16"/>
      <c r="BM1245" s="16"/>
      <c r="BN1245" s="16"/>
      <c r="BO1245" s="16"/>
      <c r="BP1245" s="16"/>
      <c r="BQ1245" s="16"/>
      <c r="BR1245" s="16"/>
      <c r="BS1245" s="16"/>
      <c r="BT1245" s="16"/>
      <c r="BU1245" s="16"/>
      <c r="BV1245" s="16"/>
      <c r="BW1245" s="16"/>
      <c r="BX1245" s="16"/>
      <c r="BY1245" s="16"/>
      <c r="BZ1245" s="16"/>
      <c r="CA1245" s="16"/>
      <c r="CB1245" s="16"/>
      <c r="CC1245" s="16"/>
      <c r="CD1245" s="16"/>
      <c r="CE1245" s="16"/>
      <c r="CF1245" s="16"/>
      <c r="CG1245" s="16"/>
      <c r="CH1245" s="16"/>
      <c r="CI1245" s="16"/>
      <c r="CJ1245" s="16"/>
      <c r="CK1245" s="16"/>
      <c r="CL1245" s="16"/>
      <c r="CM1245" s="16"/>
      <c r="CN1245" s="16"/>
      <c r="CO1245" s="16"/>
      <c r="CP1245" s="16"/>
    </row>
    <row r="1246" ht="15.75" customHeight="1">
      <c r="A1246" s="747" t="s">
        <v>5946</v>
      </c>
      <c r="B1246" s="68"/>
      <c r="C1246" s="69" t="s">
        <v>76</v>
      </c>
      <c r="D1246" s="48"/>
      <c r="E1246" s="192" t="s">
        <v>5947</v>
      </c>
      <c r="F1246" s="118" t="s">
        <v>5948</v>
      </c>
      <c r="G1246" s="71"/>
      <c r="H1246" s="71" t="s">
        <v>187</v>
      </c>
      <c r="I1246" s="26" t="s">
        <v>188</v>
      </c>
      <c r="J1246" s="72"/>
      <c r="K1246" s="26">
        <v>2.0</v>
      </c>
      <c r="L1246" s="26">
        <v>2019.0</v>
      </c>
      <c r="M1246" s="25"/>
      <c r="N1246" s="26"/>
      <c r="O1246" s="27" t="str">
        <f t="shared" si="3"/>
        <v>#N/A</v>
      </c>
      <c r="P1246" s="273"/>
      <c r="Q1246" s="273"/>
      <c r="R1246" s="273"/>
      <c r="S1246" s="273"/>
      <c r="T1246" s="273"/>
      <c r="U1246" s="273"/>
      <c r="V1246" s="30">
        <f t="shared" si="425"/>
        <v>0</v>
      </c>
      <c r="W1246" s="30"/>
      <c r="X1246" s="73"/>
      <c r="Y1246" s="73"/>
      <c r="Z1246" s="692"/>
      <c r="AA1246" s="665"/>
      <c r="AB1246" s="74"/>
      <c r="AC1246" s="74"/>
      <c r="AD1246" s="181" t="str">
        <f>HYPERLINK("https://www.crunchbase.com/funding_round/visual-feeder-pre-seed--7dc5955a","Jan 27, 2021")</f>
        <v>Jan 27, 2021</v>
      </c>
      <c r="AE1246" s="76">
        <v>0.0</v>
      </c>
      <c r="AF1246" s="338"/>
      <c r="AG1246" s="84"/>
      <c r="AH1246" s="74"/>
      <c r="AI1246" s="78"/>
      <c r="AJ1246" s="79"/>
      <c r="AK1246" s="84"/>
      <c r="AL1246" s="79"/>
      <c r="AM1246" s="84"/>
      <c r="AN1246" s="79"/>
      <c r="AO1246" s="84"/>
      <c r="AP1246" s="79"/>
      <c r="AQ1246" s="84"/>
      <c r="AR1246" s="79"/>
      <c r="AS1246" s="79"/>
      <c r="AT1246" s="79"/>
      <c r="AU1246" s="80"/>
      <c r="AV1246" s="79"/>
      <c r="AW1246" s="38"/>
      <c r="AX1246" s="79"/>
      <c r="AY1246" s="38"/>
      <c r="AZ1246" s="79"/>
      <c r="BA1246" s="80"/>
      <c r="BB1246" s="79"/>
      <c r="BC1246" s="80"/>
      <c r="BD1246" s="79"/>
      <c r="BE1246" s="38"/>
      <c r="BF1246" s="74"/>
      <c r="BG1246" s="16"/>
      <c r="BH1246" s="16"/>
      <c r="BI1246" s="16"/>
      <c r="BJ1246" s="16"/>
      <c r="BK1246" s="16"/>
      <c r="BL1246" s="16"/>
      <c r="BM1246" s="16"/>
      <c r="BN1246" s="16"/>
      <c r="BO1246" s="16"/>
      <c r="BP1246" s="16"/>
      <c r="BQ1246" s="16"/>
      <c r="BR1246" s="16"/>
      <c r="BS1246" s="16"/>
      <c r="BT1246" s="16"/>
      <c r="BU1246" s="16"/>
      <c r="BV1246" s="16"/>
      <c r="BW1246" s="16"/>
      <c r="BX1246" s="16"/>
      <c r="BY1246" s="16"/>
      <c r="BZ1246" s="16"/>
      <c r="CA1246" s="16"/>
      <c r="CB1246" s="16"/>
      <c r="CC1246" s="16"/>
      <c r="CD1246" s="16"/>
      <c r="CE1246" s="16"/>
      <c r="CF1246" s="16"/>
      <c r="CG1246" s="16"/>
      <c r="CH1246" s="16"/>
      <c r="CI1246" s="16"/>
      <c r="CJ1246" s="16"/>
      <c r="CK1246" s="16"/>
      <c r="CL1246" s="16"/>
      <c r="CM1246" s="16"/>
      <c r="CN1246" s="16"/>
      <c r="CO1246" s="16"/>
      <c r="CP1246" s="16"/>
    </row>
    <row r="1247" ht="15.75" customHeight="1">
      <c r="A1247" s="866" t="s">
        <v>5949</v>
      </c>
      <c r="B1247" s="1495"/>
      <c r="C1247" s="17" t="s">
        <v>132</v>
      </c>
      <c r="D1247" s="380"/>
      <c r="E1247" s="492" t="s">
        <v>5950</v>
      </c>
      <c r="F1247" s="803" t="s">
        <v>5951</v>
      </c>
      <c r="G1247" s="679"/>
      <c r="H1247" s="22" t="s">
        <v>1065</v>
      </c>
      <c r="I1247" s="17" t="s">
        <v>639</v>
      </c>
      <c r="J1247" s="24"/>
      <c r="K1247" s="23">
        <v>2.0</v>
      </c>
      <c r="L1247" s="23">
        <v>2020.0</v>
      </c>
      <c r="M1247" s="25">
        <f t="shared" ref="M1247:M2001" si="789">year(now()) -L1247</f>
        <v>5</v>
      </c>
      <c r="N1247" s="26">
        <f t="shared" ref="N1247:N2001" si="790">counta(AE1247,AG1247,AI1247,AK1247,AM1247,AO1247,AQ1247,AS1247,AU1247,AW1247,AY1247,BA1247,BC1247)</f>
        <v>0</v>
      </c>
      <c r="O1247" s="27" t="str">
        <f t="shared" si="3"/>
        <v>#N/A</v>
      </c>
      <c r="P1247" s="28"/>
      <c r="Q1247" s="28"/>
      <c r="R1247" s="28"/>
      <c r="S1247" s="28"/>
      <c r="T1247" s="29">
        <f t="shared" ref="T1247:T1768" si="791">V1247/M1247</f>
        <v>0</v>
      </c>
      <c r="U1247" s="28"/>
      <c r="V1247" s="30">
        <f t="shared" si="425"/>
        <v>0</v>
      </c>
      <c r="W1247" s="30"/>
      <c r="X1247" s="33"/>
      <c r="Y1247" s="33" t="str">
        <f>(max(AE1247,AG1247,AI1247,AK1247,AM1247,AO1247,AQ1247,AS1247,AU1247,AW1247,AY1247,BA1247,BC1247)/min(AE1247,AG1247,AI1247,AK1247))^(1/M1247)-1</f>
        <v>#DIV/0!</v>
      </c>
      <c r="Z1247" s="692"/>
      <c r="AA1247" s="665"/>
      <c r="AB1247" s="36"/>
      <c r="AC1247" s="1040"/>
      <c r="AD1247" s="862" t="str">
        <f>HYPERLINK("https://www.crunchbase.com/funding_round/ascend-build-pre-seed--85f4b659", "Jan 1, 2020")</f>
        <v>Jan 1, 2020</v>
      </c>
      <c r="AE1247" s="24"/>
      <c r="AF1247" s="1042"/>
      <c r="AG1247" s="38"/>
      <c r="AH1247" s="1042"/>
      <c r="AI1247" s="38"/>
      <c r="AJ1247" s="44"/>
      <c r="AK1247" s="46"/>
      <c r="AL1247" s="44"/>
      <c r="AM1247" s="46"/>
      <c r="AN1247" s="44"/>
      <c r="AO1247" s="46"/>
      <c r="AP1247" s="44"/>
      <c r="AQ1247" s="46"/>
      <c r="AR1247" s="44"/>
      <c r="AS1247" s="44"/>
      <c r="AT1247" s="44"/>
      <c r="AU1247" s="45"/>
      <c r="AV1247" s="44"/>
      <c r="AW1247" s="38"/>
      <c r="AX1247" s="44"/>
      <c r="AY1247" s="38"/>
      <c r="AZ1247" s="44"/>
      <c r="BA1247" s="45"/>
      <c r="BB1247" s="44"/>
      <c r="BC1247" s="45"/>
      <c r="BD1247" s="44"/>
      <c r="BE1247" s="38"/>
      <c r="BF1247" s="36"/>
      <c r="BG1247" s="534"/>
      <c r="BH1247" s="534"/>
      <c r="BI1247" s="534"/>
      <c r="BJ1247" s="534"/>
      <c r="BK1247" s="534"/>
      <c r="BL1247" s="534"/>
      <c r="BM1247" s="534"/>
      <c r="BN1247" s="534"/>
      <c r="BO1247" s="534"/>
      <c r="BP1247" s="534"/>
      <c r="BQ1247" s="534"/>
      <c r="BR1247" s="534"/>
      <c r="BS1247" s="534"/>
      <c r="BT1247" s="534"/>
      <c r="BU1247" s="534"/>
      <c r="BV1247" s="534"/>
      <c r="BW1247" s="534"/>
      <c r="BX1247" s="534"/>
      <c r="BY1247" s="534"/>
      <c r="BZ1247" s="534"/>
      <c r="CA1247" s="534"/>
      <c r="CB1247" s="534"/>
      <c r="CC1247" s="534"/>
      <c r="CD1247" s="534"/>
      <c r="CE1247" s="534"/>
      <c r="CF1247" s="534"/>
      <c r="CG1247" s="534"/>
      <c r="CH1247" s="534"/>
      <c r="CI1247" s="534"/>
      <c r="CJ1247" s="534"/>
      <c r="CK1247" s="534"/>
      <c r="CL1247" s="534"/>
      <c r="CM1247" s="534"/>
      <c r="CN1247" s="534"/>
      <c r="CO1247" s="534"/>
      <c r="CP1247" s="534"/>
    </row>
    <row r="1248" ht="15.75" customHeight="1">
      <c r="A1248" s="400" t="s">
        <v>5952</v>
      </c>
      <c r="B1248" s="115"/>
      <c r="C1248" s="116" t="s">
        <v>123</v>
      </c>
      <c r="D1248" s="161" t="s">
        <v>5953</v>
      </c>
      <c r="E1248" s="192" t="s">
        <v>5954</v>
      </c>
      <c r="F1248" s="402" t="s">
        <v>5955</v>
      </c>
      <c r="G1248" s="54" t="s">
        <v>5956</v>
      </c>
      <c r="H1248" s="119" t="s">
        <v>736</v>
      </c>
      <c r="I1248" s="25" t="s">
        <v>358</v>
      </c>
      <c r="J1248" s="178" t="s">
        <v>5957</v>
      </c>
      <c r="K1248" s="25">
        <v>2.0</v>
      </c>
      <c r="L1248" s="25">
        <v>2018.0</v>
      </c>
      <c r="M1248" s="25">
        <f t="shared" si="789"/>
        <v>7</v>
      </c>
      <c r="N1248" s="26">
        <f t="shared" si="790"/>
        <v>0</v>
      </c>
      <c r="O1248" s="27" t="str">
        <f t="shared" si="3"/>
        <v>#N/A</v>
      </c>
      <c r="P1248" s="28"/>
      <c r="Q1248" s="28"/>
      <c r="R1248" s="28"/>
      <c r="S1248" s="28"/>
      <c r="T1248" s="29">
        <f t="shared" si="791"/>
        <v>0</v>
      </c>
      <c r="U1248" s="28"/>
      <c r="V1248" s="30">
        <f t="shared" si="425"/>
        <v>0</v>
      </c>
      <c r="W1248" s="30"/>
      <c r="X1248" s="597"/>
      <c r="Y1248" s="33" t="str">
        <f>(max(AE1248,AG1248,AI1248,AK1248,AM1248,AO1248,AQ1248,AS1248,AU1248,AW1248,AY1248,BA1248,BC1248)/min(AE1248,AG1248,AI1248,AK1248,AM1248,AO1248,AQ1248,AS1248,AU1248,AW1248,AY1248,BA1248,BC1248))^(1/M1248)-1</f>
        <v>#DIV/0!</v>
      </c>
      <c r="Z1248" s="692"/>
      <c r="AA1248" s="665"/>
      <c r="AB1248" s="123"/>
      <c r="AC1248" s="123"/>
      <c r="AD1248" s="124"/>
      <c r="AE1248" s="125"/>
      <c r="AF1248" s="166"/>
      <c r="AG1248" s="125"/>
      <c r="AH1248" s="123"/>
      <c r="AI1248" s="128"/>
      <c r="AJ1248" s="55"/>
      <c r="AK1248" s="55"/>
      <c r="AL1248" s="124"/>
      <c r="AM1248" s="125"/>
      <c r="AN1248" s="124"/>
      <c r="AO1248" s="125"/>
      <c r="AP1248" s="124"/>
      <c r="AQ1248" s="125"/>
      <c r="AR1248" s="124"/>
      <c r="AS1248" s="124"/>
      <c r="AT1248" s="124"/>
      <c r="AU1248" s="137"/>
      <c r="AV1248" s="124"/>
      <c r="AW1248" s="38"/>
      <c r="AX1248" s="124"/>
      <c r="AY1248" s="38"/>
      <c r="AZ1248" s="124"/>
      <c r="BA1248" s="137"/>
      <c r="BB1248" s="124"/>
      <c r="BC1248" s="137"/>
      <c r="BD1248" s="124"/>
      <c r="BE1248" s="38"/>
      <c r="BF1248" s="123"/>
      <c r="BG1248" s="534"/>
      <c r="BH1248" s="534"/>
      <c r="BI1248" s="534"/>
      <c r="BJ1248" s="534"/>
      <c r="BK1248" s="534"/>
      <c r="BL1248" s="534"/>
      <c r="BM1248" s="534"/>
      <c r="BN1248" s="534"/>
      <c r="BO1248" s="534"/>
      <c r="BP1248" s="534"/>
      <c r="BQ1248" s="534"/>
      <c r="BR1248" s="534"/>
      <c r="BS1248" s="534"/>
      <c r="BT1248" s="534"/>
      <c r="BU1248" s="534"/>
      <c r="BV1248" s="534"/>
      <c r="BW1248" s="534"/>
      <c r="BX1248" s="534"/>
      <c r="BY1248" s="534"/>
      <c r="BZ1248" s="534"/>
      <c r="CA1248" s="534"/>
      <c r="CB1248" s="534"/>
      <c r="CC1248" s="534"/>
      <c r="CD1248" s="534"/>
      <c r="CE1248" s="534"/>
      <c r="CF1248" s="534"/>
      <c r="CG1248" s="534"/>
      <c r="CH1248" s="534"/>
      <c r="CI1248" s="534"/>
      <c r="CJ1248" s="534"/>
      <c r="CK1248" s="534"/>
      <c r="CL1248" s="534"/>
      <c r="CM1248" s="534"/>
      <c r="CN1248" s="534"/>
      <c r="CO1248" s="534"/>
      <c r="CP1248" s="534"/>
    </row>
    <row r="1249" ht="15.75" customHeight="1">
      <c r="A1249" s="892"/>
      <c r="B1249" s="534"/>
      <c r="C1249" s="849" t="s">
        <v>5958</v>
      </c>
      <c r="D1249" s="731"/>
      <c r="E1249" s="731"/>
      <c r="F1249" s="53"/>
      <c r="G1249" s="850"/>
      <c r="H1249" s="850"/>
      <c r="I1249" s="222"/>
      <c r="J1249" s="953"/>
      <c r="K1249" s="222"/>
      <c r="L1249" s="222"/>
      <c r="M1249" s="25">
        <f t="shared" si="789"/>
        <v>2025</v>
      </c>
      <c r="N1249" s="26">
        <f t="shared" si="790"/>
        <v>0</v>
      </c>
      <c r="O1249" s="27" t="str">
        <f t="shared" si="3"/>
        <v>#N/A</v>
      </c>
      <c r="P1249" s="28"/>
      <c r="Q1249" s="28"/>
      <c r="R1249" s="28"/>
      <c r="S1249" s="28"/>
      <c r="T1249" s="29">
        <f t="shared" si="791"/>
        <v>0</v>
      </c>
      <c r="U1249" s="28"/>
      <c r="V1249" s="30">
        <f t="shared" si="425"/>
        <v>0</v>
      </c>
      <c r="W1249" s="30"/>
      <c r="X1249" s="852"/>
      <c r="Y1249" s="33" t="str">
        <f t="shared" ref="Y1249:Y2001" si="792">(max(AE1249,AG1249,AI1249,AK1249,AM1249,AO1249,AQ1249,AS1249,AU1249,AW1249,AY1249,BA1249,BC1249)/min(AE1249,AG1249,AI1249,AK1249))^(1/M1249)-1</f>
        <v>#DIV/0!</v>
      </c>
      <c r="Z1249" s="692"/>
      <c r="AA1249" s="665"/>
      <c r="AB1249" s="326"/>
      <c r="AC1249" s="326"/>
      <c r="AD1249" s="1549"/>
      <c r="AE1249" s="1550"/>
      <c r="AF1249" s="868"/>
      <c r="AG1249" s="1551"/>
      <c r="AH1249" s="1552"/>
      <c r="AI1249" s="1553"/>
      <c r="AJ1249" s="1554"/>
      <c r="AK1249" s="1551"/>
      <c r="AL1249" s="1134"/>
      <c r="AM1249" s="1551"/>
      <c r="AN1249" s="322"/>
      <c r="AO1249" s="326"/>
      <c r="AP1249" s="322"/>
      <c r="AQ1249" s="326"/>
      <c r="AR1249" s="322"/>
      <c r="AS1249" s="322"/>
      <c r="AT1249" s="322"/>
      <c r="AU1249" s="335"/>
      <c r="AV1249" s="322"/>
      <c r="AW1249" s="38"/>
      <c r="AX1249" s="322"/>
      <c r="AY1249" s="38"/>
      <c r="AZ1249" s="322"/>
      <c r="BA1249" s="335"/>
      <c r="BB1249" s="322"/>
      <c r="BC1249" s="335"/>
      <c r="BD1249" s="322"/>
      <c r="BE1249" s="38"/>
      <c r="BF1249" s="326"/>
      <c r="BG1249" s="16"/>
      <c r="BH1249" s="16"/>
      <c r="BI1249" s="16"/>
      <c r="BJ1249" s="16"/>
      <c r="BK1249" s="16"/>
      <c r="BL1249" s="16"/>
      <c r="BM1249" s="16"/>
      <c r="BN1249" s="16"/>
      <c r="BO1249" s="16"/>
      <c r="BP1249" s="16"/>
      <c r="BQ1249" s="16"/>
      <c r="BR1249" s="16"/>
      <c r="BS1249" s="16"/>
      <c r="BT1249" s="16"/>
      <c r="BU1249" s="16"/>
      <c r="BV1249" s="16"/>
      <c r="BW1249" s="16"/>
      <c r="BX1249" s="16"/>
      <c r="BY1249" s="16"/>
      <c r="BZ1249" s="16"/>
      <c r="CA1249" s="16"/>
      <c r="CB1249" s="16"/>
      <c r="CC1249" s="16"/>
      <c r="CD1249" s="16"/>
      <c r="CE1249" s="16"/>
      <c r="CF1249" s="16"/>
      <c r="CG1249" s="16"/>
      <c r="CH1249" s="16"/>
      <c r="CI1249" s="16"/>
      <c r="CJ1249" s="16"/>
      <c r="CK1249" s="16"/>
      <c r="CL1249" s="16"/>
      <c r="CM1249" s="16"/>
      <c r="CN1249" s="16"/>
      <c r="CO1249" s="16"/>
      <c r="CP1249" s="16"/>
    </row>
    <row r="1250" ht="15.75" customHeight="1">
      <c r="A1250" s="1162" t="s">
        <v>5959</v>
      </c>
      <c r="B1250" s="16"/>
      <c r="C1250" s="17" t="s">
        <v>84</v>
      </c>
      <c r="D1250" s="236" t="s">
        <v>5960</v>
      </c>
      <c r="E1250" s="18" t="s">
        <v>5961</v>
      </c>
      <c r="F1250" s="493"/>
      <c r="G1250" s="55"/>
      <c r="H1250" s="22" t="s">
        <v>839</v>
      </c>
      <c r="I1250" s="23" t="s">
        <v>115</v>
      </c>
      <c r="J1250" s="24"/>
      <c r="K1250" s="23"/>
      <c r="L1250" s="23">
        <v>2015.0</v>
      </c>
      <c r="M1250" s="25">
        <f t="shared" si="789"/>
        <v>10</v>
      </c>
      <c r="N1250" s="26">
        <f t="shared" si="790"/>
        <v>0</v>
      </c>
      <c r="O1250" s="27" t="str">
        <f t="shared" si="3"/>
        <v>#N/A</v>
      </c>
      <c r="P1250" s="28"/>
      <c r="Q1250" s="28"/>
      <c r="R1250" s="28"/>
      <c r="S1250" s="28"/>
      <c r="T1250" s="29">
        <f t="shared" si="791"/>
        <v>0</v>
      </c>
      <c r="U1250" s="28"/>
      <c r="V1250" s="30">
        <f t="shared" si="425"/>
        <v>0</v>
      </c>
      <c r="W1250" s="30"/>
      <c r="X1250" s="33"/>
      <c r="Y1250" s="33" t="str">
        <f t="shared" si="792"/>
        <v>#DIV/0!</v>
      </c>
      <c r="Z1250" s="692"/>
      <c r="AA1250" s="665"/>
      <c r="AB1250" s="36"/>
      <c r="AC1250" s="36"/>
      <c r="AD1250" s="1102"/>
      <c r="AE1250" s="1103"/>
      <c r="AF1250" s="39"/>
      <c r="AG1250" s="1104"/>
      <c r="AH1250" s="1105"/>
      <c r="AI1250" s="1106"/>
      <c r="AJ1250" s="1454"/>
      <c r="AK1250" s="1104"/>
      <c r="AL1250" s="37"/>
      <c r="AM1250" s="1104"/>
      <c r="AN1250" s="44"/>
      <c r="AO1250" s="36"/>
      <c r="AP1250" s="44"/>
      <c r="AQ1250" s="36"/>
      <c r="AR1250" s="44"/>
      <c r="AS1250" s="44"/>
      <c r="AT1250" s="44"/>
      <c r="AU1250" s="45"/>
      <c r="AV1250" s="44"/>
      <c r="AW1250" s="38"/>
      <c r="AX1250" s="44"/>
      <c r="AY1250" s="38"/>
      <c r="AZ1250" s="44"/>
      <c r="BA1250" s="45"/>
      <c r="BB1250" s="44"/>
      <c r="BC1250" s="45"/>
      <c r="BD1250" s="44"/>
      <c r="BE1250" s="38"/>
      <c r="BF1250" s="36"/>
      <c r="BG1250" s="16"/>
      <c r="BH1250" s="16"/>
      <c r="BI1250" s="16"/>
      <c r="BJ1250" s="16"/>
      <c r="BK1250" s="16"/>
      <c r="BL1250" s="16"/>
      <c r="BM1250" s="16"/>
      <c r="BN1250" s="16"/>
      <c r="BO1250" s="16"/>
      <c r="BP1250" s="16"/>
      <c r="BQ1250" s="16"/>
      <c r="BR1250" s="16"/>
      <c r="BS1250" s="16"/>
      <c r="BT1250" s="16"/>
      <c r="BU1250" s="16"/>
      <c r="BV1250" s="16"/>
      <c r="BW1250" s="16"/>
      <c r="BX1250" s="16"/>
      <c r="BY1250" s="16"/>
      <c r="BZ1250" s="16"/>
      <c r="CA1250" s="16"/>
      <c r="CB1250" s="16"/>
      <c r="CC1250" s="16"/>
      <c r="CD1250" s="16"/>
      <c r="CE1250" s="16"/>
      <c r="CF1250" s="16"/>
      <c r="CG1250" s="16"/>
      <c r="CH1250" s="16"/>
      <c r="CI1250" s="16"/>
      <c r="CJ1250" s="16"/>
      <c r="CK1250" s="16"/>
      <c r="CL1250" s="16"/>
      <c r="CM1250" s="16"/>
      <c r="CN1250" s="16"/>
      <c r="CO1250" s="16"/>
      <c r="CP1250" s="16"/>
    </row>
    <row r="1251" ht="15.75" customHeight="1">
      <c r="A1251" s="860" t="s">
        <v>5962</v>
      </c>
      <c r="B1251" s="16"/>
      <c r="C1251" s="17" t="s">
        <v>132</v>
      </c>
      <c r="D1251" s="192" t="s">
        <v>5963</v>
      </c>
      <c r="E1251" s="957" t="s">
        <v>5964</v>
      </c>
      <c r="F1251" s="386" t="s">
        <v>5965</v>
      </c>
      <c r="G1251" s="710"/>
      <c r="H1251" s="22" t="s">
        <v>2839</v>
      </c>
      <c r="I1251" s="23" t="s">
        <v>2840</v>
      </c>
      <c r="J1251" s="24"/>
      <c r="K1251" s="36"/>
      <c r="L1251" s="23">
        <v>2017.0</v>
      </c>
      <c r="M1251" s="25">
        <f t="shared" si="789"/>
        <v>8</v>
      </c>
      <c r="N1251" s="26">
        <f t="shared" si="790"/>
        <v>0</v>
      </c>
      <c r="O1251" s="27" t="str">
        <f t="shared" si="3"/>
        <v>#N/A</v>
      </c>
      <c r="P1251" s="28"/>
      <c r="Q1251" s="28"/>
      <c r="R1251" s="28"/>
      <c r="S1251" s="28"/>
      <c r="T1251" s="29">
        <f t="shared" si="791"/>
        <v>0</v>
      </c>
      <c r="U1251" s="28"/>
      <c r="V1251" s="30">
        <f t="shared" si="425"/>
        <v>0</v>
      </c>
      <c r="W1251" s="30"/>
      <c r="X1251" s="847"/>
      <c r="Y1251" s="33" t="str">
        <f t="shared" si="792"/>
        <v>#DIV/0!</v>
      </c>
      <c r="Z1251" s="692"/>
      <c r="AA1251" s="665"/>
      <c r="AB1251" s="36"/>
      <c r="AC1251" s="36"/>
      <c r="AD1251" s="44"/>
      <c r="AE1251" s="46"/>
      <c r="AF1251" s="39"/>
      <c r="AG1251" s="46"/>
      <c r="AH1251" s="36"/>
      <c r="AI1251" s="46"/>
      <c r="AJ1251" s="37"/>
      <c r="AK1251" s="46"/>
      <c r="AL1251" s="44"/>
      <c r="AM1251" s="46"/>
      <c r="AN1251" s="44"/>
      <c r="AO1251" s="46"/>
      <c r="AP1251" s="44"/>
      <c r="AQ1251" s="46"/>
      <c r="AR1251" s="44"/>
      <c r="AS1251" s="44"/>
      <c r="AT1251" s="44"/>
      <c r="AU1251" s="45"/>
      <c r="AV1251" s="44"/>
      <c r="AW1251" s="38"/>
      <c r="AX1251" s="44"/>
      <c r="AY1251" s="38"/>
      <c r="AZ1251" s="44"/>
      <c r="BA1251" s="45"/>
      <c r="BB1251" s="44"/>
      <c r="BC1251" s="45"/>
      <c r="BD1251" s="44"/>
      <c r="BE1251" s="38"/>
      <c r="BF1251" s="36"/>
      <c r="BG1251" s="16"/>
      <c r="BH1251" s="16"/>
      <c r="BI1251" s="16"/>
      <c r="BJ1251" s="16"/>
      <c r="BK1251" s="16"/>
      <c r="BL1251" s="16"/>
      <c r="BM1251" s="16"/>
      <c r="BN1251" s="16"/>
      <c r="BO1251" s="16"/>
      <c r="BP1251" s="16"/>
      <c r="BQ1251" s="16"/>
      <c r="BR1251" s="16"/>
      <c r="BS1251" s="16"/>
      <c r="BT1251" s="16"/>
      <c r="BU1251" s="16"/>
      <c r="BV1251" s="16"/>
      <c r="BW1251" s="16"/>
      <c r="BX1251" s="16"/>
      <c r="BY1251" s="16"/>
      <c r="BZ1251" s="16"/>
      <c r="CA1251" s="16"/>
      <c r="CB1251" s="16"/>
      <c r="CC1251" s="16"/>
      <c r="CD1251" s="16"/>
      <c r="CE1251" s="16"/>
      <c r="CF1251" s="16"/>
      <c r="CG1251" s="16"/>
      <c r="CH1251" s="16"/>
      <c r="CI1251" s="16"/>
      <c r="CJ1251" s="16"/>
      <c r="CK1251" s="16"/>
      <c r="CL1251" s="16"/>
      <c r="CM1251" s="16"/>
      <c r="CN1251" s="16"/>
      <c r="CO1251" s="16"/>
      <c r="CP1251" s="16"/>
    </row>
    <row r="1252" ht="15.75" customHeight="1">
      <c r="A1252" s="866" t="s">
        <v>5966</v>
      </c>
      <c r="B1252" s="16"/>
      <c r="C1252" s="17" t="s">
        <v>123</v>
      </c>
      <c r="D1252" s="236" t="s">
        <v>5967</v>
      </c>
      <c r="E1252" s="18" t="s">
        <v>5968</v>
      </c>
      <c r="F1252" s="652"/>
      <c r="G1252" s="273"/>
      <c r="H1252" s="22" t="s">
        <v>1109</v>
      </c>
      <c r="I1252" s="23" t="s">
        <v>959</v>
      </c>
      <c r="J1252" s="237"/>
      <c r="K1252" s="36"/>
      <c r="L1252" s="23">
        <v>1997.0</v>
      </c>
      <c r="M1252" s="25">
        <f t="shared" si="789"/>
        <v>28</v>
      </c>
      <c r="N1252" s="26">
        <f t="shared" si="790"/>
        <v>0</v>
      </c>
      <c r="O1252" s="27" t="str">
        <f t="shared" si="3"/>
        <v>#N/A</v>
      </c>
      <c r="P1252" s="28"/>
      <c r="Q1252" s="28"/>
      <c r="R1252" s="28"/>
      <c r="S1252" s="28"/>
      <c r="T1252" s="29">
        <f t="shared" si="791"/>
        <v>0</v>
      </c>
      <c r="U1252" s="28"/>
      <c r="V1252" s="30">
        <f t="shared" si="425"/>
        <v>0</v>
      </c>
      <c r="W1252" s="30"/>
      <c r="X1252" s="847"/>
      <c r="Y1252" s="33" t="str">
        <f t="shared" si="792"/>
        <v>#DIV/0!</v>
      </c>
      <c r="Z1252" s="692"/>
      <c r="AA1252" s="665"/>
      <c r="AB1252" s="36"/>
      <c r="AC1252" s="36"/>
      <c r="AD1252" s="37"/>
      <c r="AE1252" s="1108"/>
      <c r="AF1252" s="39"/>
      <c r="AG1252" s="38"/>
      <c r="AH1252" s="36"/>
      <c r="AI1252" s="46"/>
      <c r="AJ1252" s="37"/>
      <c r="AK1252" s="715"/>
      <c r="AL1252" s="44"/>
      <c r="AM1252" s="46"/>
      <c r="AN1252" s="44"/>
      <c r="AO1252" s="46"/>
      <c r="AP1252" s="44"/>
      <c r="AQ1252" s="46"/>
      <c r="AR1252" s="44"/>
      <c r="AS1252" s="44"/>
      <c r="AT1252" s="44"/>
      <c r="AU1252" s="45"/>
      <c r="AV1252" s="44"/>
      <c r="AW1252" s="38"/>
      <c r="AX1252" s="44"/>
      <c r="AY1252" s="38"/>
      <c r="AZ1252" s="44"/>
      <c r="BA1252" s="45"/>
      <c r="BB1252" s="44"/>
      <c r="BC1252" s="45"/>
      <c r="BD1252" s="44"/>
      <c r="BE1252" s="38"/>
      <c r="BF1252" s="36"/>
      <c r="BG1252" s="16"/>
      <c r="BH1252" s="16"/>
      <c r="BI1252" s="16"/>
      <c r="BJ1252" s="16"/>
      <c r="BK1252" s="16"/>
      <c r="BL1252" s="16"/>
      <c r="BM1252" s="16"/>
      <c r="BN1252" s="16"/>
      <c r="BO1252" s="16"/>
      <c r="BP1252" s="16"/>
      <c r="BQ1252" s="16"/>
      <c r="BR1252" s="16"/>
      <c r="BS1252" s="16"/>
      <c r="BT1252" s="16"/>
      <c r="BU1252" s="16"/>
      <c r="BV1252" s="16"/>
      <c r="BW1252" s="16"/>
      <c r="BX1252" s="16"/>
      <c r="BY1252" s="16"/>
      <c r="BZ1252" s="16"/>
      <c r="CA1252" s="16"/>
      <c r="CB1252" s="16"/>
      <c r="CC1252" s="16"/>
      <c r="CD1252" s="16"/>
      <c r="CE1252" s="16"/>
      <c r="CF1252" s="16"/>
      <c r="CG1252" s="16"/>
      <c r="CH1252" s="16"/>
      <c r="CI1252" s="16"/>
      <c r="CJ1252" s="16"/>
      <c r="CK1252" s="16"/>
      <c r="CL1252" s="16"/>
      <c r="CM1252" s="16"/>
      <c r="CN1252" s="16"/>
      <c r="CO1252" s="16"/>
      <c r="CP1252" s="16"/>
    </row>
    <row r="1253" ht="15.75" customHeight="1">
      <c r="A1253" s="860" t="s">
        <v>5969</v>
      </c>
      <c r="B1253" s="534"/>
      <c r="C1253" s="849" t="s">
        <v>276</v>
      </c>
      <c r="D1253" s="192" t="s">
        <v>5970</v>
      </c>
      <c r="E1253" s="957" t="s">
        <v>5971</v>
      </c>
      <c r="F1253" s="386" t="s">
        <v>5972</v>
      </c>
      <c r="G1253" s="55"/>
      <c r="H1253" s="850" t="s">
        <v>129</v>
      </c>
      <c r="I1253" s="23" t="s">
        <v>129</v>
      </c>
      <c r="J1253" s="691"/>
      <c r="K1253" s="326"/>
      <c r="L1253" s="222">
        <v>2015.0</v>
      </c>
      <c r="M1253" s="25">
        <f t="shared" si="789"/>
        <v>10</v>
      </c>
      <c r="N1253" s="26">
        <f t="shared" si="790"/>
        <v>0</v>
      </c>
      <c r="O1253" s="27" t="str">
        <f t="shared" si="3"/>
        <v>#N/A</v>
      </c>
      <c r="P1253" s="28"/>
      <c r="Q1253" s="28"/>
      <c r="R1253" s="28"/>
      <c r="S1253" s="28"/>
      <c r="T1253" s="29">
        <f t="shared" si="791"/>
        <v>0</v>
      </c>
      <c r="U1253" s="28"/>
      <c r="V1253" s="30">
        <f t="shared" si="425"/>
        <v>0</v>
      </c>
      <c r="W1253" s="30"/>
      <c r="X1253" s="1488"/>
      <c r="Y1253" s="33" t="str">
        <f t="shared" si="792"/>
        <v>#DIV/0!</v>
      </c>
      <c r="Z1253" s="692"/>
      <c r="AA1253" s="665"/>
      <c r="AB1253" s="326"/>
      <c r="AC1253" s="326"/>
      <c r="AD1253" s="1134"/>
      <c r="AE1253" s="1108"/>
      <c r="AF1253" s="868"/>
      <c r="AG1253" s="325"/>
      <c r="AH1253" s="326"/>
      <c r="AI1253" s="323"/>
      <c r="AJ1253" s="1134"/>
      <c r="AK1253" s="733"/>
      <c r="AL1253" s="322"/>
      <c r="AM1253" s="323"/>
      <c r="AN1253" s="322"/>
      <c r="AO1253" s="323"/>
      <c r="AP1253" s="322"/>
      <c r="AQ1253" s="323"/>
      <c r="AR1253" s="322"/>
      <c r="AS1253" s="322"/>
      <c r="AT1253" s="322"/>
      <c r="AU1253" s="335"/>
      <c r="AV1253" s="322"/>
      <c r="AW1253" s="38"/>
      <c r="AX1253" s="322"/>
      <c r="AY1253" s="38"/>
      <c r="AZ1253" s="322"/>
      <c r="BA1253" s="335"/>
      <c r="BB1253" s="322"/>
      <c r="BC1253" s="335"/>
      <c r="BD1253" s="322"/>
      <c r="BE1253" s="38"/>
      <c r="BF1253" s="326"/>
      <c r="BG1253" s="16"/>
      <c r="BH1253" s="16"/>
      <c r="BI1253" s="16"/>
      <c r="BJ1253" s="16"/>
      <c r="BK1253" s="16"/>
      <c r="BL1253" s="16"/>
      <c r="BM1253" s="16"/>
      <c r="BN1253" s="16"/>
      <c r="BO1253" s="16"/>
      <c r="BP1253" s="16"/>
      <c r="BQ1253" s="16"/>
      <c r="BR1253" s="16"/>
      <c r="BS1253" s="16"/>
      <c r="BT1253" s="16"/>
      <c r="BU1253" s="16"/>
      <c r="BV1253" s="16"/>
      <c r="BW1253" s="16"/>
      <c r="BX1253" s="16"/>
      <c r="BY1253" s="16"/>
      <c r="BZ1253" s="16"/>
      <c r="CA1253" s="16"/>
      <c r="CB1253" s="16"/>
      <c r="CC1253" s="16"/>
      <c r="CD1253" s="16"/>
      <c r="CE1253" s="16"/>
      <c r="CF1253" s="16"/>
      <c r="CG1253" s="16"/>
      <c r="CH1253" s="16"/>
      <c r="CI1253" s="16"/>
      <c r="CJ1253" s="16"/>
      <c r="CK1253" s="16"/>
      <c r="CL1253" s="16"/>
      <c r="CM1253" s="16"/>
      <c r="CN1253" s="16"/>
      <c r="CO1253" s="16"/>
      <c r="CP1253" s="16"/>
    </row>
    <row r="1254" ht="15.75" customHeight="1">
      <c r="A1254" s="666" t="s">
        <v>5973</v>
      </c>
      <c r="B1254" s="534" t="s">
        <v>122</v>
      </c>
      <c r="C1254" s="534" t="s">
        <v>276</v>
      </c>
      <c r="D1254" s="667" t="s">
        <v>5974</v>
      </c>
      <c r="E1254" s="667" t="s">
        <v>5975</v>
      </c>
      <c r="F1254" s="668" t="s">
        <v>5976</v>
      </c>
      <c r="G1254" s="690" t="s">
        <v>5977</v>
      </c>
      <c r="H1254" s="690" t="s">
        <v>128</v>
      </c>
      <c r="I1254" s="326" t="s">
        <v>129</v>
      </c>
      <c r="J1254" s="691" t="s">
        <v>798</v>
      </c>
      <c r="K1254" s="326">
        <v>1.0</v>
      </c>
      <c r="L1254" s="222">
        <v>2017.0</v>
      </c>
      <c r="M1254" s="25">
        <f t="shared" si="789"/>
        <v>8</v>
      </c>
      <c r="N1254" s="26">
        <f t="shared" si="790"/>
        <v>0</v>
      </c>
      <c r="O1254" s="27" t="str">
        <f t="shared" si="3"/>
        <v>#N/A</v>
      </c>
      <c r="P1254" s="28"/>
      <c r="Q1254" s="28"/>
      <c r="R1254" s="28"/>
      <c r="S1254" s="28"/>
      <c r="T1254" s="29">
        <f t="shared" si="791"/>
        <v>0</v>
      </c>
      <c r="U1254" s="28"/>
      <c r="V1254" s="30">
        <f t="shared" si="425"/>
        <v>0</v>
      </c>
      <c r="W1254" s="30"/>
      <c r="X1254" s="1488"/>
      <c r="Y1254" s="33" t="str">
        <f t="shared" si="792"/>
        <v>#DIV/0!</v>
      </c>
      <c r="Z1254" s="692"/>
      <c r="AA1254" s="665"/>
      <c r="AB1254" s="326" t="s">
        <v>3073</v>
      </c>
      <c r="AC1254" s="326"/>
      <c r="AD1254" s="1555" t="str">
        <f>HYPERLINK("https://www.crunchbase.com/funding_round/aretailspace-pre-seed--1d288a8a#section-overview", "Sep 18, 2020")</f>
        <v>Sep 18, 2020</v>
      </c>
      <c r="AE1254" s="325"/>
      <c r="AF1254" s="868"/>
      <c r="AG1254" s="323"/>
      <c r="AH1254" s="326"/>
      <c r="AI1254" s="323"/>
      <c r="AJ1254" s="322"/>
      <c r="AK1254" s="323"/>
      <c r="AL1254" s="322"/>
      <c r="AM1254" s="323"/>
      <c r="AN1254" s="322"/>
      <c r="AO1254" s="323"/>
      <c r="AP1254" s="322"/>
      <c r="AQ1254" s="323"/>
      <c r="AR1254" s="322"/>
      <c r="AS1254" s="322"/>
      <c r="AT1254" s="322"/>
      <c r="AU1254" s="335"/>
      <c r="AV1254" s="322"/>
      <c r="AW1254" s="38"/>
      <c r="AX1254" s="322"/>
      <c r="AY1254" s="38"/>
      <c r="AZ1254" s="322"/>
      <c r="BA1254" s="335"/>
      <c r="BB1254" s="322"/>
      <c r="BC1254" s="335"/>
      <c r="BD1254" s="322"/>
      <c r="BE1254" s="38"/>
      <c r="BF1254" s="326"/>
      <c r="BG1254" s="16"/>
      <c r="BH1254" s="16"/>
      <c r="BI1254" s="16"/>
      <c r="BJ1254" s="16"/>
      <c r="BK1254" s="16"/>
      <c r="BL1254" s="16"/>
      <c r="BM1254" s="16"/>
      <c r="BN1254" s="16"/>
      <c r="BO1254" s="16"/>
      <c r="BP1254" s="16"/>
      <c r="BQ1254" s="16"/>
      <c r="BR1254" s="16"/>
      <c r="BS1254" s="16"/>
      <c r="BT1254" s="16"/>
      <c r="BU1254" s="16"/>
      <c r="BV1254" s="16"/>
      <c r="BW1254" s="16"/>
      <c r="BX1254" s="16"/>
      <c r="BY1254" s="16"/>
      <c r="BZ1254" s="16"/>
      <c r="CA1254" s="16"/>
      <c r="CB1254" s="16"/>
      <c r="CC1254" s="16"/>
      <c r="CD1254" s="16"/>
      <c r="CE1254" s="16"/>
      <c r="CF1254" s="16"/>
      <c r="CG1254" s="16"/>
      <c r="CH1254" s="16"/>
      <c r="CI1254" s="16"/>
      <c r="CJ1254" s="16"/>
      <c r="CK1254" s="16"/>
      <c r="CL1254" s="16"/>
      <c r="CM1254" s="16"/>
      <c r="CN1254" s="16"/>
      <c r="CO1254" s="16"/>
      <c r="CP1254" s="16"/>
    </row>
    <row r="1255" ht="15.75" customHeight="1">
      <c r="A1255" s="866" t="s">
        <v>5978</v>
      </c>
      <c r="B1255" s="16"/>
      <c r="C1255" s="17" t="s">
        <v>123</v>
      </c>
      <c r="D1255" s="236" t="s">
        <v>5979</v>
      </c>
      <c r="E1255" s="462"/>
      <c r="F1255" s="1533"/>
      <c r="G1255" s="22"/>
      <c r="H1255" s="22"/>
      <c r="I1255" s="23"/>
      <c r="J1255" s="237"/>
      <c r="K1255" s="36"/>
      <c r="L1255" s="23"/>
      <c r="M1255" s="25">
        <f t="shared" si="789"/>
        <v>2025</v>
      </c>
      <c r="N1255" s="26">
        <f t="shared" si="790"/>
        <v>0</v>
      </c>
      <c r="O1255" s="27" t="str">
        <f t="shared" si="3"/>
        <v>#N/A</v>
      </c>
      <c r="P1255" s="28"/>
      <c r="Q1255" s="28"/>
      <c r="R1255" s="28"/>
      <c r="S1255" s="28"/>
      <c r="T1255" s="29">
        <f t="shared" si="791"/>
        <v>0</v>
      </c>
      <c r="U1255" s="28"/>
      <c r="V1255" s="30">
        <f t="shared" si="425"/>
        <v>0</v>
      </c>
      <c r="W1255" s="30"/>
      <c r="X1255" s="847"/>
      <c r="Y1255" s="33" t="str">
        <f t="shared" si="792"/>
        <v>#DIV/0!</v>
      </c>
      <c r="Z1255" s="692"/>
      <c r="AA1255" s="665"/>
      <c r="AB1255" s="36"/>
      <c r="AC1255" s="36"/>
      <c r="AD1255" s="44"/>
      <c r="AE1255" s="46"/>
      <c r="AF1255" s="39"/>
      <c r="AG1255" s="46"/>
      <c r="AH1255" s="36"/>
      <c r="AI1255" s="46"/>
      <c r="AJ1255" s="44"/>
      <c r="AK1255" s="46"/>
      <c r="AL1255" s="44"/>
      <c r="AM1255" s="46"/>
      <c r="AN1255" s="44"/>
      <c r="AO1255" s="46"/>
      <c r="AP1255" s="44"/>
      <c r="AQ1255" s="46"/>
      <c r="AR1255" s="44"/>
      <c r="AS1255" s="44"/>
      <c r="AT1255" s="44"/>
      <c r="AU1255" s="45"/>
      <c r="AV1255" s="44"/>
      <c r="AW1255" s="38"/>
      <c r="AX1255" s="44"/>
      <c r="AY1255" s="38"/>
      <c r="AZ1255" s="44"/>
      <c r="BA1255" s="45"/>
      <c r="BB1255" s="44"/>
      <c r="BC1255" s="45"/>
      <c r="BD1255" s="44"/>
      <c r="BE1255" s="38"/>
      <c r="BF1255" s="36"/>
      <c r="BG1255" s="534"/>
      <c r="BH1255" s="534"/>
      <c r="BI1255" s="534"/>
      <c r="BJ1255" s="534"/>
      <c r="BK1255" s="534"/>
      <c r="BL1255" s="534"/>
      <c r="BM1255" s="534"/>
      <c r="BN1255" s="534"/>
      <c r="BO1255" s="534"/>
      <c r="BP1255" s="534"/>
      <c r="BQ1255" s="534"/>
      <c r="BR1255" s="534"/>
      <c r="BS1255" s="534"/>
      <c r="BT1255" s="534"/>
      <c r="BU1255" s="534"/>
      <c r="BV1255" s="534"/>
      <c r="BW1255" s="534"/>
      <c r="BX1255" s="534"/>
      <c r="BY1255" s="534"/>
      <c r="BZ1255" s="534"/>
      <c r="CA1255" s="534"/>
      <c r="CB1255" s="534"/>
      <c r="CC1255" s="534"/>
      <c r="CD1255" s="534"/>
      <c r="CE1255" s="534"/>
      <c r="CF1255" s="534"/>
      <c r="CG1255" s="534"/>
      <c r="CH1255" s="534"/>
      <c r="CI1255" s="534"/>
      <c r="CJ1255" s="534"/>
      <c r="CK1255" s="534"/>
      <c r="CL1255" s="534"/>
      <c r="CM1255" s="534"/>
      <c r="CN1255" s="534"/>
      <c r="CO1255" s="534"/>
      <c r="CP1255" s="534"/>
    </row>
    <row r="1256" ht="15.75" customHeight="1">
      <c r="A1256" s="442" t="s">
        <v>5980</v>
      </c>
      <c r="B1256" s="1333" t="s">
        <v>301</v>
      </c>
      <c r="C1256" s="17" t="s">
        <v>123</v>
      </c>
      <c r="D1256" s="337"/>
      <c r="E1256" s="138" t="s">
        <v>5981</v>
      </c>
      <c r="F1256" s="173" t="s">
        <v>5982</v>
      </c>
      <c r="G1256" s="21" t="s">
        <v>5983</v>
      </c>
      <c r="H1256" s="22" t="s">
        <v>2415</v>
      </c>
      <c r="I1256" s="23" t="s">
        <v>2415</v>
      </c>
      <c r="J1256" s="509"/>
      <c r="K1256" s="36" t="s">
        <v>723</v>
      </c>
      <c r="L1256" s="23">
        <v>2016.0</v>
      </c>
      <c r="M1256" s="25">
        <f t="shared" si="789"/>
        <v>9</v>
      </c>
      <c r="N1256" s="26">
        <f t="shared" si="790"/>
        <v>0</v>
      </c>
      <c r="O1256" s="27" t="str">
        <f t="shared" si="3"/>
        <v>#N/A</v>
      </c>
      <c r="P1256" s="28"/>
      <c r="Q1256" s="28"/>
      <c r="R1256" s="28"/>
      <c r="S1256" s="28"/>
      <c r="T1256" s="29">
        <f t="shared" si="791"/>
        <v>0</v>
      </c>
      <c r="U1256" s="28"/>
      <c r="V1256" s="30">
        <f t="shared" si="425"/>
        <v>0</v>
      </c>
      <c r="W1256" s="30"/>
      <c r="X1256" s="847"/>
      <c r="Y1256" s="33" t="str">
        <f t="shared" si="792"/>
        <v>#DIV/0!</v>
      </c>
      <c r="Z1256" s="692"/>
      <c r="AA1256" s="665"/>
      <c r="AB1256" s="36"/>
      <c r="AC1256" s="36"/>
      <c r="AD1256" s="44"/>
      <c r="AE1256" s="46"/>
      <c r="AF1256" s="39"/>
      <c r="AG1256" s="46"/>
      <c r="AH1256" s="36"/>
      <c r="AI1256" s="46"/>
      <c r="AJ1256" s="44"/>
      <c r="AK1256" s="46"/>
      <c r="AL1256" s="44"/>
      <c r="AM1256" s="46"/>
      <c r="AN1256" s="44"/>
      <c r="AO1256" s="46"/>
      <c r="AP1256" s="44"/>
      <c r="AQ1256" s="46"/>
      <c r="AR1256" s="44"/>
      <c r="AS1256" s="44"/>
      <c r="AT1256" s="44"/>
      <c r="AU1256" s="45"/>
      <c r="AV1256" s="44"/>
      <c r="AW1256" s="38"/>
      <c r="AX1256" s="44"/>
      <c r="AY1256" s="38"/>
      <c r="AZ1256" s="44"/>
      <c r="BA1256" s="45"/>
      <c r="BB1256" s="44"/>
      <c r="BC1256" s="45"/>
      <c r="BD1256" s="44"/>
      <c r="BE1256" s="38"/>
      <c r="BF1256" s="36"/>
      <c r="BG1256" s="16"/>
      <c r="BH1256" s="16"/>
      <c r="BI1256" s="16"/>
      <c r="BJ1256" s="16"/>
      <c r="BK1256" s="16"/>
      <c r="BL1256" s="16"/>
      <c r="BM1256" s="16"/>
      <c r="BN1256" s="16"/>
      <c r="BO1256" s="16"/>
      <c r="BP1256" s="16"/>
      <c r="BQ1256" s="16"/>
      <c r="BR1256" s="16"/>
      <c r="BS1256" s="16"/>
      <c r="BT1256" s="16"/>
      <c r="BU1256" s="16"/>
      <c r="BV1256" s="16"/>
      <c r="BW1256" s="16"/>
      <c r="BX1256" s="16"/>
      <c r="BY1256" s="16"/>
      <c r="BZ1256" s="16"/>
      <c r="CA1256" s="16"/>
      <c r="CB1256" s="16"/>
      <c r="CC1256" s="16"/>
      <c r="CD1256" s="16"/>
      <c r="CE1256" s="16"/>
      <c r="CF1256" s="16"/>
      <c r="CG1256" s="16"/>
      <c r="CH1256" s="16"/>
      <c r="CI1256" s="16"/>
      <c r="CJ1256" s="16"/>
      <c r="CK1256" s="16"/>
      <c r="CL1256" s="16"/>
      <c r="CM1256" s="16"/>
      <c r="CN1256" s="16"/>
      <c r="CO1256" s="16"/>
      <c r="CP1256" s="16"/>
    </row>
    <row r="1257" ht="15.75" customHeight="1">
      <c r="A1257" s="866" t="s">
        <v>5984</v>
      </c>
      <c r="B1257" s="16"/>
      <c r="C1257" s="17" t="s">
        <v>123</v>
      </c>
      <c r="D1257" s="337"/>
      <c r="E1257" s="18" t="s">
        <v>5985</v>
      </c>
      <c r="F1257" s="20" t="s">
        <v>5986</v>
      </c>
      <c r="G1257" s="317"/>
      <c r="H1257" s="22" t="s">
        <v>187</v>
      </c>
      <c r="I1257" s="23" t="s">
        <v>188</v>
      </c>
      <c r="J1257" s="237"/>
      <c r="K1257" s="36"/>
      <c r="L1257" s="23">
        <v>1993.0</v>
      </c>
      <c r="M1257" s="25">
        <f t="shared" si="789"/>
        <v>32</v>
      </c>
      <c r="N1257" s="26">
        <f t="shared" si="790"/>
        <v>0</v>
      </c>
      <c r="O1257" s="27" t="str">
        <f t="shared" si="3"/>
        <v>#N/A</v>
      </c>
      <c r="P1257" s="28"/>
      <c r="Q1257" s="28"/>
      <c r="R1257" s="28"/>
      <c r="S1257" s="28"/>
      <c r="T1257" s="29">
        <f t="shared" si="791"/>
        <v>0</v>
      </c>
      <c r="U1257" s="28"/>
      <c r="V1257" s="30">
        <f t="shared" si="425"/>
        <v>0</v>
      </c>
      <c r="W1257" s="30"/>
      <c r="X1257" s="847"/>
      <c r="Y1257" s="33" t="str">
        <f t="shared" si="792"/>
        <v>#DIV/0!</v>
      </c>
      <c r="Z1257" s="692"/>
      <c r="AA1257" s="665"/>
      <c r="AB1257" s="36"/>
      <c r="AC1257" s="36"/>
      <c r="AD1257" s="44"/>
      <c r="AE1257" s="46"/>
      <c r="AF1257" s="39"/>
      <c r="AG1257" s="46"/>
      <c r="AH1257" s="36"/>
      <c r="AI1257" s="46"/>
      <c r="AJ1257" s="44"/>
      <c r="AK1257" s="46"/>
      <c r="AL1257" s="44"/>
      <c r="AM1257" s="46"/>
      <c r="AN1257" s="44"/>
      <c r="AO1257" s="46"/>
      <c r="AP1257" s="44"/>
      <c r="AQ1257" s="46"/>
      <c r="AR1257" s="44"/>
      <c r="AS1257" s="44"/>
      <c r="AT1257" s="44"/>
      <c r="AU1257" s="45"/>
      <c r="AV1257" s="44"/>
      <c r="AW1257" s="38"/>
      <c r="AX1257" s="44"/>
      <c r="AY1257" s="38"/>
      <c r="AZ1257" s="44"/>
      <c r="BA1257" s="45"/>
      <c r="BB1257" s="44"/>
      <c r="BC1257" s="45"/>
      <c r="BD1257" s="44"/>
      <c r="BE1257" s="38"/>
      <c r="BF1257" s="36"/>
      <c r="BG1257" s="16"/>
      <c r="BH1257" s="16"/>
      <c r="BI1257" s="16"/>
      <c r="BJ1257" s="16"/>
      <c r="BK1257" s="16"/>
      <c r="BL1257" s="16"/>
      <c r="BM1257" s="16"/>
      <c r="BN1257" s="16"/>
      <c r="BO1257" s="16"/>
      <c r="BP1257" s="16"/>
      <c r="BQ1257" s="16"/>
      <c r="BR1257" s="16"/>
      <c r="BS1257" s="16"/>
      <c r="BT1257" s="16"/>
      <c r="BU1257" s="16"/>
      <c r="BV1257" s="16"/>
      <c r="BW1257" s="16"/>
      <c r="BX1257" s="16"/>
      <c r="BY1257" s="16"/>
      <c r="BZ1257" s="16"/>
      <c r="CA1257" s="16"/>
      <c r="CB1257" s="16"/>
      <c r="CC1257" s="16"/>
      <c r="CD1257" s="16"/>
      <c r="CE1257" s="16"/>
      <c r="CF1257" s="16"/>
      <c r="CG1257" s="16"/>
      <c r="CH1257" s="16"/>
      <c r="CI1257" s="16"/>
      <c r="CJ1257" s="16"/>
      <c r="CK1257" s="16"/>
      <c r="CL1257" s="16"/>
      <c r="CM1257" s="16"/>
      <c r="CN1257" s="16"/>
      <c r="CO1257" s="16"/>
      <c r="CP1257" s="16"/>
    </row>
    <row r="1258" ht="15.75" customHeight="1">
      <c r="A1258" s="462" t="s">
        <v>5987</v>
      </c>
      <c r="B1258" s="16"/>
      <c r="C1258" s="17" t="s">
        <v>123</v>
      </c>
      <c r="D1258" s="337"/>
      <c r="E1258" s="462"/>
      <c r="F1258" s="20" t="s">
        <v>5988</v>
      </c>
      <c r="G1258" s="317"/>
      <c r="H1258" s="22" t="s">
        <v>357</v>
      </c>
      <c r="I1258" s="23" t="s">
        <v>358</v>
      </c>
      <c r="J1258" s="237"/>
      <c r="K1258" s="36"/>
      <c r="L1258" s="23"/>
      <c r="M1258" s="25">
        <f t="shared" si="789"/>
        <v>2025</v>
      </c>
      <c r="N1258" s="26">
        <f t="shared" si="790"/>
        <v>0</v>
      </c>
      <c r="O1258" s="27" t="str">
        <f t="shared" si="3"/>
        <v>#N/A</v>
      </c>
      <c r="P1258" s="28"/>
      <c r="Q1258" s="28"/>
      <c r="R1258" s="28"/>
      <c r="S1258" s="28"/>
      <c r="T1258" s="29">
        <f t="shared" si="791"/>
        <v>0</v>
      </c>
      <c r="U1258" s="28"/>
      <c r="V1258" s="30">
        <f t="shared" si="425"/>
        <v>0</v>
      </c>
      <c r="W1258" s="30"/>
      <c r="X1258" s="847"/>
      <c r="Y1258" s="33" t="str">
        <f t="shared" si="792"/>
        <v>#DIV/0!</v>
      </c>
      <c r="Z1258" s="692"/>
      <c r="AA1258" s="665"/>
      <c r="AB1258" s="36"/>
      <c r="AC1258" s="36"/>
      <c r="AD1258" s="44"/>
      <c r="AE1258" s="46"/>
      <c r="AF1258" s="39"/>
      <c r="AG1258" s="46"/>
      <c r="AH1258" s="36"/>
      <c r="AI1258" s="46"/>
      <c r="AJ1258" s="44"/>
      <c r="AK1258" s="46"/>
      <c r="AL1258" s="44"/>
      <c r="AM1258" s="46"/>
      <c r="AN1258" s="44"/>
      <c r="AO1258" s="46"/>
      <c r="AP1258" s="44"/>
      <c r="AQ1258" s="46"/>
      <c r="AR1258" s="44"/>
      <c r="AS1258" s="44"/>
      <c r="AT1258" s="44"/>
      <c r="AU1258" s="45"/>
      <c r="AV1258" s="44"/>
      <c r="AW1258" s="38"/>
      <c r="AX1258" s="44"/>
      <c r="AY1258" s="38"/>
      <c r="AZ1258" s="44"/>
      <c r="BA1258" s="45"/>
      <c r="BB1258" s="44"/>
      <c r="BC1258" s="45"/>
      <c r="BD1258" s="44"/>
      <c r="BE1258" s="38"/>
      <c r="BF1258" s="36"/>
      <c r="BG1258" s="16"/>
      <c r="BH1258" s="16"/>
      <c r="BI1258" s="16"/>
      <c r="BJ1258" s="16"/>
      <c r="BK1258" s="16"/>
      <c r="BL1258" s="16"/>
      <c r="BM1258" s="16"/>
      <c r="BN1258" s="16"/>
      <c r="BO1258" s="16"/>
      <c r="BP1258" s="16"/>
      <c r="BQ1258" s="16"/>
      <c r="BR1258" s="16"/>
      <c r="BS1258" s="16"/>
      <c r="BT1258" s="16"/>
      <c r="BU1258" s="16"/>
      <c r="BV1258" s="16"/>
      <c r="BW1258" s="16"/>
      <c r="BX1258" s="16"/>
      <c r="BY1258" s="16"/>
      <c r="BZ1258" s="16"/>
      <c r="CA1258" s="16"/>
      <c r="CB1258" s="16"/>
      <c r="CC1258" s="16"/>
      <c r="CD1258" s="16"/>
      <c r="CE1258" s="16"/>
      <c r="CF1258" s="16"/>
      <c r="CG1258" s="16"/>
      <c r="CH1258" s="16"/>
      <c r="CI1258" s="16"/>
      <c r="CJ1258" s="16"/>
      <c r="CK1258" s="16"/>
      <c r="CL1258" s="16"/>
      <c r="CM1258" s="16"/>
      <c r="CN1258" s="16"/>
      <c r="CO1258" s="16"/>
      <c r="CP1258" s="16"/>
    </row>
    <row r="1259" ht="15.75" customHeight="1">
      <c r="A1259" s="866" t="s">
        <v>5989</v>
      </c>
      <c r="B1259" s="16"/>
      <c r="C1259" s="17" t="s">
        <v>123</v>
      </c>
      <c r="D1259" s="337"/>
      <c r="E1259" s="18" t="s">
        <v>5990</v>
      </c>
      <c r="F1259" s="20" t="s">
        <v>5991</v>
      </c>
      <c r="G1259" s="317"/>
      <c r="H1259" s="22" t="s">
        <v>5992</v>
      </c>
      <c r="I1259" s="23" t="s">
        <v>4984</v>
      </c>
      <c r="J1259" s="237"/>
      <c r="K1259" s="36"/>
      <c r="L1259" s="23">
        <v>2001.0</v>
      </c>
      <c r="M1259" s="25">
        <f t="shared" si="789"/>
        <v>24</v>
      </c>
      <c r="N1259" s="26">
        <f t="shared" si="790"/>
        <v>0</v>
      </c>
      <c r="O1259" s="27" t="str">
        <f t="shared" si="3"/>
        <v>#N/A</v>
      </c>
      <c r="P1259" s="28"/>
      <c r="Q1259" s="28"/>
      <c r="R1259" s="28"/>
      <c r="S1259" s="28"/>
      <c r="T1259" s="29">
        <f t="shared" si="791"/>
        <v>0</v>
      </c>
      <c r="U1259" s="28"/>
      <c r="V1259" s="30">
        <f t="shared" si="425"/>
        <v>0</v>
      </c>
      <c r="W1259" s="30"/>
      <c r="X1259" s="847"/>
      <c r="Y1259" s="33" t="str">
        <f t="shared" si="792"/>
        <v>#DIV/0!</v>
      </c>
      <c r="Z1259" s="692"/>
      <c r="AA1259" s="665"/>
      <c r="AB1259" s="36"/>
      <c r="AC1259" s="36"/>
      <c r="AD1259" s="44"/>
      <c r="AE1259" s="46"/>
      <c r="AF1259" s="39"/>
      <c r="AG1259" s="46"/>
      <c r="AH1259" s="36"/>
      <c r="AI1259" s="46"/>
      <c r="AJ1259" s="44"/>
      <c r="AK1259" s="46"/>
      <c r="AL1259" s="44"/>
      <c r="AM1259" s="46"/>
      <c r="AN1259" s="44"/>
      <c r="AO1259" s="46"/>
      <c r="AP1259" s="44"/>
      <c r="AQ1259" s="46"/>
      <c r="AR1259" s="44"/>
      <c r="AS1259" s="44"/>
      <c r="AT1259" s="44"/>
      <c r="AU1259" s="45"/>
      <c r="AV1259" s="44"/>
      <c r="AW1259" s="38"/>
      <c r="AX1259" s="44"/>
      <c r="AY1259" s="38"/>
      <c r="AZ1259" s="44"/>
      <c r="BA1259" s="45"/>
      <c r="BB1259" s="44"/>
      <c r="BC1259" s="45"/>
      <c r="BD1259" s="44"/>
      <c r="BE1259" s="38"/>
      <c r="BF1259" s="36"/>
      <c r="BG1259" s="16"/>
      <c r="BH1259" s="16"/>
      <c r="BI1259" s="16"/>
      <c r="BJ1259" s="16"/>
      <c r="BK1259" s="16"/>
      <c r="BL1259" s="16"/>
      <c r="BM1259" s="16"/>
      <c r="BN1259" s="16"/>
      <c r="BO1259" s="16"/>
      <c r="BP1259" s="16"/>
      <c r="BQ1259" s="16"/>
      <c r="BR1259" s="16"/>
      <c r="BS1259" s="16"/>
      <c r="BT1259" s="16"/>
      <c r="BU1259" s="16"/>
      <c r="BV1259" s="16"/>
      <c r="BW1259" s="16"/>
      <c r="BX1259" s="16"/>
      <c r="BY1259" s="16"/>
      <c r="BZ1259" s="16"/>
      <c r="CA1259" s="16"/>
      <c r="CB1259" s="16"/>
      <c r="CC1259" s="16"/>
      <c r="CD1259" s="16"/>
      <c r="CE1259" s="16"/>
      <c r="CF1259" s="16"/>
      <c r="CG1259" s="16"/>
      <c r="CH1259" s="16"/>
      <c r="CI1259" s="16"/>
      <c r="CJ1259" s="16"/>
      <c r="CK1259" s="16"/>
      <c r="CL1259" s="16"/>
      <c r="CM1259" s="16"/>
      <c r="CN1259" s="16"/>
      <c r="CO1259" s="16"/>
      <c r="CP1259" s="16"/>
    </row>
    <row r="1260" ht="15.75" customHeight="1">
      <c r="A1260" s="866" t="s">
        <v>5993</v>
      </c>
      <c r="B1260" s="16"/>
      <c r="C1260" s="17" t="s">
        <v>207</v>
      </c>
      <c r="D1260" s="236" t="s">
        <v>5994</v>
      </c>
      <c r="E1260" s="337"/>
      <c r="F1260" s="118" t="s">
        <v>5995</v>
      </c>
      <c r="G1260" s="317"/>
      <c r="H1260" s="317"/>
      <c r="I1260" s="36"/>
      <c r="J1260" s="237"/>
      <c r="K1260" s="36"/>
      <c r="L1260" s="23"/>
      <c r="M1260" s="25">
        <f t="shared" si="789"/>
        <v>2025</v>
      </c>
      <c r="N1260" s="26">
        <f t="shared" si="790"/>
        <v>0</v>
      </c>
      <c r="O1260" s="27" t="str">
        <f t="shared" si="3"/>
        <v>#N/A</v>
      </c>
      <c r="P1260" s="28"/>
      <c r="Q1260" s="28"/>
      <c r="R1260" s="28"/>
      <c r="S1260" s="28"/>
      <c r="T1260" s="29">
        <f t="shared" si="791"/>
        <v>0</v>
      </c>
      <c r="U1260" s="28"/>
      <c r="V1260" s="30">
        <f t="shared" si="425"/>
        <v>0</v>
      </c>
      <c r="W1260" s="30"/>
      <c r="X1260" s="847"/>
      <c r="Y1260" s="33" t="str">
        <f t="shared" si="792"/>
        <v>#DIV/0!</v>
      </c>
      <c r="Z1260" s="692"/>
      <c r="AA1260" s="665"/>
      <c r="AB1260" s="36"/>
      <c r="AC1260" s="36"/>
      <c r="AD1260" s="44"/>
      <c r="AE1260" s="46"/>
      <c r="AF1260" s="39"/>
      <c r="AG1260" s="46"/>
      <c r="AH1260" s="36"/>
      <c r="AI1260" s="46"/>
      <c r="AJ1260" s="44"/>
      <c r="AK1260" s="38"/>
      <c r="AL1260" s="44"/>
      <c r="AM1260" s="46"/>
      <c r="AN1260" s="44"/>
      <c r="AO1260" s="46"/>
      <c r="AP1260" s="44"/>
      <c r="AQ1260" s="46"/>
      <c r="AR1260" s="44"/>
      <c r="AS1260" s="44"/>
      <c r="AT1260" s="44"/>
      <c r="AU1260" s="45"/>
      <c r="AV1260" s="44"/>
      <c r="AW1260" s="38"/>
      <c r="AX1260" s="44"/>
      <c r="AY1260" s="38"/>
      <c r="AZ1260" s="44"/>
      <c r="BA1260" s="45"/>
      <c r="BB1260" s="44"/>
      <c r="BC1260" s="45"/>
      <c r="BD1260" s="44"/>
      <c r="BE1260" s="38"/>
      <c r="BF1260" s="36"/>
      <c r="BG1260" s="16"/>
      <c r="BH1260" s="16"/>
      <c r="BI1260" s="16"/>
      <c r="BJ1260" s="16"/>
      <c r="BK1260" s="16"/>
      <c r="BL1260" s="16"/>
      <c r="BM1260" s="16"/>
      <c r="BN1260" s="16"/>
      <c r="BO1260" s="16"/>
      <c r="BP1260" s="16"/>
      <c r="BQ1260" s="16"/>
      <c r="BR1260" s="16"/>
      <c r="BS1260" s="16"/>
      <c r="BT1260" s="16"/>
      <c r="BU1260" s="16"/>
      <c r="BV1260" s="16"/>
      <c r="BW1260" s="16"/>
      <c r="BX1260" s="16"/>
      <c r="BY1260" s="16"/>
      <c r="BZ1260" s="16"/>
      <c r="CA1260" s="16"/>
      <c r="CB1260" s="16"/>
      <c r="CC1260" s="16"/>
      <c r="CD1260" s="16"/>
      <c r="CE1260" s="16"/>
      <c r="CF1260" s="16"/>
      <c r="CG1260" s="16"/>
      <c r="CH1260" s="16"/>
      <c r="CI1260" s="16"/>
      <c r="CJ1260" s="16"/>
      <c r="CK1260" s="16"/>
      <c r="CL1260" s="16"/>
      <c r="CM1260" s="16"/>
      <c r="CN1260" s="16"/>
      <c r="CO1260" s="16"/>
      <c r="CP1260" s="16"/>
    </row>
    <row r="1261" ht="15.75" customHeight="1">
      <c r="A1261" s="442" t="s">
        <v>5996</v>
      </c>
      <c r="B1261" s="16" t="s">
        <v>3545</v>
      </c>
      <c r="C1261" s="17" t="s">
        <v>123</v>
      </c>
      <c r="D1261" s="337"/>
      <c r="E1261" s="184" t="s">
        <v>5997</v>
      </c>
      <c r="F1261" s="185" t="s">
        <v>5998</v>
      </c>
      <c r="G1261" s="317" t="s">
        <v>5999</v>
      </c>
      <c r="H1261" s="317" t="s">
        <v>128</v>
      </c>
      <c r="I1261" s="36" t="s">
        <v>156</v>
      </c>
      <c r="J1261" s="237" t="s">
        <v>3154</v>
      </c>
      <c r="K1261" s="36">
        <v>4.0</v>
      </c>
      <c r="L1261" s="23">
        <v>2005.0</v>
      </c>
      <c r="M1261" s="25">
        <f t="shared" si="789"/>
        <v>20</v>
      </c>
      <c r="N1261" s="26">
        <f t="shared" si="790"/>
        <v>0</v>
      </c>
      <c r="O1261" s="27" t="str">
        <f t="shared" si="3"/>
        <v>#N/A</v>
      </c>
      <c r="P1261" s="28"/>
      <c r="Q1261" s="28"/>
      <c r="R1261" s="28"/>
      <c r="S1261" s="28"/>
      <c r="T1261" s="29">
        <f t="shared" si="791"/>
        <v>0</v>
      </c>
      <c r="U1261" s="28"/>
      <c r="V1261" s="30">
        <f t="shared" si="425"/>
        <v>0</v>
      </c>
      <c r="W1261" s="30"/>
      <c r="X1261" s="847"/>
      <c r="Y1261" s="33" t="str">
        <f t="shared" si="792"/>
        <v>#DIV/0!</v>
      </c>
      <c r="Z1261" s="692"/>
      <c r="AA1261" s="665"/>
      <c r="AB1261" s="36"/>
      <c r="AC1261" s="36"/>
      <c r="AD1261" s="44"/>
      <c r="AE1261" s="46"/>
      <c r="AF1261" s="158" t="str">
        <f> HYPERLINK("https://www.crunchbase.com/funding_round/addressreport-seed--a45d284f#section-overview", "Aug 8, 2013")</f>
        <v>Aug 8, 2013</v>
      </c>
      <c r="AG1261" s="46"/>
      <c r="AH1261" s="36"/>
      <c r="AI1261" s="46"/>
      <c r="AJ1261" s="473"/>
      <c r="AK1261" s="38"/>
      <c r="AL1261" s="44"/>
      <c r="AM1261" s="46"/>
      <c r="AN1261" s="44"/>
      <c r="AO1261" s="46"/>
      <c r="AP1261" s="44"/>
      <c r="AQ1261" s="46"/>
      <c r="AR1261" s="44"/>
      <c r="AS1261" s="44"/>
      <c r="AT1261" s="44"/>
      <c r="AU1261" s="45"/>
      <c r="AV1261" s="44"/>
      <c r="AW1261" s="38"/>
      <c r="AX1261" s="44"/>
      <c r="AY1261" s="38"/>
      <c r="AZ1261" s="44"/>
      <c r="BA1261" s="45"/>
      <c r="BB1261" s="44"/>
      <c r="BC1261" s="45"/>
      <c r="BD1261" s="44"/>
      <c r="BE1261" s="38"/>
      <c r="BF1261" s="36"/>
      <c r="BG1261" s="16"/>
      <c r="BH1261" s="16"/>
      <c r="BI1261" s="16"/>
      <c r="BJ1261" s="16"/>
      <c r="BK1261" s="16"/>
      <c r="BL1261" s="16"/>
      <c r="BM1261" s="16"/>
      <c r="BN1261" s="16"/>
      <c r="BO1261" s="16"/>
      <c r="BP1261" s="16"/>
      <c r="BQ1261" s="16"/>
      <c r="BR1261" s="16"/>
      <c r="BS1261" s="16"/>
      <c r="BT1261" s="16"/>
      <c r="BU1261" s="16"/>
      <c r="BV1261" s="16"/>
      <c r="BW1261" s="16"/>
      <c r="BX1261" s="16"/>
      <c r="BY1261" s="16"/>
      <c r="BZ1261" s="16"/>
      <c r="CA1261" s="16"/>
      <c r="CB1261" s="16"/>
      <c r="CC1261" s="16"/>
      <c r="CD1261" s="16"/>
      <c r="CE1261" s="16"/>
      <c r="CF1261" s="16"/>
      <c r="CG1261" s="16"/>
      <c r="CH1261" s="16"/>
      <c r="CI1261" s="16"/>
      <c r="CJ1261" s="16"/>
      <c r="CK1261" s="16"/>
      <c r="CL1261" s="16"/>
      <c r="CM1261" s="16"/>
      <c r="CN1261" s="16"/>
      <c r="CO1261" s="16"/>
      <c r="CP1261" s="16"/>
    </row>
    <row r="1262" ht="15.75" customHeight="1">
      <c r="A1262" s="866" t="s">
        <v>6000</v>
      </c>
      <c r="B1262" s="68"/>
      <c r="C1262" s="69" t="s">
        <v>123</v>
      </c>
      <c r="D1262" s="236" t="s">
        <v>6001</v>
      </c>
      <c r="E1262" s="18" t="s">
        <v>6002</v>
      </c>
      <c r="F1262" s="20" t="s">
        <v>6003</v>
      </c>
      <c r="G1262" s="71"/>
      <c r="H1262" s="71" t="s">
        <v>5992</v>
      </c>
      <c r="I1262" s="26" t="s">
        <v>64</v>
      </c>
      <c r="J1262" s="72"/>
      <c r="K1262" s="74"/>
      <c r="L1262" s="26">
        <v>2018.0</v>
      </c>
      <c r="M1262" s="25">
        <f t="shared" si="789"/>
        <v>7</v>
      </c>
      <c r="N1262" s="26">
        <f t="shared" si="790"/>
        <v>0</v>
      </c>
      <c r="O1262" s="27" t="str">
        <f t="shared" si="3"/>
        <v>#N/A</v>
      </c>
      <c r="P1262" s="28"/>
      <c r="Q1262" s="28"/>
      <c r="R1262" s="28"/>
      <c r="S1262" s="28"/>
      <c r="T1262" s="29">
        <f t="shared" si="791"/>
        <v>0</v>
      </c>
      <c r="U1262" s="28"/>
      <c r="V1262" s="30">
        <f t="shared" si="425"/>
        <v>0</v>
      </c>
      <c r="W1262" s="30"/>
      <c r="X1262" s="32"/>
      <c r="Y1262" s="33" t="str">
        <f t="shared" si="792"/>
        <v>#DIV/0!</v>
      </c>
      <c r="Z1262" s="692"/>
      <c r="AA1262" s="665"/>
      <c r="AB1262" s="74"/>
      <c r="AC1262" s="74"/>
      <c r="AD1262" s="79"/>
      <c r="AE1262" s="84"/>
      <c r="AF1262" s="338"/>
      <c r="AG1262" s="84"/>
      <c r="AH1262" s="74"/>
      <c r="AI1262" s="78"/>
      <c r="AJ1262" s="79"/>
      <c r="AK1262" s="84"/>
      <c r="AL1262" s="79"/>
      <c r="AM1262" s="84"/>
      <c r="AN1262" s="79"/>
      <c r="AO1262" s="84"/>
      <c r="AP1262" s="79"/>
      <c r="AQ1262" s="84"/>
      <c r="AR1262" s="79"/>
      <c r="AS1262" s="79"/>
      <c r="AT1262" s="79"/>
      <c r="AU1262" s="80"/>
      <c r="AV1262" s="79"/>
      <c r="AW1262" s="38"/>
      <c r="AX1262" s="79"/>
      <c r="AY1262" s="38"/>
      <c r="AZ1262" s="79"/>
      <c r="BA1262" s="80"/>
      <c r="BB1262" s="79"/>
      <c r="BC1262" s="80"/>
      <c r="BD1262" s="79"/>
      <c r="BE1262" s="38"/>
      <c r="BF1262" s="74"/>
      <c r="BG1262" s="16"/>
      <c r="BH1262" s="16"/>
      <c r="BI1262" s="16"/>
      <c r="BJ1262" s="16"/>
      <c r="BK1262" s="16"/>
      <c r="BL1262" s="16"/>
      <c r="BM1262" s="16"/>
      <c r="BN1262" s="16"/>
      <c r="BO1262" s="16"/>
      <c r="BP1262" s="16"/>
      <c r="BQ1262" s="16"/>
      <c r="BR1262" s="16"/>
      <c r="BS1262" s="16"/>
      <c r="BT1262" s="16"/>
      <c r="BU1262" s="16"/>
      <c r="BV1262" s="16"/>
      <c r="BW1262" s="16"/>
      <c r="BX1262" s="16"/>
      <c r="BY1262" s="16"/>
      <c r="BZ1262" s="16"/>
      <c r="CA1262" s="16"/>
      <c r="CB1262" s="16"/>
      <c r="CC1262" s="16"/>
      <c r="CD1262" s="16"/>
      <c r="CE1262" s="16"/>
      <c r="CF1262" s="16"/>
      <c r="CG1262" s="16"/>
      <c r="CH1262" s="16"/>
      <c r="CI1262" s="16"/>
      <c r="CJ1262" s="16"/>
      <c r="CK1262" s="16"/>
      <c r="CL1262" s="16"/>
      <c r="CM1262" s="16"/>
      <c r="CN1262" s="16"/>
      <c r="CO1262" s="16"/>
      <c r="CP1262" s="16"/>
    </row>
    <row r="1263" ht="15.75" customHeight="1">
      <c r="A1263" s="21" t="s">
        <v>6004</v>
      </c>
      <c r="B1263" s="68"/>
      <c r="C1263" s="69" t="s">
        <v>123</v>
      </c>
      <c r="D1263" s="200" t="s">
        <v>6005</v>
      </c>
      <c r="E1263" s="138" t="s">
        <v>6006</v>
      </c>
      <c r="F1263" s="1533" t="s">
        <v>6007</v>
      </c>
      <c r="G1263" s="71" t="s">
        <v>6008</v>
      </c>
      <c r="H1263" s="71" t="s">
        <v>6009</v>
      </c>
      <c r="I1263" s="26" t="s">
        <v>65</v>
      </c>
      <c r="J1263" s="72" t="s">
        <v>6010</v>
      </c>
      <c r="K1263" s="74" t="s">
        <v>723</v>
      </c>
      <c r="L1263" s="26">
        <v>2013.0</v>
      </c>
      <c r="M1263" s="25">
        <f t="shared" si="789"/>
        <v>12</v>
      </c>
      <c r="N1263" s="26">
        <f t="shared" si="790"/>
        <v>0</v>
      </c>
      <c r="O1263" s="27" t="str">
        <f t="shared" si="3"/>
        <v>#N/A</v>
      </c>
      <c r="P1263" s="28"/>
      <c r="Q1263" s="28"/>
      <c r="R1263" s="28"/>
      <c r="S1263" s="28"/>
      <c r="T1263" s="29">
        <f t="shared" si="791"/>
        <v>0</v>
      </c>
      <c r="U1263" s="28"/>
      <c r="V1263" s="30">
        <f t="shared" si="425"/>
        <v>0</v>
      </c>
      <c r="W1263" s="30"/>
      <c r="X1263" s="32"/>
      <c r="Y1263" s="33" t="str">
        <f t="shared" si="792"/>
        <v>#DIV/0!</v>
      </c>
      <c r="Z1263" s="692"/>
      <c r="AA1263" s="665"/>
      <c r="AB1263" s="74"/>
      <c r="AC1263" s="74"/>
      <c r="AD1263" s="79"/>
      <c r="AE1263" s="84"/>
      <c r="AF1263" s="338"/>
      <c r="AG1263" s="84"/>
      <c r="AH1263" s="74"/>
      <c r="AI1263" s="78"/>
      <c r="AJ1263" s="79"/>
      <c r="AK1263" s="84"/>
      <c r="AL1263" s="79"/>
      <c r="AM1263" s="84"/>
      <c r="AN1263" s="79"/>
      <c r="AO1263" s="84"/>
      <c r="AP1263" s="79"/>
      <c r="AQ1263" s="84"/>
      <c r="AR1263" s="79"/>
      <c r="AS1263" s="79"/>
      <c r="AT1263" s="79"/>
      <c r="AU1263" s="80"/>
      <c r="AV1263" s="79"/>
      <c r="AW1263" s="38"/>
      <c r="AX1263" s="79"/>
      <c r="AY1263" s="38"/>
      <c r="AZ1263" s="79"/>
      <c r="BA1263" s="80"/>
      <c r="BB1263" s="79"/>
      <c r="BC1263" s="80"/>
      <c r="BD1263" s="79"/>
      <c r="BE1263" s="38"/>
      <c r="BF1263" s="74"/>
      <c r="BG1263" s="534"/>
      <c r="BH1263" s="534"/>
      <c r="BI1263" s="534"/>
      <c r="BJ1263" s="534"/>
      <c r="BK1263" s="534"/>
      <c r="BL1263" s="534"/>
      <c r="BM1263" s="534"/>
      <c r="BN1263" s="534"/>
      <c r="BO1263" s="534"/>
      <c r="BP1263" s="534"/>
      <c r="BQ1263" s="534"/>
      <c r="BR1263" s="534"/>
      <c r="BS1263" s="534"/>
      <c r="BT1263" s="534"/>
      <c r="BU1263" s="534"/>
      <c r="BV1263" s="534"/>
      <c r="BW1263" s="534"/>
      <c r="BX1263" s="534"/>
      <c r="BY1263" s="534"/>
      <c r="BZ1263" s="534"/>
      <c r="CA1263" s="534"/>
      <c r="CB1263" s="534"/>
      <c r="CC1263" s="534"/>
      <c r="CD1263" s="534"/>
      <c r="CE1263" s="534"/>
      <c r="CF1263" s="534"/>
      <c r="CG1263" s="534"/>
      <c r="CH1263" s="534"/>
      <c r="CI1263" s="534"/>
      <c r="CJ1263" s="534"/>
      <c r="CK1263" s="534"/>
      <c r="CL1263" s="534"/>
      <c r="CM1263" s="534"/>
      <c r="CN1263" s="534"/>
      <c r="CO1263" s="534"/>
      <c r="CP1263" s="534"/>
    </row>
    <row r="1264" ht="15.75" customHeight="1">
      <c r="A1264" s="866" t="s">
        <v>6011</v>
      </c>
      <c r="B1264" s="16"/>
      <c r="C1264" s="17" t="s">
        <v>132</v>
      </c>
      <c r="D1264" s="245"/>
      <c r="E1264" s="18" t="s">
        <v>6012</v>
      </c>
      <c r="F1264" s="20" t="s">
        <v>6013</v>
      </c>
      <c r="G1264" s="810"/>
      <c r="H1264" s="810" t="s">
        <v>6014</v>
      </c>
      <c r="I1264" s="23" t="s">
        <v>6015</v>
      </c>
      <c r="J1264" s="24"/>
      <c r="K1264" s="23"/>
      <c r="L1264" s="712">
        <v>2014.0</v>
      </c>
      <c r="M1264" s="25">
        <f t="shared" si="789"/>
        <v>11</v>
      </c>
      <c r="N1264" s="26">
        <f t="shared" si="790"/>
        <v>0</v>
      </c>
      <c r="O1264" s="27" t="str">
        <f t="shared" si="3"/>
        <v>#N/A</v>
      </c>
      <c r="P1264" s="28"/>
      <c r="Q1264" s="28"/>
      <c r="R1264" s="28"/>
      <c r="S1264" s="28"/>
      <c r="T1264" s="29">
        <f t="shared" si="791"/>
        <v>0</v>
      </c>
      <c r="U1264" s="28"/>
      <c r="V1264" s="30">
        <f t="shared" si="425"/>
        <v>0</v>
      </c>
      <c r="W1264" s="30"/>
      <c r="X1264" s="33"/>
      <c r="Y1264" s="33" t="str">
        <f t="shared" si="792"/>
        <v>#DIV/0!</v>
      </c>
      <c r="Z1264" s="692"/>
      <c r="AA1264" s="665"/>
      <c r="AB1264" s="36"/>
      <c r="AC1264" s="36"/>
      <c r="AD1264" s="37"/>
      <c r="AE1264" s="38"/>
      <c r="AF1264" s="39"/>
      <c r="AG1264" s="38"/>
      <c r="AH1264" s="36"/>
      <c r="AI1264" s="46"/>
      <c r="AJ1264" s="37"/>
      <c r="AK1264" s="38"/>
      <c r="AL1264" s="37"/>
      <c r="AM1264" s="38"/>
      <c r="AN1264" s="44"/>
      <c r="AO1264" s="46"/>
      <c r="AP1264" s="967"/>
      <c r="AQ1264" s="968"/>
      <c r="AR1264" s="967"/>
      <c r="AS1264" s="38"/>
      <c r="AT1264" s="44"/>
      <c r="AU1264" s="45"/>
      <c r="AV1264" s="44"/>
      <c r="AW1264" s="38"/>
      <c r="AX1264" s="44"/>
      <c r="AY1264" s="38"/>
      <c r="AZ1264" s="44"/>
      <c r="BA1264" s="45"/>
      <c r="BB1264" s="44"/>
      <c r="BC1264" s="45"/>
      <c r="BD1264" s="44"/>
      <c r="BE1264" s="38"/>
      <c r="BF1264" s="36"/>
      <c r="BG1264" s="534"/>
      <c r="BH1264" s="534"/>
      <c r="BI1264" s="534"/>
      <c r="BJ1264" s="534"/>
      <c r="BK1264" s="534"/>
      <c r="BL1264" s="534"/>
      <c r="BM1264" s="534"/>
      <c r="BN1264" s="534"/>
      <c r="BO1264" s="534"/>
      <c r="BP1264" s="534"/>
      <c r="BQ1264" s="534"/>
      <c r="BR1264" s="534"/>
      <c r="BS1264" s="534"/>
      <c r="BT1264" s="534"/>
      <c r="BU1264" s="534"/>
      <c r="BV1264" s="534"/>
      <c r="BW1264" s="534"/>
      <c r="BX1264" s="534"/>
      <c r="BY1264" s="534"/>
      <c r="BZ1264" s="534"/>
      <c r="CA1264" s="534"/>
      <c r="CB1264" s="534"/>
      <c r="CC1264" s="534"/>
      <c r="CD1264" s="534"/>
      <c r="CE1264" s="534"/>
      <c r="CF1264" s="534"/>
      <c r="CG1264" s="534"/>
      <c r="CH1264" s="534"/>
      <c r="CI1264" s="534"/>
      <c r="CJ1264" s="534"/>
      <c r="CK1264" s="534"/>
      <c r="CL1264" s="534"/>
      <c r="CM1264" s="534"/>
      <c r="CN1264" s="534"/>
      <c r="CO1264" s="534"/>
      <c r="CP1264" s="534"/>
    </row>
    <row r="1265" ht="15.75" customHeight="1">
      <c r="A1265" s="866" t="s">
        <v>6016</v>
      </c>
      <c r="B1265" s="16"/>
      <c r="C1265" s="17" t="s">
        <v>123</v>
      </c>
      <c r="D1265" s="236" t="s">
        <v>6017</v>
      </c>
      <c r="E1265" s="18" t="s">
        <v>6018</v>
      </c>
      <c r="F1265" s="20" t="s">
        <v>6019</v>
      </c>
      <c r="G1265" s="810"/>
      <c r="H1265" s="810" t="s">
        <v>937</v>
      </c>
      <c r="I1265" s="23" t="s">
        <v>65</v>
      </c>
      <c r="J1265" s="24"/>
      <c r="K1265" s="23"/>
      <c r="L1265" s="712">
        <v>2011.0</v>
      </c>
      <c r="M1265" s="25">
        <f t="shared" si="789"/>
        <v>14</v>
      </c>
      <c r="N1265" s="26">
        <f t="shared" si="790"/>
        <v>0</v>
      </c>
      <c r="O1265" s="27" t="str">
        <f t="shared" si="3"/>
        <v>#N/A</v>
      </c>
      <c r="P1265" s="28"/>
      <c r="Q1265" s="28"/>
      <c r="R1265" s="28"/>
      <c r="S1265" s="28"/>
      <c r="T1265" s="29">
        <f t="shared" si="791"/>
        <v>0</v>
      </c>
      <c r="U1265" s="28"/>
      <c r="V1265" s="30">
        <f t="shared" si="425"/>
        <v>0</v>
      </c>
      <c r="W1265" s="30"/>
      <c r="X1265" s="33"/>
      <c r="Y1265" s="33" t="str">
        <f t="shared" si="792"/>
        <v>#DIV/0!</v>
      </c>
      <c r="Z1265" s="692"/>
      <c r="AA1265" s="665"/>
      <c r="AB1265" s="36"/>
      <c r="AC1265" s="36"/>
      <c r="AD1265" s="37"/>
      <c r="AE1265" s="38"/>
      <c r="AF1265" s="39"/>
      <c r="AG1265" s="38"/>
      <c r="AH1265" s="36"/>
      <c r="AI1265" s="46"/>
      <c r="AJ1265" s="37"/>
      <c r="AK1265" s="38"/>
      <c r="AL1265" s="37"/>
      <c r="AM1265" s="38"/>
      <c r="AN1265" s="44"/>
      <c r="AO1265" s="46"/>
      <c r="AP1265" s="967"/>
      <c r="AQ1265" s="968"/>
      <c r="AR1265" s="967"/>
      <c r="AS1265" s="38"/>
      <c r="AT1265" s="44"/>
      <c r="AU1265" s="45"/>
      <c r="AV1265" s="44"/>
      <c r="AW1265" s="38"/>
      <c r="AX1265" s="44"/>
      <c r="AY1265" s="38"/>
      <c r="AZ1265" s="44"/>
      <c r="BA1265" s="45"/>
      <c r="BB1265" s="44"/>
      <c r="BC1265" s="45"/>
      <c r="BD1265" s="44"/>
      <c r="BE1265" s="38"/>
      <c r="BF1265" s="36"/>
      <c r="BG1265" s="16"/>
      <c r="BH1265" s="16"/>
      <c r="BI1265" s="16"/>
      <c r="BJ1265" s="16"/>
      <c r="BK1265" s="16"/>
      <c r="BL1265" s="16"/>
      <c r="BM1265" s="16"/>
      <c r="BN1265" s="16"/>
      <c r="BO1265" s="16"/>
      <c r="BP1265" s="16"/>
      <c r="BQ1265" s="16"/>
      <c r="BR1265" s="16"/>
      <c r="BS1265" s="16"/>
      <c r="BT1265" s="16"/>
      <c r="BU1265" s="16"/>
      <c r="BV1265" s="16"/>
      <c r="BW1265" s="16"/>
      <c r="BX1265" s="16"/>
      <c r="BY1265" s="16"/>
      <c r="BZ1265" s="16"/>
      <c r="CA1265" s="16"/>
      <c r="CB1265" s="16"/>
      <c r="CC1265" s="16"/>
      <c r="CD1265" s="16"/>
      <c r="CE1265" s="16"/>
      <c r="CF1265" s="16"/>
      <c r="CG1265" s="16"/>
      <c r="CH1265" s="16"/>
      <c r="CI1265" s="16"/>
      <c r="CJ1265" s="16"/>
      <c r="CK1265" s="16"/>
      <c r="CL1265" s="16"/>
      <c r="CM1265" s="16"/>
      <c r="CN1265" s="16"/>
      <c r="CO1265" s="16"/>
      <c r="CP1265" s="16"/>
    </row>
    <row r="1266" ht="15.75" customHeight="1">
      <c r="A1266" s="866" t="s">
        <v>6020</v>
      </c>
      <c r="B1266" s="16"/>
      <c r="C1266" s="17" t="s">
        <v>123</v>
      </c>
      <c r="D1266" s="192" t="s">
        <v>6021</v>
      </c>
      <c r="E1266" s="18" t="s">
        <v>6022</v>
      </c>
      <c r="F1266" s="20" t="s">
        <v>6023</v>
      </c>
      <c r="G1266" s="810"/>
      <c r="H1266" s="810" t="s">
        <v>328</v>
      </c>
      <c r="I1266" s="23" t="s">
        <v>329</v>
      </c>
      <c r="J1266" s="24"/>
      <c r="K1266" s="23"/>
      <c r="L1266" s="712">
        <v>2015.0</v>
      </c>
      <c r="M1266" s="25">
        <f t="shared" si="789"/>
        <v>10</v>
      </c>
      <c r="N1266" s="26">
        <f t="shared" si="790"/>
        <v>0</v>
      </c>
      <c r="O1266" s="27" t="str">
        <f t="shared" si="3"/>
        <v>#N/A</v>
      </c>
      <c r="P1266" s="28"/>
      <c r="Q1266" s="28"/>
      <c r="R1266" s="28"/>
      <c r="S1266" s="28"/>
      <c r="T1266" s="29">
        <f t="shared" si="791"/>
        <v>0</v>
      </c>
      <c r="U1266" s="28"/>
      <c r="V1266" s="30">
        <f t="shared" si="425"/>
        <v>0</v>
      </c>
      <c r="W1266" s="30"/>
      <c r="X1266" s="33"/>
      <c r="Y1266" s="33" t="str">
        <f t="shared" si="792"/>
        <v>#DIV/0!</v>
      </c>
      <c r="Z1266" s="692"/>
      <c r="AA1266" s="665"/>
      <c r="AB1266" s="36"/>
      <c r="AC1266" s="36"/>
      <c r="AD1266" s="37"/>
      <c r="AE1266" s="38"/>
      <c r="AF1266" s="39"/>
      <c r="AG1266" s="38"/>
      <c r="AH1266" s="36"/>
      <c r="AI1266" s="46"/>
      <c r="AJ1266" s="37"/>
      <c r="AK1266" s="38"/>
      <c r="AL1266" s="37"/>
      <c r="AM1266" s="38"/>
      <c r="AN1266" s="44"/>
      <c r="AO1266" s="46"/>
      <c r="AP1266" s="967"/>
      <c r="AQ1266" s="968"/>
      <c r="AR1266" s="967"/>
      <c r="AS1266" s="38"/>
      <c r="AT1266" s="44"/>
      <c r="AU1266" s="45"/>
      <c r="AV1266" s="44"/>
      <c r="AW1266" s="38"/>
      <c r="AX1266" s="44"/>
      <c r="AY1266" s="38"/>
      <c r="AZ1266" s="44"/>
      <c r="BA1266" s="45"/>
      <c r="BB1266" s="44"/>
      <c r="BC1266" s="45"/>
      <c r="BD1266" s="44"/>
      <c r="BE1266" s="38"/>
      <c r="BF1266" s="36"/>
      <c r="BG1266" s="16"/>
      <c r="BH1266" s="16"/>
      <c r="BI1266" s="16"/>
      <c r="BJ1266" s="16"/>
      <c r="BK1266" s="16"/>
      <c r="BL1266" s="16"/>
      <c r="BM1266" s="16"/>
      <c r="BN1266" s="16"/>
      <c r="BO1266" s="16"/>
      <c r="BP1266" s="16"/>
      <c r="BQ1266" s="16"/>
      <c r="BR1266" s="16"/>
      <c r="BS1266" s="16"/>
      <c r="BT1266" s="16"/>
      <c r="BU1266" s="16"/>
      <c r="BV1266" s="16"/>
      <c r="BW1266" s="16"/>
      <c r="BX1266" s="16"/>
      <c r="BY1266" s="16"/>
      <c r="BZ1266" s="16"/>
      <c r="CA1266" s="16"/>
      <c r="CB1266" s="16"/>
      <c r="CC1266" s="16"/>
      <c r="CD1266" s="16"/>
      <c r="CE1266" s="16"/>
      <c r="CF1266" s="16"/>
      <c r="CG1266" s="16"/>
      <c r="CH1266" s="16"/>
      <c r="CI1266" s="16"/>
      <c r="CJ1266" s="16"/>
      <c r="CK1266" s="16"/>
      <c r="CL1266" s="16"/>
      <c r="CM1266" s="16"/>
      <c r="CN1266" s="16"/>
      <c r="CO1266" s="16"/>
      <c r="CP1266" s="16"/>
    </row>
    <row r="1267" ht="15.75" customHeight="1">
      <c r="A1267" s="866" t="s">
        <v>6024</v>
      </c>
      <c r="B1267" s="16"/>
      <c r="C1267" s="17" t="s">
        <v>207</v>
      </c>
      <c r="D1267" s="245"/>
      <c r="E1267" s="18" t="s">
        <v>6025</v>
      </c>
      <c r="F1267" s="20" t="s">
        <v>6026</v>
      </c>
      <c r="G1267" s="245"/>
      <c r="H1267" s="245" t="s">
        <v>814</v>
      </c>
      <c r="I1267" s="23" t="s">
        <v>4990</v>
      </c>
      <c r="J1267" s="527"/>
      <c r="K1267" s="23"/>
      <c r="L1267" s="712">
        <v>1994.0</v>
      </c>
      <c r="M1267" s="25">
        <f t="shared" si="789"/>
        <v>31</v>
      </c>
      <c r="N1267" s="26">
        <f t="shared" si="790"/>
        <v>0</v>
      </c>
      <c r="O1267" s="27" t="str">
        <f t="shared" si="3"/>
        <v>#N/A</v>
      </c>
      <c r="P1267" s="28"/>
      <c r="Q1267" s="28"/>
      <c r="R1267" s="28"/>
      <c r="S1267" s="28"/>
      <c r="T1267" s="29">
        <f t="shared" si="791"/>
        <v>0</v>
      </c>
      <c r="U1267" s="28"/>
      <c r="V1267" s="30">
        <f t="shared" si="425"/>
        <v>0</v>
      </c>
      <c r="W1267" s="30"/>
      <c r="X1267" s="33"/>
      <c r="Y1267" s="33" t="str">
        <f t="shared" si="792"/>
        <v>#DIV/0!</v>
      </c>
      <c r="Z1267" s="692"/>
      <c r="AA1267" s="665"/>
      <c r="AB1267" s="36"/>
      <c r="AC1267" s="36"/>
      <c r="AD1267" s="37"/>
      <c r="AE1267" s="38"/>
      <c r="AF1267" s="39"/>
      <c r="AG1267" s="38"/>
      <c r="AH1267" s="36"/>
      <c r="AI1267" s="46"/>
      <c r="AJ1267" s="37"/>
      <c r="AK1267" s="38"/>
      <c r="AL1267" s="37"/>
      <c r="AM1267" s="38"/>
      <c r="AN1267" s="44"/>
      <c r="AO1267" s="46"/>
      <c r="AP1267" s="967"/>
      <c r="AQ1267" s="968"/>
      <c r="AR1267" s="967"/>
      <c r="AS1267" s="38"/>
      <c r="AT1267" s="44"/>
      <c r="AU1267" s="45"/>
      <c r="AV1267" s="44"/>
      <c r="AW1267" s="38"/>
      <c r="AX1267" s="44"/>
      <c r="AY1267" s="38"/>
      <c r="AZ1267" s="44"/>
      <c r="BA1267" s="45"/>
      <c r="BB1267" s="44"/>
      <c r="BC1267" s="45"/>
      <c r="BD1267" s="44"/>
      <c r="BE1267" s="38"/>
      <c r="BF1267" s="36"/>
      <c r="BG1267" s="16"/>
      <c r="BH1267" s="16"/>
      <c r="BI1267" s="16"/>
      <c r="BJ1267" s="16"/>
      <c r="BK1267" s="16"/>
      <c r="BL1267" s="16"/>
      <c r="BM1267" s="16"/>
      <c r="BN1267" s="16"/>
      <c r="BO1267" s="16"/>
      <c r="BP1267" s="16"/>
      <c r="BQ1267" s="16"/>
      <c r="BR1267" s="16"/>
      <c r="BS1267" s="16"/>
      <c r="BT1267" s="16"/>
      <c r="BU1267" s="16"/>
      <c r="BV1267" s="16"/>
      <c r="BW1267" s="16"/>
      <c r="BX1267" s="16"/>
      <c r="BY1267" s="16"/>
      <c r="BZ1267" s="16"/>
      <c r="CA1267" s="16"/>
      <c r="CB1267" s="16"/>
      <c r="CC1267" s="16"/>
      <c r="CD1267" s="16"/>
      <c r="CE1267" s="16"/>
      <c r="CF1267" s="16"/>
      <c r="CG1267" s="16"/>
      <c r="CH1267" s="16"/>
      <c r="CI1267" s="16"/>
      <c r="CJ1267" s="16"/>
      <c r="CK1267" s="16"/>
      <c r="CL1267" s="16"/>
      <c r="CM1267" s="16"/>
      <c r="CN1267" s="16"/>
      <c r="CO1267" s="16"/>
      <c r="CP1267" s="16"/>
    </row>
    <row r="1268" ht="15.75" customHeight="1">
      <c r="A1268" s="866" t="s">
        <v>6027</v>
      </c>
      <c r="B1268" s="16"/>
      <c r="C1268" s="17" t="s">
        <v>123</v>
      </c>
      <c r="D1268" s="380"/>
      <c r="E1268" s="18" t="s">
        <v>6028</v>
      </c>
      <c r="F1268" s="20" t="s">
        <v>6029</v>
      </c>
      <c r="G1268" s="21"/>
      <c r="H1268" s="22" t="s">
        <v>4783</v>
      </c>
      <c r="I1268" s="23" t="s">
        <v>1547</v>
      </c>
      <c r="J1268" s="527"/>
      <c r="K1268" s="23"/>
      <c r="L1268" s="23">
        <v>2019.0</v>
      </c>
      <c r="M1268" s="25">
        <f t="shared" si="789"/>
        <v>6</v>
      </c>
      <c r="N1268" s="26">
        <f t="shared" si="790"/>
        <v>0</v>
      </c>
      <c r="O1268" s="27" t="str">
        <f t="shared" si="3"/>
        <v>#N/A</v>
      </c>
      <c r="P1268" s="28"/>
      <c r="Q1268" s="28"/>
      <c r="R1268" s="28"/>
      <c r="S1268" s="28"/>
      <c r="T1268" s="29">
        <f t="shared" si="791"/>
        <v>0</v>
      </c>
      <c r="U1268" s="28"/>
      <c r="V1268" s="30">
        <f t="shared" si="425"/>
        <v>0</v>
      </c>
      <c r="W1268" s="30"/>
      <c r="X1268" s="33"/>
      <c r="Y1268" s="33" t="str">
        <f t="shared" si="792"/>
        <v>#DIV/0!</v>
      </c>
      <c r="Z1268" s="692"/>
      <c r="AA1268" s="665"/>
      <c r="AB1268" s="36"/>
      <c r="AC1268" s="36"/>
      <c r="AD1268" s="44"/>
      <c r="AE1268" s="46"/>
      <c r="AF1268" s="39"/>
      <c r="AG1268" s="38"/>
      <c r="AH1268" s="36"/>
      <c r="AI1268" s="46"/>
      <c r="AJ1268" s="44"/>
      <c r="AK1268" s="46"/>
      <c r="AL1268" s="44"/>
      <c r="AM1268" s="46"/>
      <c r="AN1268" s="44"/>
      <c r="AO1268" s="46"/>
      <c r="AP1268" s="44"/>
      <c r="AQ1268" s="46"/>
      <c r="AR1268" s="44"/>
      <c r="AS1268" s="44"/>
      <c r="AT1268" s="44"/>
      <c r="AU1268" s="45"/>
      <c r="AV1268" s="44"/>
      <c r="AW1268" s="38"/>
      <c r="AX1268" s="44"/>
      <c r="AY1268" s="38"/>
      <c r="AZ1268" s="44"/>
      <c r="BA1268" s="45"/>
      <c r="BB1268" s="44"/>
      <c r="BC1268" s="45"/>
      <c r="BD1268" s="44"/>
      <c r="BE1268" s="38"/>
      <c r="BF1268" s="36"/>
      <c r="BG1268" s="16"/>
      <c r="BH1268" s="16"/>
      <c r="BI1268" s="16"/>
      <c r="BJ1268" s="16"/>
      <c r="BK1268" s="16"/>
      <c r="BL1268" s="16"/>
      <c r="BM1268" s="16"/>
      <c r="BN1268" s="16"/>
      <c r="BO1268" s="16"/>
      <c r="BP1268" s="16"/>
      <c r="BQ1268" s="16"/>
      <c r="BR1268" s="16"/>
      <c r="BS1268" s="16"/>
      <c r="BT1268" s="16"/>
      <c r="BU1268" s="16"/>
      <c r="BV1268" s="16"/>
      <c r="BW1268" s="16"/>
      <c r="BX1268" s="16"/>
      <c r="BY1268" s="16"/>
      <c r="BZ1268" s="16"/>
      <c r="CA1268" s="16"/>
      <c r="CB1268" s="16"/>
      <c r="CC1268" s="16"/>
      <c r="CD1268" s="16"/>
      <c r="CE1268" s="16"/>
      <c r="CF1268" s="16"/>
      <c r="CG1268" s="16"/>
      <c r="CH1268" s="16"/>
      <c r="CI1268" s="16"/>
      <c r="CJ1268" s="16"/>
      <c r="CK1268" s="16"/>
      <c r="CL1268" s="16"/>
      <c r="CM1268" s="16"/>
      <c r="CN1268" s="16"/>
      <c r="CO1268" s="16"/>
      <c r="CP1268" s="16"/>
    </row>
    <row r="1269" ht="15.75" customHeight="1">
      <c r="A1269" s="866" t="s">
        <v>6030</v>
      </c>
      <c r="B1269" s="16"/>
      <c r="C1269" s="17" t="s">
        <v>6031</v>
      </c>
      <c r="D1269" s="380"/>
      <c r="E1269" s="18" t="s">
        <v>6032</v>
      </c>
      <c r="F1269" s="18" t="s">
        <v>6033</v>
      </c>
      <c r="G1269" s="22"/>
      <c r="H1269" s="22" t="s">
        <v>187</v>
      </c>
      <c r="I1269" s="23" t="s">
        <v>188</v>
      </c>
      <c r="J1269" s="24"/>
      <c r="K1269" s="23"/>
      <c r="L1269" s="23">
        <v>2018.0</v>
      </c>
      <c r="M1269" s="25">
        <f t="shared" si="789"/>
        <v>7</v>
      </c>
      <c r="N1269" s="26">
        <f t="shared" si="790"/>
        <v>0</v>
      </c>
      <c r="O1269" s="27" t="str">
        <f t="shared" si="3"/>
        <v>#N/A</v>
      </c>
      <c r="P1269" s="28"/>
      <c r="Q1269" s="28"/>
      <c r="R1269" s="28"/>
      <c r="S1269" s="28"/>
      <c r="T1269" s="29">
        <f t="shared" si="791"/>
        <v>0</v>
      </c>
      <c r="U1269" s="28"/>
      <c r="V1269" s="30">
        <f t="shared" si="425"/>
        <v>0</v>
      </c>
      <c r="W1269" s="30"/>
      <c r="X1269" s="33"/>
      <c r="Y1269" s="33" t="str">
        <f t="shared" si="792"/>
        <v>#DIV/0!</v>
      </c>
      <c r="Z1269" s="692"/>
      <c r="AA1269" s="665"/>
      <c r="AB1269" s="36"/>
      <c r="AC1269" s="36"/>
      <c r="AD1269" s="44"/>
      <c r="AE1269" s="46"/>
      <c r="AF1269" s="39"/>
      <c r="AG1269" s="38"/>
      <c r="AH1269" s="36"/>
      <c r="AI1269" s="46"/>
      <c r="AJ1269" s="44"/>
      <c r="AK1269" s="46"/>
      <c r="AL1269" s="44"/>
      <c r="AM1269" s="46"/>
      <c r="AN1269" s="44"/>
      <c r="AO1269" s="46"/>
      <c r="AP1269" s="44"/>
      <c r="AQ1269" s="46"/>
      <c r="AR1269" s="44"/>
      <c r="AS1269" s="44"/>
      <c r="AT1269" s="44"/>
      <c r="AU1269" s="45"/>
      <c r="AV1269" s="44"/>
      <c r="AW1269" s="38"/>
      <c r="AX1269" s="44"/>
      <c r="AY1269" s="38"/>
      <c r="AZ1269" s="44"/>
      <c r="BA1269" s="45"/>
      <c r="BB1269" s="44"/>
      <c r="BC1269" s="45"/>
      <c r="BD1269" s="44"/>
      <c r="BE1269" s="38"/>
      <c r="BF1269" s="36"/>
      <c r="BG1269" s="16"/>
      <c r="BH1269" s="16"/>
      <c r="BI1269" s="16"/>
      <c r="BJ1269" s="16"/>
      <c r="BK1269" s="16"/>
      <c r="BL1269" s="16"/>
      <c r="BM1269" s="16"/>
      <c r="BN1269" s="16"/>
      <c r="BO1269" s="16"/>
      <c r="BP1269" s="16"/>
      <c r="BQ1269" s="16"/>
      <c r="BR1269" s="16"/>
      <c r="BS1269" s="16"/>
      <c r="BT1269" s="16"/>
      <c r="BU1269" s="16"/>
      <c r="BV1269" s="16"/>
      <c r="BW1269" s="16"/>
      <c r="BX1269" s="16"/>
      <c r="BY1269" s="16"/>
      <c r="BZ1269" s="16"/>
      <c r="CA1269" s="16"/>
      <c r="CB1269" s="16"/>
      <c r="CC1269" s="16"/>
      <c r="CD1269" s="16"/>
      <c r="CE1269" s="16"/>
      <c r="CF1269" s="16"/>
      <c r="CG1269" s="16"/>
      <c r="CH1269" s="16"/>
      <c r="CI1269" s="16"/>
      <c r="CJ1269" s="16"/>
      <c r="CK1269" s="16"/>
      <c r="CL1269" s="16"/>
      <c r="CM1269" s="16"/>
      <c r="CN1269" s="16"/>
      <c r="CO1269" s="16"/>
      <c r="CP1269" s="16"/>
    </row>
    <row r="1270" ht="15.75" customHeight="1">
      <c r="A1270" s="866" t="s">
        <v>6034</v>
      </c>
      <c r="B1270" s="16"/>
      <c r="C1270" s="17" t="s">
        <v>123</v>
      </c>
      <c r="D1270" s="380"/>
      <c r="E1270" s="18" t="s">
        <v>6035</v>
      </c>
      <c r="F1270" s="20" t="s">
        <v>6036</v>
      </c>
      <c r="G1270" s="22"/>
      <c r="H1270" s="22" t="s">
        <v>262</v>
      </c>
      <c r="I1270" s="23" t="s">
        <v>2377</v>
      </c>
      <c r="J1270" s="24"/>
      <c r="K1270" s="23"/>
      <c r="L1270" s="23">
        <v>2013.0</v>
      </c>
      <c r="M1270" s="25">
        <f t="shared" si="789"/>
        <v>12</v>
      </c>
      <c r="N1270" s="26">
        <f t="shared" si="790"/>
        <v>0</v>
      </c>
      <c r="O1270" s="27" t="str">
        <f t="shared" si="3"/>
        <v>#N/A</v>
      </c>
      <c r="P1270" s="28"/>
      <c r="Q1270" s="28"/>
      <c r="R1270" s="28"/>
      <c r="S1270" s="28"/>
      <c r="T1270" s="29">
        <f t="shared" si="791"/>
        <v>0</v>
      </c>
      <c r="U1270" s="28"/>
      <c r="V1270" s="30">
        <f t="shared" si="425"/>
        <v>0</v>
      </c>
      <c r="W1270" s="30"/>
      <c r="X1270" s="33"/>
      <c r="Y1270" s="33" t="str">
        <f t="shared" si="792"/>
        <v>#DIV/0!</v>
      </c>
      <c r="Z1270" s="692"/>
      <c r="AA1270" s="665"/>
      <c r="AB1270" s="36"/>
      <c r="AC1270" s="36"/>
      <c r="AD1270" s="44"/>
      <c r="AE1270" s="46"/>
      <c r="AF1270" s="39"/>
      <c r="AG1270" s="38"/>
      <c r="AH1270" s="36"/>
      <c r="AI1270" s="46"/>
      <c r="AJ1270" s="44"/>
      <c r="AK1270" s="46"/>
      <c r="AL1270" s="44"/>
      <c r="AM1270" s="46"/>
      <c r="AN1270" s="44"/>
      <c r="AO1270" s="46"/>
      <c r="AP1270" s="44"/>
      <c r="AQ1270" s="46"/>
      <c r="AR1270" s="44"/>
      <c r="AS1270" s="44"/>
      <c r="AT1270" s="44"/>
      <c r="AU1270" s="45"/>
      <c r="AV1270" s="44"/>
      <c r="AW1270" s="38"/>
      <c r="AX1270" s="44"/>
      <c r="AY1270" s="38"/>
      <c r="AZ1270" s="44"/>
      <c r="BA1270" s="45"/>
      <c r="BB1270" s="44"/>
      <c r="BC1270" s="45"/>
      <c r="BD1270" s="44"/>
      <c r="BE1270" s="38"/>
      <c r="BF1270" s="36"/>
      <c r="BG1270" s="16"/>
      <c r="BH1270" s="16"/>
      <c r="BI1270" s="16"/>
      <c r="BJ1270" s="16"/>
      <c r="BK1270" s="16"/>
      <c r="BL1270" s="16"/>
      <c r="BM1270" s="16"/>
      <c r="BN1270" s="16"/>
      <c r="BO1270" s="16"/>
      <c r="BP1270" s="16"/>
      <c r="BQ1270" s="16"/>
      <c r="BR1270" s="16"/>
      <c r="BS1270" s="16"/>
      <c r="BT1270" s="16"/>
      <c r="BU1270" s="16"/>
      <c r="BV1270" s="16"/>
      <c r="BW1270" s="16"/>
      <c r="BX1270" s="16"/>
      <c r="BY1270" s="16"/>
      <c r="BZ1270" s="16"/>
      <c r="CA1270" s="16"/>
      <c r="CB1270" s="16"/>
      <c r="CC1270" s="16"/>
      <c r="CD1270" s="16"/>
      <c r="CE1270" s="16"/>
      <c r="CF1270" s="16"/>
      <c r="CG1270" s="16"/>
      <c r="CH1270" s="16"/>
      <c r="CI1270" s="16"/>
      <c r="CJ1270" s="16"/>
      <c r="CK1270" s="16"/>
      <c r="CL1270" s="16"/>
      <c r="CM1270" s="16"/>
      <c r="CN1270" s="16"/>
      <c r="CO1270" s="16"/>
      <c r="CP1270" s="16"/>
    </row>
    <row r="1271" ht="15.75" customHeight="1">
      <c r="A1271" s="21" t="s">
        <v>6037</v>
      </c>
      <c r="B1271" s="16"/>
      <c r="C1271" s="17" t="s">
        <v>123</v>
      </c>
      <c r="D1271" s="48"/>
      <c r="E1271" s="192" t="s">
        <v>6038</v>
      </c>
      <c r="F1271" s="118" t="s">
        <v>6039</v>
      </c>
      <c r="G1271" s="810"/>
      <c r="H1271" s="810"/>
      <c r="I1271" s="810"/>
      <c r="J1271" s="24"/>
      <c r="K1271" s="23"/>
      <c r="L1271" s="23">
        <v>2004.0</v>
      </c>
      <c r="M1271" s="25">
        <f t="shared" si="789"/>
        <v>21</v>
      </c>
      <c r="N1271" s="26">
        <f t="shared" si="790"/>
        <v>0</v>
      </c>
      <c r="O1271" s="27" t="str">
        <f t="shared" si="3"/>
        <v>#N/A</v>
      </c>
      <c r="P1271" s="28"/>
      <c r="Q1271" s="28"/>
      <c r="R1271" s="28"/>
      <c r="S1271" s="28"/>
      <c r="T1271" s="29">
        <f t="shared" si="791"/>
        <v>0</v>
      </c>
      <c r="U1271" s="28"/>
      <c r="V1271" s="30">
        <f t="shared" si="425"/>
        <v>0</v>
      </c>
      <c r="W1271" s="30"/>
      <c r="X1271" s="33"/>
      <c r="Y1271" s="33" t="str">
        <f t="shared" si="792"/>
        <v>#DIV/0!</v>
      </c>
      <c r="Z1271" s="692"/>
      <c r="AA1271" s="665"/>
      <c r="AB1271" s="36"/>
      <c r="AC1271" s="36"/>
      <c r="AD1271" s="37"/>
      <c r="AE1271" s="38"/>
      <c r="AF1271" s="320"/>
      <c r="AG1271" s="38"/>
      <c r="AH1271" s="36"/>
      <c r="AI1271" s="46"/>
      <c r="AJ1271" s="37"/>
      <c r="AK1271" s="38"/>
      <c r="AL1271" s="37"/>
      <c r="AM1271" s="38"/>
      <c r="AN1271" s="44"/>
      <c r="AO1271" s="46"/>
      <c r="AP1271" s="44"/>
      <c r="AQ1271" s="46"/>
      <c r="AR1271" s="1357"/>
      <c r="AS1271" s="44"/>
      <c r="AT1271" s="44"/>
      <c r="AU1271" s="45"/>
      <c r="AV1271" s="44"/>
      <c r="AW1271" s="38"/>
      <c r="AX1271" s="44"/>
      <c r="AY1271" s="38"/>
      <c r="AZ1271" s="44"/>
      <c r="BA1271" s="45"/>
      <c r="BB1271" s="44"/>
      <c r="BC1271" s="45"/>
      <c r="BD1271" s="44"/>
      <c r="BE1271" s="38"/>
      <c r="BF1271" s="36"/>
      <c r="BG1271" s="16"/>
      <c r="BH1271" s="16"/>
      <c r="BI1271" s="16"/>
      <c r="BJ1271" s="16"/>
      <c r="BK1271" s="16"/>
      <c r="BL1271" s="16"/>
      <c r="BM1271" s="16"/>
      <c r="BN1271" s="16"/>
      <c r="BO1271" s="16"/>
      <c r="BP1271" s="16"/>
      <c r="BQ1271" s="16"/>
      <c r="BR1271" s="16"/>
      <c r="BS1271" s="16"/>
      <c r="BT1271" s="16"/>
      <c r="BU1271" s="16"/>
      <c r="BV1271" s="16"/>
      <c r="BW1271" s="16"/>
      <c r="BX1271" s="16"/>
      <c r="BY1271" s="16"/>
      <c r="BZ1271" s="16"/>
      <c r="CA1271" s="16"/>
      <c r="CB1271" s="16"/>
      <c r="CC1271" s="16"/>
      <c r="CD1271" s="16"/>
      <c r="CE1271" s="16"/>
      <c r="CF1271" s="16"/>
      <c r="CG1271" s="16"/>
      <c r="CH1271" s="16"/>
      <c r="CI1271" s="16"/>
      <c r="CJ1271" s="16"/>
      <c r="CK1271" s="16"/>
      <c r="CL1271" s="16"/>
      <c r="CM1271" s="16"/>
      <c r="CN1271" s="16"/>
      <c r="CO1271" s="16"/>
      <c r="CP1271" s="16"/>
    </row>
    <row r="1272" ht="15.75" customHeight="1">
      <c r="A1272" s="21" t="s">
        <v>6040</v>
      </c>
      <c r="B1272" s="16"/>
      <c r="C1272" s="17" t="s">
        <v>123</v>
      </c>
      <c r="D1272" s="337"/>
      <c r="E1272" s="18" t="s">
        <v>6041</v>
      </c>
      <c r="F1272" s="20" t="s">
        <v>6042</v>
      </c>
      <c r="G1272" s="317"/>
      <c r="H1272" s="22" t="s">
        <v>6043</v>
      </c>
      <c r="I1272" s="23" t="s">
        <v>4990</v>
      </c>
      <c r="J1272" s="237"/>
      <c r="K1272" s="36"/>
      <c r="L1272" s="23">
        <v>2017.0</v>
      </c>
      <c r="M1272" s="25">
        <f t="shared" si="789"/>
        <v>8</v>
      </c>
      <c r="N1272" s="26">
        <f t="shared" si="790"/>
        <v>0</v>
      </c>
      <c r="O1272" s="27" t="str">
        <f t="shared" si="3"/>
        <v>#N/A</v>
      </c>
      <c r="P1272" s="28"/>
      <c r="Q1272" s="28"/>
      <c r="R1272" s="28"/>
      <c r="S1272" s="28"/>
      <c r="T1272" s="29">
        <f t="shared" si="791"/>
        <v>0</v>
      </c>
      <c r="U1272" s="28"/>
      <c r="V1272" s="30">
        <f t="shared" si="425"/>
        <v>0</v>
      </c>
      <c r="W1272" s="30"/>
      <c r="X1272" s="847"/>
      <c r="Y1272" s="33" t="str">
        <f t="shared" si="792"/>
        <v>#DIV/0!</v>
      </c>
      <c r="Z1272" s="692"/>
      <c r="AA1272" s="665"/>
      <c r="AB1272" s="36"/>
      <c r="AC1272" s="36"/>
      <c r="AD1272" s="37"/>
      <c r="AE1272" s="38"/>
      <c r="AF1272" s="39"/>
      <c r="AG1272" s="38"/>
      <c r="AH1272" s="36"/>
      <c r="AI1272" s="46"/>
      <c r="AJ1272" s="37"/>
      <c r="AK1272" s="38"/>
      <c r="AL1272" s="37"/>
      <c r="AM1272" s="38"/>
      <c r="AN1272" s="44"/>
      <c r="AO1272" s="46"/>
      <c r="AP1272" s="44"/>
      <c r="AQ1272" s="46"/>
      <c r="AR1272" s="44"/>
      <c r="AS1272" s="44"/>
      <c r="AT1272" s="44"/>
      <c r="AU1272" s="45"/>
      <c r="AV1272" s="44"/>
      <c r="AW1272" s="38"/>
      <c r="AX1272" s="44"/>
      <c r="AY1272" s="38"/>
      <c r="AZ1272" s="44"/>
      <c r="BA1272" s="45"/>
      <c r="BB1272" s="44"/>
      <c r="BC1272" s="45"/>
      <c r="BD1272" s="44"/>
      <c r="BE1272" s="38"/>
      <c r="BF1272" s="36"/>
      <c r="BG1272" s="16"/>
      <c r="BH1272" s="16"/>
      <c r="BI1272" s="16"/>
      <c r="BJ1272" s="16"/>
      <c r="BK1272" s="16"/>
      <c r="BL1272" s="16"/>
      <c r="BM1272" s="16"/>
      <c r="BN1272" s="16"/>
      <c r="BO1272" s="16"/>
      <c r="BP1272" s="16"/>
      <c r="BQ1272" s="16"/>
      <c r="BR1272" s="16"/>
      <c r="BS1272" s="16"/>
      <c r="BT1272" s="16"/>
      <c r="BU1272" s="16"/>
      <c r="BV1272" s="16"/>
      <c r="BW1272" s="16"/>
      <c r="BX1272" s="16"/>
      <c r="BY1272" s="16"/>
      <c r="BZ1272" s="16"/>
      <c r="CA1272" s="16"/>
      <c r="CB1272" s="16"/>
      <c r="CC1272" s="16"/>
      <c r="CD1272" s="16"/>
      <c r="CE1272" s="16"/>
      <c r="CF1272" s="16"/>
      <c r="CG1272" s="16"/>
      <c r="CH1272" s="16"/>
      <c r="CI1272" s="16"/>
      <c r="CJ1272" s="16"/>
      <c r="CK1272" s="16"/>
      <c r="CL1272" s="16"/>
      <c r="CM1272" s="16"/>
      <c r="CN1272" s="16"/>
      <c r="CO1272" s="16"/>
      <c r="CP1272" s="16"/>
    </row>
    <row r="1273" ht="15.75" customHeight="1">
      <c r="A1273" s="1556" t="s">
        <v>6044</v>
      </c>
      <c r="B1273" s="1489"/>
      <c r="C1273" s="1489"/>
      <c r="D1273" s="1489"/>
      <c r="E1273" s="1557" t="s">
        <v>6045</v>
      </c>
      <c r="F1273" s="1558" t="s">
        <v>6046</v>
      </c>
      <c r="G1273" s="1559"/>
      <c r="H1273" s="1560" t="s">
        <v>6047</v>
      </c>
      <c r="I1273" s="1561" t="s">
        <v>148</v>
      </c>
      <c r="J1273" s="1562"/>
      <c r="K1273" s="1559"/>
      <c r="L1273" s="1561"/>
      <c r="M1273" s="25">
        <f t="shared" si="789"/>
        <v>2025</v>
      </c>
      <c r="N1273" s="26">
        <f t="shared" si="790"/>
        <v>0</v>
      </c>
      <c r="O1273" s="27" t="str">
        <f t="shared" si="3"/>
        <v>#N/A</v>
      </c>
      <c r="P1273" s="28"/>
      <c r="Q1273" s="28"/>
      <c r="R1273" s="28"/>
      <c r="S1273" s="28"/>
      <c r="T1273" s="29">
        <f t="shared" si="791"/>
        <v>0</v>
      </c>
      <c r="U1273" s="28"/>
      <c r="V1273" s="30">
        <f t="shared" si="425"/>
        <v>0</v>
      </c>
      <c r="W1273" s="30"/>
      <c r="X1273" s="1563"/>
      <c r="Y1273" s="33" t="str">
        <f t="shared" si="792"/>
        <v>#DIV/0!</v>
      </c>
      <c r="Z1273" s="692"/>
      <c r="AA1273" s="665"/>
      <c r="AB1273" s="1559"/>
      <c r="AC1273" s="1559"/>
      <c r="AD1273" s="1564"/>
      <c r="AE1273" s="1565"/>
      <c r="AF1273" s="1566"/>
      <c r="AG1273" s="1565"/>
      <c r="AH1273" s="1561"/>
      <c r="AI1273" s="1565"/>
      <c r="AJ1273" s="1564"/>
      <c r="AK1273" s="1565"/>
      <c r="AL1273" s="1564"/>
      <c r="AM1273" s="1565"/>
      <c r="AN1273" s="1564"/>
      <c r="AO1273" s="1565"/>
      <c r="AP1273" s="1564"/>
      <c r="AQ1273" s="1565"/>
      <c r="AR1273" s="1564"/>
      <c r="AS1273" s="1564"/>
      <c r="AT1273" s="1564"/>
      <c r="AU1273" s="1567"/>
      <c r="AV1273" s="1564"/>
      <c r="AW1273" s="38"/>
      <c r="AX1273" s="1564"/>
      <c r="AY1273" s="38"/>
      <c r="AZ1273" s="1564"/>
      <c r="BA1273" s="1567"/>
      <c r="BB1273" s="1564"/>
      <c r="BC1273" s="1567"/>
      <c r="BD1273" s="1564"/>
      <c r="BE1273" s="38"/>
      <c r="BF1273" s="1559"/>
      <c r="BG1273" s="16"/>
      <c r="BH1273" s="16"/>
      <c r="BI1273" s="16"/>
      <c r="BJ1273" s="16"/>
      <c r="BK1273" s="16"/>
      <c r="BL1273" s="16"/>
      <c r="BM1273" s="16"/>
      <c r="BN1273" s="16"/>
      <c r="BO1273" s="16"/>
      <c r="BP1273" s="16"/>
      <c r="BQ1273" s="16"/>
      <c r="BR1273" s="16"/>
      <c r="BS1273" s="16"/>
      <c r="BT1273" s="16"/>
      <c r="BU1273" s="16"/>
      <c r="BV1273" s="16"/>
      <c r="BW1273" s="16"/>
      <c r="BX1273" s="16"/>
      <c r="BY1273" s="16"/>
      <c r="BZ1273" s="16"/>
      <c r="CA1273" s="16"/>
      <c r="CB1273" s="16"/>
      <c r="CC1273" s="16"/>
      <c r="CD1273" s="16"/>
      <c r="CE1273" s="16"/>
      <c r="CF1273" s="16"/>
      <c r="CG1273" s="16"/>
      <c r="CH1273" s="16"/>
      <c r="CI1273" s="16"/>
      <c r="CJ1273" s="16"/>
      <c r="CK1273" s="16"/>
      <c r="CL1273" s="16"/>
      <c r="CM1273" s="16"/>
      <c r="CN1273" s="16"/>
      <c r="CO1273" s="16"/>
      <c r="CP1273" s="16"/>
    </row>
    <row r="1274" ht="15.75" customHeight="1">
      <c r="A1274" s="1568" t="s">
        <v>6048</v>
      </c>
      <c r="B1274" s="66"/>
      <c r="C1274" s="1390" t="s">
        <v>513</v>
      </c>
      <c r="D1274" s="1569" t="s">
        <v>4781</v>
      </c>
      <c r="E1274" s="1277" t="s">
        <v>4781</v>
      </c>
      <c r="F1274" s="1570" t="s">
        <v>6049</v>
      </c>
      <c r="G1274" s="1571" t="s">
        <v>6050</v>
      </c>
      <c r="H1274" s="1571" t="s">
        <v>6051</v>
      </c>
      <c r="I1274" s="1284" t="s">
        <v>6052</v>
      </c>
      <c r="J1274" s="1572" t="s">
        <v>6053</v>
      </c>
      <c r="K1274" s="1161"/>
      <c r="L1274" s="1284">
        <v>2017.0</v>
      </c>
      <c r="M1274" s="25">
        <f t="shared" si="789"/>
        <v>8</v>
      </c>
      <c r="N1274" s="26">
        <f t="shared" si="790"/>
        <v>0</v>
      </c>
      <c r="O1274" s="27" t="str">
        <f t="shared" si="3"/>
        <v>#N/A</v>
      </c>
      <c r="P1274" s="28"/>
      <c r="Q1274" s="28"/>
      <c r="R1274" s="28"/>
      <c r="S1274" s="28"/>
      <c r="T1274" s="29">
        <f t="shared" si="791"/>
        <v>0</v>
      </c>
      <c r="U1274" s="28"/>
      <c r="V1274" s="30">
        <f t="shared" si="425"/>
        <v>0</v>
      </c>
      <c r="W1274" s="30"/>
      <c r="X1274" s="1573"/>
      <c r="Y1274" s="33" t="str">
        <f t="shared" si="792"/>
        <v>#DIV/0!</v>
      </c>
      <c r="Z1274" s="692"/>
      <c r="AA1274" s="665"/>
      <c r="AB1274" s="1161"/>
      <c r="AC1274" s="1161"/>
      <c r="AD1274" s="1158"/>
      <c r="AE1274" s="1159"/>
      <c r="AF1274" s="1574"/>
      <c r="AG1274" s="1159"/>
      <c r="AH1274" s="1284"/>
      <c r="AI1274" s="1159"/>
      <c r="AJ1274" s="1158"/>
      <c r="AK1274" s="1159"/>
      <c r="AL1274" s="1158"/>
      <c r="AM1274" s="1159"/>
      <c r="AN1274" s="1158"/>
      <c r="AO1274" s="1159"/>
      <c r="AP1274" s="1158"/>
      <c r="AQ1274" s="1159"/>
      <c r="AR1274" s="1158"/>
      <c r="AS1274" s="1158"/>
      <c r="AT1274" s="1158"/>
      <c r="AU1274" s="1160"/>
      <c r="AV1274" s="1158"/>
      <c r="AW1274" s="38"/>
      <c r="AX1274" s="1158"/>
      <c r="AY1274" s="38"/>
      <c r="AZ1274" s="1158"/>
      <c r="BA1274" s="1160"/>
      <c r="BB1274" s="1158"/>
      <c r="BC1274" s="1160"/>
      <c r="BD1274" s="1158"/>
      <c r="BE1274" s="38"/>
      <c r="BF1274" s="1161"/>
      <c r="BG1274" s="534"/>
      <c r="BH1274" s="534"/>
      <c r="BI1274" s="534"/>
      <c r="BJ1274" s="534"/>
      <c r="BK1274" s="534"/>
      <c r="BL1274" s="534"/>
      <c r="BM1274" s="534"/>
      <c r="BN1274" s="534"/>
      <c r="BO1274" s="534"/>
      <c r="BP1274" s="534"/>
      <c r="BQ1274" s="534"/>
      <c r="BR1274" s="534"/>
      <c r="BS1274" s="534"/>
      <c r="BT1274" s="534"/>
      <c r="BU1274" s="534"/>
      <c r="BV1274" s="534"/>
      <c r="BW1274" s="534"/>
      <c r="BX1274" s="534"/>
      <c r="BY1274" s="534"/>
      <c r="BZ1274" s="534"/>
      <c r="CA1274" s="534"/>
      <c r="CB1274" s="534"/>
      <c r="CC1274" s="534"/>
      <c r="CD1274" s="534"/>
      <c r="CE1274" s="534"/>
      <c r="CF1274" s="534"/>
      <c r="CG1274" s="534"/>
      <c r="CH1274" s="534"/>
      <c r="CI1274" s="534"/>
      <c r="CJ1274" s="534"/>
      <c r="CK1274" s="534"/>
      <c r="CL1274" s="534"/>
      <c r="CM1274" s="534"/>
      <c r="CN1274" s="534"/>
      <c r="CO1274" s="534"/>
      <c r="CP1274" s="534"/>
    </row>
    <row r="1275" ht="15.75" customHeight="1">
      <c r="A1275" s="1143" t="s">
        <v>6054</v>
      </c>
      <c r="B1275" s="1144"/>
      <c r="C1275" s="1145" t="s">
        <v>59</v>
      </c>
      <c r="D1275" s="1146"/>
      <c r="E1275" s="1147" t="s">
        <v>6055</v>
      </c>
      <c r="F1275" s="1575" t="s">
        <v>6056</v>
      </c>
      <c r="G1275" s="1149"/>
      <c r="H1275" s="1149" t="s">
        <v>128</v>
      </c>
      <c r="I1275" s="1150" t="s">
        <v>129</v>
      </c>
      <c r="J1275" s="1151"/>
      <c r="K1275" s="1150">
        <v>2.0</v>
      </c>
      <c r="L1275" s="1150">
        <v>2016.0</v>
      </c>
      <c r="M1275" s="25">
        <f t="shared" si="789"/>
        <v>9</v>
      </c>
      <c r="N1275" s="26">
        <f t="shared" si="790"/>
        <v>0</v>
      </c>
      <c r="O1275" s="27" t="str">
        <f t="shared" si="3"/>
        <v>#N/A</v>
      </c>
      <c r="P1275" s="28"/>
      <c r="Q1275" s="28"/>
      <c r="R1275" s="28"/>
      <c r="S1275" s="28"/>
      <c r="T1275" s="29">
        <f t="shared" si="791"/>
        <v>0</v>
      </c>
      <c r="U1275" s="28"/>
      <c r="V1275" s="30">
        <f t="shared" si="425"/>
        <v>0</v>
      </c>
      <c r="W1275" s="30"/>
      <c r="X1275" s="1576"/>
      <c r="Y1275" s="33" t="str">
        <f t="shared" si="792"/>
        <v>#DIV/0!</v>
      </c>
      <c r="Z1275" s="692"/>
      <c r="AA1275" s="665"/>
      <c r="AB1275" s="1152"/>
      <c r="AC1275" s="1152"/>
      <c r="AD1275" s="1153"/>
      <c r="AE1275" s="1154"/>
      <c r="AF1275" s="1577" t="str">
        <f>HYPERLINK("https://www.crunchbase.com/funding_round/gera%C3%A7%C3%A3o-alpha-seed--fceef726","Apr 2, 2021")</f>
        <v>Apr 2, 2021</v>
      </c>
      <c r="AG1275" s="1157"/>
      <c r="AH1275" s="1150"/>
      <c r="AI1275" s="1154"/>
      <c r="AJ1275" s="1153"/>
      <c r="AK1275" s="1154"/>
      <c r="AL1275" s="1153"/>
      <c r="AM1275" s="1154"/>
      <c r="AN1275" s="1153"/>
      <c r="AO1275" s="1154"/>
      <c r="AP1275" s="1153"/>
      <c r="AQ1275" s="1154"/>
      <c r="AR1275" s="1153"/>
      <c r="AS1275" s="1153"/>
      <c r="AT1275" s="1153"/>
      <c r="AU1275" s="1578"/>
      <c r="AV1275" s="1153"/>
      <c r="AW1275" s="38"/>
      <c r="AX1275" s="1153"/>
      <c r="AY1275" s="38"/>
      <c r="AZ1275" s="1153"/>
      <c r="BA1275" s="1578"/>
      <c r="BB1275" s="1153"/>
      <c r="BC1275" s="1578"/>
      <c r="BD1275" s="1153"/>
      <c r="BE1275" s="38"/>
      <c r="BF1275" s="1152"/>
      <c r="BG1275" s="534"/>
      <c r="BH1275" s="534"/>
      <c r="BI1275" s="534"/>
      <c r="BJ1275" s="534"/>
      <c r="BK1275" s="534"/>
      <c r="BL1275" s="534"/>
      <c r="BM1275" s="534"/>
      <c r="BN1275" s="534"/>
      <c r="BO1275" s="534"/>
      <c r="BP1275" s="534"/>
      <c r="BQ1275" s="534"/>
      <c r="BR1275" s="534"/>
      <c r="BS1275" s="534"/>
      <c r="BT1275" s="534"/>
      <c r="BU1275" s="534"/>
      <c r="BV1275" s="534"/>
      <c r="BW1275" s="534"/>
      <c r="BX1275" s="534"/>
      <c r="BY1275" s="534"/>
      <c r="BZ1275" s="534"/>
      <c r="CA1275" s="534"/>
      <c r="CB1275" s="534"/>
      <c r="CC1275" s="534"/>
      <c r="CD1275" s="534"/>
      <c r="CE1275" s="534"/>
      <c r="CF1275" s="534"/>
      <c r="CG1275" s="534"/>
      <c r="CH1275" s="534"/>
      <c r="CI1275" s="534"/>
      <c r="CJ1275" s="534"/>
      <c r="CK1275" s="534"/>
      <c r="CL1275" s="534"/>
      <c r="CM1275" s="534"/>
      <c r="CN1275" s="534"/>
      <c r="CO1275" s="534"/>
      <c r="CP1275" s="534"/>
    </row>
    <row r="1276" ht="15.75" customHeight="1">
      <c r="A1276" s="1579" t="s">
        <v>6057</v>
      </c>
      <c r="B1276" s="1490"/>
      <c r="C1276" s="1490"/>
      <c r="D1276" s="1580" t="s">
        <v>4781</v>
      </c>
      <c r="E1276" s="1580" t="s">
        <v>4781</v>
      </c>
      <c r="F1276" s="1581" t="s">
        <v>6058</v>
      </c>
      <c r="G1276" s="1582" t="s">
        <v>6059</v>
      </c>
      <c r="H1276" s="1583" t="s">
        <v>328</v>
      </c>
      <c r="I1276" s="1584" t="s">
        <v>329</v>
      </c>
      <c r="J1276" s="1585"/>
      <c r="K1276" s="1586"/>
      <c r="L1276" s="1584"/>
      <c r="M1276" s="25">
        <f t="shared" si="789"/>
        <v>2025</v>
      </c>
      <c r="N1276" s="26">
        <f t="shared" si="790"/>
        <v>0</v>
      </c>
      <c r="O1276" s="27" t="str">
        <f t="shared" si="3"/>
        <v>#N/A</v>
      </c>
      <c r="P1276" s="28"/>
      <c r="Q1276" s="28"/>
      <c r="R1276" s="28"/>
      <c r="S1276" s="28"/>
      <c r="T1276" s="29">
        <f t="shared" si="791"/>
        <v>0</v>
      </c>
      <c r="U1276" s="28"/>
      <c r="V1276" s="30">
        <f t="shared" si="425"/>
        <v>0</v>
      </c>
      <c r="W1276" s="30"/>
      <c r="X1276" s="1587"/>
      <c r="Y1276" s="33" t="str">
        <f t="shared" si="792"/>
        <v>#DIV/0!</v>
      </c>
      <c r="Z1276" s="692"/>
      <c r="AA1276" s="665"/>
      <c r="AB1276" s="1586"/>
      <c r="AC1276" s="1586"/>
      <c r="AD1276" s="1588"/>
      <c r="AE1276" s="1589"/>
      <c r="AF1276" s="1590"/>
      <c r="AG1276" s="1591"/>
      <c r="AH1276" s="1586"/>
      <c r="AI1276" s="1589"/>
      <c r="AJ1276" s="1588"/>
      <c r="AK1276" s="1589"/>
      <c r="AL1276" s="1588"/>
      <c r="AM1276" s="1589"/>
      <c r="AN1276" s="1588"/>
      <c r="AO1276" s="1589"/>
      <c r="AP1276" s="1588"/>
      <c r="AQ1276" s="1589"/>
      <c r="AR1276" s="1588"/>
      <c r="AS1276" s="1588"/>
      <c r="AT1276" s="1588"/>
      <c r="AU1276" s="30"/>
      <c r="AV1276" s="1588"/>
      <c r="AW1276" s="38"/>
      <c r="AX1276" s="1588"/>
      <c r="AY1276" s="38"/>
      <c r="AZ1276" s="1588"/>
      <c r="BA1276" s="30"/>
      <c r="BB1276" s="1588"/>
      <c r="BC1276" s="30"/>
      <c r="BD1276" s="1588"/>
      <c r="BE1276" s="38"/>
      <c r="BF1276" s="1586"/>
      <c r="BG1276" s="534"/>
      <c r="BH1276" s="534"/>
      <c r="BI1276" s="534"/>
      <c r="BJ1276" s="534"/>
      <c r="BK1276" s="534"/>
      <c r="BL1276" s="534"/>
      <c r="BM1276" s="534"/>
      <c r="BN1276" s="534"/>
      <c r="BO1276" s="534"/>
      <c r="BP1276" s="534"/>
      <c r="BQ1276" s="534"/>
      <c r="BR1276" s="534"/>
      <c r="BS1276" s="534"/>
      <c r="BT1276" s="534"/>
      <c r="BU1276" s="534"/>
      <c r="BV1276" s="534"/>
      <c r="BW1276" s="534"/>
      <c r="BX1276" s="534"/>
      <c r="BY1276" s="534"/>
      <c r="BZ1276" s="534"/>
      <c r="CA1276" s="534"/>
      <c r="CB1276" s="534"/>
      <c r="CC1276" s="534"/>
      <c r="CD1276" s="534"/>
      <c r="CE1276" s="534"/>
      <c r="CF1276" s="534"/>
      <c r="CG1276" s="534"/>
      <c r="CH1276" s="534"/>
      <c r="CI1276" s="534"/>
      <c r="CJ1276" s="534"/>
      <c r="CK1276" s="534"/>
      <c r="CL1276" s="534"/>
      <c r="CM1276" s="534"/>
      <c r="CN1276" s="534"/>
      <c r="CO1276" s="534"/>
      <c r="CP1276" s="534"/>
    </row>
    <row r="1277" ht="15.75" customHeight="1">
      <c r="A1277" s="1568" t="s">
        <v>6060</v>
      </c>
      <c r="B1277" s="66"/>
      <c r="C1277" s="1390" t="s">
        <v>132</v>
      </c>
      <c r="D1277" s="1592"/>
      <c r="E1277" s="1593"/>
      <c r="F1277" s="1570" t="s">
        <v>6061</v>
      </c>
      <c r="G1277" s="1571" t="s">
        <v>6062</v>
      </c>
      <c r="H1277" s="1395" t="s">
        <v>128</v>
      </c>
      <c r="I1277" s="1284" t="s">
        <v>129</v>
      </c>
      <c r="J1277" s="178" t="s">
        <v>6063</v>
      </c>
      <c r="K1277" s="1284">
        <v>1.0</v>
      </c>
      <c r="L1277" s="1284">
        <v>2016.0</v>
      </c>
      <c r="M1277" s="25">
        <f t="shared" si="789"/>
        <v>9</v>
      </c>
      <c r="N1277" s="26">
        <f t="shared" si="790"/>
        <v>0</v>
      </c>
      <c r="O1277" s="27" t="str">
        <f t="shared" si="3"/>
        <v>#N/A</v>
      </c>
      <c r="P1277" s="28"/>
      <c r="Q1277" s="28"/>
      <c r="R1277" s="28"/>
      <c r="S1277" s="28"/>
      <c r="T1277" s="29">
        <f t="shared" si="791"/>
        <v>0</v>
      </c>
      <c r="U1277" s="28"/>
      <c r="V1277" s="30">
        <f t="shared" si="425"/>
        <v>0</v>
      </c>
      <c r="W1277" s="30"/>
      <c r="X1277" s="1286"/>
      <c r="Y1277" s="33" t="str">
        <f t="shared" si="792"/>
        <v>#DIV/0!</v>
      </c>
      <c r="Z1277" s="692"/>
      <c r="AA1277" s="665"/>
      <c r="AB1277" s="1161"/>
      <c r="AC1277" s="1161"/>
      <c r="AD1277" s="1158"/>
      <c r="AE1277" s="1159"/>
      <c r="AF1277" s="1574"/>
      <c r="AG1277" s="1159"/>
      <c r="AH1277" s="1284"/>
      <c r="AI1277" s="1159"/>
      <c r="AJ1277" s="1158"/>
      <c r="AK1277" s="1159"/>
      <c r="AL1277" s="1158"/>
      <c r="AM1277" s="1159"/>
      <c r="AN1277" s="1158"/>
      <c r="AO1277" s="1159"/>
      <c r="AP1277" s="1158"/>
      <c r="AQ1277" s="1159"/>
      <c r="AR1277" s="1158"/>
      <c r="AS1277" s="1158"/>
      <c r="AT1277" s="1158"/>
      <c r="AU1277" s="1160"/>
      <c r="AV1277" s="1158"/>
      <c r="AW1277" s="38"/>
      <c r="AX1277" s="1158"/>
      <c r="AY1277" s="38"/>
      <c r="AZ1277" s="1158"/>
      <c r="BA1277" s="1160"/>
      <c r="BB1277" s="1158"/>
      <c r="BC1277" s="1160"/>
      <c r="BD1277" s="1158"/>
      <c r="BE1277" s="38"/>
      <c r="BF1277" s="1161"/>
      <c r="BG1277" s="16"/>
      <c r="BH1277" s="16"/>
      <c r="BI1277" s="16"/>
      <c r="BJ1277" s="16"/>
      <c r="BK1277" s="16"/>
      <c r="BL1277" s="16"/>
      <c r="BM1277" s="16"/>
      <c r="BN1277" s="16"/>
      <c r="BO1277" s="16"/>
      <c r="BP1277" s="16"/>
      <c r="BQ1277" s="16"/>
      <c r="BR1277" s="16"/>
      <c r="BS1277" s="16"/>
      <c r="BT1277" s="16"/>
      <c r="BU1277" s="16"/>
      <c r="BV1277" s="16"/>
      <c r="BW1277" s="16"/>
      <c r="BX1277" s="16"/>
      <c r="BY1277" s="16"/>
      <c r="BZ1277" s="16"/>
      <c r="CA1277" s="16"/>
      <c r="CB1277" s="16"/>
      <c r="CC1277" s="16"/>
      <c r="CD1277" s="16"/>
      <c r="CE1277" s="16"/>
      <c r="CF1277" s="16"/>
      <c r="CG1277" s="16"/>
      <c r="CH1277" s="16"/>
      <c r="CI1277" s="16"/>
      <c r="CJ1277" s="16"/>
      <c r="CK1277" s="16"/>
      <c r="CL1277" s="16"/>
      <c r="CM1277" s="16"/>
      <c r="CN1277" s="16"/>
      <c r="CO1277" s="16"/>
      <c r="CP1277" s="16"/>
    </row>
    <row r="1278" ht="15.75" customHeight="1">
      <c r="A1278" s="1020" t="s">
        <v>6064</v>
      </c>
      <c r="B1278" s="988"/>
      <c r="C1278" s="17" t="s">
        <v>123</v>
      </c>
      <c r="D1278" s="1025"/>
      <c r="E1278" s="1072" t="s">
        <v>6065</v>
      </c>
      <c r="F1278" s="20" t="s">
        <v>6066</v>
      </c>
      <c r="G1278" s="317"/>
      <c r="H1278" s="22" t="s">
        <v>6067</v>
      </c>
      <c r="I1278" s="23" t="s">
        <v>188</v>
      </c>
      <c r="J1278" s="237"/>
      <c r="K1278" s="36"/>
      <c r="L1278" s="23">
        <v>1955.0</v>
      </c>
      <c r="M1278" s="25">
        <f t="shared" si="789"/>
        <v>70</v>
      </c>
      <c r="N1278" s="26">
        <f t="shared" si="790"/>
        <v>0</v>
      </c>
      <c r="O1278" s="27" t="str">
        <f t="shared" si="3"/>
        <v>#N/A</v>
      </c>
      <c r="P1278" s="28"/>
      <c r="Q1278" s="28"/>
      <c r="R1278" s="28"/>
      <c r="S1278" s="28"/>
      <c r="T1278" s="29">
        <f t="shared" si="791"/>
        <v>0</v>
      </c>
      <c r="U1278" s="28"/>
      <c r="V1278" s="30">
        <f t="shared" si="425"/>
        <v>0</v>
      </c>
      <c r="W1278" s="30"/>
      <c r="X1278" s="847"/>
      <c r="Y1278" s="33" t="str">
        <f t="shared" si="792"/>
        <v>#DIV/0!</v>
      </c>
      <c r="Z1278" s="692"/>
      <c r="AA1278" s="665"/>
      <c r="AB1278" s="36"/>
      <c r="AC1278" s="36"/>
      <c r="AD1278" s="44"/>
      <c r="AE1278" s="46"/>
      <c r="AF1278" s="1502"/>
      <c r="AG1278" s="46"/>
      <c r="AH1278" s="23"/>
      <c r="AI1278" s="46"/>
      <c r="AJ1278" s="44"/>
      <c r="AK1278" s="46"/>
      <c r="AL1278" s="44"/>
      <c r="AM1278" s="46"/>
      <c r="AN1278" s="44"/>
      <c r="AO1278" s="46"/>
      <c r="AP1278" s="44"/>
      <c r="AQ1278" s="46"/>
      <c r="AR1278" s="44"/>
      <c r="AS1278" s="44"/>
      <c r="AT1278" s="44"/>
      <c r="AU1278" s="45"/>
      <c r="AV1278" s="44"/>
      <c r="AW1278" s="38"/>
      <c r="AX1278" s="44"/>
      <c r="AY1278" s="38"/>
      <c r="AZ1278" s="44"/>
      <c r="BA1278" s="45"/>
      <c r="BB1278" s="44"/>
      <c r="BC1278" s="45"/>
      <c r="BD1278" s="44"/>
      <c r="BE1278" s="38"/>
      <c r="BF1278" s="36"/>
      <c r="BG1278" s="16"/>
      <c r="BH1278" s="16"/>
      <c r="BI1278" s="16"/>
      <c r="BJ1278" s="16"/>
      <c r="BK1278" s="16"/>
      <c r="BL1278" s="16"/>
      <c r="BM1278" s="16"/>
      <c r="BN1278" s="16"/>
      <c r="BO1278" s="16"/>
      <c r="BP1278" s="16"/>
      <c r="BQ1278" s="16"/>
      <c r="BR1278" s="16"/>
      <c r="BS1278" s="16"/>
      <c r="BT1278" s="16"/>
      <c r="BU1278" s="16"/>
      <c r="BV1278" s="16"/>
      <c r="BW1278" s="16"/>
      <c r="BX1278" s="16"/>
      <c r="BY1278" s="16"/>
      <c r="BZ1278" s="16"/>
      <c r="CA1278" s="16"/>
      <c r="CB1278" s="16"/>
      <c r="CC1278" s="16"/>
      <c r="CD1278" s="16"/>
      <c r="CE1278" s="16"/>
      <c r="CF1278" s="16"/>
      <c r="CG1278" s="16"/>
      <c r="CH1278" s="16"/>
      <c r="CI1278" s="16"/>
      <c r="CJ1278" s="16"/>
      <c r="CK1278" s="16"/>
      <c r="CL1278" s="16"/>
      <c r="CM1278" s="16"/>
      <c r="CN1278" s="16"/>
      <c r="CO1278" s="16"/>
      <c r="CP1278" s="16"/>
    </row>
    <row r="1279" ht="15.75" customHeight="1">
      <c r="A1279" s="1092" t="s">
        <v>6068</v>
      </c>
      <c r="B1279" s="1003"/>
      <c r="C1279" s="849" t="s">
        <v>59</v>
      </c>
      <c r="D1279" s="1005" t="s">
        <v>6069</v>
      </c>
      <c r="E1279" s="1006" t="s">
        <v>6070</v>
      </c>
      <c r="F1279" s="1594" t="s">
        <v>6071</v>
      </c>
      <c r="G1279" s="54" t="s">
        <v>6072</v>
      </c>
      <c r="H1279" s="54" t="s">
        <v>64</v>
      </c>
      <c r="I1279" s="222" t="s">
        <v>287</v>
      </c>
      <c r="J1279" s="953" t="s">
        <v>566</v>
      </c>
      <c r="K1279" s="222">
        <v>1.0</v>
      </c>
      <c r="L1279" s="222">
        <v>2016.0</v>
      </c>
      <c r="M1279" s="25">
        <f t="shared" si="789"/>
        <v>9</v>
      </c>
      <c r="N1279" s="26">
        <f t="shared" si="790"/>
        <v>0</v>
      </c>
      <c r="O1279" s="27" t="str">
        <f t="shared" si="3"/>
        <v>#N/A</v>
      </c>
      <c r="P1279" s="28"/>
      <c r="Q1279" s="28"/>
      <c r="R1279" s="28"/>
      <c r="S1279" s="28"/>
      <c r="T1279" s="29">
        <f t="shared" si="791"/>
        <v>0</v>
      </c>
      <c r="U1279" s="28"/>
      <c r="V1279" s="30">
        <f t="shared" si="425"/>
        <v>0</v>
      </c>
      <c r="W1279" s="30"/>
      <c r="X1279" s="852"/>
      <c r="Y1279" s="33" t="str">
        <f t="shared" si="792"/>
        <v>#DIV/0!</v>
      </c>
      <c r="Z1279" s="692"/>
      <c r="AA1279" s="665"/>
      <c r="AB1279" s="326"/>
      <c r="AC1279" s="326"/>
      <c r="AD1279" s="322"/>
      <c r="AE1279" s="323"/>
      <c r="AF1279" s="1595"/>
      <c r="AG1279" s="323"/>
      <c r="AH1279" s="222"/>
      <c r="AI1279" s="323"/>
      <c r="AJ1279" s="322"/>
      <c r="AK1279" s="323"/>
      <c r="AL1279" s="322"/>
      <c r="AM1279" s="323"/>
      <c r="AN1279" s="322"/>
      <c r="AO1279" s="323"/>
      <c r="AP1279" s="322"/>
      <c r="AQ1279" s="323"/>
      <c r="AR1279" s="322"/>
      <c r="AS1279" s="322"/>
      <c r="AT1279" s="322"/>
      <c r="AU1279" s="335"/>
      <c r="AV1279" s="322"/>
      <c r="AW1279" s="38"/>
      <c r="AX1279" s="322"/>
      <c r="AY1279" s="38"/>
      <c r="AZ1279" s="322"/>
      <c r="BA1279" s="335"/>
      <c r="BB1279" s="322"/>
      <c r="BC1279" s="335"/>
      <c r="BD1279" s="322"/>
      <c r="BE1279" s="38"/>
      <c r="BF1279" s="326"/>
      <c r="BG1279" s="16"/>
      <c r="BH1279" s="16"/>
      <c r="BI1279" s="16"/>
      <c r="BJ1279" s="16"/>
      <c r="BK1279" s="16"/>
      <c r="BL1279" s="16"/>
      <c r="BM1279" s="16"/>
      <c r="BN1279" s="16"/>
      <c r="BO1279" s="16"/>
      <c r="BP1279" s="16"/>
      <c r="BQ1279" s="16"/>
      <c r="BR1279" s="16"/>
      <c r="BS1279" s="16"/>
      <c r="BT1279" s="16"/>
      <c r="BU1279" s="16"/>
      <c r="BV1279" s="16"/>
      <c r="BW1279" s="16"/>
      <c r="BX1279" s="16"/>
      <c r="BY1279" s="16"/>
      <c r="BZ1279" s="16"/>
      <c r="CA1279" s="16"/>
      <c r="CB1279" s="16"/>
      <c r="CC1279" s="16"/>
      <c r="CD1279" s="16"/>
      <c r="CE1279" s="16"/>
      <c r="CF1279" s="16"/>
      <c r="CG1279" s="16"/>
      <c r="CH1279" s="16"/>
      <c r="CI1279" s="16"/>
      <c r="CJ1279" s="16"/>
      <c r="CK1279" s="16"/>
      <c r="CL1279" s="16"/>
      <c r="CM1279" s="16"/>
      <c r="CN1279" s="16"/>
      <c r="CO1279" s="16"/>
      <c r="CP1279" s="16"/>
    </row>
    <row r="1280" ht="15.75" customHeight="1">
      <c r="A1280" s="1085" t="s">
        <v>6073</v>
      </c>
      <c r="B1280" s="1596"/>
      <c r="C1280" s="1597" t="s">
        <v>276</v>
      </c>
      <c r="D1280" s="1598"/>
      <c r="E1280" s="1010" t="s">
        <v>6074</v>
      </c>
      <c r="F1280" s="1599" t="s">
        <v>6075</v>
      </c>
      <c r="G1280" s="1099"/>
      <c r="H1280" s="91"/>
      <c r="I1280" s="1185"/>
      <c r="J1280" s="1186"/>
      <c r="K1280" s="1099"/>
      <c r="L1280" s="1185"/>
      <c r="M1280" s="25">
        <f t="shared" si="789"/>
        <v>2025</v>
      </c>
      <c r="N1280" s="26">
        <f t="shared" si="790"/>
        <v>0</v>
      </c>
      <c r="O1280" s="27" t="str">
        <f t="shared" si="3"/>
        <v>#N/A</v>
      </c>
      <c r="P1280" s="28"/>
      <c r="Q1280" s="28"/>
      <c r="R1280" s="28"/>
      <c r="S1280" s="28"/>
      <c r="T1280" s="29">
        <f t="shared" si="791"/>
        <v>0</v>
      </c>
      <c r="U1280" s="28"/>
      <c r="V1280" s="30">
        <f t="shared" si="425"/>
        <v>0</v>
      </c>
      <c r="W1280" s="30"/>
      <c r="X1280" s="1600"/>
      <c r="Y1280" s="33" t="str">
        <f t="shared" si="792"/>
        <v>#DIV/0!</v>
      </c>
      <c r="Z1280" s="692"/>
      <c r="AA1280" s="665"/>
      <c r="AB1280" s="1099"/>
      <c r="AC1280" s="1099"/>
      <c r="AD1280" s="1191"/>
      <c r="AE1280" s="1319"/>
      <c r="AF1280" s="1601"/>
      <c r="AG1280" s="1319"/>
      <c r="AH1280" s="1185"/>
      <c r="AI1280" s="1319"/>
      <c r="AJ1280" s="1191"/>
      <c r="AK1280" s="1319"/>
      <c r="AL1280" s="1191"/>
      <c r="AM1280" s="1319"/>
      <c r="AN1280" s="1191"/>
      <c r="AO1280" s="1319"/>
      <c r="AP1280" s="1191"/>
      <c r="AQ1280" s="1319"/>
      <c r="AR1280" s="1191"/>
      <c r="AS1280" s="1191"/>
      <c r="AT1280" s="1191"/>
      <c r="AU1280" s="1192"/>
      <c r="AV1280" s="1191"/>
      <c r="AW1280" s="38"/>
      <c r="AX1280" s="1191"/>
      <c r="AY1280" s="38"/>
      <c r="AZ1280" s="1191"/>
      <c r="BA1280" s="1192"/>
      <c r="BB1280" s="1191"/>
      <c r="BC1280" s="1192"/>
      <c r="BD1280" s="1191"/>
      <c r="BE1280" s="38"/>
      <c r="BF1280" s="1099"/>
      <c r="BG1280" s="16"/>
      <c r="BH1280" s="16"/>
      <c r="BI1280" s="16"/>
      <c r="BJ1280" s="16"/>
      <c r="BK1280" s="16"/>
      <c r="BL1280" s="16"/>
      <c r="BM1280" s="16"/>
      <c r="BN1280" s="16"/>
      <c r="BO1280" s="16"/>
      <c r="BP1280" s="16"/>
      <c r="BQ1280" s="16"/>
      <c r="BR1280" s="16"/>
      <c r="BS1280" s="16"/>
      <c r="BT1280" s="16"/>
      <c r="BU1280" s="16"/>
      <c r="BV1280" s="16"/>
      <c r="BW1280" s="16"/>
      <c r="BX1280" s="16"/>
      <c r="BY1280" s="16"/>
      <c r="BZ1280" s="16"/>
      <c r="CA1280" s="16"/>
      <c r="CB1280" s="16"/>
      <c r="CC1280" s="16"/>
      <c r="CD1280" s="16"/>
      <c r="CE1280" s="16"/>
      <c r="CF1280" s="16"/>
      <c r="CG1280" s="16"/>
      <c r="CH1280" s="16"/>
      <c r="CI1280" s="16"/>
      <c r="CJ1280" s="16"/>
      <c r="CK1280" s="16"/>
      <c r="CL1280" s="16"/>
      <c r="CM1280" s="16"/>
      <c r="CN1280" s="16"/>
      <c r="CO1280" s="16"/>
      <c r="CP1280" s="16"/>
    </row>
    <row r="1281" ht="15.75" customHeight="1">
      <c r="A1281" s="866" t="s">
        <v>6076</v>
      </c>
      <c r="B1281" s="16"/>
      <c r="C1281" s="17" t="s">
        <v>123</v>
      </c>
      <c r="D1281" s="236" t="s">
        <v>6077</v>
      </c>
      <c r="E1281" s="236" t="s">
        <v>6078</v>
      </c>
      <c r="F1281" s="803" t="s">
        <v>6079</v>
      </c>
      <c r="G1281" s="317"/>
      <c r="H1281" s="22" t="s">
        <v>1065</v>
      </c>
      <c r="I1281" s="23" t="s">
        <v>639</v>
      </c>
      <c r="J1281" s="237"/>
      <c r="K1281" s="36"/>
      <c r="L1281" s="23">
        <v>2005.0</v>
      </c>
      <c r="M1281" s="25">
        <f t="shared" si="789"/>
        <v>20</v>
      </c>
      <c r="N1281" s="26">
        <f t="shared" si="790"/>
        <v>0</v>
      </c>
      <c r="O1281" s="27" t="str">
        <f t="shared" si="3"/>
        <v>#N/A</v>
      </c>
      <c r="P1281" s="28"/>
      <c r="Q1281" s="28"/>
      <c r="R1281" s="28"/>
      <c r="S1281" s="28"/>
      <c r="T1281" s="29">
        <f t="shared" si="791"/>
        <v>0</v>
      </c>
      <c r="U1281" s="28"/>
      <c r="V1281" s="30">
        <f t="shared" si="425"/>
        <v>0</v>
      </c>
      <c r="W1281" s="30"/>
      <c r="X1281" s="847"/>
      <c r="Y1281" s="33" t="str">
        <f t="shared" si="792"/>
        <v>#DIV/0!</v>
      </c>
      <c r="Z1281" s="692"/>
      <c r="AA1281" s="665"/>
      <c r="AB1281" s="36"/>
      <c r="AC1281" s="36"/>
      <c r="AD1281" s="44"/>
      <c r="AE1281" s="46"/>
      <c r="AF1281" s="39"/>
      <c r="AG1281" s="38"/>
      <c r="AH1281" s="36"/>
      <c r="AI1281" s="46"/>
      <c r="AJ1281" s="44"/>
      <c r="AK1281" s="46"/>
      <c r="AL1281" s="44"/>
      <c r="AM1281" s="46"/>
      <c r="AN1281" s="44"/>
      <c r="AO1281" s="46"/>
      <c r="AP1281" s="44"/>
      <c r="AQ1281" s="46"/>
      <c r="AR1281" s="44"/>
      <c r="AS1281" s="44"/>
      <c r="AT1281" s="44"/>
      <c r="AU1281" s="45"/>
      <c r="AV1281" s="44"/>
      <c r="AW1281" s="38"/>
      <c r="AX1281" s="44"/>
      <c r="AY1281" s="38"/>
      <c r="AZ1281" s="44"/>
      <c r="BA1281" s="45"/>
      <c r="BB1281" s="44"/>
      <c r="BC1281" s="45"/>
      <c r="BD1281" s="44"/>
      <c r="BE1281" s="38"/>
      <c r="BF1281" s="36"/>
      <c r="BG1281" s="16"/>
      <c r="BH1281" s="16"/>
      <c r="BI1281" s="16"/>
      <c r="BJ1281" s="16"/>
      <c r="BK1281" s="16"/>
      <c r="BL1281" s="16"/>
      <c r="BM1281" s="16"/>
      <c r="BN1281" s="16"/>
      <c r="BO1281" s="16"/>
      <c r="BP1281" s="16"/>
      <c r="BQ1281" s="16"/>
      <c r="BR1281" s="16"/>
      <c r="BS1281" s="16"/>
      <c r="BT1281" s="16"/>
      <c r="BU1281" s="16"/>
      <c r="BV1281" s="16"/>
      <c r="BW1281" s="16"/>
      <c r="BX1281" s="16"/>
      <c r="BY1281" s="16"/>
      <c r="BZ1281" s="16"/>
      <c r="CA1281" s="16"/>
      <c r="CB1281" s="16"/>
      <c r="CC1281" s="16"/>
      <c r="CD1281" s="16"/>
      <c r="CE1281" s="16"/>
      <c r="CF1281" s="16"/>
      <c r="CG1281" s="16"/>
      <c r="CH1281" s="16"/>
      <c r="CI1281" s="16"/>
      <c r="CJ1281" s="16"/>
      <c r="CK1281" s="16"/>
      <c r="CL1281" s="16"/>
      <c r="CM1281" s="16"/>
      <c r="CN1281" s="16"/>
      <c r="CO1281" s="16"/>
      <c r="CP1281" s="16"/>
    </row>
    <row r="1282" ht="15.75" customHeight="1">
      <c r="A1282" s="866" t="s">
        <v>6080</v>
      </c>
      <c r="B1282" s="16"/>
      <c r="C1282" s="17" t="s">
        <v>207</v>
      </c>
      <c r="D1282" s="337"/>
      <c r="E1282" s="236" t="s">
        <v>6081</v>
      </c>
      <c r="F1282" s="1599" t="s">
        <v>6082</v>
      </c>
      <c r="G1282" s="317"/>
      <c r="H1282" s="22" t="s">
        <v>6083</v>
      </c>
      <c r="I1282" s="23" t="s">
        <v>188</v>
      </c>
      <c r="J1282" s="237"/>
      <c r="K1282" s="36"/>
      <c r="L1282" s="23">
        <v>1963.0</v>
      </c>
      <c r="M1282" s="25">
        <f t="shared" si="789"/>
        <v>62</v>
      </c>
      <c r="N1282" s="26">
        <f t="shared" si="790"/>
        <v>0</v>
      </c>
      <c r="O1282" s="27" t="str">
        <f t="shared" si="3"/>
        <v>#N/A</v>
      </c>
      <c r="P1282" s="28"/>
      <c r="Q1282" s="28"/>
      <c r="R1282" s="28"/>
      <c r="S1282" s="28"/>
      <c r="T1282" s="29">
        <f t="shared" si="791"/>
        <v>0</v>
      </c>
      <c r="U1282" s="28"/>
      <c r="V1282" s="30">
        <f t="shared" si="425"/>
        <v>0</v>
      </c>
      <c r="W1282" s="30"/>
      <c r="X1282" s="847"/>
      <c r="Y1282" s="33" t="str">
        <f t="shared" si="792"/>
        <v>#DIV/0!</v>
      </c>
      <c r="Z1282" s="692"/>
      <c r="AA1282" s="665"/>
      <c r="AB1282" s="36"/>
      <c r="AC1282" s="36"/>
      <c r="AD1282" s="44"/>
      <c r="AE1282" s="46"/>
      <c r="AF1282" s="39"/>
      <c r="AG1282" s="38"/>
      <c r="AH1282" s="36"/>
      <c r="AI1282" s="46"/>
      <c r="AJ1282" s="44"/>
      <c r="AK1282" s="46"/>
      <c r="AL1282" s="44"/>
      <c r="AM1282" s="46"/>
      <c r="AN1282" s="44"/>
      <c r="AO1282" s="46"/>
      <c r="AP1282" s="44"/>
      <c r="AQ1282" s="46"/>
      <c r="AR1282" s="44"/>
      <c r="AS1282" s="44"/>
      <c r="AT1282" s="44"/>
      <c r="AU1282" s="45"/>
      <c r="AV1282" s="44"/>
      <c r="AW1282" s="38"/>
      <c r="AX1282" s="44"/>
      <c r="AY1282" s="38"/>
      <c r="AZ1282" s="44"/>
      <c r="BA1282" s="45"/>
      <c r="BB1282" s="44"/>
      <c r="BC1282" s="45"/>
      <c r="BD1282" s="44"/>
      <c r="BE1282" s="38"/>
      <c r="BF1282" s="36"/>
      <c r="BG1282" s="16"/>
      <c r="BH1282" s="16"/>
      <c r="BI1282" s="16"/>
      <c r="BJ1282" s="16"/>
      <c r="BK1282" s="16"/>
      <c r="BL1282" s="16"/>
      <c r="BM1282" s="16"/>
      <c r="BN1282" s="16"/>
      <c r="BO1282" s="16"/>
      <c r="BP1282" s="16"/>
      <c r="BQ1282" s="16"/>
      <c r="BR1282" s="16"/>
      <c r="BS1282" s="16"/>
      <c r="BT1282" s="16"/>
      <c r="BU1282" s="16"/>
      <c r="BV1282" s="16"/>
      <c r="BW1282" s="16"/>
      <c r="BX1282" s="16"/>
      <c r="BY1282" s="16"/>
      <c r="BZ1282" s="16"/>
      <c r="CA1282" s="16"/>
      <c r="CB1282" s="16"/>
      <c r="CC1282" s="16"/>
      <c r="CD1282" s="16"/>
      <c r="CE1282" s="16"/>
      <c r="CF1282" s="16"/>
      <c r="CG1282" s="16"/>
      <c r="CH1282" s="16"/>
      <c r="CI1282" s="16"/>
      <c r="CJ1282" s="16"/>
      <c r="CK1282" s="16"/>
      <c r="CL1282" s="16"/>
      <c r="CM1282" s="16"/>
      <c r="CN1282" s="16"/>
      <c r="CO1282" s="16"/>
      <c r="CP1282" s="16"/>
    </row>
    <row r="1283" ht="15.75" customHeight="1">
      <c r="A1283" s="860" t="s">
        <v>6084</v>
      </c>
      <c r="B1283" s="534"/>
      <c r="C1283" s="849" t="s">
        <v>59</v>
      </c>
      <c r="D1283" s="731"/>
      <c r="E1283" s="161" t="s">
        <v>6085</v>
      </c>
      <c r="F1283" s="1602" t="s">
        <v>6086</v>
      </c>
      <c r="G1283" s="48" t="s">
        <v>6087</v>
      </c>
      <c r="H1283" s="850" t="s">
        <v>6088</v>
      </c>
      <c r="I1283" s="222" t="s">
        <v>2016</v>
      </c>
      <c r="J1283" s="1603" t="s">
        <v>6089</v>
      </c>
      <c r="K1283" s="326"/>
      <c r="L1283" s="222">
        <v>1987.0</v>
      </c>
      <c r="M1283" s="25">
        <f t="shared" si="789"/>
        <v>38</v>
      </c>
      <c r="N1283" s="26">
        <f t="shared" si="790"/>
        <v>0</v>
      </c>
      <c r="O1283" s="27" t="str">
        <f t="shared" si="3"/>
        <v>#N/A</v>
      </c>
      <c r="P1283" s="28"/>
      <c r="Q1283" s="28"/>
      <c r="R1283" s="28"/>
      <c r="S1283" s="28"/>
      <c r="T1283" s="29">
        <f t="shared" si="791"/>
        <v>0</v>
      </c>
      <c r="U1283" s="28"/>
      <c r="V1283" s="30">
        <f t="shared" si="425"/>
        <v>0</v>
      </c>
      <c r="W1283" s="30"/>
      <c r="X1283" s="1488"/>
      <c r="Y1283" s="33" t="str">
        <f t="shared" si="792"/>
        <v>#DIV/0!</v>
      </c>
      <c r="Z1283" s="692"/>
      <c r="AA1283" s="665"/>
      <c r="AB1283" s="326"/>
      <c r="AC1283" s="326"/>
      <c r="AD1283" s="322"/>
      <c r="AE1283" s="323"/>
      <c r="AF1283" s="868"/>
      <c r="AG1283" s="323"/>
      <c r="AH1283" s="326"/>
      <c r="AI1283" s="323"/>
      <c r="AJ1283" s="322"/>
      <c r="AK1283" s="323"/>
      <c r="AL1283" s="322"/>
      <c r="AM1283" s="323"/>
      <c r="AN1283" s="322"/>
      <c r="AO1283" s="323"/>
      <c r="AP1283" s="322"/>
      <c r="AQ1283" s="323"/>
      <c r="AR1283" s="322"/>
      <c r="AS1283" s="322"/>
      <c r="AT1283" s="322"/>
      <c r="AU1283" s="335"/>
      <c r="AV1283" s="322"/>
      <c r="AW1283" s="38"/>
      <c r="AX1283" s="322"/>
      <c r="AY1283" s="38"/>
      <c r="AZ1283" s="322"/>
      <c r="BA1283" s="335"/>
      <c r="BB1283" s="322"/>
      <c r="BC1283" s="335"/>
      <c r="BD1283" s="322"/>
      <c r="BE1283" s="38"/>
      <c r="BF1283" s="326"/>
      <c r="BG1283" s="1448"/>
      <c r="BH1283" s="1448"/>
      <c r="BI1283" s="1448"/>
      <c r="BJ1283" s="1448"/>
      <c r="BK1283" s="1448"/>
      <c r="BL1283" s="1448"/>
      <c r="BM1283" s="1448"/>
      <c r="BN1283" s="1448"/>
      <c r="BO1283" s="1448"/>
      <c r="BP1283" s="1448"/>
      <c r="BQ1283" s="1448"/>
      <c r="BR1283" s="1448"/>
      <c r="BS1283" s="1448"/>
      <c r="BT1283" s="1448"/>
      <c r="BU1283" s="1448"/>
      <c r="BV1283" s="1448"/>
      <c r="BW1283" s="1448"/>
      <c r="BX1283" s="1448"/>
      <c r="BY1283" s="1448"/>
      <c r="BZ1283" s="1448"/>
      <c r="CA1283" s="1448"/>
      <c r="CB1283" s="1448"/>
      <c r="CC1283" s="1448"/>
      <c r="CD1283" s="1448"/>
      <c r="CE1283" s="1448"/>
      <c r="CF1283" s="1448"/>
      <c r="CG1283" s="1448"/>
      <c r="CH1283" s="1448"/>
      <c r="CI1283" s="1448"/>
      <c r="CJ1283" s="1448"/>
      <c r="CK1283" s="1448"/>
      <c r="CL1283" s="1448"/>
      <c r="CM1283" s="1448"/>
      <c r="CN1283" s="1448"/>
      <c r="CO1283" s="1448"/>
      <c r="CP1283" s="1448"/>
    </row>
    <row r="1284" ht="15.75" customHeight="1">
      <c r="A1284" s="1162" t="s">
        <v>6090</v>
      </c>
      <c r="B1284" s="16"/>
      <c r="C1284" s="17" t="s">
        <v>123</v>
      </c>
      <c r="D1284" s="18" t="s">
        <v>6091</v>
      </c>
      <c r="E1284" s="337"/>
      <c r="F1284" s="803" t="s">
        <v>6092</v>
      </c>
      <c r="H1284" s="317"/>
      <c r="I1284" s="23" t="s">
        <v>2954</v>
      </c>
      <c r="J1284" s="509"/>
      <c r="K1284" s="36"/>
      <c r="L1284" s="23"/>
      <c r="M1284" s="25">
        <f t="shared" si="789"/>
        <v>2025</v>
      </c>
      <c r="N1284" s="26">
        <f t="shared" si="790"/>
        <v>0</v>
      </c>
      <c r="O1284" s="27" t="str">
        <f t="shared" si="3"/>
        <v>#N/A</v>
      </c>
      <c r="P1284" s="28"/>
      <c r="Q1284" s="28"/>
      <c r="R1284" s="28"/>
      <c r="S1284" s="28"/>
      <c r="T1284" s="29">
        <f t="shared" si="791"/>
        <v>0</v>
      </c>
      <c r="U1284" s="28"/>
      <c r="V1284" s="30">
        <f t="shared" si="425"/>
        <v>0</v>
      </c>
      <c r="W1284" s="30"/>
      <c r="X1284" s="847"/>
      <c r="Y1284" s="33" t="str">
        <f t="shared" si="792"/>
        <v>#DIV/0!</v>
      </c>
      <c r="Z1284" s="692"/>
      <c r="AA1284" s="665"/>
      <c r="AB1284" s="36"/>
      <c r="AC1284" s="36"/>
      <c r="AD1284" s="44"/>
      <c r="AE1284" s="46"/>
      <c r="AF1284" s="39"/>
      <c r="AG1284" s="46"/>
      <c r="AH1284" s="36"/>
      <c r="AI1284" s="46"/>
      <c r="AJ1284" s="44"/>
      <c r="AK1284" s="46"/>
      <c r="AL1284" s="44"/>
      <c r="AM1284" s="46"/>
      <c r="AN1284" s="44"/>
      <c r="AO1284" s="46"/>
      <c r="AP1284" s="44"/>
      <c r="AQ1284" s="46"/>
      <c r="AR1284" s="44"/>
      <c r="AS1284" s="44"/>
      <c r="AT1284" s="44"/>
      <c r="AU1284" s="45"/>
      <c r="AV1284" s="44"/>
      <c r="AW1284" s="38"/>
      <c r="AX1284" s="44"/>
      <c r="AY1284" s="38"/>
      <c r="AZ1284" s="44"/>
      <c r="BA1284" s="45"/>
      <c r="BB1284" s="44"/>
      <c r="BC1284" s="45"/>
      <c r="BD1284" s="44"/>
      <c r="BE1284" s="38"/>
      <c r="BF1284" s="36"/>
      <c r="BG1284" s="16"/>
      <c r="BH1284" s="16"/>
      <c r="BI1284" s="16"/>
      <c r="BJ1284" s="16"/>
      <c r="BK1284" s="16"/>
      <c r="BL1284" s="16"/>
      <c r="BM1284" s="16"/>
      <c r="BN1284" s="16"/>
      <c r="BO1284" s="16"/>
      <c r="BP1284" s="16"/>
      <c r="BQ1284" s="16"/>
      <c r="BR1284" s="16"/>
      <c r="BS1284" s="16"/>
      <c r="BT1284" s="16"/>
      <c r="BU1284" s="16"/>
      <c r="BV1284" s="16"/>
      <c r="BW1284" s="16"/>
      <c r="BX1284" s="16"/>
      <c r="BY1284" s="16"/>
      <c r="BZ1284" s="16"/>
      <c r="CA1284" s="16"/>
      <c r="CB1284" s="16"/>
      <c r="CC1284" s="16"/>
      <c r="CD1284" s="16"/>
      <c r="CE1284" s="16"/>
      <c r="CF1284" s="16"/>
      <c r="CG1284" s="16"/>
      <c r="CH1284" s="16"/>
      <c r="CI1284" s="16"/>
      <c r="CJ1284" s="16"/>
      <c r="CK1284" s="16"/>
      <c r="CL1284" s="16"/>
      <c r="CM1284" s="16"/>
      <c r="CN1284" s="16"/>
      <c r="CO1284" s="16"/>
      <c r="CP1284" s="16"/>
    </row>
    <row r="1285" ht="15.75" customHeight="1">
      <c r="A1285" s="866" t="s">
        <v>6093</v>
      </c>
      <c r="B1285" s="16"/>
      <c r="C1285" s="17" t="s">
        <v>132</v>
      </c>
      <c r="D1285" s="236" t="s">
        <v>6094</v>
      </c>
      <c r="E1285" s="236" t="s">
        <v>6095</v>
      </c>
      <c r="F1285" s="803" t="s">
        <v>6096</v>
      </c>
      <c r="G1285" s="317"/>
      <c r="H1285" s="22" t="s">
        <v>328</v>
      </c>
      <c r="I1285" s="23" t="s">
        <v>329</v>
      </c>
      <c r="J1285" s="237"/>
      <c r="K1285" s="36"/>
      <c r="L1285" s="23">
        <v>2018.0</v>
      </c>
      <c r="M1285" s="25">
        <f t="shared" si="789"/>
        <v>7</v>
      </c>
      <c r="N1285" s="26">
        <f t="shared" si="790"/>
        <v>0</v>
      </c>
      <c r="O1285" s="27" t="str">
        <f t="shared" si="3"/>
        <v>#N/A</v>
      </c>
      <c r="P1285" s="28"/>
      <c r="Q1285" s="28"/>
      <c r="R1285" s="28"/>
      <c r="S1285" s="28"/>
      <c r="T1285" s="29">
        <f t="shared" si="791"/>
        <v>0</v>
      </c>
      <c r="U1285" s="28"/>
      <c r="V1285" s="30">
        <f t="shared" si="425"/>
        <v>0</v>
      </c>
      <c r="W1285" s="30"/>
      <c r="X1285" s="847"/>
      <c r="Y1285" s="33" t="str">
        <f t="shared" si="792"/>
        <v>#DIV/0!</v>
      </c>
      <c r="Z1285" s="692"/>
      <c r="AA1285" s="665"/>
      <c r="AB1285" s="36"/>
      <c r="AC1285" s="36"/>
      <c r="AD1285" s="44"/>
      <c r="AE1285" s="46"/>
      <c r="AF1285" s="39"/>
      <c r="AG1285" s="46"/>
      <c r="AH1285" s="36"/>
      <c r="AI1285" s="46"/>
      <c r="AJ1285" s="44"/>
      <c r="AK1285" s="46"/>
      <c r="AL1285" s="44"/>
      <c r="AM1285" s="46"/>
      <c r="AN1285" s="44"/>
      <c r="AO1285" s="46"/>
      <c r="AP1285" s="44"/>
      <c r="AQ1285" s="46"/>
      <c r="AR1285" s="44"/>
      <c r="AS1285" s="44"/>
      <c r="AT1285" s="44"/>
      <c r="AU1285" s="45"/>
      <c r="AV1285" s="44"/>
      <c r="AW1285" s="38"/>
      <c r="AX1285" s="44"/>
      <c r="AY1285" s="38"/>
      <c r="AZ1285" s="44"/>
      <c r="BA1285" s="45"/>
      <c r="BB1285" s="44"/>
      <c r="BC1285" s="45"/>
      <c r="BD1285" s="44"/>
      <c r="BE1285" s="38"/>
      <c r="BF1285" s="36"/>
      <c r="BG1285" s="16"/>
      <c r="BH1285" s="16"/>
      <c r="BI1285" s="16"/>
      <c r="BJ1285" s="16"/>
      <c r="BK1285" s="16"/>
      <c r="BL1285" s="16"/>
      <c r="BM1285" s="16"/>
      <c r="BN1285" s="16"/>
      <c r="BO1285" s="16"/>
      <c r="BP1285" s="16"/>
      <c r="BQ1285" s="16"/>
      <c r="BR1285" s="16"/>
      <c r="BS1285" s="16"/>
      <c r="BT1285" s="16"/>
      <c r="BU1285" s="16"/>
      <c r="BV1285" s="16"/>
      <c r="BW1285" s="16"/>
      <c r="BX1285" s="16"/>
      <c r="BY1285" s="16"/>
      <c r="BZ1285" s="16"/>
      <c r="CA1285" s="16"/>
      <c r="CB1285" s="16"/>
      <c r="CC1285" s="16"/>
      <c r="CD1285" s="16"/>
      <c r="CE1285" s="16"/>
      <c r="CF1285" s="16"/>
      <c r="CG1285" s="16"/>
      <c r="CH1285" s="16"/>
      <c r="CI1285" s="16"/>
      <c r="CJ1285" s="16"/>
      <c r="CK1285" s="16"/>
      <c r="CL1285" s="16"/>
      <c r="CM1285" s="16"/>
      <c r="CN1285" s="16"/>
      <c r="CO1285" s="16"/>
      <c r="CP1285" s="16"/>
    </row>
    <row r="1286" ht="15.75" customHeight="1">
      <c r="A1286" s="866" t="s">
        <v>6097</v>
      </c>
      <c r="B1286" s="16"/>
      <c r="C1286" s="17" t="s">
        <v>123</v>
      </c>
      <c r="D1286" s="236" t="s">
        <v>6098</v>
      </c>
      <c r="E1286" s="236" t="s">
        <v>6095</v>
      </c>
      <c r="F1286" s="803" t="s">
        <v>6099</v>
      </c>
      <c r="G1286" s="317"/>
      <c r="H1286" s="22" t="s">
        <v>6100</v>
      </c>
      <c r="I1286" s="23" t="s">
        <v>2489</v>
      </c>
      <c r="J1286" s="237"/>
      <c r="K1286" s="36"/>
      <c r="L1286" s="23">
        <v>2000.0</v>
      </c>
      <c r="M1286" s="25">
        <f t="shared" si="789"/>
        <v>25</v>
      </c>
      <c r="N1286" s="26">
        <f t="shared" si="790"/>
        <v>0</v>
      </c>
      <c r="O1286" s="27" t="str">
        <f t="shared" si="3"/>
        <v>#N/A</v>
      </c>
      <c r="P1286" s="28"/>
      <c r="Q1286" s="28"/>
      <c r="R1286" s="28"/>
      <c r="S1286" s="28"/>
      <c r="T1286" s="29">
        <f t="shared" si="791"/>
        <v>0</v>
      </c>
      <c r="U1286" s="28"/>
      <c r="V1286" s="30">
        <f t="shared" si="425"/>
        <v>0</v>
      </c>
      <c r="W1286" s="30"/>
      <c r="X1286" s="847"/>
      <c r="Y1286" s="33" t="str">
        <f t="shared" si="792"/>
        <v>#DIV/0!</v>
      </c>
      <c r="Z1286" s="692"/>
      <c r="AA1286" s="665"/>
      <c r="AB1286" s="36"/>
      <c r="AC1286" s="36"/>
      <c r="AD1286" s="44"/>
      <c r="AE1286" s="46"/>
      <c r="AF1286" s="39"/>
      <c r="AG1286" s="46"/>
      <c r="AH1286" s="36"/>
      <c r="AI1286" s="46"/>
      <c r="AJ1286" s="44"/>
      <c r="AK1286" s="46"/>
      <c r="AL1286" s="44"/>
      <c r="AM1286" s="46"/>
      <c r="AN1286" s="44"/>
      <c r="AO1286" s="46"/>
      <c r="AP1286" s="44"/>
      <c r="AQ1286" s="46"/>
      <c r="AR1286" s="44"/>
      <c r="AS1286" s="44"/>
      <c r="AT1286" s="44"/>
      <c r="AU1286" s="45"/>
      <c r="AV1286" s="44"/>
      <c r="AW1286" s="38"/>
      <c r="AX1286" s="44"/>
      <c r="AY1286" s="38"/>
      <c r="AZ1286" s="44"/>
      <c r="BA1286" s="45"/>
      <c r="BB1286" s="44"/>
      <c r="BC1286" s="45"/>
      <c r="BD1286" s="44"/>
      <c r="BE1286" s="38"/>
      <c r="BF1286" s="36"/>
      <c r="BG1286" s="16"/>
      <c r="BH1286" s="16"/>
      <c r="BI1286" s="16"/>
      <c r="BJ1286" s="16"/>
      <c r="BK1286" s="16"/>
      <c r="BL1286" s="16"/>
      <c r="BM1286" s="16"/>
      <c r="BN1286" s="16"/>
      <c r="BO1286" s="16"/>
      <c r="BP1286" s="16"/>
      <c r="BQ1286" s="16"/>
      <c r="BR1286" s="16"/>
      <c r="BS1286" s="16"/>
      <c r="BT1286" s="16"/>
      <c r="BU1286" s="16"/>
      <c r="BV1286" s="16"/>
      <c r="BW1286" s="16"/>
      <c r="BX1286" s="16"/>
      <c r="BY1286" s="16"/>
      <c r="BZ1286" s="16"/>
      <c r="CA1286" s="16"/>
      <c r="CB1286" s="16"/>
      <c r="CC1286" s="16"/>
      <c r="CD1286" s="16"/>
      <c r="CE1286" s="16"/>
      <c r="CF1286" s="16"/>
      <c r="CG1286" s="16"/>
      <c r="CH1286" s="16"/>
      <c r="CI1286" s="16"/>
      <c r="CJ1286" s="16"/>
      <c r="CK1286" s="16"/>
      <c r="CL1286" s="16"/>
      <c r="CM1286" s="16"/>
      <c r="CN1286" s="16"/>
      <c r="CO1286" s="16"/>
      <c r="CP1286" s="16"/>
    </row>
    <row r="1287" ht="15.75" customHeight="1">
      <c r="A1287" s="462" t="s">
        <v>6101</v>
      </c>
      <c r="B1287" s="16"/>
      <c r="C1287" s="17" t="s">
        <v>513</v>
      </c>
      <c r="D1287" s="236" t="s">
        <v>6102</v>
      </c>
      <c r="E1287" s="236" t="s">
        <v>6103</v>
      </c>
      <c r="F1287" s="803" t="s">
        <v>6104</v>
      </c>
      <c r="G1287" s="317"/>
      <c r="H1287" s="1361" t="s">
        <v>6105</v>
      </c>
      <c r="I1287" s="23" t="s">
        <v>1892</v>
      </c>
      <c r="J1287" s="237"/>
      <c r="K1287" s="36"/>
      <c r="L1287" s="23">
        <v>2019.0</v>
      </c>
      <c r="M1287" s="25">
        <f t="shared" si="789"/>
        <v>6</v>
      </c>
      <c r="N1287" s="26">
        <f t="shared" si="790"/>
        <v>0</v>
      </c>
      <c r="O1287" s="27" t="str">
        <f t="shared" si="3"/>
        <v>#N/A</v>
      </c>
      <c r="P1287" s="28"/>
      <c r="Q1287" s="28"/>
      <c r="R1287" s="28"/>
      <c r="S1287" s="28"/>
      <c r="T1287" s="29">
        <f t="shared" si="791"/>
        <v>0</v>
      </c>
      <c r="U1287" s="28"/>
      <c r="V1287" s="30">
        <f t="shared" si="425"/>
        <v>0</v>
      </c>
      <c r="W1287" s="30"/>
      <c r="X1287" s="847"/>
      <c r="Y1287" s="33" t="str">
        <f t="shared" si="792"/>
        <v>#DIV/0!</v>
      </c>
      <c r="Z1287" s="692"/>
      <c r="AA1287" s="665"/>
      <c r="AB1287" s="36"/>
      <c r="AC1287" s="36"/>
      <c r="AD1287" s="44"/>
      <c r="AE1287" s="46"/>
      <c r="AF1287" s="39"/>
      <c r="AG1287" s="46"/>
      <c r="AH1287" s="36"/>
      <c r="AI1287" s="46"/>
      <c r="AJ1287" s="44"/>
      <c r="AK1287" s="46"/>
      <c r="AL1287" s="44"/>
      <c r="AM1287" s="46"/>
      <c r="AN1287" s="44"/>
      <c r="AO1287" s="46"/>
      <c r="AP1287" s="44"/>
      <c r="AQ1287" s="46"/>
      <c r="AR1287" s="44"/>
      <c r="AS1287" s="44"/>
      <c r="AT1287" s="44"/>
      <c r="AU1287" s="45"/>
      <c r="AV1287" s="44"/>
      <c r="AW1287" s="38"/>
      <c r="AX1287" s="44"/>
      <c r="AY1287" s="38"/>
      <c r="AZ1287" s="44"/>
      <c r="BA1287" s="45"/>
      <c r="BB1287" s="44"/>
      <c r="BC1287" s="45"/>
      <c r="BD1287" s="44"/>
      <c r="BE1287" s="38"/>
      <c r="BF1287" s="36"/>
      <c r="BG1287" s="16"/>
      <c r="BH1287" s="16"/>
      <c r="BI1287" s="16"/>
      <c r="BJ1287" s="16"/>
      <c r="BK1287" s="16"/>
      <c r="BL1287" s="16"/>
      <c r="BM1287" s="16"/>
      <c r="BN1287" s="16"/>
      <c r="BO1287" s="16"/>
      <c r="BP1287" s="16"/>
      <c r="BQ1287" s="16"/>
      <c r="BR1287" s="16"/>
      <c r="BS1287" s="16"/>
      <c r="BT1287" s="16"/>
      <c r="BU1287" s="16"/>
      <c r="BV1287" s="16"/>
      <c r="BW1287" s="16"/>
      <c r="BX1287" s="16"/>
      <c r="BY1287" s="16"/>
      <c r="BZ1287" s="16"/>
      <c r="CA1287" s="16"/>
      <c r="CB1287" s="16"/>
      <c r="CC1287" s="16"/>
      <c r="CD1287" s="16"/>
      <c r="CE1287" s="16"/>
      <c r="CF1287" s="16"/>
      <c r="CG1287" s="16"/>
      <c r="CH1287" s="16"/>
      <c r="CI1287" s="16"/>
      <c r="CJ1287" s="16"/>
      <c r="CK1287" s="16"/>
      <c r="CL1287" s="16"/>
      <c r="CM1287" s="16"/>
      <c r="CN1287" s="16"/>
      <c r="CO1287" s="16"/>
      <c r="CP1287" s="16"/>
    </row>
    <row r="1288" ht="15.75" customHeight="1">
      <c r="A1288" s="866" t="s">
        <v>6106</v>
      </c>
      <c r="B1288" s="16"/>
      <c r="C1288" s="17" t="s">
        <v>6107</v>
      </c>
      <c r="D1288" s="18" t="s">
        <v>6108</v>
      </c>
      <c r="E1288" s="337"/>
      <c r="F1288" s="803" t="s">
        <v>6109</v>
      </c>
      <c r="G1288" s="317"/>
      <c r="H1288" s="317"/>
      <c r="I1288" s="36"/>
      <c r="J1288" s="237"/>
      <c r="K1288" s="36"/>
      <c r="L1288" s="23"/>
      <c r="M1288" s="25">
        <f t="shared" si="789"/>
        <v>2025</v>
      </c>
      <c r="N1288" s="26">
        <f t="shared" si="790"/>
        <v>0</v>
      </c>
      <c r="O1288" s="27" t="str">
        <f t="shared" si="3"/>
        <v>#N/A</v>
      </c>
      <c r="P1288" s="28"/>
      <c r="Q1288" s="28"/>
      <c r="R1288" s="28"/>
      <c r="S1288" s="28"/>
      <c r="T1288" s="29">
        <f t="shared" si="791"/>
        <v>0</v>
      </c>
      <c r="U1288" s="28"/>
      <c r="V1288" s="30">
        <f t="shared" si="425"/>
        <v>0</v>
      </c>
      <c r="W1288" s="30"/>
      <c r="X1288" s="847"/>
      <c r="Y1288" s="33" t="str">
        <f t="shared" si="792"/>
        <v>#DIV/0!</v>
      </c>
      <c r="Z1288" s="692"/>
      <c r="AA1288" s="665"/>
      <c r="AB1288" s="36"/>
      <c r="AC1288" s="36"/>
      <c r="AD1288" s="44"/>
      <c r="AE1288" s="46"/>
      <c r="AF1288" s="39"/>
      <c r="AG1288" s="46"/>
      <c r="AH1288" s="36"/>
      <c r="AI1288" s="46"/>
      <c r="AJ1288" s="44"/>
      <c r="AK1288" s="46"/>
      <c r="AL1288" s="44"/>
      <c r="AM1288" s="46"/>
      <c r="AN1288" s="44"/>
      <c r="AO1288" s="46"/>
      <c r="AP1288" s="44"/>
      <c r="AQ1288" s="46"/>
      <c r="AR1288" s="44"/>
      <c r="AS1288" s="44"/>
      <c r="AT1288" s="44"/>
      <c r="AU1288" s="45"/>
      <c r="AV1288" s="44"/>
      <c r="AW1288" s="38"/>
      <c r="AX1288" s="44"/>
      <c r="AY1288" s="38"/>
      <c r="AZ1288" s="44"/>
      <c r="BA1288" s="45"/>
      <c r="BB1288" s="44"/>
      <c r="BC1288" s="45"/>
      <c r="BD1288" s="44"/>
      <c r="BE1288" s="38"/>
      <c r="BF1288" s="36"/>
      <c r="BG1288" s="16"/>
      <c r="BH1288" s="16"/>
      <c r="BI1288" s="16"/>
      <c r="BJ1288" s="16"/>
      <c r="BK1288" s="16"/>
      <c r="BL1288" s="16"/>
      <c r="BM1288" s="16"/>
      <c r="BN1288" s="16"/>
      <c r="BO1288" s="16"/>
      <c r="BP1288" s="16"/>
      <c r="BQ1288" s="16"/>
      <c r="BR1288" s="16"/>
      <c r="BS1288" s="16"/>
      <c r="BT1288" s="16"/>
      <c r="BU1288" s="16"/>
      <c r="BV1288" s="16"/>
      <c r="BW1288" s="16"/>
      <c r="BX1288" s="16"/>
      <c r="BY1288" s="16"/>
      <c r="BZ1288" s="16"/>
      <c r="CA1288" s="16"/>
      <c r="CB1288" s="16"/>
      <c r="CC1288" s="16"/>
      <c r="CD1288" s="16"/>
      <c r="CE1288" s="16"/>
      <c r="CF1288" s="16"/>
      <c r="CG1288" s="16"/>
      <c r="CH1288" s="16"/>
      <c r="CI1288" s="16"/>
      <c r="CJ1288" s="16"/>
      <c r="CK1288" s="16"/>
      <c r="CL1288" s="16"/>
      <c r="CM1288" s="16"/>
      <c r="CN1288" s="16"/>
      <c r="CO1288" s="16"/>
      <c r="CP1288" s="16"/>
    </row>
    <row r="1289" ht="15.75" customHeight="1">
      <c r="A1289" s="442" t="s">
        <v>6110</v>
      </c>
      <c r="B1289" s="16" t="s">
        <v>1056</v>
      </c>
      <c r="C1289" s="17" t="s">
        <v>123</v>
      </c>
      <c r="D1289" s="138" t="s">
        <v>6111</v>
      </c>
      <c r="E1289" s="184" t="s">
        <v>6112</v>
      </c>
      <c r="F1289" s="185" t="s">
        <v>6113</v>
      </c>
      <c r="G1289" s="317" t="s">
        <v>6114</v>
      </c>
      <c r="H1289" s="317" t="s">
        <v>1065</v>
      </c>
      <c r="I1289" s="36" t="s">
        <v>6115</v>
      </c>
      <c r="J1289" s="237" t="s">
        <v>6116</v>
      </c>
      <c r="K1289" s="36" t="s">
        <v>723</v>
      </c>
      <c r="L1289" s="23">
        <v>1980.0</v>
      </c>
      <c r="M1289" s="25">
        <f t="shared" si="789"/>
        <v>45</v>
      </c>
      <c r="N1289" s="26">
        <f t="shared" si="790"/>
        <v>0</v>
      </c>
      <c r="O1289" s="27" t="str">
        <f t="shared" si="3"/>
        <v>#N/A</v>
      </c>
      <c r="P1289" s="28"/>
      <c r="Q1289" s="28"/>
      <c r="R1289" s="28"/>
      <c r="S1289" s="28"/>
      <c r="T1289" s="29">
        <f t="shared" si="791"/>
        <v>0</v>
      </c>
      <c r="U1289" s="28"/>
      <c r="V1289" s="30">
        <f t="shared" si="425"/>
        <v>0</v>
      </c>
      <c r="W1289" s="30"/>
      <c r="X1289" s="847"/>
      <c r="Y1289" s="33" t="str">
        <f t="shared" si="792"/>
        <v>#DIV/0!</v>
      </c>
      <c r="Z1289" s="692"/>
      <c r="AA1289" s="665"/>
      <c r="AB1289" s="36"/>
      <c r="AC1289" s="36"/>
      <c r="AD1289" s="44"/>
      <c r="AE1289" s="46"/>
      <c r="AF1289" s="39"/>
      <c r="AG1289" s="46"/>
      <c r="AH1289" s="36"/>
      <c r="AI1289" s="46"/>
      <c r="AJ1289" s="44"/>
      <c r="AK1289" s="46"/>
      <c r="AL1289" s="44"/>
      <c r="AM1289" s="46"/>
      <c r="AN1289" s="44"/>
      <c r="AO1289" s="46"/>
      <c r="AP1289" s="44"/>
      <c r="AQ1289" s="46"/>
      <c r="AR1289" s="44"/>
      <c r="AS1289" s="44"/>
      <c r="AT1289" s="44"/>
      <c r="AU1289" s="45"/>
      <c r="AV1289" s="44"/>
      <c r="AW1289" s="38"/>
      <c r="AX1289" s="44"/>
      <c r="AY1289" s="38"/>
      <c r="AZ1289" s="44"/>
      <c r="BA1289" s="45"/>
      <c r="BB1289" s="44"/>
      <c r="BC1289" s="45"/>
      <c r="BD1289" s="44"/>
      <c r="BE1289" s="38"/>
      <c r="BF1289" s="36"/>
      <c r="BG1289" s="534"/>
      <c r="BH1289" s="534"/>
      <c r="BI1289" s="534"/>
      <c r="BJ1289" s="534"/>
      <c r="BK1289" s="534"/>
      <c r="BL1289" s="534"/>
      <c r="BM1289" s="534"/>
      <c r="BN1289" s="534"/>
      <c r="BO1289" s="534"/>
      <c r="BP1289" s="534"/>
      <c r="BQ1289" s="534"/>
      <c r="BR1289" s="534"/>
      <c r="BS1289" s="534"/>
      <c r="BT1289" s="534"/>
      <c r="BU1289" s="534"/>
      <c r="BV1289" s="534"/>
      <c r="BW1289" s="534"/>
      <c r="BX1289" s="534"/>
      <c r="BY1289" s="534"/>
      <c r="BZ1289" s="534"/>
      <c r="CA1289" s="534"/>
      <c r="CB1289" s="534"/>
      <c r="CC1289" s="534"/>
      <c r="CD1289" s="534"/>
      <c r="CE1289" s="534"/>
      <c r="CF1289" s="534"/>
      <c r="CG1289" s="534"/>
      <c r="CH1289" s="534"/>
      <c r="CI1289" s="534"/>
      <c r="CJ1289" s="534"/>
      <c r="CK1289" s="534"/>
      <c r="CL1289" s="534"/>
      <c r="CM1289" s="534"/>
      <c r="CN1289" s="534"/>
      <c r="CO1289" s="534"/>
      <c r="CP1289" s="534"/>
    </row>
    <row r="1290" ht="15.75" customHeight="1">
      <c r="A1290" s="1162" t="s">
        <v>6117</v>
      </c>
      <c r="B1290" s="16"/>
      <c r="C1290" s="17" t="s">
        <v>123</v>
      </c>
      <c r="D1290" s="18" t="s">
        <v>6118</v>
      </c>
      <c r="E1290" s="138"/>
      <c r="F1290" s="20" t="s">
        <v>6119</v>
      </c>
      <c r="G1290" s="317"/>
      <c r="H1290" s="22"/>
      <c r="I1290" s="23"/>
      <c r="J1290" s="237"/>
      <c r="K1290" s="23"/>
      <c r="L1290" s="23"/>
      <c r="M1290" s="25">
        <f t="shared" si="789"/>
        <v>2025</v>
      </c>
      <c r="N1290" s="26">
        <f t="shared" si="790"/>
        <v>0</v>
      </c>
      <c r="O1290" s="27" t="str">
        <f t="shared" si="3"/>
        <v>#N/A</v>
      </c>
      <c r="P1290" s="28"/>
      <c r="Q1290" s="28"/>
      <c r="R1290" s="28"/>
      <c r="S1290" s="28"/>
      <c r="T1290" s="29">
        <f t="shared" si="791"/>
        <v>0</v>
      </c>
      <c r="U1290" s="28"/>
      <c r="V1290" s="30">
        <f t="shared" si="425"/>
        <v>0</v>
      </c>
      <c r="W1290" s="30"/>
      <c r="X1290" s="33"/>
      <c r="Y1290" s="33" t="str">
        <f t="shared" si="792"/>
        <v>#DIV/0!</v>
      </c>
      <c r="Z1290" s="692"/>
      <c r="AA1290" s="665"/>
      <c r="AB1290" s="36"/>
      <c r="AC1290" s="36"/>
      <c r="AD1290" s="44"/>
      <c r="AE1290" s="46"/>
      <c r="AF1290" s="39"/>
      <c r="AG1290" s="46"/>
      <c r="AH1290" s="36"/>
      <c r="AI1290" s="46"/>
      <c r="AJ1290" s="44"/>
      <c r="AK1290" s="46"/>
      <c r="AL1290" s="44"/>
      <c r="AM1290" s="46"/>
      <c r="AN1290" s="37"/>
      <c r="AO1290" s="38"/>
      <c r="AP1290" s="44"/>
      <c r="AQ1290" s="46"/>
      <c r="AR1290" s="44"/>
      <c r="AS1290" s="44"/>
      <c r="AT1290" s="44"/>
      <c r="AU1290" s="45"/>
      <c r="AV1290" s="44"/>
      <c r="AW1290" s="38"/>
      <c r="AX1290" s="44"/>
      <c r="AY1290" s="38"/>
      <c r="AZ1290" s="44"/>
      <c r="BA1290" s="45"/>
      <c r="BB1290" s="44"/>
      <c r="BC1290" s="45"/>
      <c r="BD1290" s="44"/>
      <c r="BE1290" s="38"/>
      <c r="BF1290" s="36"/>
      <c r="BG1290" s="16"/>
      <c r="BH1290" s="16"/>
      <c r="BI1290" s="16"/>
      <c r="BJ1290" s="16"/>
      <c r="BK1290" s="16"/>
      <c r="BL1290" s="16"/>
      <c r="BM1290" s="16"/>
      <c r="BN1290" s="16"/>
      <c r="BO1290" s="16"/>
      <c r="BP1290" s="16"/>
      <c r="BQ1290" s="16"/>
      <c r="BR1290" s="16"/>
      <c r="BS1290" s="16"/>
      <c r="BT1290" s="16"/>
      <c r="BU1290" s="16"/>
      <c r="BV1290" s="16"/>
      <c r="BW1290" s="16"/>
      <c r="BX1290" s="16"/>
      <c r="BY1290" s="16"/>
      <c r="BZ1290" s="16"/>
      <c r="CA1290" s="16"/>
      <c r="CB1290" s="16"/>
      <c r="CC1290" s="16"/>
      <c r="CD1290" s="16"/>
      <c r="CE1290" s="16"/>
      <c r="CF1290" s="16"/>
      <c r="CG1290" s="16"/>
      <c r="CH1290" s="16"/>
      <c r="CI1290" s="16"/>
      <c r="CJ1290" s="16"/>
      <c r="CK1290" s="16"/>
      <c r="CL1290" s="16"/>
      <c r="CM1290" s="16"/>
      <c r="CN1290" s="16"/>
      <c r="CO1290" s="16"/>
      <c r="CP1290" s="16"/>
    </row>
    <row r="1291" ht="15.75" customHeight="1">
      <c r="A1291" s="866" t="s">
        <v>6120</v>
      </c>
      <c r="B1291" s="16"/>
      <c r="C1291" s="17" t="s">
        <v>276</v>
      </c>
      <c r="D1291" s="337"/>
      <c r="E1291" s="18" t="s">
        <v>6121</v>
      </c>
      <c r="F1291" s="20" t="s">
        <v>6122</v>
      </c>
      <c r="G1291" s="317"/>
      <c r="H1291" s="22" t="s">
        <v>5417</v>
      </c>
      <c r="I1291" s="23" t="s">
        <v>329</v>
      </c>
      <c r="J1291" s="237"/>
      <c r="K1291" s="36"/>
      <c r="L1291" s="23">
        <v>2009.0</v>
      </c>
      <c r="M1291" s="25">
        <f t="shared" si="789"/>
        <v>16</v>
      </c>
      <c r="N1291" s="26">
        <f t="shared" si="790"/>
        <v>0</v>
      </c>
      <c r="O1291" s="27" t="str">
        <f t="shared" si="3"/>
        <v>#N/A</v>
      </c>
      <c r="P1291" s="28"/>
      <c r="Q1291" s="28"/>
      <c r="R1291" s="28"/>
      <c r="S1291" s="28"/>
      <c r="T1291" s="29">
        <f t="shared" si="791"/>
        <v>0</v>
      </c>
      <c r="U1291" s="28"/>
      <c r="V1291" s="30">
        <f t="shared" si="425"/>
        <v>0</v>
      </c>
      <c r="W1291" s="30"/>
      <c r="X1291" s="847"/>
      <c r="Y1291" s="33" t="str">
        <f t="shared" si="792"/>
        <v>#DIV/0!</v>
      </c>
      <c r="Z1291" s="692"/>
      <c r="AA1291" s="665"/>
      <c r="AB1291" s="36"/>
      <c r="AC1291" s="36"/>
      <c r="AD1291" s="44"/>
      <c r="AE1291" s="46"/>
      <c r="AF1291" s="804"/>
      <c r="AG1291" s="38"/>
      <c r="AH1291" s="36"/>
      <c r="AI1291" s="46"/>
      <c r="AJ1291" s="804"/>
      <c r="AK1291" s="38"/>
      <c r="AL1291" s="804"/>
      <c r="AM1291" s="38"/>
      <c r="AN1291" s="37"/>
      <c r="AO1291" s="38"/>
      <c r="AP1291" s="37"/>
      <c r="AQ1291" s="46"/>
      <c r="AR1291" s="44"/>
      <c r="AS1291" s="44"/>
      <c r="AT1291" s="44"/>
      <c r="AU1291" s="45"/>
      <c r="AV1291" s="44"/>
      <c r="AW1291" s="38"/>
      <c r="AX1291" s="44"/>
      <c r="AY1291" s="38"/>
      <c r="AZ1291" s="44"/>
      <c r="BA1291" s="45"/>
      <c r="BB1291" s="44"/>
      <c r="BC1291" s="45"/>
      <c r="BD1291" s="44"/>
      <c r="BE1291" s="38"/>
      <c r="BF1291" s="36"/>
      <c r="BG1291" s="16"/>
      <c r="BH1291" s="16"/>
      <c r="BI1291" s="16"/>
      <c r="BJ1291" s="16"/>
      <c r="BK1291" s="16"/>
      <c r="BL1291" s="16"/>
      <c r="BM1291" s="16"/>
      <c r="BN1291" s="16"/>
      <c r="BO1291" s="16"/>
      <c r="BP1291" s="16"/>
      <c r="BQ1291" s="16"/>
      <c r="BR1291" s="16"/>
      <c r="BS1291" s="16"/>
      <c r="BT1291" s="16"/>
      <c r="BU1291" s="16"/>
      <c r="BV1291" s="16"/>
      <c r="BW1291" s="16"/>
      <c r="BX1291" s="16"/>
      <c r="BY1291" s="16"/>
      <c r="BZ1291" s="16"/>
      <c r="CA1291" s="16"/>
      <c r="CB1291" s="16"/>
      <c r="CC1291" s="16"/>
      <c r="CD1291" s="16"/>
      <c r="CE1291" s="16"/>
      <c r="CF1291" s="16"/>
      <c r="CG1291" s="16"/>
      <c r="CH1291" s="16"/>
      <c r="CI1291" s="16"/>
      <c r="CJ1291" s="16"/>
      <c r="CK1291" s="16"/>
      <c r="CL1291" s="16"/>
      <c r="CM1291" s="16"/>
      <c r="CN1291" s="16"/>
      <c r="CO1291" s="16"/>
      <c r="CP1291" s="16"/>
    </row>
    <row r="1292" ht="15.75" customHeight="1">
      <c r="A1292" s="1604" t="s">
        <v>6123</v>
      </c>
      <c r="B1292" s="16"/>
      <c r="C1292" s="17" t="s">
        <v>132</v>
      </c>
      <c r="D1292" s="184"/>
      <c r="E1292" s="236" t="s">
        <v>6124</v>
      </c>
      <c r="F1292" s="1605" t="s">
        <v>6125</v>
      </c>
      <c r="G1292" s="317"/>
      <c r="H1292" s="22" t="s">
        <v>839</v>
      </c>
      <c r="I1292" s="23" t="s">
        <v>115</v>
      </c>
      <c r="J1292" s="237"/>
      <c r="K1292" s="23"/>
      <c r="L1292" s="23">
        <v>1986.0</v>
      </c>
      <c r="M1292" s="25">
        <f t="shared" si="789"/>
        <v>39</v>
      </c>
      <c r="N1292" s="26">
        <f t="shared" si="790"/>
        <v>0</v>
      </c>
      <c r="O1292" s="27" t="str">
        <f t="shared" si="3"/>
        <v>#N/A</v>
      </c>
      <c r="P1292" s="28"/>
      <c r="Q1292" s="28"/>
      <c r="R1292" s="28"/>
      <c r="S1292" s="28"/>
      <c r="T1292" s="29">
        <f t="shared" si="791"/>
        <v>0</v>
      </c>
      <c r="U1292" s="28"/>
      <c r="V1292" s="30">
        <f t="shared" si="425"/>
        <v>0</v>
      </c>
      <c r="W1292" s="30"/>
      <c r="X1292" s="33"/>
      <c r="Y1292" s="33" t="str">
        <f t="shared" si="792"/>
        <v>#DIV/0!</v>
      </c>
      <c r="Z1292" s="692"/>
      <c r="AA1292" s="665"/>
      <c r="AB1292" s="36"/>
      <c r="AC1292" s="36"/>
      <c r="AD1292" s="44"/>
      <c r="AE1292" s="46"/>
      <c r="AF1292" s="39"/>
      <c r="AG1292" s="46"/>
      <c r="AH1292" s="36"/>
      <c r="AI1292" s="46"/>
      <c r="AJ1292" s="473"/>
      <c r="AK1292" s="46"/>
      <c r="AL1292" s="473"/>
      <c r="AM1292" s="46"/>
      <c r="AN1292" s="37"/>
      <c r="AO1292" s="38"/>
      <c r="AP1292" s="44"/>
      <c r="AQ1292" s="46"/>
      <c r="AR1292" s="44"/>
      <c r="AS1292" s="44"/>
      <c r="AT1292" s="44"/>
      <c r="AU1292" s="45"/>
      <c r="AV1292" s="44"/>
      <c r="AW1292" s="38"/>
      <c r="AX1292" s="44"/>
      <c r="AY1292" s="38"/>
      <c r="AZ1292" s="44"/>
      <c r="BA1292" s="45"/>
      <c r="BB1292" s="44"/>
      <c r="BC1292" s="45"/>
      <c r="BD1292" s="44"/>
      <c r="BE1292" s="38"/>
      <c r="BF1292" s="36"/>
      <c r="BG1292" s="1448"/>
      <c r="BH1292" s="1448"/>
      <c r="BI1292" s="1448"/>
      <c r="BJ1292" s="1448"/>
      <c r="BK1292" s="1448"/>
      <c r="BL1292" s="1448"/>
      <c r="BM1292" s="1448"/>
      <c r="BN1292" s="1448"/>
      <c r="BO1292" s="1448"/>
      <c r="BP1292" s="1448"/>
      <c r="BQ1292" s="1448"/>
      <c r="BR1292" s="1448"/>
      <c r="BS1292" s="1448"/>
      <c r="BT1292" s="1448"/>
      <c r="BU1292" s="1448"/>
      <c r="BV1292" s="1448"/>
      <c r="BW1292" s="1448"/>
      <c r="BX1292" s="1448"/>
      <c r="BY1292" s="1448"/>
      <c r="BZ1292" s="1448"/>
      <c r="CA1292" s="1448"/>
      <c r="CB1292" s="1448"/>
      <c r="CC1292" s="1448"/>
      <c r="CD1292" s="1448"/>
      <c r="CE1292" s="1448"/>
      <c r="CF1292" s="1448"/>
      <c r="CG1292" s="1448"/>
      <c r="CH1292" s="1448"/>
      <c r="CI1292" s="1448"/>
      <c r="CJ1292" s="1448"/>
      <c r="CK1292" s="1448"/>
      <c r="CL1292" s="1448"/>
      <c r="CM1292" s="1448"/>
      <c r="CN1292" s="1448"/>
      <c r="CO1292" s="1448"/>
      <c r="CP1292" s="1448"/>
    </row>
    <row r="1293" ht="15.75" customHeight="1">
      <c r="A1293" s="866" t="s">
        <v>6126</v>
      </c>
      <c r="B1293" s="16"/>
      <c r="C1293" s="17" t="s">
        <v>123</v>
      </c>
      <c r="D1293" s="337"/>
      <c r="E1293" s="236" t="s">
        <v>6127</v>
      </c>
      <c r="F1293" s="803" t="s">
        <v>6128</v>
      </c>
      <c r="G1293" s="317"/>
      <c r="H1293" s="22" t="s">
        <v>450</v>
      </c>
      <c r="I1293" s="22" t="s">
        <v>450</v>
      </c>
      <c r="J1293" s="237"/>
      <c r="K1293" s="36"/>
      <c r="L1293" s="23">
        <v>2004.0</v>
      </c>
      <c r="M1293" s="25">
        <f t="shared" si="789"/>
        <v>21</v>
      </c>
      <c r="N1293" s="26">
        <f t="shared" si="790"/>
        <v>0</v>
      </c>
      <c r="O1293" s="27" t="str">
        <f t="shared" si="3"/>
        <v>#N/A</v>
      </c>
      <c r="P1293" s="28"/>
      <c r="Q1293" s="28"/>
      <c r="R1293" s="28"/>
      <c r="S1293" s="28"/>
      <c r="T1293" s="29">
        <f t="shared" si="791"/>
        <v>0</v>
      </c>
      <c r="U1293" s="28"/>
      <c r="V1293" s="30">
        <f t="shared" si="425"/>
        <v>0</v>
      </c>
      <c r="W1293" s="30"/>
      <c r="X1293" s="847"/>
      <c r="Y1293" s="33" t="str">
        <f t="shared" si="792"/>
        <v>#DIV/0!</v>
      </c>
      <c r="Z1293" s="692"/>
      <c r="AA1293" s="665"/>
      <c r="AB1293" s="36"/>
      <c r="AC1293" s="36"/>
      <c r="AD1293" s="44"/>
      <c r="AE1293" s="46"/>
      <c r="AF1293" s="804"/>
      <c r="AG1293" s="38"/>
      <c r="AH1293" s="36"/>
      <c r="AI1293" s="46"/>
      <c r="AJ1293" s="804"/>
      <c r="AK1293" s="38"/>
      <c r="AL1293" s="804"/>
      <c r="AM1293" s="38"/>
      <c r="AN1293" s="37"/>
      <c r="AO1293" s="38"/>
      <c r="AP1293" s="37"/>
      <c r="AQ1293" s="46"/>
      <c r="AR1293" s="44"/>
      <c r="AS1293" s="44"/>
      <c r="AT1293" s="44"/>
      <c r="AU1293" s="45"/>
      <c r="AV1293" s="44"/>
      <c r="AW1293" s="38"/>
      <c r="AX1293" s="44"/>
      <c r="AY1293" s="38"/>
      <c r="AZ1293" s="44"/>
      <c r="BA1293" s="45"/>
      <c r="BB1293" s="44"/>
      <c r="BC1293" s="45"/>
      <c r="BD1293" s="44"/>
      <c r="BE1293" s="38"/>
      <c r="BF1293" s="36"/>
      <c r="BG1293" s="16"/>
      <c r="BH1293" s="16"/>
      <c r="BI1293" s="16"/>
      <c r="BJ1293" s="16"/>
      <c r="BK1293" s="16"/>
      <c r="BL1293" s="16"/>
      <c r="BM1293" s="16"/>
      <c r="BN1293" s="16"/>
      <c r="BO1293" s="16"/>
      <c r="BP1293" s="16"/>
      <c r="BQ1293" s="16"/>
      <c r="BR1293" s="16"/>
      <c r="BS1293" s="16"/>
      <c r="BT1293" s="16"/>
      <c r="BU1293" s="16"/>
      <c r="BV1293" s="16"/>
      <c r="BW1293" s="16"/>
      <c r="BX1293" s="16"/>
      <c r="BY1293" s="16"/>
      <c r="BZ1293" s="16"/>
      <c r="CA1293" s="16"/>
      <c r="CB1293" s="16"/>
      <c r="CC1293" s="16"/>
      <c r="CD1293" s="16"/>
      <c r="CE1293" s="16"/>
      <c r="CF1293" s="16"/>
      <c r="CG1293" s="16"/>
      <c r="CH1293" s="16"/>
      <c r="CI1293" s="16"/>
      <c r="CJ1293" s="16"/>
      <c r="CK1293" s="16"/>
      <c r="CL1293" s="16"/>
      <c r="CM1293" s="16"/>
      <c r="CN1293" s="16"/>
      <c r="CO1293" s="16"/>
      <c r="CP1293" s="16"/>
    </row>
    <row r="1294" ht="15.75" customHeight="1">
      <c r="A1294" s="866" t="s">
        <v>6129</v>
      </c>
      <c r="B1294" s="16"/>
      <c r="C1294" s="17" t="s">
        <v>123</v>
      </c>
      <c r="D1294" s="18" t="s">
        <v>6130</v>
      </c>
      <c r="E1294" s="18" t="s">
        <v>6131</v>
      </c>
      <c r="F1294" s="20" t="s">
        <v>6132</v>
      </c>
      <c r="G1294" s="22"/>
      <c r="H1294" s="22" t="s">
        <v>6133</v>
      </c>
      <c r="I1294" s="23" t="s">
        <v>257</v>
      </c>
      <c r="J1294" s="24"/>
      <c r="K1294" s="23"/>
      <c r="L1294" s="23">
        <v>2018.0</v>
      </c>
      <c r="M1294" s="25">
        <f t="shared" si="789"/>
        <v>7</v>
      </c>
      <c r="N1294" s="26">
        <f t="shared" si="790"/>
        <v>0</v>
      </c>
      <c r="O1294" s="27" t="str">
        <f t="shared" si="3"/>
        <v>#N/A</v>
      </c>
      <c r="P1294" s="28"/>
      <c r="Q1294" s="28"/>
      <c r="R1294" s="28"/>
      <c r="S1294" s="28"/>
      <c r="T1294" s="29">
        <f t="shared" si="791"/>
        <v>0</v>
      </c>
      <c r="U1294" s="28"/>
      <c r="V1294" s="30">
        <f t="shared" si="425"/>
        <v>0</v>
      </c>
      <c r="W1294" s="30"/>
      <c r="X1294" s="33"/>
      <c r="Y1294" s="33" t="str">
        <f t="shared" si="792"/>
        <v>#DIV/0!</v>
      </c>
      <c r="Z1294" s="692"/>
      <c r="AA1294" s="665"/>
      <c r="AB1294" s="36"/>
      <c r="AC1294" s="36"/>
      <c r="AD1294" s="37"/>
      <c r="AE1294" s="38"/>
      <c r="AF1294" s="1502"/>
      <c r="AG1294" s="38"/>
      <c r="AH1294" s="40"/>
      <c r="AI1294" s="41"/>
      <c r="AJ1294" s="37"/>
      <c r="AK1294" s="38"/>
      <c r="AL1294" s="44"/>
      <c r="AM1294" s="46"/>
      <c r="AN1294" s="44"/>
      <c r="AO1294" s="46"/>
      <c r="AP1294" s="44"/>
      <c r="AQ1294" s="46"/>
      <c r="AR1294" s="44"/>
      <c r="AS1294" s="44"/>
      <c r="AT1294" s="44"/>
      <c r="AU1294" s="45"/>
      <c r="AV1294" s="44"/>
      <c r="AW1294" s="38"/>
      <c r="AX1294" s="44"/>
      <c r="AY1294" s="38"/>
      <c r="AZ1294" s="44"/>
      <c r="BA1294" s="45"/>
      <c r="BB1294" s="44"/>
      <c r="BC1294" s="45"/>
      <c r="BD1294" s="44"/>
      <c r="BE1294" s="38"/>
      <c r="BF1294" s="36"/>
      <c r="BG1294" s="16"/>
      <c r="BH1294" s="16"/>
      <c r="BI1294" s="16"/>
      <c r="BJ1294" s="16"/>
      <c r="BK1294" s="16"/>
      <c r="BL1294" s="16"/>
      <c r="BM1294" s="16"/>
      <c r="BN1294" s="16"/>
      <c r="BO1294" s="16"/>
      <c r="BP1294" s="16"/>
      <c r="BQ1294" s="16"/>
      <c r="BR1294" s="16"/>
      <c r="BS1294" s="16"/>
      <c r="BT1294" s="16"/>
      <c r="BU1294" s="16"/>
      <c r="BV1294" s="16"/>
      <c r="BW1294" s="16"/>
      <c r="BX1294" s="16"/>
      <c r="BY1294" s="16"/>
      <c r="BZ1294" s="16"/>
      <c r="CA1294" s="16"/>
      <c r="CB1294" s="16"/>
      <c r="CC1294" s="16"/>
      <c r="CD1294" s="16"/>
      <c r="CE1294" s="16"/>
      <c r="CF1294" s="16"/>
      <c r="CG1294" s="16"/>
      <c r="CH1294" s="16"/>
      <c r="CI1294" s="16"/>
      <c r="CJ1294" s="16"/>
      <c r="CK1294" s="16"/>
      <c r="CL1294" s="16"/>
      <c r="CM1294" s="16"/>
      <c r="CN1294" s="16"/>
      <c r="CO1294" s="16"/>
      <c r="CP1294" s="16"/>
    </row>
    <row r="1295" ht="15.75" customHeight="1">
      <c r="A1295" s="1366" t="s">
        <v>6134</v>
      </c>
      <c r="B1295" s="16"/>
      <c r="C1295" s="17" t="s">
        <v>132</v>
      </c>
      <c r="D1295" s="192" t="s">
        <v>6135</v>
      </c>
      <c r="E1295" s="18" t="s">
        <v>6136</v>
      </c>
      <c r="F1295" s="20" t="s">
        <v>6137</v>
      </c>
      <c r="G1295" s="22"/>
      <c r="H1295" s="22" t="s">
        <v>219</v>
      </c>
      <c r="I1295" s="23" t="s">
        <v>219</v>
      </c>
      <c r="J1295" s="24"/>
      <c r="K1295" s="23"/>
      <c r="L1295" s="23">
        <v>2019.0</v>
      </c>
      <c r="M1295" s="25">
        <f t="shared" si="789"/>
        <v>6</v>
      </c>
      <c r="N1295" s="26">
        <f t="shared" si="790"/>
        <v>0</v>
      </c>
      <c r="O1295" s="27" t="str">
        <f t="shared" si="3"/>
        <v>#N/A</v>
      </c>
      <c r="P1295" s="28"/>
      <c r="Q1295" s="28"/>
      <c r="R1295" s="28"/>
      <c r="S1295" s="28"/>
      <c r="T1295" s="29">
        <f t="shared" si="791"/>
        <v>0</v>
      </c>
      <c r="U1295" s="28"/>
      <c r="V1295" s="30">
        <f t="shared" si="425"/>
        <v>0</v>
      </c>
      <c r="W1295" s="30"/>
      <c r="X1295" s="33"/>
      <c r="Y1295" s="33" t="str">
        <f t="shared" si="792"/>
        <v>#DIV/0!</v>
      </c>
      <c r="Z1295" s="692"/>
      <c r="AA1295" s="665"/>
      <c r="AB1295" s="36"/>
      <c r="AC1295" s="36"/>
      <c r="AD1295" s="37"/>
      <c r="AE1295" s="38"/>
      <c r="AF1295" s="39"/>
      <c r="AG1295" s="38"/>
      <c r="AH1295" s="226"/>
      <c r="AI1295" s="38"/>
      <c r="AJ1295" s="37"/>
      <c r="AK1295" s="38"/>
      <c r="AL1295" s="37"/>
      <c r="AM1295" s="38"/>
      <c r="AN1295" s="44"/>
      <c r="AO1295" s="46"/>
      <c r="AP1295" s="44"/>
      <c r="AQ1295" s="46"/>
      <c r="AR1295" s="44"/>
      <c r="AS1295" s="44"/>
      <c r="AT1295" s="44"/>
      <c r="AU1295" s="45"/>
      <c r="AV1295" s="44"/>
      <c r="AW1295" s="38"/>
      <c r="AX1295" s="44"/>
      <c r="AY1295" s="38"/>
      <c r="AZ1295" s="44"/>
      <c r="BA1295" s="45"/>
      <c r="BB1295" s="44"/>
      <c r="BC1295" s="45"/>
      <c r="BD1295" s="44"/>
      <c r="BE1295" s="38"/>
      <c r="BF1295" s="36"/>
      <c r="BG1295" s="16"/>
      <c r="BH1295" s="16"/>
      <c r="BI1295" s="16"/>
      <c r="BJ1295" s="16"/>
      <c r="BK1295" s="16"/>
      <c r="BL1295" s="16"/>
      <c r="BM1295" s="16"/>
      <c r="BN1295" s="16"/>
      <c r="BO1295" s="16"/>
      <c r="BP1295" s="16"/>
      <c r="BQ1295" s="16"/>
      <c r="BR1295" s="16"/>
      <c r="BS1295" s="16"/>
      <c r="BT1295" s="16"/>
      <c r="BU1295" s="16"/>
      <c r="BV1295" s="16"/>
      <c r="BW1295" s="16"/>
      <c r="BX1295" s="16"/>
      <c r="BY1295" s="16"/>
      <c r="BZ1295" s="16"/>
      <c r="CA1295" s="16"/>
      <c r="CB1295" s="16"/>
      <c r="CC1295" s="16"/>
      <c r="CD1295" s="16"/>
      <c r="CE1295" s="16"/>
      <c r="CF1295" s="16"/>
      <c r="CG1295" s="16"/>
      <c r="CH1295" s="16"/>
      <c r="CI1295" s="16"/>
      <c r="CJ1295" s="16"/>
      <c r="CK1295" s="16"/>
      <c r="CL1295" s="16"/>
      <c r="CM1295" s="16"/>
      <c r="CN1295" s="16"/>
      <c r="CO1295" s="16"/>
      <c r="CP1295" s="16"/>
    </row>
    <row r="1296" ht="15.75" customHeight="1">
      <c r="A1296" s="1406" t="s">
        <v>6138</v>
      </c>
      <c r="B1296" s="534"/>
      <c r="C1296" s="849" t="s">
        <v>59</v>
      </c>
      <c r="D1296" s="161" t="s">
        <v>6139</v>
      </c>
      <c r="E1296" s="161" t="s">
        <v>6140</v>
      </c>
      <c r="F1296" s="402" t="s">
        <v>6141</v>
      </c>
      <c r="G1296" s="850"/>
      <c r="H1296" s="54" t="s">
        <v>128</v>
      </c>
      <c r="I1296" s="222" t="s">
        <v>129</v>
      </c>
      <c r="J1296" s="953"/>
      <c r="K1296" s="222"/>
      <c r="L1296" s="222"/>
      <c r="M1296" s="25">
        <f t="shared" si="789"/>
        <v>2025</v>
      </c>
      <c r="N1296" s="26">
        <f t="shared" si="790"/>
        <v>0</v>
      </c>
      <c r="O1296" s="27" t="str">
        <f t="shared" si="3"/>
        <v>#N/A</v>
      </c>
      <c r="P1296" s="28"/>
      <c r="Q1296" s="28"/>
      <c r="R1296" s="28"/>
      <c r="S1296" s="28"/>
      <c r="T1296" s="29">
        <f t="shared" si="791"/>
        <v>0</v>
      </c>
      <c r="U1296" s="28"/>
      <c r="V1296" s="30">
        <f t="shared" si="425"/>
        <v>0</v>
      </c>
      <c r="W1296" s="30"/>
      <c r="X1296" s="852"/>
      <c r="Y1296" s="33" t="str">
        <f t="shared" si="792"/>
        <v>#DIV/0!</v>
      </c>
      <c r="Z1296" s="692"/>
      <c r="AA1296" s="665"/>
      <c r="AB1296" s="326"/>
      <c r="AC1296" s="326"/>
      <c r="AD1296" s="1134"/>
      <c r="AE1296" s="325"/>
      <c r="AF1296" s="868"/>
      <c r="AG1296" s="325"/>
      <c r="AH1296" s="1359"/>
      <c r="AI1296" s="325"/>
      <c r="AJ1296" s="1134"/>
      <c r="AK1296" s="325"/>
      <c r="AL1296" s="1134"/>
      <c r="AM1296" s="325"/>
      <c r="AN1296" s="322"/>
      <c r="AO1296" s="323"/>
      <c r="AP1296" s="322"/>
      <c r="AQ1296" s="323"/>
      <c r="AR1296" s="322"/>
      <c r="AS1296" s="322"/>
      <c r="AT1296" s="322"/>
      <c r="AU1296" s="335"/>
      <c r="AV1296" s="322"/>
      <c r="AW1296" s="38"/>
      <c r="AX1296" s="322"/>
      <c r="AY1296" s="38"/>
      <c r="AZ1296" s="322"/>
      <c r="BA1296" s="335"/>
      <c r="BB1296" s="322"/>
      <c r="BC1296" s="335"/>
      <c r="BD1296" s="322"/>
      <c r="BE1296" s="38"/>
      <c r="BF1296" s="326"/>
      <c r="BG1296" s="1448"/>
      <c r="BH1296" s="1448"/>
      <c r="BI1296" s="1448"/>
      <c r="BJ1296" s="1448"/>
      <c r="BK1296" s="1448"/>
      <c r="BL1296" s="1448"/>
      <c r="BM1296" s="1448"/>
      <c r="BN1296" s="1448"/>
      <c r="BO1296" s="1448"/>
      <c r="BP1296" s="1448"/>
      <c r="BQ1296" s="1448"/>
      <c r="BR1296" s="1448"/>
      <c r="BS1296" s="1448"/>
      <c r="BT1296" s="1448"/>
      <c r="BU1296" s="1448"/>
      <c r="BV1296" s="1448"/>
      <c r="BW1296" s="1448"/>
      <c r="BX1296" s="1448"/>
      <c r="BY1296" s="1448"/>
      <c r="BZ1296" s="1448"/>
      <c r="CA1296" s="1448"/>
      <c r="CB1296" s="1448"/>
      <c r="CC1296" s="1448"/>
      <c r="CD1296" s="1448"/>
      <c r="CE1296" s="1448"/>
      <c r="CF1296" s="1448"/>
      <c r="CG1296" s="1448"/>
      <c r="CH1296" s="1448"/>
      <c r="CI1296" s="1448"/>
      <c r="CJ1296" s="1448"/>
      <c r="CK1296" s="1448"/>
      <c r="CL1296" s="1448"/>
      <c r="CM1296" s="1448"/>
      <c r="CN1296" s="1448"/>
      <c r="CO1296" s="1448"/>
      <c r="CP1296" s="1448"/>
    </row>
    <row r="1297" ht="15.75" customHeight="1">
      <c r="A1297" s="1606" t="s">
        <v>6142</v>
      </c>
      <c r="B1297" s="66"/>
      <c r="C1297" s="1390" t="s">
        <v>132</v>
      </c>
      <c r="D1297" s="1569" t="s">
        <v>6069</v>
      </c>
      <c r="E1297" s="1569" t="s">
        <v>6069</v>
      </c>
      <c r="F1297" s="1607" t="s">
        <v>6143</v>
      </c>
      <c r="G1297" s="1395"/>
      <c r="H1297" s="1571" t="s">
        <v>6144</v>
      </c>
      <c r="I1297" s="1284" t="s">
        <v>263</v>
      </c>
      <c r="J1297" s="1608" t="s">
        <v>6145</v>
      </c>
      <c r="K1297" s="1284">
        <v>1.0</v>
      </c>
      <c r="L1297" s="1284">
        <v>2017.0</v>
      </c>
      <c r="M1297" s="25">
        <f t="shared" si="789"/>
        <v>8</v>
      </c>
      <c r="N1297" s="26">
        <f t="shared" si="790"/>
        <v>0</v>
      </c>
      <c r="O1297" s="27" t="str">
        <f t="shared" si="3"/>
        <v>#N/A</v>
      </c>
      <c r="P1297" s="28"/>
      <c r="Q1297" s="28"/>
      <c r="R1297" s="28"/>
      <c r="S1297" s="28"/>
      <c r="T1297" s="29">
        <f t="shared" si="791"/>
        <v>0</v>
      </c>
      <c r="U1297" s="28"/>
      <c r="V1297" s="30">
        <f t="shared" si="425"/>
        <v>0</v>
      </c>
      <c r="W1297" s="30"/>
      <c r="X1297" s="1286"/>
      <c r="Y1297" s="33" t="str">
        <f t="shared" si="792"/>
        <v>#DIV/0!</v>
      </c>
      <c r="Z1297" s="692"/>
      <c r="AA1297" s="665"/>
      <c r="AB1297" s="1161"/>
      <c r="AC1297" s="1161"/>
      <c r="AD1297" s="1289"/>
      <c r="AE1297" s="1288"/>
      <c r="AF1297" s="1609"/>
      <c r="AG1297" s="1288"/>
      <c r="AH1297" s="1610"/>
      <c r="AI1297" s="1288"/>
      <c r="AJ1297" s="1289"/>
      <c r="AK1297" s="1288"/>
      <c r="AL1297" s="1289"/>
      <c r="AM1297" s="1288"/>
      <c r="AN1297" s="1158"/>
      <c r="AO1297" s="1159"/>
      <c r="AP1297" s="1158"/>
      <c r="AQ1297" s="1159"/>
      <c r="AR1297" s="1158"/>
      <c r="AS1297" s="1158"/>
      <c r="AT1297" s="1158"/>
      <c r="AU1297" s="1160"/>
      <c r="AV1297" s="1158"/>
      <c r="AW1297" s="38"/>
      <c r="AX1297" s="1158"/>
      <c r="AY1297" s="38"/>
      <c r="AZ1297" s="1158"/>
      <c r="BA1297" s="1160"/>
      <c r="BB1297" s="1158"/>
      <c r="BC1297" s="1160"/>
      <c r="BD1297" s="1158"/>
      <c r="BE1297" s="38"/>
      <c r="BF1297" s="1161"/>
      <c r="BG1297" s="16"/>
      <c r="BH1297" s="16"/>
      <c r="BI1297" s="16"/>
      <c r="BJ1297" s="16"/>
      <c r="BK1297" s="16"/>
      <c r="BL1297" s="16"/>
      <c r="BM1297" s="16"/>
      <c r="BN1297" s="16"/>
      <c r="BO1297" s="16"/>
      <c r="BP1297" s="16"/>
      <c r="BQ1297" s="16"/>
      <c r="BR1297" s="16"/>
      <c r="BS1297" s="16"/>
      <c r="BT1297" s="16"/>
      <c r="BU1297" s="16"/>
      <c r="BV1297" s="16"/>
      <c r="BW1297" s="16"/>
      <c r="BX1297" s="16"/>
      <c r="BY1297" s="16"/>
      <c r="BZ1297" s="16"/>
      <c r="CA1297" s="16"/>
      <c r="CB1297" s="16"/>
      <c r="CC1297" s="16"/>
      <c r="CD1297" s="16"/>
      <c r="CE1297" s="16"/>
      <c r="CF1297" s="16"/>
      <c r="CG1297" s="16"/>
      <c r="CH1297" s="16"/>
      <c r="CI1297" s="16"/>
      <c r="CJ1297" s="16"/>
      <c r="CK1297" s="16"/>
      <c r="CL1297" s="16"/>
      <c r="CM1297" s="16"/>
      <c r="CN1297" s="16"/>
      <c r="CO1297" s="16"/>
      <c r="CP1297" s="16"/>
    </row>
    <row r="1298" ht="15.75" customHeight="1">
      <c r="A1298" s="1366" t="s">
        <v>6146</v>
      </c>
      <c r="B1298" s="16"/>
      <c r="C1298" s="17" t="s">
        <v>123</v>
      </c>
      <c r="D1298" s="117" t="s">
        <v>6147</v>
      </c>
      <c r="E1298" s="117" t="s">
        <v>6148</v>
      </c>
      <c r="F1298" s="1611" t="s">
        <v>6149</v>
      </c>
      <c r="G1298" s="21"/>
      <c r="H1298" s="22"/>
      <c r="I1298" s="23"/>
      <c r="J1298" s="24"/>
      <c r="K1298" s="23"/>
      <c r="L1298" s="23">
        <v>2017.0</v>
      </c>
      <c r="M1298" s="25">
        <f t="shared" si="789"/>
        <v>8</v>
      </c>
      <c r="N1298" s="26">
        <f t="shared" si="790"/>
        <v>0</v>
      </c>
      <c r="O1298" s="27" t="str">
        <f t="shared" si="3"/>
        <v>#N/A</v>
      </c>
      <c r="P1298" s="28"/>
      <c r="Q1298" s="28"/>
      <c r="R1298" s="28"/>
      <c r="S1298" s="28"/>
      <c r="T1298" s="29">
        <f t="shared" si="791"/>
        <v>0</v>
      </c>
      <c r="U1298" s="28"/>
      <c r="V1298" s="30">
        <f t="shared" si="425"/>
        <v>0</v>
      </c>
      <c r="W1298" s="30"/>
      <c r="X1298" s="33"/>
      <c r="Y1298" s="33" t="str">
        <f t="shared" si="792"/>
        <v>#DIV/0!</v>
      </c>
      <c r="Z1298" s="692"/>
      <c r="AA1298" s="665"/>
      <c r="AB1298" s="36"/>
      <c r="AC1298" s="36"/>
      <c r="AD1298" s="37"/>
      <c r="AE1298" s="38"/>
      <c r="AF1298" s="39"/>
      <c r="AG1298" s="38"/>
      <c r="AH1298" s="226"/>
      <c r="AI1298" s="38"/>
      <c r="AJ1298" s="37"/>
      <c r="AK1298" s="38"/>
      <c r="AL1298" s="37"/>
      <c r="AM1298" s="38"/>
      <c r="AN1298" s="44"/>
      <c r="AO1298" s="46"/>
      <c r="AP1298" s="44"/>
      <c r="AQ1298" s="46"/>
      <c r="AR1298" s="44"/>
      <c r="AS1298" s="44"/>
      <c r="AT1298" s="44"/>
      <c r="AU1298" s="45"/>
      <c r="AV1298" s="44"/>
      <c r="AW1298" s="38"/>
      <c r="AX1298" s="44"/>
      <c r="AY1298" s="38"/>
      <c r="AZ1298" s="44"/>
      <c r="BA1298" s="45"/>
      <c r="BB1298" s="44"/>
      <c r="BC1298" s="45"/>
      <c r="BD1298" s="44"/>
      <c r="BE1298" s="38"/>
      <c r="BF1298" s="36"/>
      <c r="BG1298" s="16"/>
      <c r="BH1298" s="16"/>
      <c r="BI1298" s="16"/>
      <c r="BJ1298" s="16"/>
      <c r="BK1298" s="16"/>
      <c r="BL1298" s="16"/>
      <c r="BM1298" s="16"/>
      <c r="BN1298" s="16"/>
      <c r="BO1298" s="16"/>
      <c r="BP1298" s="16"/>
      <c r="BQ1298" s="16"/>
      <c r="BR1298" s="16"/>
      <c r="BS1298" s="16"/>
      <c r="BT1298" s="16"/>
      <c r="BU1298" s="16"/>
      <c r="BV1298" s="16"/>
      <c r="BW1298" s="16"/>
      <c r="BX1298" s="16"/>
      <c r="BY1298" s="16"/>
      <c r="BZ1298" s="16"/>
      <c r="CA1298" s="16"/>
      <c r="CB1298" s="16"/>
      <c r="CC1298" s="16"/>
      <c r="CD1298" s="16"/>
      <c r="CE1298" s="16"/>
      <c r="CF1298" s="16"/>
      <c r="CG1298" s="16"/>
      <c r="CH1298" s="16"/>
      <c r="CI1298" s="16"/>
      <c r="CJ1298" s="16"/>
      <c r="CK1298" s="16"/>
      <c r="CL1298" s="16"/>
      <c r="CM1298" s="16"/>
      <c r="CN1298" s="16"/>
      <c r="CO1298" s="16"/>
      <c r="CP1298" s="16"/>
    </row>
    <row r="1299" ht="15.75" customHeight="1">
      <c r="A1299" s="1612" t="s">
        <v>6150</v>
      </c>
      <c r="B1299" s="1490"/>
      <c r="C1299" s="1613"/>
      <c r="D1299" s="767" t="s">
        <v>6151</v>
      </c>
      <c r="E1299" s="767" t="s">
        <v>6152</v>
      </c>
      <c r="F1299" s="1614" t="s">
        <v>6153</v>
      </c>
      <c r="G1299" s="765"/>
      <c r="H1299" s="1583"/>
      <c r="I1299" s="1584"/>
      <c r="J1299" s="1615"/>
      <c r="K1299" s="1584"/>
      <c r="L1299" s="1584">
        <v>2004.0</v>
      </c>
      <c r="M1299" s="25">
        <f t="shared" si="789"/>
        <v>21</v>
      </c>
      <c r="N1299" s="26">
        <f t="shared" si="790"/>
        <v>0</v>
      </c>
      <c r="O1299" s="27" t="str">
        <f t="shared" si="3"/>
        <v>#N/A</v>
      </c>
      <c r="P1299" s="28"/>
      <c r="Q1299" s="28"/>
      <c r="R1299" s="28"/>
      <c r="S1299" s="28"/>
      <c r="T1299" s="29">
        <f t="shared" si="791"/>
        <v>0</v>
      </c>
      <c r="U1299" s="28"/>
      <c r="V1299" s="30">
        <f t="shared" si="425"/>
        <v>0</v>
      </c>
      <c r="W1299" s="30"/>
      <c r="X1299" s="1616"/>
      <c r="Y1299" s="33" t="str">
        <f t="shared" si="792"/>
        <v>#DIV/0!</v>
      </c>
      <c r="Z1299" s="692"/>
      <c r="AA1299" s="665"/>
      <c r="AB1299" s="1586"/>
      <c r="AC1299" s="1586"/>
      <c r="AD1299" s="1617"/>
      <c r="AE1299" s="1591"/>
      <c r="AF1299" s="1590"/>
      <c r="AG1299" s="1591"/>
      <c r="AH1299" s="1618"/>
      <c r="AI1299" s="1591"/>
      <c r="AJ1299" s="1617"/>
      <c r="AK1299" s="1591"/>
      <c r="AL1299" s="1617"/>
      <c r="AM1299" s="1591"/>
      <c r="AN1299" s="1588"/>
      <c r="AO1299" s="1589"/>
      <c r="AP1299" s="1588"/>
      <c r="AQ1299" s="1589"/>
      <c r="AR1299" s="1588"/>
      <c r="AS1299" s="1588"/>
      <c r="AT1299" s="1588"/>
      <c r="AU1299" s="30"/>
      <c r="AV1299" s="1588"/>
      <c r="AW1299" s="38"/>
      <c r="AX1299" s="1588"/>
      <c r="AY1299" s="38"/>
      <c r="AZ1299" s="1588"/>
      <c r="BA1299" s="30"/>
      <c r="BB1299" s="1588"/>
      <c r="BC1299" s="30"/>
      <c r="BD1299" s="1588"/>
      <c r="BE1299" s="38"/>
      <c r="BF1299" s="1586"/>
      <c r="BG1299" s="16"/>
      <c r="BH1299" s="16"/>
      <c r="BI1299" s="16"/>
      <c r="BJ1299" s="16"/>
      <c r="BK1299" s="16"/>
      <c r="BL1299" s="16"/>
      <c r="BM1299" s="16"/>
      <c r="BN1299" s="16"/>
      <c r="BO1299" s="16"/>
      <c r="BP1299" s="16"/>
      <c r="BQ1299" s="16"/>
      <c r="BR1299" s="16"/>
      <c r="BS1299" s="16"/>
      <c r="BT1299" s="16"/>
      <c r="BU1299" s="16"/>
      <c r="BV1299" s="16"/>
      <c r="BW1299" s="16"/>
      <c r="BX1299" s="16"/>
      <c r="BY1299" s="16"/>
      <c r="BZ1299" s="16"/>
      <c r="CA1299" s="16"/>
      <c r="CB1299" s="16"/>
      <c r="CC1299" s="16"/>
      <c r="CD1299" s="16"/>
      <c r="CE1299" s="16"/>
      <c r="CF1299" s="16"/>
      <c r="CG1299" s="16"/>
      <c r="CH1299" s="16"/>
      <c r="CI1299" s="16"/>
      <c r="CJ1299" s="16"/>
      <c r="CK1299" s="16"/>
      <c r="CL1299" s="16"/>
      <c r="CM1299" s="16"/>
      <c r="CN1299" s="16"/>
      <c r="CO1299" s="16"/>
      <c r="CP1299" s="16"/>
    </row>
    <row r="1300" ht="15.75" customHeight="1">
      <c r="A1300" s="1619" t="s">
        <v>6154</v>
      </c>
      <c r="B1300" s="1495"/>
      <c r="C1300" s="17" t="s">
        <v>5764</v>
      </c>
      <c r="D1300" s="236" t="s">
        <v>6077</v>
      </c>
      <c r="E1300" s="18" t="s">
        <v>6155</v>
      </c>
      <c r="F1300" s="1039" t="s">
        <v>6156</v>
      </c>
      <c r="G1300" s="22"/>
      <c r="H1300" s="22" t="s">
        <v>839</v>
      </c>
      <c r="I1300" s="23" t="s">
        <v>115</v>
      </c>
      <c r="J1300" s="24"/>
      <c r="K1300" s="23"/>
      <c r="L1300" s="23">
        <v>1985.0</v>
      </c>
      <c r="M1300" s="25">
        <f t="shared" si="789"/>
        <v>40</v>
      </c>
      <c r="N1300" s="26">
        <f t="shared" si="790"/>
        <v>0</v>
      </c>
      <c r="O1300" s="27" t="str">
        <f t="shared" si="3"/>
        <v>#N/A</v>
      </c>
      <c r="P1300" s="28"/>
      <c r="Q1300" s="28"/>
      <c r="R1300" s="28"/>
      <c r="S1300" s="28"/>
      <c r="T1300" s="29">
        <f t="shared" si="791"/>
        <v>0</v>
      </c>
      <c r="U1300" s="28"/>
      <c r="V1300" s="30">
        <f t="shared" si="425"/>
        <v>0</v>
      </c>
      <c r="W1300" s="30"/>
      <c r="X1300" s="33"/>
      <c r="Y1300" s="33" t="str">
        <f t="shared" si="792"/>
        <v>#DIV/0!</v>
      </c>
      <c r="Z1300" s="692"/>
      <c r="AA1300" s="665"/>
      <c r="AB1300" s="36"/>
      <c r="AC1300" s="1040"/>
      <c r="AD1300" s="898"/>
      <c r="AE1300" s="24"/>
      <c r="AF1300" s="39"/>
      <c r="AG1300" s="1041"/>
      <c r="AH1300" s="1042"/>
      <c r="AI1300" s="1043"/>
      <c r="AJ1300" s="37"/>
      <c r="AK1300" s="38"/>
      <c r="AL1300" s="44"/>
      <c r="AM1300" s="46"/>
      <c r="AN1300" s="44"/>
      <c r="AO1300" s="46"/>
      <c r="AP1300" s="44"/>
      <c r="AQ1300" s="46"/>
      <c r="AR1300" s="44"/>
      <c r="AS1300" s="44"/>
      <c r="AT1300" s="44"/>
      <c r="AU1300" s="45"/>
      <c r="AV1300" s="44"/>
      <c r="AW1300" s="38"/>
      <c r="AX1300" s="44"/>
      <c r="AY1300" s="38"/>
      <c r="AZ1300" s="44"/>
      <c r="BA1300" s="45"/>
      <c r="BB1300" s="44"/>
      <c r="BC1300" s="45"/>
      <c r="BD1300" s="44"/>
      <c r="BE1300" s="38"/>
      <c r="BF1300" s="36"/>
      <c r="BG1300" s="16"/>
      <c r="BH1300" s="16"/>
      <c r="BI1300" s="16"/>
      <c r="BJ1300" s="16"/>
      <c r="BK1300" s="16"/>
      <c r="BL1300" s="16"/>
      <c r="BM1300" s="16"/>
      <c r="BN1300" s="16"/>
      <c r="BO1300" s="16"/>
      <c r="BP1300" s="16"/>
      <c r="BQ1300" s="16"/>
      <c r="BR1300" s="16"/>
      <c r="BS1300" s="16"/>
      <c r="BT1300" s="16"/>
      <c r="BU1300" s="16"/>
      <c r="BV1300" s="16"/>
      <c r="BW1300" s="16"/>
      <c r="BX1300" s="16"/>
      <c r="BY1300" s="16"/>
      <c r="BZ1300" s="16"/>
      <c r="CA1300" s="16"/>
      <c r="CB1300" s="16"/>
      <c r="CC1300" s="16"/>
      <c r="CD1300" s="16"/>
      <c r="CE1300" s="16"/>
      <c r="CF1300" s="16"/>
      <c r="CG1300" s="16"/>
      <c r="CH1300" s="16"/>
      <c r="CI1300" s="16"/>
      <c r="CJ1300" s="16"/>
      <c r="CK1300" s="16"/>
      <c r="CL1300" s="16"/>
      <c r="CM1300" s="16"/>
      <c r="CN1300" s="16"/>
      <c r="CO1300" s="16"/>
      <c r="CP1300" s="16"/>
    </row>
    <row r="1301" ht="15.75" customHeight="1">
      <c r="A1301" s="1620" t="s">
        <v>6157</v>
      </c>
      <c r="B1301" s="66"/>
      <c r="C1301" s="1390" t="s">
        <v>276</v>
      </c>
      <c r="D1301" s="1569" t="s">
        <v>4781</v>
      </c>
      <c r="E1301" s="1569" t="s">
        <v>6069</v>
      </c>
      <c r="F1301" s="1621" t="s">
        <v>6158</v>
      </c>
      <c r="G1301" s="54" t="s">
        <v>6159</v>
      </c>
      <c r="H1301" s="1395" t="s">
        <v>6160</v>
      </c>
      <c r="I1301" s="1284" t="s">
        <v>129</v>
      </c>
      <c r="J1301" s="1608" t="s">
        <v>6161</v>
      </c>
      <c r="K1301" s="1284">
        <v>1.0</v>
      </c>
      <c r="L1301" s="1284">
        <v>1983.0</v>
      </c>
      <c r="M1301" s="25">
        <f t="shared" si="789"/>
        <v>42</v>
      </c>
      <c r="N1301" s="26">
        <f t="shared" si="790"/>
        <v>0</v>
      </c>
      <c r="O1301" s="27" t="str">
        <f t="shared" si="3"/>
        <v>#N/A</v>
      </c>
      <c r="P1301" s="28"/>
      <c r="Q1301" s="28"/>
      <c r="R1301" s="28"/>
      <c r="S1301" s="28"/>
      <c r="T1301" s="29">
        <f t="shared" si="791"/>
        <v>0</v>
      </c>
      <c r="U1301" s="28"/>
      <c r="V1301" s="30">
        <f t="shared" si="425"/>
        <v>0</v>
      </c>
      <c r="W1301" s="30"/>
      <c r="X1301" s="1286"/>
      <c r="Y1301" s="33" t="str">
        <f t="shared" si="792"/>
        <v>#DIV/0!</v>
      </c>
      <c r="Z1301" s="692"/>
      <c r="AA1301" s="665"/>
      <c r="AB1301" s="1161"/>
      <c r="AC1301" s="1161"/>
      <c r="AD1301" s="1289"/>
      <c r="AE1301" s="1288"/>
      <c r="AF1301" s="1609"/>
      <c r="AG1301" s="1288"/>
      <c r="AH1301" s="1610"/>
      <c r="AI1301" s="1288"/>
      <c r="AJ1301" s="1289"/>
      <c r="AK1301" s="1288"/>
      <c r="AL1301" s="1289"/>
      <c r="AM1301" s="1288"/>
      <c r="AN1301" s="1158"/>
      <c r="AO1301" s="1159"/>
      <c r="AP1301" s="1158"/>
      <c r="AQ1301" s="1159"/>
      <c r="AR1301" s="1158"/>
      <c r="AS1301" s="1158"/>
      <c r="AT1301" s="1158"/>
      <c r="AU1301" s="1160"/>
      <c r="AV1301" s="1158"/>
      <c r="AW1301" s="38"/>
      <c r="AX1301" s="1158"/>
      <c r="AY1301" s="38"/>
      <c r="AZ1301" s="1158"/>
      <c r="BA1301" s="1160"/>
      <c r="BB1301" s="1158"/>
      <c r="BC1301" s="1160"/>
      <c r="BD1301" s="1158"/>
      <c r="BE1301" s="38"/>
      <c r="BF1301" s="1161"/>
      <c r="BG1301" s="16"/>
      <c r="BH1301" s="16"/>
      <c r="BI1301" s="16"/>
      <c r="BJ1301" s="16"/>
      <c r="BK1301" s="16"/>
      <c r="BL1301" s="16"/>
      <c r="BM1301" s="16"/>
      <c r="BN1301" s="16"/>
      <c r="BO1301" s="16"/>
      <c r="BP1301" s="16"/>
      <c r="BQ1301" s="16"/>
      <c r="BR1301" s="16"/>
      <c r="BS1301" s="16"/>
      <c r="BT1301" s="16"/>
      <c r="BU1301" s="16"/>
      <c r="BV1301" s="16"/>
      <c r="BW1301" s="16"/>
      <c r="BX1301" s="16"/>
      <c r="BY1301" s="16"/>
      <c r="BZ1301" s="16"/>
      <c r="CA1301" s="16"/>
      <c r="CB1301" s="16"/>
      <c r="CC1301" s="16"/>
      <c r="CD1301" s="16"/>
      <c r="CE1301" s="16"/>
      <c r="CF1301" s="16"/>
      <c r="CG1301" s="16"/>
      <c r="CH1301" s="16"/>
      <c r="CI1301" s="16"/>
      <c r="CJ1301" s="16"/>
      <c r="CK1301" s="16"/>
      <c r="CL1301" s="16"/>
      <c r="CM1301" s="16"/>
      <c r="CN1301" s="16"/>
      <c r="CO1301" s="16"/>
      <c r="CP1301" s="16"/>
    </row>
    <row r="1302" ht="15.75" customHeight="1">
      <c r="A1302" s="1612" t="s">
        <v>6162</v>
      </c>
      <c r="B1302" s="1490"/>
      <c r="C1302" s="1613"/>
      <c r="D1302" s="1343"/>
      <c r="E1302" s="1622" t="s">
        <v>6163</v>
      </c>
      <c r="F1302" s="1623"/>
      <c r="G1302" s="1583"/>
      <c r="H1302" s="1583"/>
      <c r="I1302" s="1584"/>
      <c r="J1302" s="1615"/>
      <c r="K1302" s="1584"/>
      <c r="L1302" s="1584"/>
      <c r="M1302" s="25">
        <f t="shared" si="789"/>
        <v>2025</v>
      </c>
      <c r="N1302" s="26">
        <f t="shared" si="790"/>
        <v>0</v>
      </c>
      <c r="O1302" s="27" t="str">
        <f t="shared" si="3"/>
        <v>#N/A</v>
      </c>
      <c r="P1302" s="28"/>
      <c r="Q1302" s="28"/>
      <c r="R1302" s="28"/>
      <c r="S1302" s="28"/>
      <c r="T1302" s="29">
        <f t="shared" si="791"/>
        <v>0</v>
      </c>
      <c r="U1302" s="28"/>
      <c r="V1302" s="30">
        <f t="shared" si="425"/>
        <v>0</v>
      </c>
      <c r="W1302" s="30"/>
      <c r="X1302" s="1616"/>
      <c r="Y1302" s="33" t="str">
        <f t="shared" si="792"/>
        <v>#DIV/0!</v>
      </c>
      <c r="Z1302" s="692"/>
      <c r="AA1302" s="665"/>
      <c r="AB1302" s="1586"/>
      <c r="AC1302" s="1586"/>
      <c r="AD1302" s="1617"/>
      <c r="AE1302" s="1591"/>
      <c r="AF1302" s="1590"/>
      <c r="AG1302" s="1591"/>
      <c r="AH1302" s="1618"/>
      <c r="AI1302" s="1591"/>
      <c r="AJ1302" s="1617"/>
      <c r="AK1302" s="1591"/>
      <c r="AL1302" s="1617"/>
      <c r="AM1302" s="1591"/>
      <c r="AN1302" s="1588"/>
      <c r="AO1302" s="1589"/>
      <c r="AP1302" s="1588"/>
      <c r="AQ1302" s="1589"/>
      <c r="AR1302" s="1588"/>
      <c r="AS1302" s="1588"/>
      <c r="AT1302" s="1588"/>
      <c r="AU1302" s="30"/>
      <c r="AV1302" s="1588"/>
      <c r="AW1302" s="38"/>
      <c r="AX1302" s="1588"/>
      <c r="AY1302" s="38"/>
      <c r="AZ1302" s="1588"/>
      <c r="BA1302" s="30"/>
      <c r="BB1302" s="1588"/>
      <c r="BC1302" s="30"/>
      <c r="BD1302" s="1588"/>
      <c r="BE1302" s="38"/>
      <c r="BF1302" s="1586"/>
      <c r="BG1302" s="16"/>
      <c r="BH1302" s="16"/>
      <c r="BI1302" s="16"/>
      <c r="BJ1302" s="16"/>
      <c r="BK1302" s="16"/>
      <c r="BL1302" s="16"/>
      <c r="BM1302" s="16"/>
      <c r="BN1302" s="16"/>
      <c r="BO1302" s="16"/>
      <c r="BP1302" s="16"/>
      <c r="BQ1302" s="16"/>
      <c r="BR1302" s="16"/>
      <c r="BS1302" s="16"/>
      <c r="BT1302" s="16"/>
      <c r="BU1302" s="16"/>
      <c r="BV1302" s="16"/>
      <c r="BW1302" s="16"/>
      <c r="BX1302" s="16"/>
      <c r="BY1302" s="16"/>
      <c r="BZ1302" s="16"/>
      <c r="CA1302" s="16"/>
      <c r="CB1302" s="16"/>
      <c r="CC1302" s="16"/>
      <c r="CD1302" s="16"/>
      <c r="CE1302" s="16"/>
      <c r="CF1302" s="16"/>
      <c r="CG1302" s="16"/>
      <c r="CH1302" s="16"/>
      <c r="CI1302" s="16"/>
      <c r="CJ1302" s="16"/>
      <c r="CK1302" s="16"/>
      <c r="CL1302" s="16"/>
      <c r="CM1302" s="16"/>
      <c r="CN1302" s="16"/>
      <c r="CO1302" s="16"/>
      <c r="CP1302" s="16"/>
    </row>
    <row r="1303" ht="15.75" customHeight="1">
      <c r="A1303" s="1579" t="s">
        <v>6164</v>
      </c>
      <c r="B1303" s="1490"/>
      <c r="C1303" s="1613"/>
      <c r="D1303" s="767" t="s">
        <v>6165</v>
      </c>
      <c r="E1303" s="767" t="s">
        <v>6166</v>
      </c>
      <c r="F1303" s="1344" t="s">
        <v>6167</v>
      </c>
      <c r="G1303" s="1583"/>
      <c r="H1303" s="1583" t="s">
        <v>3210</v>
      </c>
      <c r="I1303" s="1584" t="s">
        <v>3211</v>
      </c>
      <c r="J1303" s="1615"/>
      <c r="K1303" s="1584"/>
      <c r="L1303" s="1584">
        <v>2017.0</v>
      </c>
      <c r="M1303" s="25">
        <f t="shared" si="789"/>
        <v>8</v>
      </c>
      <c r="N1303" s="26">
        <f t="shared" si="790"/>
        <v>0</v>
      </c>
      <c r="O1303" s="27" t="str">
        <f t="shared" si="3"/>
        <v>#N/A</v>
      </c>
      <c r="P1303" s="28"/>
      <c r="Q1303" s="28"/>
      <c r="R1303" s="28"/>
      <c r="S1303" s="28"/>
      <c r="T1303" s="29">
        <f t="shared" si="791"/>
        <v>0</v>
      </c>
      <c r="U1303" s="28"/>
      <c r="V1303" s="30">
        <f t="shared" si="425"/>
        <v>0</v>
      </c>
      <c r="W1303" s="30"/>
      <c r="X1303" s="1616"/>
      <c r="Y1303" s="33" t="str">
        <f t="shared" si="792"/>
        <v>#DIV/0!</v>
      </c>
      <c r="Z1303" s="692"/>
      <c r="AA1303" s="665"/>
      <c r="AB1303" s="1586"/>
      <c r="AC1303" s="1586"/>
      <c r="AD1303" s="1617"/>
      <c r="AE1303" s="1591"/>
      <c r="AF1303" s="1590"/>
      <c r="AG1303" s="1591"/>
      <c r="AH1303" s="1618"/>
      <c r="AI1303" s="1591"/>
      <c r="AJ1303" s="1617"/>
      <c r="AK1303" s="1591"/>
      <c r="AL1303" s="1617"/>
      <c r="AM1303" s="1591"/>
      <c r="AN1303" s="1588"/>
      <c r="AO1303" s="1589"/>
      <c r="AP1303" s="1588"/>
      <c r="AQ1303" s="1589"/>
      <c r="AR1303" s="1588"/>
      <c r="AS1303" s="1588"/>
      <c r="AT1303" s="1588"/>
      <c r="AU1303" s="30"/>
      <c r="AV1303" s="1588"/>
      <c r="AW1303" s="38"/>
      <c r="AX1303" s="1588"/>
      <c r="AY1303" s="38"/>
      <c r="AZ1303" s="1588"/>
      <c r="BA1303" s="30"/>
      <c r="BB1303" s="1588"/>
      <c r="BC1303" s="30"/>
      <c r="BD1303" s="1588"/>
      <c r="BE1303" s="38"/>
      <c r="BF1303" s="1586"/>
      <c r="BG1303" s="16"/>
      <c r="BH1303" s="16"/>
      <c r="BI1303" s="16"/>
      <c r="BJ1303" s="16"/>
      <c r="BK1303" s="16"/>
      <c r="BL1303" s="16"/>
      <c r="BM1303" s="16"/>
      <c r="BN1303" s="16"/>
      <c r="BO1303" s="16"/>
      <c r="BP1303" s="16"/>
      <c r="BQ1303" s="16"/>
      <c r="BR1303" s="16"/>
      <c r="BS1303" s="16"/>
      <c r="BT1303" s="16"/>
      <c r="BU1303" s="16"/>
      <c r="BV1303" s="16"/>
      <c r="BW1303" s="16"/>
      <c r="BX1303" s="16"/>
      <c r="BY1303" s="16"/>
      <c r="BZ1303" s="16"/>
      <c r="CA1303" s="16"/>
      <c r="CB1303" s="16"/>
      <c r="CC1303" s="16"/>
      <c r="CD1303" s="16"/>
      <c r="CE1303" s="16"/>
      <c r="CF1303" s="16"/>
      <c r="CG1303" s="16"/>
      <c r="CH1303" s="16"/>
      <c r="CI1303" s="16"/>
      <c r="CJ1303" s="16"/>
      <c r="CK1303" s="16"/>
      <c r="CL1303" s="16"/>
      <c r="CM1303" s="16"/>
      <c r="CN1303" s="16"/>
      <c r="CO1303" s="16"/>
      <c r="CP1303" s="16"/>
    </row>
    <row r="1304" ht="15.75" customHeight="1">
      <c r="A1304" s="866" t="s">
        <v>6168</v>
      </c>
      <c r="B1304" s="1495"/>
      <c r="C1304" s="17" t="s">
        <v>123</v>
      </c>
      <c r="D1304" s="236" t="s">
        <v>6169</v>
      </c>
      <c r="E1304" s="236" t="s">
        <v>6170</v>
      </c>
      <c r="F1304" s="1624" t="s">
        <v>6171</v>
      </c>
      <c r="G1304" s="1372"/>
      <c r="H1304" s="22" t="s">
        <v>309</v>
      </c>
      <c r="I1304" s="23" t="s">
        <v>115</v>
      </c>
      <c r="J1304" s="527"/>
      <c r="K1304" s="23"/>
      <c r="L1304" s="23">
        <v>1966.0</v>
      </c>
      <c r="M1304" s="25">
        <f t="shared" si="789"/>
        <v>59</v>
      </c>
      <c r="N1304" s="26">
        <f t="shared" si="790"/>
        <v>0</v>
      </c>
      <c r="O1304" s="27" t="str">
        <f t="shared" si="3"/>
        <v>#N/A</v>
      </c>
      <c r="P1304" s="28"/>
      <c r="Q1304" s="28"/>
      <c r="R1304" s="28"/>
      <c r="S1304" s="28"/>
      <c r="T1304" s="29">
        <f t="shared" si="791"/>
        <v>0</v>
      </c>
      <c r="U1304" s="28"/>
      <c r="V1304" s="30">
        <f t="shared" si="425"/>
        <v>0</v>
      </c>
      <c r="W1304" s="30"/>
      <c r="X1304" s="33"/>
      <c r="Y1304" s="33" t="str">
        <f t="shared" si="792"/>
        <v>#DIV/0!</v>
      </c>
      <c r="Z1304" s="692"/>
      <c r="AA1304" s="665"/>
      <c r="AB1304" s="36"/>
      <c r="AC1304" s="1040"/>
      <c r="AD1304" s="898"/>
      <c r="AE1304" s="24"/>
      <c r="AF1304" s="1625"/>
      <c r="AG1304" s="1418"/>
      <c r="AH1304" s="1042"/>
      <c r="AI1304" s="38"/>
      <c r="AJ1304" s="44"/>
      <c r="AK1304" s="46"/>
      <c r="AL1304" s="44"/>
      <c r="AM1304" s="46"/>
      <c r="AN1304" s="44"/>
      <c r="AO1304" s="46"/>
      <c r="AP1304" s="44"/>
      <c r="AQ1304" s="46"/>
      <c r="AR1304" s="44"/>
      <c r="AS1304" s="44"/>
      <c r="AT1304" s="44"/>
      <c r="AU1304" s="45"/>
      <c r="AV1304" s="44"/>
      <c r="AW1304" s="38"/>
      <c r="AX1304" s="44"/>
      <c r="AY1304" s="38"/>
      <c r="AZ1304" s="44"/>
      <c r="BA1304" s="45"/>
      <c r="BB1304" s="44"/>
      <c r="BC1304" s="45"/>
      <c r="BD1304" s="44"/>
      <c r="BE1304" s="38"/>
      <c r="BF1304" s="36"/>
      <c r="BG1304" s="16"/>
      <c r="BH1304" s="16"/>
      <c r="BI1304" s="16"/>
      <c r="BJ1304" s="16"/>
      <c r="BK1304" s="16"/>
      <c r="BL1304" s="16"/>
      <c r="BM1304" s="16"/>
      <c r="BN1304" s="16"/>
      <c r="BO1304" s="16"/>
      <c r="BP1304" s="16"/>
      <c r="BQ1304" s="16"/>
      <c r="BR1304" s="16"/>
      <c r="BS1304" s="16"/>
      <c r="BT1304" s="16"/>
      <c r="BU1304" s="16"/>
      <c r="BV1304" s="16"/>
      <c r="BW1304" s="16"/>
      <c r="BX1304" s="16"/>
      <c r="BY1304" s="16"/>
      <c r="BZ1304" s="16"/>
      <c r="CA1304" s="16"/>
      <c r="CB1304" s="16"/>
      <c r="CC1304" s="16"/>
      <c r="CD1304" s="16"/>
      <c r="CE1304" s="16"/>
      <c r="CF1304" s="16"/>
      <c r="CG1304" s="16"/>
      <c r="CH1304" s="16"/>
      <c r="CI1304" s="16"/>
      <c r="CJ1304" s="16"/>
      <c r="CK1304" s="16"/>
      <c r="CL1304" s="16"/>
      <c r="CM1304" s="16"/>
      <c r="CN1304" s="16"/>
      <c r="CO1304" s="16"/>
      <c r="CP1304" s="16"/>
    </row>
    <row r="1305" ht="15.75" customHeight="1">
      <c r="A1305" s="442" t="s">
        <v>6172</v>
      </c>
      <c r="B1305" s="16" t="s">
        <v>6173</v>
      </c>
      <c r="C1305" s="17" t="s">
        <v>123</v>
      </c>
      <c r="D1305" s="236" t="s">
        <v>6174</v>
      </c>
      <c r="E1305" s="337"/>
      <c r="F1305" s="185" t="s">
        <v>6175</v>
      </c>
      <c r="G1305" s="317" t="s">
        <v>6176</v>
      </c>
      <c r="H1305" s="317" t="s">
        <v>6177</v>
      </c>
      <c r="I1305" s="36" t="s">
        <v>115</v>
      </c>
      <c r="J1305" s="237" t="s">
        <v>6178</v>
      </c>
      <c r="K1305" s="36">
        <v>2.0</v>
      </c>
      <c r="L1305" s="23">
        <v>2016.0</v>
      </c>
      <c r="M1305" s="25">
        <f t="shared" si="789"/>
        <v>9</v>
      </c>
      <c r="N1305" s="26">
        <f t="shared" si="790"/>
        <v>0</v>
      </c>
      <c r="O1305" s="27" t="str">
        <f t="shared" si="3"/>
        <v>#N/A</v>
      </c>
      <c r="P1305" s="28"/>
      <c r="Q1305" s="28"/>
      <c r="R1305" s="28"/>
      <c r="S1305" s="28"/>
      <c r="T1305" s="29">
        <f t="shared" si="791"/>
        <v>0</v>
      </c>
      <c r="U1305" s="28"/>
      <c r="V1305" s="30">
        <f t="shared" si="425"/>
        <v>0</v>
      </c>
      <c r="W1305" s="30"/>
      <c r="X1305" s="847"/>
      <c r="Y1305" s="33" t="str">
        <f t="shared" si="792"/>
        <v>#DIV/0!</v>
      </c>
      <c r="Z1305" s="692"/>
      <c r="AA1305" s="665"/>
      <c r="AB1305" s="36"/>
      <c r="AC1305" s="36"/>
      <c r="AD1305" s="44"/>
      <c r="AE1305" s="46"/>
      <c r="AF1305" s="872"/>
      <c r="AG1305" s="46"/>
      <c r="AH1305" s="36"/>
      <c r="AI1305" s="159"/>
      <c r="AJ1305" s="44"/>
      <c r="AK1305" s="46"/>
      <c r="AL1305" s="44"/>
      <c r="AM1305" s="46"/>
      <c r="AN1305" s="44"/>
      <c r="AO1305" s="46"/>
      <c r="AP1305" s="44"/>
      <c r="AQ1305" s="46"/>
      <c r="AR1305" s="44"/>
      <c r="AS1305" s="44"/>
      <c r="AT1305" s="44"/>
      <c r="AU1305" s="45"/>
      <c r="AV1305" s="44"/>
      <c r="AW1305" s="38"/>
      <c r="AX1305" s="44"/>
      <c r="AY1305" s="38"/>
      <c r="AZ1305" s="44"/>
      <c r="BA1305" s="45"/>
      <c r="BB1305" s="44"/>
      <c r="BC1305" s="45"/>
      <c r="BD1305" s="44"/>
      <c r="BE1305" s="38"/>
      <c r="BF1305" s="36"/>
      <c r="BG1305" s="16"/>
      <c r="BH1305" s="16"/>
      <c r="BI1305" s="16"/>
      <c r="BJ1305" s="16"/>
      <c r="BK1305" s="16"/>
      <c r="BL1305" s="16"/>
      <c r="BM1305" s="16"/>
      <c r="BN1305" s="16"/>
      <c r="BO1305" s="16"/>
      <c r="BP1305" s="16"/>
      <c r="BQ1305" s="16"/>
      <c r="BR1305" s="16"/>
      <c r="BS1305" s="16"/>
      <c r="BT1305" s="16"/>
      <c r="BU1305" s="16"/>
      <c r="BV1305" s="16"/>
      <c r="BW1305" s="16"/>
      <c r="BX1305" s="16"/>
      <c r="BY1305" s="16"/>
      <c r="BZ1305" s="16"/>
      <c r="CA1305" s="16"/>
      <c r="CB1305" s="16"/>
      <c r="CC1305" s="16"/>
      <c r="CD1305" s="16"/>
      <c r="CE1305" s="16"/>
      <c r="CF1305" s="16"/>
      <c r="CG1305" s="16"/>
      <c r="CH1305" s="16"/>
      <c r="CI1305" s="16"/>
      <c r="CJ1305" s="16"/>
      <c r="CK1305" s="16"/>
      <c r="CL1305" s="16"/>
      <c r="CM1305" s="16"/>
      <c r="CN1305" s="16"/>
      <c r="CO1305" s="16"/>
      <c r="CP1305" s="16"/>
    </row>
    <row r="1306" ht="15.75" customHeight="1">
      <c r="A1306" s="866" t="s">
        <v>6179</v>
      </c>
      <c r="B1306" s="16"/>
      <c r="C1306" s="17" t="s">
        <v>123</v>
      </c>
      <c r="D1306" s="18" t="s">
        <v>6180</v>
      </c>
      <c r="E1306" s="18" t="s">
        <v>6181</v>
      </c>
      <c r="F1306" s="20" t="s">
        <v>6182</v>
      </c>
      <c r="G1306" s="317"/>
      <c r="H1306" s="22" t="s">
        <v>4453</v>
      </c>
      <c r="I1306" s="23" t="s">
        <v>257</v>
      </c>
      <c r="J1306" s="237"/>
      <c r="K1306" s="74"/>
      <c r="L1306" s="23">
        <v>2014.0</v>
      </c>
      <c r="M1306" s="25">
        <f t="shared" si="789"/>
        <v>11</v>
      </c>
      <c r="N1306" s="26">
        <f t="shared" si="790"/>
        <v>0</v>
      </c>
      <c r="O1306" s="27" t="str">
        <f t="shared" si="3"/>
        <v>#N/A</v>
      </c>
      <c r="P1306" s="28"/>
      <c r="Q1306" s="28"/>
      <c r="R1306" s="28"/>
      <c r="S1306" s="28"/>
      <c r="T1306" s="29">
        <f t="shared" si="791"/>
        <v>0</v>
      </c>
      <c r="U1306" s="28"/>
      <c r="V1306" s="30">
        <f t="shared" si="425"/>
        <v>0</v>
      </c>
      <c r="W1306" s="30"/>
      <c r="X1306" s="32"/>
      <c r="Y1306" s="33" t="str">
        <f t="shared" si="792"/>
        <v>#DIV/0!</v>
      </c>
      <c r="Z1306" s="692"/>
      <c r="AA1306" s="665"/>
      <c r="AB1306" s="36"/>
      <c r="AC1306" s="36"/>
      <c r="AD1306" s="44"/>
      <c r="AE1306" s="46"/>
      <c r="AF1306" s="39"/>
      <c r="AG1306" s="46"/>
      <c r="AH1306" s="36"/>
      <c r="AI1306" s="159"/>
      <c r="AJ1306" s="44"/>
      <c r="AK1306" s="46"/>
      <c r="AL1306" s="44"/>
      <c r="AM1306" s="46"/>
      <c r="AN1306" s="44"/>
      <c r="AO1306" s="46"/>
      <c r="AP1306" s="44"/>
      <c r="AQ1306" s="46"/>
      <c r="AR1306" s="44"/>
      <c r="AS1306" s="44"/>
      <c r="AT1306" s="44"/>
      <c r="AU1306" s="45"/>
      <c r="AV1306" s="44"/>
      <c r="AW1306" s="38"/>
      <c r="AX1306" s="44"/>
      <c r="AY1306" s="38"/>
      <c r="AZ1306" s="44"/>
      <c r="BA1306" s="45"/>
      <c r="BB1306" s="44"/>
      <c r="BC1306" s="45"/>
      <c r="BD1306" s="44"/>
      <c r="BE1306" s="38"/>
      <c r="BF1306" s="36"/>
      <c r="BG1306" s="16"/>
      <c r="BH1306" s="16"/>
      <c r="BI1306" s="16"/>
      <c r="BJ1306" s="16"/>
      <c r="BK1306" s="16"/>
      <c r="BL1306" s="16"/>
      <c r="BM1306" s="16"/>
      <c r="BN1306" s="16"/>
      <c r="BO1306" s="16"/>
      <c r="BP1306" s="16"/>
      <c r="BQ1306" s="16"/>
      <c r="BR1306" s="16"/>
      <c r="BS1306" s="16"/>
      <c r="BT1306" s="16"/>
      <c r="BU1306" s="16"/>
      <c r="BV1306" s="16"/>
      <c r="BW1306" s="16"/>
      <c r="BX1306" s="16"/>
      <c r="BY1306" s="16"/>
      <c r="BZ1306" s="16"/>
      <c r="CA1306" s="16"/>
      <c r="CB1306" s="16"/>
      <c r="CC1306" s="16"/>
      <c r="CD1306" s="16"/>
      <c r="CE1306" s="16"/>
      <c r="CF1306" s="16"/>
      <c r="CG1306" s="16"/>
      <c r="CH1306" s="16"/>
      <c r="CI1306" s="16"/>
      <c r="CJ1306" s="16"/>
      <c r="CK1306" s="16"/>
      <c r="CL1306" s="16"/>
      <c r="CM1306" s="16"/>
      <c r="CN1306" s="16"/>
      <c r="CO1306" s="16"/>
      <c r="CP1306" s="16"/>
    </row>
    <row r="1307" ht="15.75" customHeight="1">
      <c r="A1307" s="866" t="s">
        <v>6183</v>
      </c>
      <c r="B1307" s="16"/>
      <c r="C1307" s="17" t="s">
        <v>123</v>
      </c>
      <c r="D1307" s="236" t="s">
        <v>6184</v>
      </c>
      <c r="E1307" s="236" t="s">
        <v>6185</v>
      </c>
      <c r="F1307" s="236" t="s">
        <v>6186</v>
      </c>
      <c r="G1307" s="317"/>
      <c r="H1307" s="22" t="s">
        <v>6187</v>
      </c>
      <c r="I1307" s="23" t="s">
        <v>639</v>
      </c>
      <c r="J1307" s="237"/>
      <c r="K1307" s="74"/>
      <c r="L1307" s="23">
        <v>2012.0</v>
      </c>
      <c r="M1307" s="25">
        <f t="shared" si="789"/>
        <v>13</v>
      </c>
      <c r="N1307" s="26">
        <f t="shared" si="790"/>
        <v>0</v>
      </c>
      <c r="O1307" s="27" t="str">
        <f t="shared" si="3"/>
        <v>#N/A</v>
      </c>
      <c r="P1307" s="28"/>
      <c r="Q1307" s="28"/>
      <c r="R1307" s="28"/>
      <c r="S1307" s="28"/>
      <c r="T1307" s="29">
        <f t="shared" si="791"/>
        <v>0</v>
      </c>
      <c r="U1307" s="28"/>
      <c r="V1307" s="30">
        <f t="shared" si="425"/>
        <v>0</v>
      </c>
      <c r="W1307" s="30"/>
      <c r="X1307" s="32"/>
      <c r="Y1307" s="33" t="str">
        <f t="shared" si="792"/>
        <v>#DIV/0!</v>
      </c>
      <c r="Z1307" s="692"/>
      <c r="AA1307" s="665"/>
      <c r="AB1307" s="36"/>
      <c r="AC1307" s="36"/>
      <c r="AD1307" s="44"/>
      <c r="AE1307" s="46"/>
      <c r="AF1307" s="39"/>
      <c r="AG1307" s="46"/>
      <c r="AH1307" s="16"/>
      <c r="AI1307" s="159"/>
      <c r="AJ1307" s="44"/>
      <c r="AK1307" s="46"/>
      <c r="AL1307" s="44"/>
      <c r="AM1307" s="46"/>
      <c r="AN1307" s="44"/>
      <c r="AO1307" s="46"/>
      <c r="AP1307" s="44"/>
      <c r="AQ1307" s="46"/>
      <c r="AR1307" s="44"/>
      <c r="AS1307" s="44"/>
      <c r="AT1307" s="44"/>
      <c r="AU1307" s="45"/>
      <c r="AV1307" s="44"/>
      <c r="AW1307" s="38"/>
      <c r="AX1307" s="44"/>
      <c r="AY1307" s="38"/>
      <c r="AZ1307" s="44"/>
      <c r="BA1307" s="45"/>
      <c r="BB1307" s="44"/>
      <c r="BC1307" s="45"/>
      <c r="BD1307" s="44"/>
      <c r="BE1307" s="38"/>
      <c r="BF1307" s="36"/>
      <c r="BG1307" s="16"/>
      <c r="BH1307" s="16"/>
      <c r="BI1307" s="16"/>
      <c r="BJ1307" s="16"/>
      <c r="BK1307" s="16"/>
      <c r="BL1307" s="16"/>
      <c r="BM1307" s="16"/>
      <c r="BN1307" s="16"/>
      <c r="BO1307" s="16"/>
      <c r="BP1307" s="16"/>
      <c r="BQ1307" s="16"/>
      <c r="BR1307" s="16"/>
      <c r="BS1307" s="16"/>
      <c r="BT1307" s="16"/>
      <c r="BU1307" s="16"/>
      <c r="BV1307" s="16"/>
      <c r="BW1307" s="16"/>
      <c r="BX1307" s="16"/>
      <c r="BY1307" s="16"/>
      <c r="BZ1307" s="16"/>
      <c r="CA1307" s="16"/>
      <c r="CB1307" s="16"/>
      <c r="CC1307" s="16"/>
      <c r="CD1307" s="16"/>
      <c r="CE1307" s="16"/>
      <c r="CF1307" s="16"/>
      <c r="CG1307" s="16"/>
      <c r="CH1307" s="16"/>
      <c r="CI1307" s="16"/>
      <c r="CJ1307" s="16"/>
      <c r="CK1307" s="16"/>
      <c r="CL1307" s="16"/>
      <c r="CM1307" s="16"/>
      <c r="CN1307" s="16"/>
      <c r="CO1307" s="16"/>
      <c r="CP1307" s="16"/>
    </row>
    <row r="1308" ht="15.75" customHeight="1">
      <c r="A1308" s="442" t="s">
        <v>6188</v>
      </c>
      <c r="B1308" s="16"/>
      <c r="C1308" s="17" t="s">
        <v>123</v>
      </c>
      <c r="D1308" s="138" t="s">
        <v>6189</v>
      </c>
      <c r="E1308" s="231" t="s">
        <v>6190</v>
      </c>
      <c r="F1308" s="185" t="s">
        <v>6191</v>
      </c>
      <c r="G1308" s="317"/>
      <c r="H1308" s="22" t="s">
        <v>6192</v>
      </c>
      <c r="I1308" s="23" t="s">
        <v>2010</v>
      </c>
      <c r="J1308" s="237"/>
      <c r="K1308" s="74" t="s">
        <v>723</v>
      </c>
      <c r="L1308" s="23">
        <v>2013.0</v>
      </c>
      <c r="M1308" s="25">
        <f t="shared" si="789"/>
        <v>12</v>
      </c>
      <c r="N1308" s="26">
        <f t="shared" si="790"/>
        <v>0</v>
      </c>
      <c r="O1308" s="27" t="str">
        <f t="shared" si="3"/>
        <v>#N/A</v>
      </c>
      <c r="P1308" s="28"/>
      <c r="Q1308" s="28"/>
      <c r="R1308" s="28"/>
      <c r="S1308" s="28"/>
      <c r="T1308" s="29">
        <f t="shared" si="791"/>
        <v>0</v>
      </c>
      <c r="U1308" s="28"/>
      <c r="V1308" s="30">
        <f t="shared" si="425"/>
        <v>0</v>
      </c>
      <c r="W1308" s="30"/>
      <c r="X1308" s="32"/>
      <c r="Y1308" s="33" t="str">
        <f t="shared" si="792"/>
        <v>#DIV/0!</v>
      </c>
      <c r="Z1308" s="692"/>
      <c r="AA1308" s="665"/>
      <c r="AB1308" s="36"/>
      <c r="AC1308" s="36"/>
      <c r="AD1308" s="44"/>
      <c r="AE1308" s="46"/>
      <c r="AF1308" s="39"/>
      <c r="AG1308" s="46"/>
      <c r="AH1308" s="36"/>
      <c r="AI1308" s="159"/>
      <c r="AJ1308" s="44"/>
      <c r="AK1308" s="46"/>
      <c r="AL1308" s="44"/>
      <c r="AM1308" s="46"/>
      <c r="AN1308" s="44"/>
      <c r="AO1308" s="46"/>
      <c r="AP1308" s="44"/>
      <c r="AQ1308" s="46"/>
      <c r="AR1308" s="44"/>
      <c r="AS1308" s="44"/>
      <c r="AT1308" s="44"/>
      <c r="AU1308" s="45"/>
      <c r="AV1308" s="44"/>
      <c r="AW1308" s="38"/>
      <c r="AX1308" s="44"/>
      <c r="AY1308" s="38"/>
      <c r="AZ1308" s="44"/>
      <c r="BA1308" s="45"/>
      <c r="BB1308" s="44"/>
      <c r="BC1308" s="45"/>
      <c r="BD1308" s="44"/>
      <c r="BE1308" s="38"/>
      <c r="BF1308" s="36"/>
      <c r="BG1308" s="16"/>
      <c r="BH1308" s="16"/>
      <c r="BI1308" s="16"/>
      <c r="BJ1308" s="16"/>
      <c r="BK1308" s="16"/>
      <c r="BL1308" s="16"/>
      <c r="BM1308" s="16"/>
      <c r="BN1308" s="16"/>
      <c r="BO1308" s="16"/>
      <c r="BP1308" s="16"/>
      <c r="BQ1308" s="16"/>
      <c r="BR1308" s="16"/>
      <c r="BS1308" s="16"/>
      <c r="BT1308" s="16"/>
      <c r="BU1308" s="16"/>
      <c r="BV1308" s="16"/>
      <c r="BW1308" s="16"/>
      <c r="BX1308" s="16"/>
      <c r="BY1308" s="16"/>
      <c r="BZ1308" s="16"/>
      <c r="CA1308" s="16"/>
      <c r="CB1308" s="16"/>
      <c r="CC1308" s="16"/>
      <c r="CD1308" s="16"/>
      <c r="CE1308" s="16"/>
      <c r="CF1308" s="16"/>
      <c r="CG1308" s="16"/>
      <c r="CH1308" s="16"/>
      <c r="CI1308" s="16"/>
      <c r="CJ1308" s="16"/>
      <c r="CK1308" s="16"/>
      <c r="CL1308" s="16"/>
      <c r="CM1308" s="16"/>
      <c r="CN1308" s="16"/>
      <c r="CO1308" s="16"/>
      <c r="CP1308" s="16"/>
    </row>
    <row r="1309" ht="15.75" customHeight="1">
      <c r="A1309" s="1579" t="s">
        <v>6193</v>
      </c>
      <c r="B1309" s="1490"/>
      <c r="C1309" s="1490"/>
      <c r="D1309" s="1622" t="s">
        <v>6194</v>
      </c>
      <c r="E1309" s="1622" t="s">
        <v>6195</v>
      </c>
      <c r="F1309" s="1581" t="s">
        <v>6196</v>
      </c>
      <c r="G1309" s="1626"/>
      <c r="H1309" s="1626"/>
      <c r="I1309" s="1586"/>
      <c r="J1309" s="1585"/>
      <c r="K1309" s="1586"/>
      <c r="L1309" s="1584"/>
      <c r="M1309" s="25">
        <f t="shared" si="789"/>
        <v>2025</v>
      </c>
      <c r="N1309" s="26">
        <f t="shared" si="790"/>
        <v>0</v>
      </c>
      <c r="O1309" s="27" t="str">
        <f t="shared" si="3"/>
        <v>#N/A</v>
      </c>
      <c r="P1309" s="28"/>
      <c r="Q1309" s="28"/>
      <c r="R1309" s="28"/>
      <c r="S1309" s="28"/>
      <c r="T1309" s="29">
        <f t="shared" si="791"/>
        <v>0</v>
      </c>
      <c r="U1309" s="28"/>
      <c r="V1309" s="30">
        <f t="shared" si="425"/>
        <v>0</v>
      </c>
      <c r="W1309" s="30"/>
      <c r="X1309" s="1587"/>
      <c r="Y1309" s="33" t="str">
        <f t="shared" si="792"/>
        <v>#DIV/0!</v>
      </c>
      <c r="Z1309" s="692"/>
      <c r="AA1309" s="665"/>
      <c r="AB1309" s="1586"/>
      <c r="AC1309" s="1586"/>
      <c r="AD1309" s="1617"/>
      <c r="AE1309" s="1591"/>
      <c r="AF1309" s="1590"/>
      <c r="AG1309" s="1589"/>
      <c r="AH1309" s="1586"/>
      <c r="AI1309" s="1627"/>
      <c r="AJ1309" s="1588"/>
      <c r="AK1309" s="1589"/>
      <c r="AL1309" s="1588"/>
      <c r="AM1309" s="1589"/>
      <c r="AN1309" s="1588"/>
      <c r="AO1309" s="1589"/>
      <c r="AP1309" s="1588"/>
      <c r="AQ1309" s="1589"/>
      <c r="AR1309" s="1588"/>
      <c r="AS1309" s="1588"/>
      <c r="AT1309" s="1588"/>
      <c r="AU1309" s="30"/>
      <c r="AV1309" s="1588"/>
      <c r="AW1309" s="38"/>
      <c r="AX1309" s="1588"/>
      <c r="AY1309" s="38"/>
      <c r="AZ1309" s="1588"/>
      <c r="BA1309" s="30"/>
      <c r="BB1309" s="1588"/>
      <c r="BC1309" s="30"/>
      <c r="BD1309" s="1588"/>
      <c r="BE1309" s="38"/>
      <c r="BF1309" s="1586"/>
      <c r="BG1309" s="16"/>
      <c r="BH1309" s="16"/>
      <c r="BI1309" s="16"/>
      <c r="BJ1309" s="16"/>
      <c r="BK1309" s="16"/>
      <c r="BL1309" s="16"/>
      <c r="BM1309" s="16"/>
      <c r="BN1309" s="16"/>
      <c r="BO1309" s="16"/>
      <c r="BP1309" s="16"/>
      <c r="BQ1309" s="16"/>
      <c r="BR1309" s="16"/>
      <c r="BS1309" s="16"/>
      <c r="BT1309" s="16"/>
      <c r="BU1309" s="16"/>
      <c r="BV1309" s="16"/>
      <c r="BW1309" s="16"/>
      <c r="BX1309" s="16"/>
      <c r="BY1309" s="16"/>
      <c r="BZ1309" s="16"/>
      <c r="CA1309" s="16"/>
      <c r="CB1309" s="16"/>
      <c r="CC1309" s="16"/>
      <c r="CD1309" s="16"/>
      <c r="CE1309" s="16"/>
      <c r="CF1309" s="16"/>
      <c r="CG1309" s="16"/>
      <c r="CH1309" s="16"/>
      <c r="CI1309" s="16"/>
      <c r="CJ1309" s="16"/>
      <c r="CK1309" s="16"/>
      <c r="CL1309" s="16"/>
      <c r="CM1309" s="16"/>
      <c r="CN1309" s="16"/>
      <c r="CO1309" s="16"/>
      <c r="CP1309" s="16"/>
    </row>
    <row r="1310" ht="15.75" customHeight="1">
      <c r="A1310" s="462" t="s">
        <v>6197</v>
      </c>
      <c r="B1310" s="16"/>
      <c r="C1310" s="17" t="s">
        <v>123</v>
      </c>
      <c r="D1310" s="18" t="s">
        <v>6198</v>
      </c>
      <c r="E1310" s="18" t="s">
        <v>6199</v>
      </c>
      <c r="F1310" s="20" t="s">
        <v>6200</v>
      </c>
      <c r="G1310" s="317"/>
      <c r="H1310" s="22" t="s">
        <v>6201</v>
      </c>
      <c r="I1310" s="23" t="s">
        <v>65</v>
      </c>
      <c r="J1310" s="237"/>
      <c r="K1310" s="36"/>
      <c r="L1310" s="23">
        <v>2018.0</v>
      </c>
      <c r="M1310" s="25">
        <f t="shared" si="789"/>
        <v>7</v>
      </c>
      <c r="N1310" s="26">
        <f t="shared" si="790"/>
        <v>0</v>
      </c>
      <c r="O1310" s="27" t="str">
        <f t="shared" si="3"/>
        <v>#N/A</v>
      </c>
      <c r="P1310" s="28"/>
      <c r="Q1310" s="28"/>
      <c r="R1310" s="28"/>
      <c r="S1310" s="28"/>
      <c r="T1310" s="29">
        <f t="shared" si="791"/>
        <v>0</v>
      </c>
      <c r="U1310" s="28"/>
      <c r="V1310" s="30">
        <f t="shared" si="425"/>
        <v>0</v>
      </c>
      <c r="W1310" s="30"/>
      <c r="X1310" s="847"/>
      <c r="Y1310" s="33" t="str">
        <f t="shared" si="792"/>
        <v>#DIV/0!</v>
      </c>
      <c r="Z1310" s="692"/>
      <c r="AA1310" s="665"/>
      <c r="AB1310" s="36"/>
      <c r="AC1310" s="36"/>
      <c r="AD1310" s="37"/>
      <c r="AE1310" s="38"/>
      <c r="AF1310" s="39"/>
      <c r="AG1310" s="46"/>
      <c r="AH1310" s="36"/>
      <c r="AI1310" s="159"/>
      <c r="AJ1310" s="44"/>
      <c r="AK1310" s="46"/>
      <c r="AL1310" s="44"/>
      <c r="AM1310" s="46"/>
      <c r="AN1310" s="44"/>
      <c r="AO1310" s="46"/>
      <c r="AP1310" s="44"/>
      <c r="AQ1310" s="46"/>
      <c r="AR1310" s="44"/>
      <c r="AS1310" s="44"/>
      <c r="AT1310" s="44"/>
      <c r="AU1310" s="45"/>
      <c r="AV1310" s="44"/>
      <c r="AW1310" s="38"/>
      <c r="AX1310" s="44"/>
      <c r="AY1310" s="38"/>
      <c r="AZ1310" s="44"/>
      <c r="BA1310" s="45"/>
      <c r="BB1310" s="44"/>
      <c r="BC1310" s="45"/>
      <c r="BD1310" s="44"/>
      <c r="BE1310" s="38"/>
      <c r="BF1310" s="36"/>
      <c r="BG1310" s="16"/>
      <c r="BH1310" s="16"/>
      <c r="BI1310" s="16"/>
      <c r="BJ1310" s="16"/>
      <c r="BK1310" s="16"/>
      <c r="BL1310" s="16"/>
      <c r="BM1310" s="16"/>
      <c r="BN1310" s="16"/>
      <c r="BO1310" s="16"/>
      <c r="BP1310" s="16"/>
      <c r="BQ1310" s="16"/>
      <c r="BR1310" s="16"/>
      <c r="BS1310" s="16"/>
      <c r="BT1310" s="16"/>
      <c r="BU1310" s="16"/>
      <c r="BV1310" s="16"/>
      <c r="BW1310" s="16"/>
      <c r="BX1310" s="16"/>
      <c r="BY1310" s="16"/>
      <c r="BZ1310" s="16"/>
      <c r="CA1310" s="16"/>
      <c r="CB1310" s="16"/>
      <c r="CC1310" s="16"/>
      <c r="CD1310" s="16"/>
      <c r="CE1310" s="16"/>
      <c r="CF1310" s="16"/>
      <c r="CG1310" s="16"/>
      <c r="CH1310" s="16"/>
      <c r="CI1310" s="16"/>
      <c r="CJ1310" s="16"/>
      <c r="CK1310" s="16"/>
      <c r="CL1310" s="16"/>
      <c r="CM1310" s="16"/>
      <c r="CN1310" s="16"/>
      <c r="CO1310" s="16"/>
      <c r="CP1310" s="16"/>
    </row>
    <row r="1311" ht="15.75" customHeight="1">
      <c r="A1311" s="1162" t="s">
        <v>6202</v>
      </c>
      <c r="B1311" s="16"/>
      <c r="C1311" s="17" t="s">
        <v>123</v>
      </c>
      <c r="D1311" s="236" t="s">
        <v>6203</v>
      </c>
      <c r="E1311" s="236" t="s">
        <v>6204</v>
      </c>
      <c r="F1311" s="493"/>
      <c r="G1311" s="317"/>
      <c r="H1311" s="22" t="s">
        <v>6205</v>
      </c>
      <c r="I1311" s="23" t="s">
        <v>65</v>
      </c>
      <c r="J1311" s="237"/>
      <c r="K1311" s="36"/>
      <c r="L1311" s="23">
        <v>2015.0</v>
      </c>
      <c r="M1311" s="25">
        <f t="shared" si="789"/>
        <v>10</v>
      </c>
      <c r="N1311" s="26">
        <f t="shared" si="790"/>
        <v>0</v>
      </c>
      <c r="O1311" s="27" t="str">
        <f t="shared" si="3"/>
        <v>#N/A</v>
      </c>
      <c r="P1311" s="28"/>
      <c r="Q1311" s="28"/>
      <c r="R1311" s="28"/>
      <c r="S1311" s="28"/>
      <c r="T1311" s="29">
        <f t="shared" si="791"/>
        <v>0</v>
      </c>
      <c r="U1311" s="28"/>
      <c r="V1311" s="30">
        <f t="shared" si="425"/>
        <v>0</v>
      </c>
      <c r="W1311" s="30"/>
      <c r="X1311" s="847"/>
      <c r="Y1311" s="33" t="str">
        <f t="shared" si="792"/>
        <v>#DIV/0!</v>
      </c>
      <c r="Z1311" s="692"/>
      <c r="AA1311" s="665"/>
      <c r="AB1311" s="36"/>
      <c r="AC1311" s="36"/>
      <c r="AD1311" s="37"/>
      <c r="AE1311" s="38"/>
      <c r="AF1311" s="39"/>
      <c r="AG1311" s="46"/>
      <c r="AH1311" s="36"/>
      <c r="AI1311" s="159"/>
      <c r="AJ1311" s="44"/>
      <c r="AK1311" s="46"/>
      <c r="AL1311" s="44"/>
      <c r="AM1311" s="46"/>
      <c r="AN1311" s="44"/>
      <c r="AO1311" s="46"/>
      <c r="AP1311" s="44"/>
      <c r="AQ1311" s="46"/>
      <c r="AR1311" s="44"/>
      <c r="AS1311" s="44"/>
      <c r="AT1311" s="44"/>
      <c r="AU1311" s="45"/>
      <c r="AV1311" s="44"/>
      <c r="AW1311" s="38"/>
      <c r="AX1311" s="44"/>
      <c r="AY1311" s="38"/>
      <c r="AZ1311" s="44"/>
      <c r="BA1311" s="45"/>
      <c r="BB1311" s="44"/>
      <c r="BC1311" s="45"/>
      <c r="BD1311" s="44"/>
      <c r="BE1311" s="38"/>
      <c r="BF1311" s="36"/>
      <c r="BG1311" s="16"/>
      <c r="BH1311" s="16"/>
      <c r="BI1311" s="16"/>
      <c r="BJ1311" s="16"/>
      <c r="BK1311" s="16"/>
      <c r="BL1311" s="16"/>
      <c r="BM1311" s="16"/>
      <c r="BN1311" s="16"/>
      <c r="BO1311" s="16"/>
      <c r="BP1311" s="16"/>
      <c r="BQ1311" s="16"/>
      <c r="BR1311" s="16"/>
      <c r="BS1311" s="16"/>
      <c r="BT1311" s="16"/>
      <c r="BU1311" s="16"/>
      <c r="BV1311" s="16"/>
      <c r="BW1311" s="16"/>
      <c r="BX1311" s="16"/>
      <c r="BY1311" s="16"/>
      <c r="BZ1311" s="16"/>
      <c r="CA1311" s="16"/>
      <c r="CB1311" s="16"/>
      <c r="CC1311" s="16"/>
      <c r="CD1311" s="16"/>
      <c r="CE1311" s="16"/>
      <c r="CF1311" s="16"/>
      <c r="CG1311" s="16"/>
      <c r="CH1311" s="16"/>
      <c r="CI1311" s="16"/>
      <c r="CJ1311" s="16"/>
      <c r="CK1311" s="16"/>
      <c r="CL1311" s="16"/>
      <c r="CM1311" s="16"/>
      <c r="CN1311" s="16"/>
      <c r="CO1311" s="16"/>
      <c r="CP1311" s="16"/>
    </row>
    <row r="1312" ht="15.75" customHeight="1">
      <c r="A1312" s="866" t="s">
        <v>6206</v>
      </c>
      <c r="B1312" s="16"/>
      <c r="C1312" s="17" t="s">
        <v>123</v>
      </c>
      <c r="D1312" s="192" t="s">
        <v>6207</v>
      </c>
      <c r="E1312" s="18" t="s">
        <v>6208</v>
      </c>
      <c r="F1312" s="20" t="s">
        <v>6209</v>
      </c>
      <c r="G1312" s="317"/>
      <c r="H1312" s="1352" t="s">
        <v>6210</v>
      </c>
      <c r="I1312" s="23" t="s">
        <v>257</v>
      </c>
      <c r="J1312" s="237"/>
      <c r="K1312" s="36"/>
      <c r="L1312" s="23">
        <v>2011.0</v>
      </c>
      <c r="M1312" s="25">
        <f t="shared" si="789"/>
        <v>14</v>
      </c>
      <c r="N1312" s="26">
        <f t="shared" si="790"/>
        <v>0</v>
      </c>
      <c r="O1312" s="27" t="str">
        <f t="shared" si="3"/>
        <v>#N/A</v>
      </c>
      <c r="P1312" s="28"/>
      <c r="Q1312" s="28"/>
      <c r="R1312" s="28"/>
      <c r="S1312" s="28"/>
      <c r="T1312" s="29">
        <f t="shared" si="791"/>
        <v>0</v>
      </c>
      <c r="U1312" s="28"/>
      <c r="V1312" s="30">
        <f t="shared" si="425"/>
        <v>0</v>
      </c>
      <c r="W1312" s="30"/>
      <c r="X1312" s="847"/>
      <c r="Y1312" s="33" t="str">
        <f t="shared" si="792"/>
        <v>#DIV/0!</v>
      </c>
      <c r="Z1312" s="692"/>
      <c r="AA1312" s="665"/>
      <c r="AB1312" s="36"/>
      <c r="AC1312" s="36"/>
      <c r="AD1312" s="37"/>
      <c r="AE1312" s="38"/>
      <c r="AF1312" s="39"/>
      <c r="AG1312" s="46"/>
      <c r="AH1312" s="36"/>
      <c r="AI1312" s="159"/>
      <c r="AJ1312" s="44"/>
      <c r="AK1312" s="46"/>
      <c r="AL1312" s="44"/>
      <c r="AM1312" s="46"/>
      <c r="AN1312" s="44"/>
      <c r="AO1312" s="46"/>
      <c r="AP1312" s="44"/>
      <c r="AQ1312" s="46"/>
      <c r="AR1312" s="44"/>
      <c r="AS1312" s="44"/>
      <c r="AT1312" s="44"/>
      <c r="AU1312" s="45"/>
      <c r="AV1312" s="44"/>
      <c r="AW1312" s="38"/>
      <c r="AX1312" s="44"/>
      <c r="AY1312" s="38"/>
      <c r="AZ1312" s="44"/>
      <c r="BA1312" s="45"/>
      <c r="BB1312" s="44"/>
      <c r="BC1312" s="45"/>
      <c r="BD1312" s="44"/>
      <c r="BE1312" s="38"/>
      <c r="BF1312" s="36"/>
      <c r="BG1312" s="16"/>
      <c r="BH1312" s="16"/>
      <c r="BI1312" s="16"/>
      <c r="BJ1312" s="16"/>
      <c r="BK1312" s="16"/>
      <c r="BL1312" s="16"/>
      <c r="BM1312" s="16"/>
      <c r="BN1312" s="16"/>
      <c r="BO1312" s="16"/>
      <c r="BP1312" s="16"/>
      <c r="BQ1312" s="16"/>
      <c r="BR1312" s="16"/>
      <c r="BS1312" s="16"/>
      <c r="BT1312" s="16"/>
      <c r="BU1312" s="16"/>
      <c r="BV1312" s="16"/>
      <c r="BW1312" s="16"/>
      <c r="BX1312" s="16"/>
      <c r="BY1312" s="16"/>
      <c r="BZ1312" s="16"/>
      <c r="CA1312" s="16"/>
      <c r="CB1312" s="16"/>
      <c r="CC1312" s="16"/>
      <c r="CD1312" s="16"/>
      <c r="CE1312" s="16"/>
      <c r="CF1312" s="16"/>
      <c r="CG1312" s="16"/>
      <c r="CH1312" s="16"/>
      <c r="CI1312" s="16"/>
      <c r="CJ1312" s="16"/>
      <c r="CK1312" s="16"/>
      <c r="CL1312" s="16"/>
      <c r="CM1312" s="16"/>
      <c r="CN1312" s="16"/>
      <c r="CO1312" s="16"/>
      <c r="CP1312" s="16"/>
    </row>
    <row r="1313" ht="15.75" customHeight="1">
      <c r="A1313" s="866" t="s">
        <v>6211</v>
      </c>
      <c r="B1313" s="16"/>
      <c r="C1313" s="17" t="s">
        <v>123</v>
      </c>
      <c r="D1313" s="337"/>
      <c r="E1313" s="236" t="s">
        <v>6212</v>
      </c>
      <c r="F1313" s="803" t="s">
        <v>6213</v>
      </c>
      <c r="G1313" s="442"/>
      <c r="H1313" s="22" t="s">
        <v>1383</v>
      </c>
      <c r="I1313" s="23" t="s">
        <v>1384</v>
      </c>
      <c r="J1313" s="509"/>
      <c r="K1313" s="36"/>
      <c r="L1313" s="23">
        <v>2020.0</v>
      </c>
      <c r="M1313" s="25">
        <f t="shared" si="789"/>
        <v>5</v>
      </c>
      <c r="N1313" s="26">
        <f t="shared" si="790"/>
        <v>0</v>
      </c>
      <c r="O1313" s="27" t="str">
        <f t="shared" si="3"/>
        <v>#N/A</v>
      </c>
      <c r="P1313" s="28"/>
      <c r="Q1313" s="28"/>
      <c r="R1313" s="28"/>
      <c r="S1313" s="28"/>
      <c r="T1313" s="29">
        <f t="shared" si="791"/>
        <v>0</v>
      </c>
      <c r="U1313" s="28"/>
      <c r="V1313" s="30">
        <f t="shared" si="425"/>
        <v>0</v>
      </c>
      <c r="W1313" s="30"/>
      <c r="X1313" s="847"/>
      <c r="Y1313" s="33" t="str">
        <f t="shared" si="792"/>
        <v>#DIV/0!</v>
      </c>
      <c r="Z1313" s="692"/>
      <c r="AA1313" s="665"/>
      <c r="AB1313" s="36"/>
      <c r="AC1313" s="36"/>
      <c r="AD1313" s="44"/>
      <c r="AE1313" s="46"/>
      <c r="AF1313" s="39"/>
      <c r="AG1313" s="46"/>
      <c r="AH1313" s="36"/>
      <c r="AI1313" s="159"/>
      <c r="AJ1313" s="44"/>
      <c r="AK1313" s="46"/>
      <c r="AL1313" s="44"/>
      <c r="AM1313" s="46"/>
      <c r="AN1313" s="44"/>
      <c r="AO1313" s="46"/>
      <c r="AP1313" s="44"/>
      <c r="AQ1313" s="46"/>
      <c r="AR1313" s="44"/>
      <c r="AS1313" s="44"/>
      <c r="AT1313" s="44"/>
      <c r="AU1313" s="45"/>
      <c r="AV1313" s="44"/>
      <c r="AW1313" s="38"/>
      <c r="AX1313" s="44"/>
      <c r="AY1313" s="38"/>
      <c r="AZ1313" s="44"/>
      <c r="BA1313" s="45"/>
      <c r="BB1313" s="44"/>
      <c r="BC1313" s="45"/>
      <c r="BD1313" s="44"/>
      <c r="BE1313" s="38"/>
      <c r="BF1313" s="36"/>
      <c r="BG1313" s="1448"/>
      <c r="BH1313" s="1448"/>
      <c r="BI1313" s="1448"/>
      <c r="BJ1313" s="1448"/>
      <c r="BK1313" s="1448"/>
      <c r="BL1313" s="1448"/>
      <c r="BM1313" s="1448"/>
      <c r="BN1313" s="1448"/>
      <c r="BO1313" s="1448"/>
      <c r="BP1313" s="1448"/>
      <c r="BQ1313" s="1448"/>
      <c r="BR1313" s="1448"/>
      <c r="BS1313" s="1448"/>
      <c r="BT1313" s="1448"/>
      <c r="BU1313" s="1448"/>
      <c r="BV1313" s="1448"/>
      <c r="BW1313" s="1448"/>
      <c r="BX1313" s="1448"/>
      <c r="BY1313" s="1448"/>
      <c r="BZ1313" s="1448"/>
      <c r="CA1313" s="1448"/>
      <c r="CB1313" s="1448"/>
      <c r="CC1313" s="1448"/>
      <c r="CD1313" s="1448"/>
      <c r="CE1313" s="1448"/>
      <c r="CF1313" s="1448"/>
      <c r="CG1313" s="1448"/>
      <c r="CH1313" s="1448"/>
      <c r="CI1313" s="1448"/>
      <c r="CJ1313" s="1448"/>
      <c r="CK1313" s="1448"/>
      <c r="CL1313" s="1448"/>
      <c r="CM1313" s="1448"/>
      <c r="CN1313" s="1448"/>
      <c r="CO1313" s="1448"/>
      <c r="CP1313" s="1448"/>
    </row>
    <row r="1314" ht="15.75" customHeight="1">
      <c r="A1314" s="442" t="s">
        <v>6214</v>
      </c>
      <c r="B1314" s="16" t="s">
        <v>4660</v>
      </c>
      <c r="C1314" s="16" t="s">
        <v>59</v>
      </c>
      <c r="D1314" s="184" t="s">
        <v>6215</v>
      </c>
      <c r="E1314" s="184" t="s">
        <v>6216</v>
      </c>
      <c r="F1314" s="185" t="s">
        <v>6217</v>
      </c>
      <c r="G1314" s="442" t="s">
        <v>6218</v>
      </c>
      <c r="H1314" s="317" t="s">
        <v>937</v>
      </c>
      <c r="I1314" s="23" t="s">
        <v>65</v>
      </c>
      <c r="J1314" s="509" t="s">
        <v>938</v>
      </c>
      <c r="K1314" s="36" t="s">
        <v>723</v>
      </c>
      <c r="L1314" s="23">
        <v>1996.0</v>
      </c>
      <c r="M1314" s="25">
        <f t="shared" si="789"/>
        <v>29</v>
      </c>
      <c r="N1314" s="26">
        <f t="shared" si="790"/>
        <v>0</v>
      </c>
      <c r="O1314" s="27" t="str">
        <f t="shared" si="3"/>
        <v>#N/A</v>
      </c>
      <c r="P1314" s="28"/>
      <c r="Q1314" s="28"/>
      <c r="R1314" s="28"/>
      <c r="S1314" s="28"/>
      <c r="T1314" s="29">
        <f t="shared" si="791"/>
        <v>0</v>
      </c>
      <c r="U1314" s="28"/>
      <c r="V1314" s="30">
        <f t="shared" si="425"/>
        <v>0</v>
      </c>
      <c r="W1314" s="30"/>
      <c r="X1314" s="847"/>
      <c r="Y1314" s="33" t="str">
        <f t="shared" si="792"/>
        <v>#DIV/0!</v>
      </c>
      <c r="Z1314" s="692"/>
      <c r="AA1314" s="665"/>
      <c r="AB1314" s="36"/>
      <c r="AC1314" s="36"/>
      <c r="AD1314" s="44"/>
      <c r="AE1314" s="46"/>
      <c r="AF1314" s="39"/>
      <c r="AG1314" s="46"/>
      <c r="AH1314" s="36"/>
      <c r="AI1314" s="159"/>
      <c r="AJ1314" s="44"/>
      <c r="AK1314" s="46"/>
      <c r="AL1314" s="44"/>
      <c r="AM1314" s="46"/>
      <c r="AN1314" s="44"/>
      <c r="AO1314" s="46"/>
      <c r="AP1314" s="44"/>
      <c r="AQ1314" s="46"/>
      <c r="AR1314" s="44"/>
      <c r="AS1314" s="44"/>
      <c r="AT1314" s="44"/>
      <c r="AU1314" s="45"/>
      <c r="AV1314" s="44"/>
      <c r="AW1314" s="38"/>
      <c r="AX1314" s="44"/>
      <c r="AY1314" s="38"/>
      <c r="AZ1314" s="44"/>
      <c r="BA1314" s="45"/>
      <c r="BB1314" s="44"/>
      <c r="BC1314" s="45"/>
      <c r="BD1314" s="44"/>
      <c r="BE1314" s="38"/>
      <c r="BF1314" s="36"/>
      <c r="BG1314" s="534"/>
      <c r="BH1314" s="534"/>
      <c r="BI1314" s="534"/>
      <c r="BJ1314" s="534"/>
      <c r="BK1314" s="534"/>
      <c r="BL1314" s="534"/>
      <c r="BM1314" s="534"/>
      <c r="BN1314" s="534"/>
      <c r="BO1314" s="534"/>
      <c r="BP1314" s="534"/>
      <c r="BQ1314" s="534"/>
      <c r="BR1314" s="534"/>
      <c r="BS1314" s="534"/>
      <c r="BT1314" s="534"/>
      <c r="BU1314" s="534"/>
      <c r="BV1314" s="534"/>
      <c r="BW1314" s="534"/>
      <c r="BX1314" s="534"/>
      <c r="BY1314" s="534"/>
      <c r="BZ1314" s="534"/>
      <c r="CA1314" s="534"/>
      <c r="CB1314" s="534"/>
      <c r="CC1314" s="534"/>
      <c r="CD1314" s="534"/>
      <c r="CE1314" s="534"/>
      <c r="CF1314" s="534"/>
      <c r="CG1314" s="534"/>
      <c r="CH1314" s="534"/>
      <c r="CI1314" s="534"/>
      <c r="CJ1314" s="534"/>
      <c r="CK1314" s="534"/>
      <c r="CL1314" s="534"/>
      <c r="CM1314" s="534"/>
      <c r="CN1314" s="534"/>
      <c r="CO1314" s="534"/>
      <c r="CP1314" s="534"/>
    </row>
    <row r="1315" ht="15.75" customHeight="1">
      <c r="A1315" s="1628" t="s">
        <v>6219</v>
      </c>
      <c r="B1315" s="16"/>
      <c r="C1315" s="17" t="s">
        <v>84</v>
      </c>
      <c r="D1315" s="18" t="s">
        <v>6220</v>
      </c>
      <c r="E1315" s="18" t="s">
        <v>6221</v>
      </c>
      <c r="F1315" s="20" t="s">
        <v>6222</v>
      </c>
      <c r="G1315" s="317"/>
      <c r="H1315" s="317" t="s">
        <v>937</v>
      </c>
      <c r="I1315" s="23" t="s">
        <v>65</v>
      </c>
      <c r="J1315" s="237"/>
      <c r="K1315" s="36"/>
      <c r="L1315" s="23">
        <v>2007.0</v>
      </c>
      <c r="M1315" s="25">
        <f t="shared" si="789"/>
        <v>18</v>
      </c>
      <c r="N1315" s="26">
        <f t="shared" si="790"/>
        <v>0</v>
      </c>
      <c r="O1315" s="27" t="str">
        <f t="shared" si="3"/>
        <v>#N/A</v>
      </c>
      <c r="P1315" s="28"/>
      <c r="Q1315" s="28"/>
      <c r="R1315" s="28"/>
      <c r="S1315" s="28"/>
      <c r="T1315" s="29">
        <f t="shared" si="791"/>
        <v>0</v>
      </c>
      <c r="U1315" s="28"/>
      <c r="V1315" s="30">
        <f t="shared" si="425"/>
        <v>0</v>
      </c>
      <c r="W1315" s="30"/>
      <c r="X1315" s="847"/>
      <c r="Y1315" s="33" t="str">
        <f t="shared" si="792"/>
        <v>#DIV/0!</v>
      </c>
      <c r="Z1315" s="692"/>
      <c r="AA1315" s="665"/>
      <c r="AB1315" s="36"/>
      <c r="AC1315" s="36"/>
      <c r="AD1315" s="37"/>
      <c r="AE1315" s="38"/>
      <c r="AF1315" s="39"/>
      <c r="AG1315" s="38"/>
      <c r="AH1315" s="40"/>
      <c r="AI1315" s="41"/>
      <c r="AJ1315" s="37"/>
      <c r="AK1315" s="38"/>
      <c r="AL1315" s="44"/>
      <c r="AM1315" s="46"/>
      <c r="AN1315" s="44"/>
      <c r="AO1315" s="46"/>
      <c r="AP1315" s="44"/>
      <c r="AQ1315" s="46"/>
      <c r="AR1315" s="44"/>
      <c r="AS1315" s="44"/>
      <c r="AT1315" s="44"/>
      <c r="AU1315" s="45"/>
      <c r="AV1315" s="44"/>
      <c r="AW1315" s="38"/>
      <c r="AX1315" s="44"/>
      <c r="AY1315" s="38"/>
      <c r="AZ1315" s="44"/>
      <c r="BA1315" s="45"/>
      <c r="BB1315" s="44"/>
      <c r="BC1315" s="45"/>
      <c r="BD1315" s="44"/>
      <c r="BE1315" s="38"/>
      <c r="BF1315" s="36"/>
      <c r="BG1315" s="16"/>
      <c r="BH1315" s="16"/>
      <c r="BI1315" s="16"/>
      <c r="BJ1315" s="16"/>
      <c r="BK1315" s="16"/>
      <c r="BL1315" s="16"/>
      <c r="BM1315" s="16"/>
      <c r="BN1315" s="16"/>
      <c r="BO1315" s="16"/>
      <c r="BP1315" s="16"/>
      <c r="BQ1315" s="16"/>
      <c r="BR1315" s="16"/>
      <c r="BS1315" s="16"/>
      <c r="BT1315" s="16"/>
      <c r="BU1315" s="16"/>
      <c r="BV1315" s="16"/>
      <c r="BW1315" s="16"/>
      <c r="BX1315" s="16"/>
      <c r="BY1315" s="16"/>
      <c r="BZ1315" s="16"/>
      <c r="CA1315" s="16"/>
      <c r="CB1315" s="16"/>
      <c r="CC1315" s="16"/>
      <c r="CD1315" s="16"/>
      <c r="CE1315" s="16"/>
      <c r="CF1315" s="16"/>
      <c r="CG1315" s="16"/>
      <c r="CH1315" s="16"/>
      <c r="CI1315" s="16"/>
      <c r="CJ1315" s="16"/>
      <c r="CK1315" s="16"/>
      <c r="CL1315" s="16"/>
      <c r="CM1315" s="16"/>
      <c r="CN1315" s="16"/>
      <c r="CO1315" s="16"/>
      <c r="CP1315" s="16"/>
    </row>
    <row r="1316" ht="15.75" customHeight="1">
      <c r="A1316" s="1629" t="s">
        <v>6223</v>
      </c>
      <c r="B1316" s="66"/>
      <c r="C1316" s="1390" t="s">
        <v>59</v>
      </c>
      <c r="D1316" s="1391"/>
      <c r="E1316" s="1391"/>
      <c r="F1316" s="1570" t="s">
        <v>6224</v>
      </c>
      <c r="G1316" s="1394"/>
      <c r="H1316" s="1395" t="s">
        <v>6225</v>
      </c>
      <c r="I1316" s="1284" t="s">
        <v>651</v>
      </c>
      <c r="J1316" s="1396"/>
      <c r="K1316" s="1161"/>
      <c r="L1316" s="1284">
        <v>1994.0</v>
      </c>
      <c r="M1316" s="25">
        <f t="shared" si="789"/>
        <v>31</v>
      </c>
      <c r="N1316" s="26">
        <f t="shared" si="790"/>
        <v>0</v>
      </c>
      <c r="O1316" s="27" t="str">
        <f t="shared" si="3"/>
        <v>#N/A</v>
      </c>
      <c r="P1316" s="28"/>
      <c r="Q1316" s="28"/>
      <c r="R1316" s="28"/>
      <c r="S1316" s="28"/>
      <c r="T1316" s="29">
        <f t="shared" si="791"/>
        <v>0</v>
      </c>
      <c r="U1316" s="28"/>
      <c r="V1316" s="30">
        <f t="shared" si="425"/>
        <v>0</v>
      </c>
      <c r="W1316" s="30"/>
      <c r="X1316" s="1573"/>
      <c r="Y1316" s="33" t="str">
        <f t="shared" si="792"/>
        <v>#DIV/0!</v>
      </c>
      <c r="Z1316" s="692"/>
      <c r="AA1316" s="665"/>
      <c r="AB1316" s="1161"/>
      <c r="AC1316" s="1161"/>
      <c r="AD1316" s="1289"/>
      <c r="AE1316" s="1288"/>
      <c r="AF1316" s="1609"/>
      <c r="AG1316" s="1288"/>
      <c r="AH1316" s="1399"/>
      <c r="AI1316" s="1400"/>
      <c r="AJ1316" s="1289"/>
      <c r="AK1316" s="1288"/>
      <c r="AL1316" s="1158"/>
      <c r="AM1316" s="1159"/>
      <c r="AN1316" s="1158"/>
      <c r="AO1316" s="1159"/>
      <c r="AP1316" s="1158"/>
      <c r="AQ1316" s="1159"/>
      <c r="AR1316" s="1158"/>
      <c r="AS1316" s="1158"/>
      <c r="AT1316" s="1158"/>
      <c r="AU1316" s="1160"/>
      <c r="AV1316" s="1158"/>
      <c r="AW1316" s="38"/>
      <c r="AX1316" s="1158"/>
      <c r="AY1316" s="38"/>
      <c r="AZ1316" s="1158"/>
      <c r="BA1316" s="1160"/>
      <c r="BB1316" s="1158"/>
      <c r="BC1316" s="1160"/>
      <c r="BD1316" s="1158"/>
      <c r="BE1316" s="38"/>
      <c r="BF1316" s="1161"/>
      <c r="BG1316" s="16"/>
      <c r="BH1316" s="16"/>
      <c r="BI1316" s="16"/>
      <c r="BJ1316" s="16"/>
      <c r="BK1316" s="16"/>
      <c r="BL1316" s="16"/>
      <c r="BM1316" s="16"/>
      <c r="BN1316" s="16"/>
      <c r="BO1316" s="16"/>
      <c r="BP1316" s="16"/>
      <c r="BQ1316" s="16"/>
      <c r="BR1316" s="16"/>
      <c r="BS1316" s="16"/>
      <c r="BT1316" s="16"/>
      <c r="BU1316" s="16"/>
      <c r="BV1316" s="16"/>
      <c r="BW1316" s="16"/>
      <c r="BX1316" s="16"/>
      <c r="BY1316" s="16"/>
      <c r="BZ1316" s="16"/>
      <c r="CA1316" s="16"/>
      <c r="CB1316" s="16"/>
      <c r="CC1316" s="16"/>
      <c r="CD1316" s="16"/>
      <c r="CE1316" s="16"/>
      <c r="CF1316" s="16"/>
      <c r="CG1316" s="16"/>
      <c r="CH1316" s="16"/>
      <c r="CI1316" s="16"/>
      <c r="CJ1316" s="16"/>
      <c r="CK1316" s="16"/>
      <c r="CL1316" s="16"/>
      <c r="CM1316" s="16"/>
      <c r="CN1316" s="16"/>
      <c r="CO1316" s="16"/>
      <c r="CP1316" s="16"/>
    </row>
    <row r="1317" ht="15.75" customHeight="1">
      <c r="A1317" s="442" t="s">
        <v>6226</v>
      </c>
      <c r="B1317" s="16" t="s">
        <v>1056</v>
      </c>
      <c r="C1317" s="17" t="s">
        <v>123</v>
      </c>
      <c r="D1317" s="184" t="s">
        <v>6227</v>
      </c>
      <c r="E1317" s="184" t="s">
        <v>6228</v>
      </c>
      <c r="F1317" s="185" t="s">
        <v>6229</v>
      </c>
      <c r="G1317" s="317" t="s">
        <v>6230</v>
      </c>
      <c r="H1317" s="317" t="s">
        <v>357</v>
      </c>
      <c r="I1317" s="23" t="s">
        <v>358</v>
      </c>
      <c r="J1317" s="237" t="s">
        <v>1140</v>
      </c>
      <c r="K1317" s="36">
        <v>1.0</v>
      </c>
      <c r="L1317" s="23">
        <v>1988.0</v>
      </c>
      <c r="M1317" s="25">
        <f t="shared" si="789"/>
        <v>37</v>
      </c>
      <c r="N1317" s="26">
        <f t="shared" si="790"/>
        <v>0</v>
      </c>
      <c r="O1317" s="27" t="str">
        <f t="shared" si="3"/>
        <v>#N/A</v>
      </c>
      <c r="P1317" s="28"/>
      <c r="Q1317" s="28"/>
      <c r="R1317" s="28"/>
      <c r="S1317" s="28"/>
      <c r="T1317" s="29">
        <f t="shared" si="791"/>
        <v>0</v>
      </c>
      <c r="U1317" s="28"/>
      <c r="V1317" s="30">
        <f t="shared" si="425"/>
        <v>0</v>
      </c>
      <c r="W1317" s="30"/>
      <c r="X1317" s="847"/>
      <c r="Y1317" s="33" t="str">
        <f t="shared" si="792"/>
        <v>#DIV/0!</v>
      </c>
      <c r="Z1317" s="692"/>
      <c r="AA1317" s="665"/>
      <c r="AB1317" s="36"/>
      <c r="AC1317" s="36"/>
      <c r="AD1317" s="44"/>
      <c r="AE1317" s="46"/>
      <c r="AF1317" s="39"/>
      <c r="AG1317" s="46"/>
      <c r="AH1317" s="36"/>
      <c r="AI1317" s="159"/>
      <c r="AJ1317" s="44"/>
      <c r="AK1317" s="46"/>
      <c r="AL1317" s="44"/>
      <c r="AM1317" s="46"/>
      <c r="AN1317" s="44"/>
      <c r="AO1317" s="46"/>
      <c r="AP1317" s="44"/>
      <c r="AQ1317" s="46"/>
      <c r="AR1317" s="44"/>
      <c r="AS1317" s="44"/>
      <c r="AT1317" s="44"/>
      <c r="AU1317" s="45"/>
      <c r="AV1317" s="44"/>
      <c r="AW1317" s="38"/>
      <c r="AX1317" s="44"/>
      <c r="AY1317" s="38"/>
      <c r="AZ1317" s="44"/>
      <c r="BA1317" s="45"/>
      <c r="BB1317" s="44"/>
      <c r="BC1317" s="45"/>
      <c r="BD1317" s="44">
        <v>43243.0</v>
      </c>
      <c r="BE1317" s="38"/>
      <c r="BF1317" s="36" t="s">
        <v>6231</v>
      </c>
      <c r="BG1317" s="16"/>
      <c r="BH1317" s="16"/>
      <c r="BI1317" s="16"/>
      <c r="BJ1317" s="16"/>
      <c r="BK1317" s="16"/>
      <c r="BL1317" s="16"/>
      <c r="BM1317" s="16"/>
      <c r="BN1317" s="16"/>
      <c r="BO1317" s="16"/>
      <c r="BP1317" s="16"/>
      <c r="BQ1317" s="16"/>
      <c r="BR1317" s="16"/>
      <c r="BS1317" s="16"/>
      <c r="BT1317" s="16"/>
      <c r="BU1317" s="16"/>
      <c r="BV1317" s="16"/>
      <c r="BW1317" s="16"/>
      <c r="BX1317" s="16"/>
      <c r="BY1317" s="16"/>
      <c r="BZ1317" s="16"/>
      <c r="CA1317" s="16"/>
      <c r="CB1317" s="16"/>
      <c r="CC1317" s="16"/>
      <c r="CD1317" s="16"/>
      <c r="CE1317" s="16"/>
      <c r="CF1317" s="16"/>
      <c r="CG1317" s="16"/>
      <c r="CH1317" s="16"/>
      <c r="CI1317" s="16"/>
      <c r="CJ1317" s="16"/>
      <c r="CK1317" s="16"/>
      <c r="CL1317" s="16"/>
      <c r="CM1317" s="16"/>
      <c r="CN1317" s="16"/>
      <c r="CO1317" s="16"/>
      <c r="CP1317" s="16"/>
    </row>
    <row r="1318" ht="15.75" customHeight="1">
      <c r="A1318" s="1162" t="s">
        <v>6232</v>
      </c>
      <c r="B1318" s="16"/>
      <c r="C1318" s="17" t="s">
        <v>123</v>
      </c>
      <c r="D1318" s="236" t="s">
        <v>6233</v>
      </c>
      <c r="E1318" s="184"/>
      <c r="F1318" s="803" t="s">
        <v>6234</v>
      </c>
      <c r="G1318" s="317"/>
      <c r="H1318" s="317"/>
      <c r="I1318" s="36"/>
      <c r="J1318" s="237"/>
      <c r="K1318" s="36"/>
      <c r="L1318" s="23"/>
      <c r="M1318" s="25">
        <f t="shared" si="789"/>
        <v>2025</v>
      </c>
      <c r="N1318" s="26">
        <f t="shared" si="790"/>
        <v>0</v>
      </c>
      <c r="O1318" s="27" t="str">
        <f t="shared" si="3"/>
        <v>#N/A</v>
      </c>
      <c r="P1318" s="28"/>
      <c r="Q1318" s="28"/>
      <c r="R1318" s="28"/>
      <c r="S1318" s="28"/>
      <c r="T1318" s="29">
        <f t="shared" si="791"/>
        <v>0</v>
      </c>
      <c r="U1318" s="28"/>
      <c r="V1318" s="30">
        <f t="shared" si="425"/>
        <v>0</v>
      </c>
      <c r="W1318" s="30"/>
      <c r="X1318" s="847"/>
      <c r="Y1318" s="33" t="str">
        <f t="shared" si="792"/>
        <v>#DIV/0!</v>
      </c>
      <c r="Z1318" s="692"/>
      <c r="AA1318" s="665"/>
      <c r="AB1318" s="36"/>
      <c r="AC1318" s="36"/>
      <c r="AD1318" s="44"/>
      <c r="AE1318" s="46"/>
      <c r="AF1318" s="39"/>
      <c r="AG1318" s="46"/>
      <c r="AH1318" s="36"/>
      <c r="AI1318" s="159"/>
      <c r="AJ1318" s="44"/>
      <c r="AK1318" s="46"/>
      <c r="AL1318" s="44"/>
      <c r="AM1318" s="46"/>
      <c r="AN1318" s="37"/>
      <c r="AO1318" s="38"/>
      <c r="AP1318" s="44"/>
      <c r="AQ1318" s="46"/>
      <c r="AR1318" s="44"/>
      <c r="AS1318" s="44"/>
      <c r="AT1318" s="44"/>
      <c r="AU1318" s="45"/>
      <c r="AV1318" s="44"/>
      <c r="AW1318" s="38"/>
      <c r="AX1318" s="44"/>
      <c r="AY1318" s="38"/>
      <c r="AZ1318" s="44"/>
      <c r="BA1318" s="45"/>
      <c r="BB1318" s="44"/>
      <c r="BC1318" s="45"/>
      <c r="BD1318" s="44"/>
      <c r="BE1318" s="38"/>
      <c r="BF1318" s="36"/>
      <c r="BG1318" s="16"/>
      <c r="BH1318" s="16"/>
      <c r="BI1318" s="16"/>
      <c r="BJ1318" s="16"/>
      <c r="BK1318" s="16"/>
      <c r="BL1318" s="16"/>
      <c r="BM1318" s="16"/>
      <c r="BN1318" s="16"/>
      <c r="BO1318" s="16"/>
      <c r="BP1318" s="16"/>
      <c r="BQ1318" s="16"/>
      <c r="BR1318" s="16"/>
      <c r="BS1318" s="16"/>
      <c r="BT1318" s="16"/>
      <c r="BU1318" s="16"/>
      <c r="BV1318" s="16"/>
      <c r="BW1318" s="16"/>
      <c r="BX1318" s="16"/>
      <c r="BY1318" s="16"/>
      <c r="BZ1318" s="16"/>
      <c r="CA1318" s="16"/>
      <c r="CB1318" s="16"/>
      <c r="CC1318" s="16"/>
      <c r="CD1318" s="16"/>
      <c r="CE1318" s="16"/>
      <c r="CF1318" s="16"/>
      <c r="CG1318" s="16"/>
      <c r="CH1318" s="16"/>
      <c r="CI1318" s="16"/>
      <c r="CJ1318" s="16"/>
      <c r="CK1318" s="16"/>
      <c r="CL1318" s="16"/>
      <c r="CM1318" s="16"/>
      <c r="CN1318" s="16"/>
      <c r="CO1318" s="16"/>
      <c r="CP1318" s="16"/>
    </row>
    <row r="1319" ht="15.75" customHeight="1">
      <c r="A1319" s="1629" t="s">
        <v>6235</v>
      </c>
      <c r="B1319" s="66"/>
      <c r="C1319" s="1390" t="s">
        <v>276</v>
      </c>
      <c r="D1319" s="1569" t="s">
        <v>4781</v>
      </c>
      <c r="E1319" s="1569" t="s">
        <v>4781</v>
      </c>
      <c r="F1319" s="1607" t="s">
        <v>6236</v>
      </c>
      <c r="G1319" s="1395" t="s">
        <v>6237</v>
      </c>
      <c r="H1319" s="1395" t="s">
        <v>394</v>
      </c>
      <c r="I1319" s="1284" t="s">
        <v>395</v>
      </c>
      <c r="J1319" s="1608" t="s">
        <v>6238</v>
      </c>
      <c r="K1319" s="1284">
        <v>1.0</v>
      </c>
      <c r="L1319" s="1284">
        <v>1993.0</v>
      </c>
      <c r="M1319" s="25">
        <f t="shared" si="789"/>
        <v>32</v>
      </c>
      <c r="N1319" s="26">
        <f t="shared" si="790"/>
        <v>0</v>
      </c>
      <c r="O1319" s="27" t="str">
        <f t="shared" si="3"/>
        <v>#N/A</v>
      </c>
      <c r="P1319" s="28"/>
      <c r="Q1319" s="28"/>
      <c r="R1319" s="28"/>
      <c r="S1319" s="28"/>
      <c r="T1319" s="29">
        <f t="shared" si="791"/>
        <v>0</v>
      </c>
      <c r="U1319" s="28"/>
      <c r="V1319" s="30">
        <f t="shared" si="425"/>
        <v>0</v>
      </c>
      <c r="W1319" s="30"/>
      <c r="X1319" s="1286"/>
      <c r="Y1319" s="33" t="str">
        <f t="shared" si="792"/>
        <v>#DIV/0!</v>
      </c>
      <c r="Z1319" s="692"/>
      <c r="AA1319" s="665"/>
      <c r="AB1319" s="1161"/>
      <c r="AC1319" s="1161"/>
      <c r="AD1319" s="1158"/>
      <c r="AE1319" s="1159"/>
      <c r="AF1319" s="1609"/>
      <c r="AG1319" s="1159"/>
      <c r="AH1319" s="1161"/>
      <c r="AI1319" s="1630"/>
      <c r="AJ1319" s="1158"/>
      <c r="AK1319" s="1159"/>
      <c r="AL1319" s="1158"/>
      <c r="AM1319" s="1159"/>
      <c r="AN1319" s="1289"/>
      <c r="AO1319" s="1288"/>
      <c r="AP1319" s="1158"/>
      <c r="AQ1319" s="1159"/>
      <c r="AR1319" s="1158"/>
      <c r="AS1319" s="1158"/>
      <c r="AT1319" s="1158"/>
      <c r="AU1319" s="1160"/>
      <c r="AV1319" s="1158"/>
      <c r="AW1319" s="38"/>
      <c r="AX1319" s="1158"/>
      <c r="AY1319" s="38"/>
      <c r="AZ1319" s="1158"/>
      <c r="BA1319" s="1160"/>
      <c r="BB1319" s="1158"/>
      <c r="BC1319" s="1160"/>
      <c r="BD1319" s="1158"/>
      <c r="BE1319" s="38"/>
      <c r="BF1319" s="1161"/>
      <c r="BG1319" s="16"/>
      <c r="BH1319" s="16"/>
      <c r="BI1319" s="16"/>
      <c r="BJ1319" s="16"/>
      <c r="BK1319" s="16"/>
      <c r="BL1319" s="16"/>
      <c r="BM1319" s="16"/>
      <c r="BN1319" s="16"/>
      <c r="BO1319" s="16"/>
      <c r="BP1319" s="16"/>
      <c r="BQ1319" s="16"/>
      <c r="BR1319" s="16"/>
      <c r="BS1319" s="16"/>
      <c r="BT1319" s="16"/>
      <c r="BU1319" s="16"/>
      <c r="BV1319" s="16"/>
      <c r="BW1319" s="16"/>
      <c r="BX1319" s="16"/>
      <c r="BY1319" s="16"/>
      <c r="BZ1319" s="16"/>
      <c r="CA1319" s="16"/>
      <c r="CB1319" s="16"/>
      <c r="CC1319" s="16"/>
      <c r="CD1319" s="16"/>
      <c r="CE1319" s="16"/>
      <c r="CF1319" s="16"/>
      <c r="CG1319" s="16"/>
      <c r="CH1319" s="16"/>
      <c r="CI1319" s="16"/>
      <c r="CJ1319" s="16"/>
      <c r="CK1319" s="16"/>
      <c r="CL1319" s="16"/>
      <c r="CM1319" s="16"/>
      <c r="CN1319" s="16"/>
      <c r="CO1319" s="16"/>
      <c r="CP1319" s="16"/>
    </row>
    <row r="1320" ht="15.75" customHeight="1">
      <c r="A1320" s="1629" t="s">
        <v>6239</v>
      </c>
      <c r="B1320" s="66"/>
      <c r="C1320" s="1390" t="s">
        <v>132</v>
      </c>
      <c r="D1320" s="1569" t="s">
        <v>4781</v>
      </c>
      <c r="E1320" s="1569" t="s">
        <v>4781</v>
      </c>
      <c r="F1320" s="1621" t="s">
        <v>6240</v>
      </c>
      <c r="G1320" s="1395" t="s">
        <v>6241</v>
      </c>
      <c r="H1320" s="1395" t="s">
        <v>6242</v>
      </c>
      <c r="I1320" s="1284" t="s">
        <v>65</v>
      </c>
      <c r="J1320" s="1608" t="s">
        <v>6243</v>
      </c>
      <c r="K1320" s="1284">
        <v>1.0</v>
      </c>
      <c r="L1320" s="1284">
        <v>2009.0</v>
      </c>
      <c r="M1320" s="25">
        <f t="shared" si="789"/>
        <v>16</v>
      </c>
      <c r="N1320" s="26">
        <f t="shared" si="790"/>
        <v>0</v>
      </c>
      <c r="O1320" s="27" t="str">
        <f t="shared" si="3"/>
        <v>#N/A</v>
      </c>
      <c r="P1320" s="28"/>
      <c r="Q1320" s="28"/>
      <c r="R1320" s="28"/>
      <c r="S1320" s="28"/>
      <c r="T1320" s="29">
        <f t="shared" si="791"/>
        <v>0</v>
      </c>
      <c r="U1320" s="28"/>
      <c r="V1320" s="30">
        <f t="shared" si="425"/>
        <v>0</v>
      </c>
      <c r="W1320" s="30"/>
      <c r="X1320" s="1286"/>
      <c r="Y1320" s="33" t="str">
        <f t="shared" si="792"/>
        <v>#DIV/0!</v>
      </c>
      <c r="Z1320" s="692"/>
      <c r="AA1320" s="665"/>
      <c r="AB1320" s="1161"/>
      <c r="AC1320" s="1161"/>
      <c r="AD1320" s="1158"/>
      <c r="AE1320" s="1159"/>
      <c r="AF1320" s="1609"/>
      <c r="AG1320" s="1159"/>
      <c r="AH1320" s="1161"/>
      <c r="AI1320" s="1630"/>
      <c r="AJ1320" s="1158"/>
      <c r="AK1320" s="1159"/>
      <c r="AL1320" s="1158"/>
      <c r="AM1320" s="1159"/>
      <c r="AN1320" s="1289"/>
      <c r="AO1320" s="1288"/>
      <c r="AP1320" s="1158"/>
      <c r="AQ1320" s="1159"/>
      <c r="AR1320" s="1158"/>
      <c r="AS1320" s="1158"/>
      <c r="AT1320" s="1158"/>
      <c r="AU1320" s="1160"/>
      <c r="AV1320" s="1158"/>
      <c r="AW1320" s="38"/>
      <c r="AX1320" s="1158"/>
      <c r="AY1320" s="38"/>
      <c r="AZ1320" s="1158"/>
      <c r="BA1320" s="1160"/>
      <c r="BB1320" s="1158"/>
      <c r="BC1320" s="1160"/>
      <c r="BD1320" s="1158"/>
      <c r="BE1320" s="38"/>
      <c r="BF1320" s="1161"/>
      <c r="BG1320" s="16"/>
      <c r="BH1320" s="16"/>
      <c r="BI1320" s="16"/>
      <c r="BJ1320" s="16"/>
      <c r="BK1320" s="16"/>
      <c r="BL1320" s="16"/>
      <c r="BM1320" s="16"/>
      <c r="BN1320" s="16"/>
      <c r="BO1320" s="16"/>
      <c r="BP1320" s="16"/>
      <c r="BQ1320" s="16"/>
      <c r="BR1320" s="16"/>
      <c r="BS1320" s="16"/>
      <c r="BT1320" s="16"/>
      <c r="BU1320" s="16"/>
      <c r="BV1320" s="16"/>
      <c r="BW1320" s="16"/>
      <c r="BX1320" s="16"/>
      <c r="BY1320" s="16"/>
      <c r="BZ1320" s="16"/>
      <c r="CA1320" s="16"/>
      <c r="CB1320" s="16"/>
      <c r="CC1320" s="16"/>
      <c r="CD1320" s="16"/>
      <c r="CE1320" s="16"/>
      <c r="CF1320" s="16"/>
      <c r="CG1320" s="16"/>
      <c r="CH1320" s="16"/>
      <c r="CI1320" s="16"/>
      <c r="CJ1320" s="16"/>
      <c r="CK1320" s="16"/>
      <c r="CL1320" s="16"/>
      <c r="CM1320" s="16"/>
      <c r="CN1320" s="16"/>
      <c r="CO1320" s="16"/>
      <c r="CP1320" s="16"/>
    </row>
    <row r="1321" ht="15.75" customHeight="1">
      <c r="A1321" s="1162" t="s">
        <v>6244</v>
      </c>
      <c r="B1321" s="16"/>
      <c r="C1321" s="17" t="s">
        <v>123</v>
      </c>
      <c r="D1321" s="184"/>
      <c r="E1321" s="236" t="s">
        <v>6245</v>
      </c>
      <c r="F1321" s="803" t="s">
        <v>6246</v>
      </c>
      <c r="G1321" s="317"/>
      <c r="H1321" s="22" t="s">
        <v>6247</v>
      </c>
      <c r="I1321" s="23" t="s">
        <v>753</v>
      </c>
      <c r="J1321" s="237"/>
      <c r="K1321" s="36"/>
      <c r="L1321" s="23">
        <v>2003.0</v>
      </c>
      <c r="M1321" s="25">
        <f t="shared" si="789"/>
        <v>22</v>
      </c>
      <c r="N1321" s="26">
        <f t="shared" si="790"/>
        <v>0</v>
      </c>
      <c r="O1321" s="27" t="str">
        <f t="shared" si="3"/>
        <v>#N/A</v>
      </c>
      <c r="P1321" s="28"/>
      <c r="Q1321" s="28"/>
      <c r="R1321" s="28"/>
      <c r="S1321" s="28"/>
      <c r="T1321" s="29">
        <f t="shared" si="791"/>
        <v>0</v>
      </c>
      <c r="U1321" s="28"/>
      <c r="V1321" s="30">
        <f t="shared" si="425"/>
        <v>0</v>
      </c>
      <c r="W1321" s="30"/>
      <c r="X1321" s="847"/>
      <c r="Y1321" s="33" t="str">
        <f t="shared" si="792"/>
        <v>#DIV/0!</v>
      </c>
      <c r="Z1321" s="692"/>
      <c r="AA1321" s="665"/>
      <c r="AB1321" s="36"/>
      <c r="AC1321" s="36"/>
      <c r="AD1321" s="44"/>
      <c r="AE1321" s="46"/>
      <c r="AF1321" s="39"/>
      <c r="AG1321" s="46"/>
      <c r="AH1321" s="36"/>
      <c r="AI1321" s="159"/>
      <c r="AJ1321" s="44"/>
      <c r="AK1321" s="46"/>
      <c r="AL1321" s="44"/>
      <c r="AM1321" s="46"/>
      <c r="AN1321" s="37"/>
      <c r="AO1321" s="38"/>
      <c r="AP1321" s="44"/>
      <c r="AQ1321" s="46"/>
      <c r="AR1321" s="44"/>
      <c r="AS1321" s="44"/>
      <c r="AT1321" s="44"/>
      <c r="AU1321" s="45"/>
      <c r="AV1321" s="44"/>
      <c r="AW1321" s="38"/>
      <c r="AX1321" s="44"/>
      <c r="AY1321" s="38"/>
      <c r="AZ1321" s="44"/>
      <c r="BA1321" s="45"/>
      <c r="BB1321" s="44"/>
      <c r="BC1321" s="45"/>
      <c r="BD1321" s="44"/>
      <c r="BE1321" s="38"/>
      <c r="BF1321" s="36"/>
      <c r="BG1321" s="16"/>
      <c r="BH1321" s="16"/>
      <c r="BI1321" s="16"/>
      <c r="BJ1321" s="16"/>
      <c r="BK1321" s="16"/>
      <c r="BL1321" s="16"/>
      <c r="BM1321" s="16"/>
      <c r="BN1321" s="16"/>
      <c r="BO1321" s="16"/>
      <c r="BP1321" s="16"/>
      <c r="BQ1321" s="16"/>
      <c r="BR1321" s="16"/>
      <c r="BS1321" s="16"/>
      <c r="BT1321" s="16"/>
      <c r="BU1321" s="16"/>
      <c r="BV1321" s="16"/>
      <c r="BW1321" s="16"/>
      <c r="BX1321" s="16"/>
      <c r="BY1321" s="16"/>
      <c r="BZ1321" s="16"/>
      <c r="CA1321" s="16"/>
      <c r="CB1321" s="16"/>
      <c r="CC1321" s="16"/>
      <c r="CD1321" s="16"/>
      <c r="CE1321" s="16"/>
      <c r="CF1321" s="16"/>
      <c r="CG1321" s="16"/>
      <c r="CH1321" s="16"/>
      <c r="CI1321" s="16"/>
      <c r="CJ1321" s="16"/>
      <c r="CK1321" s="16"/>
      <c r="CL1321" s="16"/>
      <c r="CM1321" s="16"/>
      <c r="CN1321" s="16"/>
      <c r="CO1321" s="16"/>
      <c r="CP1321" s="16"/>
    </row>
    <row r="1322" ht="15.75" customHeight="1">
      <c r="A1322" s="866" t="s">
        <v>6248</v>
      </c>
      <c r="B1322" s="16"/>
      <c r="C1322" s="17" t="s">
        <v>123</v>
      </c>
      <c r="D1322" s="236" t="s">
        <v>6249</v>
      </c>
      <c r="E1322" s="236" t="s">
        <v>6250</v>
      </c>
      <c r="F1322" s="803" t="s">
        <v>6251</v>
      </c>
      <c r="G1322" s="442"/>
      <c r="H1322" s="22" t="s">
        <v>1109</v>
      </c>
      <c r="I1322" s="23" t="s">
        <v>6252</v>
      </c>
      <c r="J1322" s="509"/>
      <c r="K1322" s="36"/>
      <c r="L1322" s="23">
        <v>2009.0</v>
      </c>
      <c r="M1322" s="25">
        <f t="shared" si="789"/>
        <v>16</v>
      </c>
      <c r="N1322" s="26">
        <f t="shared" si="790"/>
        <v>0</v>
      </c>
      <c r="O1322" s="27" t="str">
        <f t="shared" si="3"/>
        <v>#N/A</v>
      </c>
      <c r="P1322" s="28"/>
      <c r="Q1322" s="28"/>
      <c r="R1322" s="28"/>
      <c r="S1322" s="28"/>
      <c r="T1322" s="29">
        <f t="shared" si="791"/>
        <v>0</v>
      </c>
      <c r="U1322" s="28"/>
      <c r="V1322" s="30">
        <f t="shared" si="425"/>
        <v>0</v>
      </c>
      <c r="W1322" s="30"/>
      <c r="X1322" s="847"/>
      <c r="Y1322" s="33" t="str">
        <f t="shared" si="792"/>
        <v>#DIV/0!</v>
      </c>
      <c r="Z1322" s="692"/>
      <c r="AA1322" s="665"/>
      <c r="AB1322" s="36"/>
      <c r="AC1322" s="36"/>
      <c r="AD1322" s="44"/>
      <c r="AE1322" s="46"/>
      <c r="AF1322" s="39"/>
      <c r="AG1322" s="46"/>
      <c r="AH1322" s="36"/>
      <c r="AI1322" s="159"/>
      <c r="AJ1322" s="44"/>
      <c r="AK1322" s="46"/>
      <c r="AL1322" s="44"/>
      <c r="AM1322" s="46"/>
      <c r="AN1322" s="37"/>
      <c r="AO1322" s="38"/>
      <c r="AP1322" s="44"/>
      <c r="AQ1322" s="46"/>
      <c r="AR1322" s="44"/>
      <c r="AS1322" s="44"/>
      <c r="AT1322" s="44"/>
      <c r="AU1322" s="45"/>
      <c r="AV1322" s="44"/>
      <c r="AW1322" s="38"/>
      <c r="AX1322" s="44"/>
      <c r="AY1322" s="38"/>
      <c r="AZ1322" s="44"/>
      <c r="BA1322" s="45"/>
      <c r="BB1322" s="44"/>
      <c r="BC1322" s="45"/>
      <c r="BD1322" s="44"/>
      <c r="BE1322" s="38"/>
      <c r="BF1322" s="36"/>
      <c r="BG1322" s="16"/>
      <c r="BH1322" s="16"/>
      <c r="BI1322" s="16"/>
      <c r="BJ1322" s="16"/>
      <c r="BK1322" s="16"/>
      <c r="BL1322" s="16"/>
      <c r="BM1322" s="16"/>
      <c r="BN1322" s="16"/>
      <c r="BO1322" s="16"/>
      <c r="BP1322" s="16"/>
      <c r="BQ1322" s="16"/>
      <c r="BR1322" s="16"/>
      <c r="BS1322" s="16"/>
      <c r="BT1322" s="16"/>
      <c r="BU1322" s="16"/>
      <c r="BV1322" s="16"/>
      <c r="BW1322" s="16"/>
      <c r="BX1322" s="16"/>
      <c r="BY1322" s="16"/>
      <c r="BZ1322" s="16"/>
      <c r="CA1322" s="16"/>
      <c r="CB1322" s="16"/>
      <c r="CC1322" s="16"/>
      <c r="CD1322" s="16"/>
      <c r="CE1322" s="16"/>
      <c r="CF1322" s="16"/>
      <c r="CG1322" s="16"/>
      <c r="CH1322" s="16"/>
      <c r="CI1322" s="16"/>
      <c r="CJ1322" s="16"/>
      <c r="CK1322" s="16"/>
      <c r="CL1322" s="16"/>
      <c r="CM1322" s="16"/>
      <c r="CN1322" s="16"/>
      <c r="CO1322" s="16"/>
      <c r="CP1322" s="16"/>
    </row>
    <row r="1323" ht="15.75" customHeight="1">
      <c r="A1323" s="1162" t="s">
        <v>6253</v>
      </c>
      <c r="B1323" s="16"/>
      <c r="C1323" s="17" t="s">
        <v>361</v>
      </c>
      <c r="D1323" s="18" t="s">
        <v>6254</v>
      </c>
      <c r="E1323" s="184"/>
      <c r="F1323" s="20" t="s">
        <v>6255</v>
      </c>
      <c r="G1323" s="442"/>
      <c r="H1323" s="317"/>
      <c r="I1323" s="36"/>
      <c r="J1323" s="509"/>
      <c r="K1323" s="36"/>
      <c r="L1323" s="23"/>
      <c r="M1323" s="25">
        <f t="shared" si="789"/>
        <v>2025</v>
      </c>
      <c r="N1323" s="26">
        <f t="shared" si="790"/>
        <v>0</v>
      </c>
      <c r="O1323" s="27" t="str">
        <f t="shared" si="3"/>
        <v>#N/A</v>
      </c>
      <c r="P1323" s="28"/>
      <c r="Q1323" s="28"/>
      <c r="R1323" s="28"/>
      <c r="S1323" s="28"/>
      <c r="T1323" s="29">
        <f t="shared" si="791"/>
        <v>0</v>
      </c>
      <c r="U1323" s="28"/>
      <c r="V1323" s="30">
        <f t="shared" si="425"/>
        <v>0</v>
      </c>
      <c r="W1323" s="30"/>
      <c r="X1323" s="847"/>
      <c r="Y1323" s="33" t="str">
        <f t="shared" si="792"/>
        <v>#DIV/0!</v>
      </c>
      <c r="Z1323" s="692"/>
      <c r="AA1323" s="665"/>
      <c r="AB1323" s="36"/>
      <c r="AC1323" s="36"/>
      <c r="AD1323" s="44"/>
      <c r="AE1323" s="38"/>
      <c r="AF1323" s="1502"/>
      <c r="AG1323" s="38"/>
      <c r="AH1323" s="919"/>
      <c r="AI1323" s="159"/>
      <c r="AJ1323" s="44"/>
      <c r="AK1323" s="46"/>
      <c r="AL1323" s="44"/>
      <c r="AM1323" s="46"/>
      <c r="AN1323" s="44"/>
      <c r="AO1323" s="46"/>
      <c r="AP1323" s="44"/>
      <c r="AQ1323" s="46"/>
      <c r="AR1323" s="44"/>
      <c r="AS1323" s="44"/>
      <c r="AT1323" s="44"/>
      <c r="AU1323" s="45"/>
      <c r="AV1323" s="44"/>
      <c r="AW1323" s="38"/>
      <c r="AX1323" s="44"/>
      <c r="AY1323" s="38"/>
      <c r="AZ1323" s="44"/>
      <c r="BA1323" s="45"/>
      <c r="BB1323" s="44"/>
      <c r="BC1323" s="45"/>
      <c r="BD1323" s="44"/>
      <c r="BE1323" s="38"/>
      <c r="BF1323" s="36"/>
      <c r="BG1323" s="16"/>
      <c r="BH1323" s="16"/>
      <c r="BI1323" s="16"/>
      <c r="BJ1323" s="16"/>
      <c r="BK1323" s="16"/>
      <c r="BL1323" s="16"/>
      <c r="BM1323" s="16"/>
      <c r="BN1323" s="16"/>
      <c r="BO1323" s="16"/>
      <c r="BP1323" s="16"/>
      <c r="BQ1323" s="16"/>
      <c r="BR1323" s="16"/>
      <c r="BS1323" s="16"/>
      <c r="BT1323" s="16"/>
      <c r="BU1323" s="16"/>
      <c r="BV1323" s="16"/>
      <c r="BW1323" s="16"/>
      <c r="BX1323" s="16"/>
      <c r="BY1323" s="16"/>
      <c r="BZ1323" s="16"/>
      <c r="CA1323" s="16"/>
      <c r="CB1323" s="16"/>
      <c r="CC1323" s="16"/>
      <c r="CD1323" s="16"/>
      <c r="CE1323" s="16"/>
      <c r="CF1323" s="16"/>
      <c r="CG1323" s="16"/>
      <c r="CH1323" s="16"/>
      <c r="CI1323" s="16"/>
      <c r="CJ1323" s="16"/>
      <c r="CK1323" s="16"/>
      <c r="CL1323" s="16"/>
      <c r="CM1323" s="16"/>
      <c r="CN1323" s="16"/>
      <c r="CO1323" s="16"/>
      <c r="CP1323" s="16"/>
    </row>
    <row r="1324" ht="15.75" customHeight="1">
      <c r="A1324" s="1629" t="s">
        <v>6256</v>
      </c>
      <c r="B1324" s="66"/>
      <c r="C1324" s="1390" t="s">
        <v>59</v>
      </c>
      <c r="D1324" s="1569" t="s">
        <v>4781</v>
      </c>
      <c r="E1324" s="1569" t="s">
        <v>4781</v>
      </c>
      <c r="F1324" s="1631" t="s">
        <v>6257</v>
      </c>
      <c r="G1324" s="1395" t="s">
        <v>6258</v>
      </c>
      <c r="H1324" s="1395" t="s">
        <v>6259</v>
      </c>
      <c r="I1324" s="1284" t="s">
        <v>2016</v>
      </c>
      <c r="J1324" s="1608" t="s">
        <v>6260</v>
      </c>
      <c r="K1324" s="1632">
        <v>2.0</v>
      </c>
      <c r="L1324" s="1284">
        <v>2013.0</v>
      </c>
      <c r="M1324" s="25">
        <f t="shared" si="789"/>
        <v>12</v>
      </c>
      <c r="N1324" s="26">
        <f t="shared" si="790"/>
        <v>0</v>
      </c>
      <c r="O1324" s="27" t="str">
        <f t="shared" si="3"/>
        <v>#N/A</v>
      </c>
      <c r="P1324" s="28"/>
      <c r="Q1324" s="28"/>
      <c r="R1324" s="28"/>
      <c r="S1324" s="28"/>
      <c r="T1324" s="29">
        <f t="shared" si="791"/>
        <v>0</v>
      </c>
      <c r="U1324" s="28"/>
      <c r="V1324" s="30">
        <f t="shared" si="425"/>
        <v>0</v>
      </c>
      <c r="W1324" s="30"/>
      <c r="X1324" s="1633"/>
      <c r="Y1324" s="33" t="str">
        <f t="shared" si="792"/>
        <v>#DIV/0!</v>
      </c>
      <c r="Z1324" s="692"/>
      <c r="AA1324" s="665"/>
      <c r="AB1324" s="1161"/>
      <c r="AC1324" s="1161"/>
      <c r="AD1324" s="1158"/>
      <c r="AE1324" s="1159"/>
      <c r="AF1324" s="1609"/>
      <c r="AG1324" s="1159"/>
      <c r="AH1324" s="1161"/>
      <c r="AI1324" s="1630"/>
      <c r="AJ1324" s="1158"/>
      <c r="AK1324" s="1159"/>
      <c r="AL1324" s="1158"/>
      <c r="AM1324" s="1159"/>
      <c r="AN1324" s="1158"/>
      <c r="AO1324" s="1159"/>
      <c r="AP1324" s="1158"/>
      <c r="AQ1324" s="1159"/>
      <c r="AR1324" s="1158"/>
      <c r="AS1324" s="1158"/>
      <c r="AT1324" s="1158"/>
      <c r="AU1324" s="1160"/>
      <c r="AV1324" s="1158"/>
      <c r="AW1324" s="38"/>
      <c r="AX1324" s="1158"/>
      <c r="AY1324" s="38"/>
      <c r="AZ1324" s="1158"/>
      <c r="BA1324" s="1160"/>
      <c r="BB1324" s="1158"/>
      <c r="BC1324" s="1160"/>
      <c r="BD1324" s="1158"/>
      <c r="BE1324" s="38"/>
      <c r="BF1324" s="1161"/>
      <c r="BG1324" s="16"/>
      <c r="BH1324" s="16"/>
      <c r="BI1324" s="16"/>
      <c r="BJ1324" s="16"/>
      <c r="BK1324" s="16"/>
      <c r="BL1324" s="16"/>
      <c r="BM1324" s="16"/>
      <c r="BN1324" s="16"/>
      <c r="BO1324" s="16"/>
      <c r="BP1324" s="16"/>
      <c r="BQ1324" s="16"/>
      <c r="BR1324" s="16"/>
      <c r="BS1324" s="16"/>
      <c r="BT1324" s="16"/>
      <c r="BU1324" s="16"/>
      <c r="BV1324" s="16"/>
      <c r="BW1324" s="16"/>
      <c r="BX1324" s="16"/>
      <c r="BY1324" s="16"/>
      <c r="BZ1324" s="16"/>
      <c r="CA1324" s="16"/>
      <c r="CB1324" s="16"/>
      <c r="CC1324" s="16"/>
      <c r="CD1324" s="16"/>
      <c r="CE1324" s="16"/>
      <c r="CF1324" s="16"/>
      <c r="CG1324" s="16"/>
      <c r="CH1324" s="16"/>
      <c r="CI1324" s="16"/>
      <c r="CJ1324" s="16"/>
      <c r="CK1324" s="16"/>
      <c r="CL1324" s="16"/>
      <c r="CM1324" s="16"/>
      <c r="CN1324" s="16"/>
      <c r="CO1324" s="16"/>
      <c r="CP1324" s="16"/>
    </row>
    <row r="1325" ht="15.75" customHeight="1">
      <c r="A1325" s="21" t="s">
        <v>6261</v>
      </c>
      <c r="B1325" s="16"/>
      <c r="C1325" s="17" t="s">
        <v>403</v>
      </c>
      <c r="D1325" s="236" t="s">
        <v>6262</v>
      </c>
      <c r="E1325" s="18" t="s">
        <v>6263</v>
      </c>
      <c r="F1325" s="154" t="s">
        <v>6264</v>
      </c>
      <c r="G1325" s="317"/>
      <c r="H1325" s="22" t="s">
        <v>271</v>
      </c>
      <c r="I1325" s="36"/>
      <c r="J1325" s="237"/>
      <c r="K1325" s="74"/>
      <c r="L1325" s="23">
        <v>2016.0</v>
      </c>
      <c r="M1325" s="25">
        <f t="shared" si="789"/>
        <v>9</v>
      </c>
      <c r="N1325" s="26">
        <f t="shared" si="790"/>
        <v>0</v>
      </c>
      <c r="O1325" s="27" t="str">
        <f t="shared" si="3"/>
        <v>#N/A</v>
      </c>
      <c r="P1325" s="28"/>
      <c r="Q1325" s="28"/>
      <c r="R1325" s="28"/>
      <c r="S1325" s="28"/>
      <c r="T1325" s="29">
        <f t="shared" si="791"/>
        <v>0</v>
      </c>
      <c r="U1325" s="28"/>
      <c r="V1325" s="30">
        <f t="shared" si="425"/>
        <v>0</v>
      </c>
      <c r="W1325" s="30"/>
      <c r="X1325" s="32"/>
      <c r="Y1325" s="33" t="str">
        <f t="shared" si="792"/>
        <v>#DIV/0!</v>
      </c>
      <c r="Z1325" s="692"/>
      <c r="AA1325" s="665"/>
      <c r="AB1325" s="36"/>
      <c r="AC1325" s="36"/>
      <c r="AD1325" s="44"/>
      <c r="AE1325" s="46"/>
      <c r="AF1325" s="39"/>
      <c r="AG1325" s="46"/>
      <c r="AH1325" s="36"/>
      <c r="AI1325" s="159"/>
      <c r="AJ1325" s="44"/>
      <c r="AK1325" s="46"/>
      <c r="AL1325" s="44"/>
      <c r="AM1325" s="46"/>
      <c r="AN1325" s="44"/>
      <c r="AO1325" s="46"/>
      <c r="AP1325" s="44"/>
      <c r="AQ1325" s="46"/>
      <c r="AR1325" s="44"/>
      <c r="AS1325" s="44"/>
      <c r="AT1325" s="44"/>
      <c r="AU1325" s="45"/>
      <c r="AV1325" s="44"/>
      <c r="AW1325" s="38"/>
      <c r="AX1325" s="44"/>
      <c r="AY1325" s="38"/>
      <c r="AZ1325" s="44"/>
      <c r="BA1325" s="45"/>
      <c r="BB1325" s="44"/>
      <c r="BC1325" s="45"/>
      <c r="BD1325" s="44"/>
      <c r="BE1325" s="38"/>
      <c r="BF1325" s="36"/>
      <c r="BG1325" s="16"/>
      <c r="BH1325" s="16"/>
      <c r="BI1325" s="16"/>
      <c r="BJ1325" s="16"/>
      <c r="BK1325" s="16"/>
      <c r="BL1325" s="16"/>
      <c r="BM1325" s="16"/>
      <c r="BN1325" s="16"/>
      <c r="BO1325" s="16"/>
      <c r="BP1325" s="16"/>
      <c r="BQ1325" s="16"/>
      <c r="BR1325" s="16"/>
      <c r="BS1325" s="16"/>
      <c r="BT1325" s="16"/>
      <c r="BU1325" s="16"/>
      <c r="BV1325" s="16"/>
      <c r="BW1325" s="16"/>
      <c r="BX1325" s="16"/>
      <c r="BY1325" s="16"/>
      <c r="BZ1325" s="16"/>
      <c r="CA1325" s="16"/>
      <c r="CB1325" s="16"/>
      <c r="CC1325" s="16"/>
      <c r="CD1325" s="16"/>
      <c r="CE1325" s="16"/>
      <c r="CF1325" s="16"/>
      <c r="CG1325" s="16"/>
      <c r="CH1325" s="16"/>
      <c r="CI1325" s="16"/>
      <c r="CJ1325" s="16"/>
      <c r="CK1325" s="16"/>
      <c r="CL1325" s="16"/>
      <c r="CM1325" s="16"/>
      <c r="CN1325" s="16"/>
      <c r="CO1325" s="16"/>
      <c r="CP1325" s="16"/>
    </row>
    <row r="1326" ht="15.75" customHeight="1">
      <c r="A1326" s="866" t="s">
        <v>6265</v>
      </c>
      <c r="B1326" s="16"/>
      <c r="C1326" s="17" t="s">
        <v>123</v>
      </c>
      <c r="D1326" s="1634"/>
      <c r="E1326" s="236" t="s">
        <v>6266</v>
      </c>
      <c r="F1326" s="803" t="s">
        <v>6267</v>
      </c>
      <c r="G1326" s="317"/>
      <c r="H1326" s="22" t="s">
        <v>1384</v>
      </c>
      <c r="I1326" s="36"/>
      <c r="J1326" s="237"/>
      <c r="K1326" s="74"/>
      <c r="L1326" s="23">
        <v>2016.0</v>
      </c>
      <c r="M1326" s="25">
        <f t="shared" si="789"/>
        <v>9</v>
      </c>
      <c r="N1326" s="26">
        <f t="shared" si="790"/>
        <v>0</v>
      </c>
      <c r="O1326" s="27" t="str">
        <f t="shared" si="3"/>
        <v>#N/A</v>
      </c>
      <c r="P1326" s="28"/>
      <c r="Q1326" s="28"/>
      <c r="R1326" s="28"/>
      <c r="S1326" s="28"/>
      <c r="T1326" s="29">
        <f t="shared" si="791"/>
        <v>0</v>
      </c>
      <c r="U1326" s="28"/>
      <c r="V1326" s="30">
        <f t="shared" si="425"/>
        <v>0</v>
      </c>
      <c r="W1326" s="30"/>
      <c r="X1326" s="32"/>
      <c r="Y1326" s="33" t="str">
        <f t="shared" si="792"/>
        <v>#DIV/0!</v>
      </c>
      <c r="Z1326" s="692"/>
      <c r="AA1326" s="665"/>
      <c r="AB1326" s="36"/>
      <c r="AC1326" s="36"/>
      <c r="AD1326" s="44"/>
      <c r="AE1326" s="46"/>
      <c r="AF1326" s="39"/>
      <c r="AG1326" s="46"/>
      <c r="AH1326" s="36"/>
      <c r="AI1326" s="159"/>
      <c r="AJ1326" s="44"/>
      <c r="AK1326" s="46"/>
      <c r="AL1326" s="44"/>
      <c r="AM1326" s="46"/>
      <c r="AN1326" s="44"/>
      <c r="AO1326" s="46"/>
      <c r="AP1326" s="44"/>
      <c r="AQ1326" s="46"/>
      <c r="AR1326" s="44"/>
      <c r="AS1326" s="44"/>
      <c r="AT1326" s="44"/>
      <c r="AU1326" s="45"/>
      <c r="AV1326" s="44"/>
      <c r="AW1326" s="38"/>
      <c r="AX1326" s="44"/>
      <c r="AY1326" s="38"/>
      <c r="AZ1326" s="44"/>
      <c r="BA1326" s="45"/>
      <c r="BB1326" s="44"/>
      <c r="BC1326" s="45"/>
      <c r="BD1326" s="44"/>
      <c r="BE1326" s="38"/>
      <c r="BF1326" s="36"/>
      <c r="BG1326" s="16"/>
      <c r="BH1326" s="16"/>
      <c r="BI1326" s="16"/>
      <c r="BJ1326" s="16"/>
      <c r="BK1326" s="16"/>
      <c r="BL1326" s="16"/>
      <c r="BM1326" s="16"/>
      <c r="BN1326" s="16"/>
      <c r="BO1326" s="16"/>
      <c r="BP1326" s="16"/>
      <c r="BQ1326" s="16"/>
      <c r="BR1326" s="16"/>
      <c r="BS1326" s="16"/>
      <c r="BT1326" s="16"/>
      <c r="BU1326" s="16"/>
      <c r="BV1326" s="16"/>
      <c r="BW1326" s="16"/>
      <c r="BX1326" s="16"/>
      <c r="BY1326" s="16"/>
      <c r="BZ1326" s="16"/>
      <c r="CA1326" s="16"/>
      <c r="CB1326" s="16"/>
      <c r="CC1326" s="16"/>
      <c r="CD1326" s="16"/>
      <c r="CE1326" s="16"/>
      <c r="CF1326" s="16"/>
      <c r="CG1326" s="16"/>
      <c r="CH1326" s="16"/>
      <c r="CI1326" s="16"/>
      <c r="CJ1326" s="16"/>
      <c r="CK1326" s="16"/>
      <c r="CL1326" s="16"/>
      <c r="CM1326" s="16"/>
      <c r="CN1326" s="16"/>
      <c r="CO1326" s="16"/>
      <c r="CP1326" s="16"/>
    </row>
    <row r="1327" ht="15.75" customHeight="1">
      <c r="A1327" s="442" t="s">
        <v>6268</v>
      </c>
      <c r="B1327" s="16" t="s">
        <v>561</v>
      </c>
      <c r="C1327" s="16" t="s">
        <v>207</v>
      </c>
      <c r="D1327" s="492" t="s">
        <v>6269</v>
      </c>
      <c r="E1327" s="337"/>
      <c r="F1327" s="154" t="s">
        <v>6270</v>
      </c>
      <c r="G1327" s="317"/>
      <c r="H1327" s="317" t="s">
        <v>455</v>
      </c>
      <c r="I1327" s="36"/>
      <c r="J1327" s="237"/>
      <c r="K1327" s="74" t="s">
        <v>723</v>
      </c>
      <c r="L1327" s="23" t="s">
        <v>723</v>
      </c>
      <c r="M1327" s="25" t="str">
        <f t="shared" si="789"/>
        <v>#VALUE!</v>
      </c>
      <c r="N1327" s="26">
        <f t="shared" si="790"/>
        <v>0</v>
      </c>
      <c r="O1327" s="27" t="str">
        <f t="shared" si="3"/>
        <v>#N/A</v>
      </c>
      <c r="P1327" s="28"/>
      <c r="Q1327" s="28"/>
      <c r="R1327" s="28"/>
      <c r="S1327" s="28"/>
      <c r="T1327" s="28" t="str">
        <f t="shared" si="791"/>
        <v>#VALUE!</v>
      </c>
      <c r="U1327" s="28"/>
      <c r="V1327" s="30">
        <f t="shared" si="425"/>
        <v>0</v>
      </c>
      <c r="W1327" s="30"/>
      <c r="X1327" s="32"/>
      <c r="Y1327" s="33" t="str">
        <f t="shared" si="792"/>
        <v>#DIV/0!</v>
      </c>
      <c r="Z1327" s="692"/>
      <c r="AA1327" s="665"/>
      <c r="AB1327" s="36" t="s">
        <v>3073</v>
      </c>
      <c r="AC1327" s="36"/>
      <c r="AD1327" s="44"/>
      <c r="AE1327" s="46"/>
      <c r="AF1327" s="39"/>
      <c r="AG1327" s="46"/>
      <c r="AH1327" s="36"/>
      <c r="AI1327" s="159"/>
      <c r="AJ1327" s="44"/>
      <c r="AK1327" s="46"/>
      <c r="AL1327" s="44"/>
      <c r="AM1327" s="46"/>
      <c r="AN1327" s="44"/>
      <c r="AO1327" s="46"/>
      <c r="AP1327" s="44"/>
      <c r="AQ1327" s="46"/>
      <c r="AR1327" s="44"/>
      <c r="AS1327" s="44"/>
      <c r="AT1327" s="44"/>
      <c r="AU1327" s="45"/>
      <c r="AV1327" s="44"/>
      <c r="AW1327" s="38"/>
      <c r="AX1327" s="44"/>
      <c r="AY1327" s="38"/>
      <c r="AZ1327" s="44"/>
      <c r="BA1327" s="45"/>
      <c r="BB1327" s="44"/>
      <c r="BC1327" s="45"/>
      <c r="BD1327" s="44"/>
      <c r="BE1327" s="38"/>
      <c r="BF1327" s="36"/>
      <c r="BG1327" s="16"/>
      <c r="BH1327" s="16"/>
      <c r="BI1327" s="16"/>
      <c r="BJ1327" s="16"/>
      <c r="BK1327" s="16"/>
      <c r="BL1327" s="16"/>
      <c r="BM1327" s="16"/>
      <c r="BN1327" s="16"/>
      <c r="BO1327" s="16"/>
      <c r="BP1327" s="16"/>
      <c r="BQ1327" s="16"/>
      <c r="BR1327" s="16"/>
      <c r="BS1327" s="16"/>
      <c r="BT1327" s="16"/>
      <c r="BU1327" s="16"/>
      <c r="BV1327" s="16"/>
      <c r="BW1327" s="16"/>
      <c r="BX1327" s="16"/>
      <c r="BY1327" s="16"/>
      <c r="BZ1327" s="16"/>
      <c r="CA1327" s="16"/>
      <c r="CB1327" s="16"/>
      <c r="CC1327" s="16"/>
      <c r="CD1327" s="16"/>
      <c r="CE1327" s="16"/>
      <c r="CF1327" s="16"/>
      <c r="CG1327" s="16"/>
      <c r="CH1327" s="16"/>
      <c r="CI1327" s="16"/>
      <c r="CJ1327" s="16"/>
      <c r="CK1327" s="16"/>
      <c r="CL1327" s="16"/>
      <c r="CM1327" s="16"/>
      <c r="CN1327" s="16"/>
      <c r="CO1327" s="16"/>
      <c r="CP1327" s="16"/>
    </row>
    <row r="1328" ht="15.75" customHeight="1">
      <c r="A1328" s="866" t="s">
        <v>6271</v>
      </c>
      <c r="B1328" s="16"/>
      <c r="C1328" s="17" t="s">
        <v>84</v>
      </c>
      <c r="D1328" s="385"/>
      <c r="E1328" s="18" t="s">
        <v>6272</v>
      </c>
      <c r="F1328" s="316" t="s">
        <v>6273</v>
      </c>
      <c r="G1328" s="810"/>
      <c r="H1328" s="22" t="s">
        <v>129</v>
      </c>
      <c r="I1328" s="23" t="s">
        <v>129</v>
      </c>
      <c r="J1328" s="24"/>
      <c r="K1328" s="74"/>
      <c r="L1328" s="23">
        <v>2018.0</v>
      </c>
      <c r="M1328" s="25">
        <f t="shared" si="789"/>
        <v>7</v>
      </c>
      <c r="N1328" s="26">
        <f t="shared" si="790"/>
        <v>0</v>
      </c>
      <c r="O1328" s="27" t="str">
        <f t="shared" si="3"/>
        <v>#N/A</v>
      </c>
      <c r="P1328" s="28"/>
      <c r="Q1328" s="28"/>
      <c r="R1328" s="28"/>
      <c r="S1328" s="28"/>
      <c r="T1328" s="29">
        <f t="shared" si="791"/>
        <v>0</v>
      </c>
      <c r="U1328" s="28"/>
      <c r="V1328" s="30">
        <f t="shared" si="425"/>
        <v>0</v>
      </c>
      <c r="W1328" s="30"/>
      <c r="X1328" s="32"/>
      <c r="Y1328" s="33" t="str">
        <f t="shared" si="792"/>
        <v>#DIV/0!</v>
      </c>
      <c r="Z1328" s="692"/>
      <c r="AA1328" s="665"/>
      <c r="AB1328" s="36"/>
      <c r="AC1328" s="36"/>
      <c r="AD1328" s="44"/>
      <c r="AE1328" s="46"/>
      <c r="AF1328" s="39"/>
      <c r="AG1328" s="46"/>
      <c r="AH1328" s="36"/>
      <c r="AI1328" s="159"/>
      <c r="AJ1328" s="44"/>
      <c r="AK1328" s="46"/>
      <c r="AL1328" s="44"/>
      <c r="AM1328" s="46"/>
      <c r="AN1328" s="44"/>
      <c r="AO1328" s="46"/>
      <c r="AP1328" s="44"/>
      <c r="AQ1328" s="46"/>
      <c r="AR1328" s="44"/>
      <c r="AS1328" s="44"/>
      <c r="AT1328" s="44"/>
      <c r="AU1328" s="45"/>
      <c r="AV1328" s="44"/>
      <c r="AW1328" s="38"/>
      <c r="AX1328" s="44"/>
      <c r="AY1328" s="38"/>
      <c r="AZ1328" s="44"/>
      <c r="BA1328" s="45"/>
      <c r="BB1328" s="44"/>
      <c r="BC1328" s="45"/>
      <c r="BD1328" s="44"/>
      <c r="BE1328" s="38"/>
      <c r="BF1328" s="36"/>
      <c r="BG1328" s="16"/>
      <c r="BH1328" s="16"/>
      <c r="BI1328" s="16"/>
      <c r="BJ1328" s="16"/>
      <c r="BK1328" s="16"/>
      <c r="BL1328" s="16"/>
      <c r="BM1328" s="16"/>
      <c r="BN1328" s="16"/>
      <c r="BO1328" s="16"/>
      <c r="BP1328" s="16"/>
      <c r="BQ1328" s="16"/>
      <c r="BR1328" s="16"/>
      <c r="BS1328" s="16"/>
      <c r="BT1328" s="16"/>
      <c r="BU1328" s="16"/>
      <c r="BV1328" s="16"/>
      <c r="BW1328" s="16"/>
      <c r="BX1328" s="16"/>
      <c r="BY1328" s="16"/>
      <c r="BZ1328" s="16"/>
      <c r="CA1328" s="16"/>
      <c r="CB1328" s="16"/>
      <c r="CC1328" s="16"/>
      <c r="CD1328" s="16"/>
      <c r="CE1328" s="16"/>
      <c r="CF1328" s="16"/>
      <c r="CG1328" s="16"/>
      <c r="CH1328" s="16"/>
      <c r="CI1328" s="16"/>
      <c r="CJ1328" s="16"/>
      <c r="CK1328" s="16"/>
      <c r="CL1328" s="16"/>
      <c r="CM1328" s="16"/>
      <c r="CN1328" s="16"/>
      <c r="CO1328" s="16"/>
      <c r="CP1328" s="16"/>
    </row>
    <row r="1329" ht="15.75" customHeight="1">
      <c r="A1329" s="866" t="s">
        <v>6274</v>
      </c>
      <c r="B1329" s="16"/>
      <c r="C1329" s="17" t="s">
        <v>123</v>
      </c>
      <c r="D1329" s="236" t="s">
        <v>6275</v>
      </c>
      <c r="E1329" s="236" t="s">
        <v>6276</v>
      </c>
      <c r="F1329" s="803" t="s">
        <v>6277</v>
      </c>
      <c r="G1329" s="810"/>
      <c r="H1329" s="22" t="s">
        <v>64</v>
      </c>
      <c r="I1329" s="23" t="s">
        <v>65</v>
      </c>
      <c r="J1329" s="24"/>
      <c r="K1329" s="74"/>
      <c r="L1329" s="23">
        <v>2017.0</v>
      </c>
      <c r="M1329" s="25">
        <f t="shared" si="789"/>
        <v>8</v>
      </c>
      <c r="N1329" s="26">
        <f t="shared" si="790"/>
        <v>0</v>
      </c>
      <c r="O1329" s="27" t="str">
        <f t="shared" si="3"/>
        <v>#N/A</v>
      </c>
      <c r="P1329" s="28"/>
      <c r="Q1329" s="28"/>
      <c r="R1329" s="28"/>
      <c r="S1329" s="28"/>
      <c r="T1329" s="29">
        <f t="shared" si="791"/>
        <v>0</v>
      </c>
      <c r="U1329" s="28"/>
      <c r="V1329" s="30">
        <f t="shared" si="425"/>
        <v>0</v>
      </c>
      <c r="W1329" s="30"/>
      <c r="X1329" s="32"/>
      <c r="Y1329" s="33" t="str">
        <f t="shared" si="792"/>
        <v>#DIV/0!</v>
      </c>
      <c r="Z1329" s="692"/>
      <c r="AA1329" s="665"/>
      <c r="AB1329" s="36"/>
      <c r="AC1329" s="36"/>
      <c r="AD1329" s="44"/>
      <c r="AE1329" s="46"/>
      <c r="AF1329" s="39"/>
      <c r="AG1329" s="46"/>
      <c r="AH1329" s="36"/>
      <c r="AI1329" s="159"/>
      <c r="AJ1329" s="44"/>
      <c r="AK1329" s="46"/>
      <c r="AL1329" s="44"/>
      <c r="AM1329" s="46"/>
      <c r="AN1329" s="44"/>
      <c r="AO1329" s="46"/>
      <c r="AP1329" s="44"/>
      <c r="AQ1329" s="46"/>
      <c r="AR1329" s="44"/>
      <c r="AS1329" s="44"/>
      <c r="AT1329" s="44"/>
      <c r="AU1329" s="45"/>
      <c r="AV1329" s="44"/>
      <c r="AW1329" s="38"/>
      <c r="AX1329" s="44"/>
      <c r="AY1329" s="38"/>
      <c r="AZ1329" s="44"/>
      <c r="BA1329" s="45"/>
      <c r="BB1329" s="44"/>
      <c r="BC1329" s="45"/>
      <c r="BD1329" s="44"/>
      <c r="BE1329" s="38"/>
      <c r="BF1329" s="36"/>
      <c r="BG1329" s="16"/>
      <c r="BH1329" s="16"/>
      <c r="BI1329" s="16"/>
      <c r="BJ1329" s="16"/>
      <c r="BK1329" s="16"/>
      <c r="BL1329" s="16"/>
      <c r="BM1329" s="16"/>
      <c r="BN1329" s="16"/>
      <c r="BO1329" s="16"/>
      <c r="BP1329" s="16"/>
      <c r="BQ1329" s="16"/>
      <c r="BR1329" s="16"/>
      <c r="BS1329" s="16"/>
      <c r="BT1329" s="16"/>
      <c r="BU1329" s="16"/>
      <c r="BV1329" s="16"/>
      <c r="BW1329" s="16"/>
      <c r="BX1329" s="16"/>
      <c r="BY1329" s="16"/>
      <c r="BZ1329" s="16"/>
      <c r="CA1329" s="16"/>
      <c r="CB1329" s="16"/>
      <c r="CC1329" s="16"/>
      <c r="CD1329" s="16"/>
      <c r="CE1329" s="16"/>
      <c r="CF1329" s="16"/>
      <c r="CG1329" s="16"/>
      <c r="CH1329" s="16"/>
      <c r="CI1329" s="16"/>
      <c r="CJ1329" s="16"/>
      <c r="CK1329" s="16"/>
      <c r="CL1329" s="16"/>
      <c r="CM1329" s="16"/>
      <c r="CN1329" s="16"/>
      <c r="CO1329" s="16"/>
      <c r="CP1329" s="16"/>
    </row>
    <row r="1330" ht="15.75" customHeight="1">
      <c r="A1330" s="270" t="s">
        <v>6278</v>
      </c>
      <c r="B1330" s="16"/>
      <c r="C1330" s="17" t="s">
        <v>59</v>
      </c>
      <c r="D1330" s="245"/>
      <c r="E1330" s="138" t="s">
        <v>6279</v>
      </c>
      <c r="F1330" s="803" t="s">
        <v>6280</v>
      </c>
      <c r="G1330" s="810"/>
      <c r="H1330" s="22" t="s">
        <v>2860</v>
      </c>
      <c r="I1330" s="23" t="s">
        <v>65</v>
      </c>
      <c r="J1330" s="24"/>
      <c r="K1330" s="26">
        <v>1.0</v>
      </c>
      <c r="L1330" s="23">
        <v>2018.0</v>
      </c>
      <c r="M1330" s="25">
        <f t="shared" si="789"/>
        <v>7</v>
      </c>
      <c r="N1330" s="26">
        <f t="shared" si="790"/>
        <v>0</v>
      </c>
      <c r="O1330" s="27" t="str">
        <f t="shared" si="3"/>
        <v>#N/A</v>
      </c>
      <c r="P1330" s="28"/>
      <c r="Q1330" s="28"/>
      <c r="R1330" s="28"/>
      <c r="S1330" s="28"/>
      <c r="T1330" s="29">
        <f t="shared" si="791"/>
        <v>0</v>
      </c>
      <c r="U1330" s="28"/>
      <c r="V1330" s="30">
        <f t="shared" si="425"/>
        <v>0</v>
      </c>
      <c r="W1330" s="30"/>
      <c r="X1330" s="73"/>
      <c r="Y1330" s="33" t="str">
        <f t="shared" si="792"/>
        <v>#DIV/0!</v>
      </c>
      <c r="Z1330" s="692"/>
      <c r="AA1330" s="665"/>
      <c r="AB1330" s="36"/>
      <c r="AC1330" s="36"/>
      <c r="AD1330" s="44"/>
      <c r="AE1330" s="46"/>
      <c r="AF1330" s="39"/>
      <c r="AG1330" s="46"/>
      <c r="AH1330" s="36"/>
      <c r="AI1330" s="159"/>
      <c r="AJ1330" s="44"/>
      <c r="AK1330" s="46"/>
      <c r="AL1330" s="44"/>
      <c r="AM1330" s="46"/>
      <c r="AN1330" s="44"/>
      <c r="AO1330" s="46"/>
      <c r="AP1330" s="44"/>
      <c r="AQ1330" s="46"/>
      <c r="AR1330" s="44"/>
      <c r="AS1330" s="44"/>
      <c r="AT1330" s="44"/>
      <c r="AU1330" s="45"/>
      <c r="AV1330" s="44"/>
      <c r="AW1330" s="38"/>
      <c r="AX1330" s="44"/>
      <c r="AY1330" s="38"/>
      <c r="AZ1330" s="44"/>
      <c r="BA1330" s="45"/>
      <c r="BB1330" s="44"/>
      <c r="BC1330" s="45"/>
      <c r="BD1330" s="44"/>
      <c r="BE1330" s="38"/>
      <c r="BF1330" s="36"/>
      <c r="BG1330" s="16"/>
      <c r="BH1330" s="16"/>
      <c r="BI1330" s="16"/>
      <c r="BJ1330" s="16"/>
      <c r="BK1330" s="16"/>
      <c r="BL1330" s="16"/>
      <c r="BM1330" s="16"/>
      <c r="BN1330" s="16"/>
      <c r="BO1330" s="16"/>
      <c r="BP1330" s="16"/>
      <c r="BQ1330" s="16"/>
      <c r="BR1330" s="16"/>
      <c r="BS1330" s="16"/>
      <c r="BT1330" s="16"/>
      <c r="BU1330" s="16"/>
      <c r="BV1330" s="16"/>
      <c r="BW1330" s="16"/>
      <c r="BX1330" s="16"/>
      <c r="BY1330" s="16"/>
      <c r="BZ1330" s="16"/>
      <c r="CA1330" s="16"/>
      <c r="CB1330" s="16"/>
      <c r="CC1330" s="16"/>
      <c r="CD1330" s="16"/>
      <c r="CE1330" s="16"/>
      <c r="CF1330" s="16"/>
      <c r="CG1330" s="16"/>
      <c r="CH1330" s="16"/>
      <c r="CI1330" s="16"/>
      <c r="CJ1330" s="16"/>
      <c r="CK1330" s="16"/>
      <c r="CL1330" s="16"/>
      <c r="CM1330" s="16"/>
      <c r="CN1330" s="16"/>
      <c r="CO1330" s="16"/>
      <c r="CP1330" s="16"/>
    </row>
    <row r="1331" ht="15.75" customHeight="1">
      <c r="A1331" s="1635" t="s">
        <v>6281</v>
      </c>
      <c r="B1331" s="16"/>
      <c r="C1331" s="17" t="s">
        <v>123</v>
      </c>
      <c r="D1331" s="236" t="s">
        <v>6282</v>
      </c>
      <c r="E1331" s="385"/>
      <c r="F1331" s="803" t="s">
        <v>6283</v>
      </c>
      <c r="G1331" s="810"/>
      <c r="H1331" s="22"/>
      <c r="I1331" s="23"/>
      <c r="J1331" s="24"/>
      <c r="K1331" s="74"/>
      <c r="L1331" s="23"/>
      <c r="M1331" s="25">
        <f t="shared" si="789"/>
        <v>2025</v>
      </c>
      <c r="N1331" s="26">
        <f t="shared" si="790"/>
        <v>0</v>
      </c>
      <c r="O1331" s="27" t="str">
        <f t="shared" si="3"/>
        <v>#N/A</v>
      </c>
      <c r="P1331" s="28"/>
      <c r="Q1331" s="28"/>
      <c r="R1331" s="28"/>
      <c r="S1331" s="28"/>
      <c r="T1331" s="29">
        <f t="shared" si="791"/>
        <v>0</v>
      </c>
      <c r="U1331" s="28"/>
      <c r="V1331" s="30">
        <f t="shared" si="425"/>
        <v>0</v>
      </c>
      <c r="W1331" s="30"/>
      <c r="X1331" s="32"/>
      <c r="Y1331" s="33" t="str">
        <f t="shared" si="792"/>
        <v>#DIV/0!</v>
      </c>
      <c r="Z1331" s="692"/>
      <c r="AA1331" s="665"/>
      <c r="AB1331" s="36"/>
      <c r="AC1331" s="36"/>
      <c r="AD1331" s="44"/>
      <c r="AE1331" s="46"/>
      <c r="AF1331" s="39"/>
      <c r="AG1331" s="46"/>
      <c r="AH1331" s="36"/>
      <c r="AI1331" s="159"/>
      <c r="AJ1331" s="44"/>
      <c r="AK1331" s="46"/>
      <c r="AL1331" s="44"/>
      <c r="AM1331" s="46"/>
      <c r="AN1331" s="44"/>
      <c r="AO1331" s="46"/>
      <c r="AP1331" s="44"/>
      <c r="AQ1331" s="46"/>
      <c r="AR1331" s="44"/>
      <c r="AS1331" s="44"/>
      <c r="AT1331" s="44"/>
      <c r="AU1331" s="45"/>
      <c r="AV1331" s="44"/>
      <c r="AW1331" s="38"/>
      <c r="AX1331" s="44"/>
      <c r="AY1331" s="38"/>
      <c r="AZ1331" s="44"/>
      <c r="BA1331" s="45"/>
      <c r="BB1331" s="44"/>
      <c r="BC1331" s="45"/>
      <c r="BD1331" s="44"/>
      <c r="BE1331" s="38"/>
      <c r="BF1331" s="36"/>
      <c r="BG1331" s="16"/>
      <c r="BH1331" s="16"/>
      <c r="BI1331" s="16"/>
      <c r="BJ1331" s="16"/>
      <c r="BK1331" s="16"/>
      <c r="BL1331" s="16"/>
      <c r="BM1331" s="16"/>
      <c r="BN1331" s="16"/>
      <c r="BO1331" s="16"/>
      <c r="BP1331" s="16"/>
      <c r="BQ1331" s="16"/>
      <c r="BR1331" s="16"/>
      <c r="BS1331" s="16"/>
      <c r="BT1331" s="16"/>
      <c r="BU1331" s="16"/>
      <c r="BV1331" s="16"/>
      <c r="BW1331" s="16"/>
      <c r="BX1331" s="16"/>
      <c r="BY1331" s="16"/>
      <c r="BZ1331" s="16"/>
      <c r="CA1331" s="16"/>
      <c r="CB1331" s="16"/>
      <c r="CC1331" s="16"/>
      <c r="CD1331" s="16"/>
      <c r="CE1331" s="16"/>
      <c r="CF1331" s="16"/>
      <c r="CG1331" s="16"/>
      <c r="CH1331" s="16"/>
      <c r="CI1331" s="16"/>
      <c r="CJ1331" s="16"/>
      <c r="CK1331" s="16"/>
      <c r="CL1331" s="16"/>
      <c r="CM1331" s="16"/>
      <c r="CN1331" s="16"/>
      <c r="CO1331" s="16"/>
      <c r="CP1331" s="16"/>
    </row>
    <row r="1332" ht="15.75" customHeight="1">
      <c r="A1332" s="1579" t="s">
        <v>6284</v>
      </c>
      <c r="B1332" s="1490"/>
      <c r="C1332" s="1490"/>
      <c r="D1332" s="1636"/>
      <c r="E1332" s="767" t="s">
        <v>6285</v>
      </c>
      <c r="F1332" s="1344" t="s">
        <v>6286</v>
      </c>
      <c r="G1332" s="1626"/>
      <c r="H1332" s="1583" t="s">
        <v>1446</v>
      </c>
      <c r="I1332" s="1586"/>
      <c r="J1332" s="1585"/>
      <c r="K1332" s="1586"/>
      <c r="L1332" s="1584"/>
      <c r="M1332" s="25">
        <f t="shared" si="789"/>
        <v>2025</v>
      </c>
      <c r="N1332" s="26">
        <f t="shared" si="790"/>
        <v>0</v>
      </c>
      <c r="O1332" s="27" t="str">
        <f t="shared" si="3"/>
        <v>#N/A</v>
      </c>
      <c r="P1332" s="28"/>
      <c r="Q1332" s="28"/>
      <c r="R1332" s="28"/>
      <c r="S1332" s="28"/>
      <c r="T1332" s="29">
        <f t="shared" si="791"/>
        <v>0</v>
      </c>
      <c r="U1332" s="28"/>
      <c r="V1332" s="30">
        <f t="shared" si="425"/>
        <v>0</v>
      </c>
      <c r="W1332" s="30"/>
      <c r="X1332" s="1587"/>
      <c r="Y1332" s="33" t="str">
        <f t="shared" si="792"/>
        <v>#DIV/0!</v>
      </c>
      <c r="Z1332" s="692"/>
      <c r="AA1332" s="665"/>
      <c r="AB1332" s="1586"/>
      <c r="AC1332" s="1586"/>
      <c r="AD1332" s="1588"/>
      <c r="AE1332" s="1589"/>
      <c r="AF1332" s="1590"/>
      <c r="AG1332" s="1589"/>
      <c r="AH1332" s="1586"/>
      <c r="AI1332" s="1627"/>
      <c r="AJ1332" s="1588"/>
      <c r="AK1332" s="1589"/>
      <c r="AL1332" s="1588"/>
      <c r="AM1332" s="1589"/>
      <c r="AN1332" s="1588"/>
      <c r="AO1332" s="1589"/>
      <c r="AP1332" s="1588"/>
      <c r="AQ1332" s="1589"/>
      <c r="AR1332" s="1588"/>
      <c r="AS1332" s="1588"/>
      <c r="AT1332" s="1588"/>
      <c r="AU1332" s="30"/>
      <c r="AV1332" s="1588"/>
      <c r="AW1332" s="38"/>
      <c r="AX1332" s="1588"/>
      <c r="AY1332" s="38"/>
      <c r="AZ1332" s="1588"/>
      <c r="BA1332" s="30"/>
      <c r="BB1332" s="1588"/>
      <c r="BC1332" s="30"/>
      <c r="BD1332" s="1588"/>
      <c r="BE1332" s="38"/>
      <c r="BF1332" s="1586"/>
      <c r="BG1332" s="534"/>
      <c r="BH1332" s="534"/>
      <c r="BI1332" s="534"/>
      <c r="BJ1332" s="534"/>
      <c r="BK1332" s="534"/>
      <c r="BL1332" s="534"/>
      <c r="BM1332" s="534"/>
      <c r="BN1332" s="534"/>
      <c r="BO1332" s="534"/>
      <c r="BP1332" s="534"/>
      <c r="BQ1332" s="534"/>
      <c r="BR1332" s="534"/>
      <c r="BS1332" s="534"/>
      <c r="BT1332" s="534"/>
      <c r="BU1332" s="534"/>
      <c r="BV1332" s="534"/>
      <c r="BW1332" s="534"/>
      <c r="BX1332" s="534"/>
      <c r="BY1332" s="534"/>
      <c r="BZ1332" s="534"/>
      <c r="CA1332" s="534"/>
      <c r="CB1332" s="534"/>
      <c r="CC1332" s="534"/>
      <c r="CD1332" s="534"/>
      <c r="CE1332" s="534"/>
      <c r="CF1332" s="534"/>
      <c r="CG1332" s="534"/>
      <c r="CH1332" s="534"/>
      <c r="CI1332" s="534"/>
      <c r="CJ1332" s="534"/>
      <c r="CK1332" s="534"/>
      <c r="CL1332" s="534"/>
      <c r="CM1332" s="534"/>
      <c r="CN1332" s="534"/>
      <c r="CO1332" s="534"/>
      <c r="CP1332" s="534"/>
    </row>
    <row r="1333" ht="15.75" customHeight="1">
      <c r="A1333" s="442" t="s">
        <v>6287</v>
      </c>
      <c r="B1333" s="16" t="s">
        <v>2234</v>
      </c>
      <c r="C1333" s="16" t="s">
        <v>59</v>
      </c>
      <c r="D1333" s="337"/>
      <c r="E1333" s="236" t="s">
        <v>6288</v>
      </c>
      <c r="F1333" s="185" t="s">
        <v>6289</v>
      </c>
      <c r="G1333" s="317" t="s">
        <v>6290</v>
      </c>
      <c r="H1333" s="317" t="s">
        <v>6291</v>
      </c>
      <c r="I1333" s="36" t="s">
        <v>4391</v>
      </c>
      <c r="J1333" s="237" t="s">
        <v>6292</v>
      </c>
      <c r="K1333" s="36" t="s">
        <v>723</v>
      </c>
      <c r="L1333" s="23">
        <v>2011.0</v>
      </c>
      <c r="M1333" s="25">
        <f t="shared" si="789"/>
        <v>14</v>
      </c>
      <c r="N1333" s="26">
        <f t="shared" si="790"/>
        <v>0</v>
      </c>
      <c r="O1333" s="27" t="str">
        <f t="shared" si="3"/>
        <v>#N/A</v>
      </c>
      <c r="P1333" s="28"/>
      <c r="Q1333" s="28"/>
      <c r="R1333" s="28"/>
      <c r="S1333" s="28"/>
      <c r="T1333" s="29">
        <f t="shared" si="791"/>
        <v>0</v>
      </c>
      <c r="U1333" s="28"/>
      <c r="V1333" s="30">
        <f t="shared" si="425"/>
        <v>0</v>
      </c>
      <c r="W1333" s="30"/>
      <c r="X1333" s="847"/>
      <c r="Y1333" s="33" t="str">
        <f t="shared" si="792"/>
        <v>#DIV/0!</v>
      </c>
      <c r="Z1333" s="692"/>
      <c r="AA1333" s="665"/>
      <c r="AB1333" s="36"/>
      <c r="AC1333" s="36"/>
      <c r="AD1333" s="44"/>
      <c r="AE1333" s="46"/>
      <c r="AF1333" s="39"/>
      <c r="AG1333" s="46"/>
      <c r="AH1333" s="36"/>
      <c r="AI1333" s="159"/>
      <c r="AJ1333" s="44"/>
      <c r="AK1333" s="46"/>
      <c r="AL1333" s="44"/>
      <c r="AM1333" s="46"/>
      <c r="AN1333" s="44"/>
      <c r="AO1333" s="46"/>
      <c r="AP1333" s="44"/>
      <c r="AQ1333" s="46"/>
      <c r="AR1333" s="44"/>
      <c r="AS1333" s="44"/>
      <c r="AT1333" s="44"/>
      <c r="AU1333" s="45"/>
      <c r="AV1333" s="44"/>
      <c r="AW1333" s="38"/>
      <c r="AX1333" s="44"/>
      <c r="AY1333" s="38"/>
      <c r="AZ1333" s="44"/>
      <c r="BA1333" s="45"/>
      <c r="BB1333" s="44"/>
      <c r="BC1333" s="45"/>
      <c r="BD1333" s="44"/>
      <c r="BE1333" s="38"/>
      <c r="BF1333" s="36"/>
      <c r="BG1333" s="16"/>
      <c r="BH1333" s="16"/>
      <c r="BI1333" s="16"/>
      <c r="BJ1333" s="16"/>
      <c r="BK1333" s="16"/>
      <c r="BL1333" s="16"/>
      <c r="BM1333" s="16"/>
      <c r="BN1333" s="16"/>
      <c r="BO1333" s="16"/>
      <c r="BP1333" s="16"/>
      <c r="BQ1333" s="16"/>
      <c r="BR1333" s="16"/>
      <c r="BS1333" s="16"/>
      <c r="BT1333" s="16"/>
      <c r="BU1333" s="16"/>
      <c r="BV1333" s="16"/>
      <c r="BW1333" s="16"/>
      <c r="BX1333" s="16"/>
      <c r="BY1333" s="16"/>
      <c r="BZ1333" s="16"/>
      <c r="CA1333" s="16"/>
      <c r="CB1333" s="16"/>
      <c r="CC1333" s="16"/>
      <c r="CD1333" s="16"/>
      <c r="CE1333" s="16"/>
      <c r="CF1333" s="16"/>
      <c r="CG1333" s="16"/>
      <c r="CH1333" s="16"/>
      <c r="CI1333" s="16"/>
      <c r="CJ1333" s="16"/>
      <c r="CK1333" s="16"/>
      <c r="CL1333" s="16"/>
      <c r="CM1333" s="16"/>
      <c r="CN1333" s="16"/>
      <c r="CO1333" s="16"/>
      <c r="CP1333" s="16"/>
    </row>
    <row r="1334" ht="15.75" customHeight="1">
      <c r="A1334" s="1637" t="s">
        <v>6293</v>
      </c>
      <c r="B1334" s="66"/>
      <c r="C1334" s="1390" t="s">
        <v>123</v>
      </c>
      <c r="D1334" s="1391"/>
      <c r="E1334" s="1391"/>
      <c r="F1334" s="1621" t="s">
        <v>6294</v>
      </c>
      <c r="G1334" s="1394"/>
      <c r="H1334" s="1394"/>
      <c r="I1334" s="1161"/>
      <c r="J1334" s="1396"/>
      <c r="K1334" s="1161"/>
      <c r="L1334" s="1284"/>
      <c r="M1334" s="25">
        <f t="shared" si="789"/>
        <v>2025</v>
      </c>
      <c r="N1334" s="26">
        <f t="shared" si="790"/>
        <v>0</v>
      </c>
      <c r="O1334" s="27" t="str">
        <f t="shared" si="3"/>
        <v>#N/A</v>
      </c>
      <c r="P1334" s="28"/>
      <c r="Q1334" s="28"/>
      <c r="R1334" s="28"/>
      <c r="S1334" s="28"/>
      <c r="T1334" s="29">
        <f t="shared" si="791"/>
        <v>0</v>
      </c>
      <c r="U1334" s="28"/>
      <c r="V1334" s="30">
        <f t="shared" si="425"/>
        <v>0</v>
      </c>
      <c r="W1334" s="30"/>
      <c r="X1334" s="1573"/>
      <c r="Y1334" s="33" t="str">
        <f t="shared" si="792"/>
        <v>#DIV/0!</v>
      </c>
      <c r="Z1334" s="692"/>
      <c r="AA1334" s="665"/>
      <c r="AB1334" s="1161"/>
      <c r="AC1334" s="1161"/>
      <c r="AD1334" s="1158"/>
      <c r="AE1334" s="1159"/>
      <c r="AF1334" s="1609"/>
      <c r="AG1334" s="1288"/>
      <c r="AH1334" s="1161"/>
      <c r="AI1334" s="1630"/>
      <c r="AJ1334" s="1158"/>
      <c r="AK1334" s="1159"/>
      <c r="AL1334" s="1158"/>
      <c r="AM1334" s="1159"/>
      <c r="AN1334" s="1158"/>
      <c r="AO1334" s="1159"/>
      <c r="AP1334" s="1158"/>
      <c r="AQ1334" s="1159"/>
      <c r="AR1334" s="1158"/>
      <c r="AS1334" s="1158"/>
      <c r="AT1334" s="1158"/>
      <c r="AU1334" s="1160"/>
      <c r="AV1334" s="1158"/>
      <c r="AW1334" s="38"/>
      <c r="AX1334" s="1158"/>
      <c r="AY1334" s="38"/>
      <c r="AZ1334" s="1158"/>
      <c r="BA1334" s="1160"/>
      <c r="BB1334" s="1158"/>
      <c r="BC1334" s="1160"/>
      <c r="BD1334" s="1158"/>
      <c r="BE1334" s="38"/>
      <c r="BF1334" s="1161"/>
      <c r="BG1334" s="534"/>
      <c r="BH1334" s="534"/>
      <c r="BI1334" s="534"/>
      <c r="BJ1334" s="534"/>
      <c r="BK1334" s="534"/>
      <c r="BL1334" s="534"/>
      <c r="BM1334" s="534"/>
      <c r="BN1334" s="534"/>
      <c r="BO1334" s="534"/>
      <c r="BP1334" s="534"/>
      <c r="BQ1334" s="534"/>
      <c r="BR1334" s="534"/>
      <c r="BS1334" s="534"/>
      <c r="BT1334" s="534"/>
      <c r="BU1334" s="534"/>
      <c r="BV1334" s="534"/>
      <c r="BW1334" s="534"/>
      <c r="BX1334" s="534"/>
      <c r="BY1334" s="534"/>
      <c r="BZ1334" s="534"/>
      <c r="CA1334" s="534"/>
      <c r="CB1334" s="534"/>
      <c r="CC1334" s="534"/>
      <c r="CD1334" s="534"/>
      <c r="CE1334" s="534"/>
      <c r="CF1334" s="534"/>
      <c r="CG1334" s="534"/>
      <c r="CH1334" s="534"/>
      <c r="CI1334" s="534"/>
      <c r="CJ1334" s="534"/>
      <c r="CK1334" s="534"/>
      <c r="CL1334" s="534"/>
      <c r="CM1334" s="534"/>
      <c r="CN1334" s="534"/>
      <c r="CO1334" s="534"/>
      <c r="CP1334" s="534"/>
    </row>
    <row r="1335" ht="15.75" customHeight="1">
      <c r="A1335" s="462" t="s">
        <v>6295</v>
      </c>
      <c r="B1335" s="16"/>
      <c r="C1335" s="17" t="s">
        <v>123</v>
      </c>
      <c r="D1335" s="337"/>
      <c r="E1335" s="236" t="s">
        <v>6296</v>
      </c>
      <c r="F1335" s="803" t="s">
        <v>6297</v>
      </c>
      <c r="G1335" s="317"/>
      <c r="H1335" s="317"/>
      <c r="I1335" s="36"/>
      <c r="J1335" s="237"/>
      <c r="K1335" s="36"/>
      <c r="L1335" s="23"/>
      <c r="M1335" s="25">
        <f t="shared" si="789"/>
        <v>2025</v>
      </c>
      <c r="N1335" s="26">
        <f t="shared" si="790"/>
        <v>0</v>
      </c>
      <c r="O1335" s="27" t="str">
        <f t="shared" si="3"/>
        <v>#N/A</v>
      </c>
      <c r="P1335" s="28"/>
      <c r="Q1335" s="28"/>
      <c r="R1335" s="28"/>
      <c r="S1335" s="28"/>
      <c r="T1335" s="29">
        <f t="shared" si="791"/>
        <v>0</v>
      </c>
      <c r="U1335" s="28"/>
      <c r="V1335" s="30">
        <f t="shared" si="425"/>
        <v>0</v>
      </c>
      <c r="W1335" s="30"/>
      <c r="X1335" s="847"/>
      <c r="Y1335" s="33" t="str">
        <f t="shared" si="792"/>
        <v>#DIV/0!</v>
      </c>
      <c r="Z1335" s="692"/>
      <c r="AA1335" s="665"/>
      <c r="AB1335" s="36"/>
      <c r="AC1335" s="36"/>
      <c r="AD1335" s="44"/>
      <c r="AE1335" s="46"/>
      <c r="AF1335" s="39"/>
      <c r="AG1335" s="38"/>
      <c r="AH1335" s="36"/>
      <c r="AI1335" s="159"/>
      <c r="AJ1335" s="44"/>
      <c r="AK1335" s="46"/>
      <c r="AL1335" s="44"/>
      <c r="AM1335" s="46"/>
      <c r="AN1335" s="44"/>
      <c r="AO1335" s="46"/>
      <c r="AP1335" s="44"/>
      <c r="AQ1335" s="46"/>
      <c r="AR1335" s="44"/>
      <c r="AS1335" s="44"/>
      <c r="AT1335" s="44"/>
      <c r="AU1335" s="45"/>
      <c r="AV1335" s="44"/>
      <c r="AW1335" s="38"/>
      <c r="AX1335" s="44"/>
      <c r="AY1335" s="38"/>
      <c r="AZ1335" s="44"/>
      <c r="BA1335" s="45"/>
      <c r="BB1335" s="44"/>
      <c r="BC1335" s="45"/>
      <c r="BD1335" s="44"/>
      <c r="BE1335" s="38"/>
      <c r="BF1335" s="36"/>
      <c r="BG1335" s="534"/>
      <c r="BH1335" s="534"/>
      <c r="BI1335" s="534"/>
      <c r="BJ1335" s="534"/>
      <c r="BK1335" s="534"/>
      <c r="BL1335" s="534"/>
      <c r="BM1335" s="534"/>
      <c r="BN1335" s="534"/>
      <c r="BO1335" s="534"/>
      <c r="BP1335" s="534"/>
      <c r="BQ1335" s="534"/>
      <c r="BR1335" s="534"/>
      <c r="BS1335" s="534"/>
      <c r="BT1335" s="534"/>
      <c r="BU1335" s="534"/>
      <c r="BV1335" s="534"/>
      <c r="BW1335" s="534"/>
      <c r="BX1335" s="534"/>
      <c r="BY1335" s="534"/>
      <c r="BZ1335" s="534"/>
      <c r="CA1335" s="534"/>
      <c r="CB1335" s="534"/>
      <c r="CC1335" s="534"/>
      <c r="CD1335" s="534"/>
      <c r="CE1335" s="534"/>
      <c r="CF1335" s="534"/>
      <c r="CG1335" s="534"/>
      <c r="CH1335" s="534"/>
      <c r="CI1335" s="534"/>
      <c r="CJ1335" s="534"/>
      <c r="CK1335" s="534"/>
      <c r="CL1335" s="534"/>
      <c r="CM1335" s="534"/>
      <c r="CN1335" s="534"/>
      <c r="CO1335" s="534"/>
      <c r="CP1335" s="534"/>
    </row>
    <row r="1336" ht="15.75" customHeight="1">
      <c r="A1336" s="1162" t="s">
        <v>6298</v>
      </c>
      <c r="B1336" s="16"/>
      <c r="C1336" s="17" t="s">
        <v>123</v>
      </c>
      <c r="D1336" s="236" t="s">
        <v>6299</v>
      </c>
      <c r="E1336" s="236" t="s">
        <v>6300</v>
      </c>
      <c r="F1336" s="803" t="s">
        <v>6301</v>
      </c>
      <c r="G1336" s="317"/>
      <c r="H1336" s="22" t="s">
        <v>716</v>
      </c>
      <c r="I1336" s="23" t="s">
        <v>717</v>
      </c>
      <c r="J1336" s="237"/>
      <c r="K1336" s="36"/>
      <c r="L1336" s="23">
        <v>2018.0</v>
      </c>
      <c r="M1336" s="25">
        <f t="shared" si="789"/>
        <v>7</v>
      </c>
      <c r="N1336" s="26">
        <f t="shared" si="790"/>
        <v>0</v>
      </c>
      <c r="O1336" s="27" t="str">
        <f t="shared" si="3"/>
        <v>#N/A</v>
      </c>
      <c r="P1336" s="28"/>
      <c r="Q1336" s="28"/>
      <c r="R1336" s="28"/>
      <c r="S1336" s="28"/>
      <c r="T1336" s="29">
        <f t="shared" si="791"/>
        <v>0</v>
      </c>
      <c r="U1336" s="28"/>
      <c r="V1336" s="30">
        <f t="shared" si="425"/>
        <v>0</v>
      </c>
      <c r="W1336" s="30"/>
      <c r="X1336" s="847"/>
      <c r="Y1336" s="33" t="str">
        <f t="shared" si="792"/>
        <v>#DIV/0!</v>
      </c>
      <c r="Z1336" s="692"/>
      <c r="AA1336" s="665"/>
      <c r="AB1336" s="36"/>
      <c r="AC1336" s="36"/>
      <c r="AD1336" s="44"/>
      <c r="AE1336" s="46"/>
      <c r="AF1336" s="39"/>
      <c r="AG1336" s="38"/>
      <c r="AH1336" s="36"/>
      <c r="AI1336" s="159"/>
      <c r="AJ1336" s="44"/>
      <c r="AK1336" s="46"/>
      <c r="AL1336" s="44"/>
      <c r="AM1336" s="46"/>
      <c r="AN1336" s="44"/>
      <c r="AO1336" s="46"/>
      <c r="AP1336" s="44"/>
      <c r="AQ1336" s="46"/>
      <c r="AR1336" s="44"/>
      <c r="AS1336" s="44"/>
      <c r="AT1336" s="44"/>
      <c r="AU1336" s="45"/>
      <c r="AV1336" s="44"/>
      <c r="AW1336" s="38"/>
      <c r="AX1336" s="44"/>
      <c r="AY1336" s="38"/>
      <c r="AZ1336" s="44"/>
      <c r="BA1336" s="45"/>
      <c r="BB1336" s="44"/>
      <c r="BC1336" s="45"/>
      <c r="BD1336" s="44"/>
      <c r="BE1336" s="38"/>
      <c r="BF1336" s="36"/>
      <c r="BG1336" s="16"/>
      <c r="BH1336" s="16"/>
      <c r="BI1336" s="16"/>
      <c r="BJ1336" s="16"/>
      <c r="BK1336" s="16"/>
      <c r="BL1336" s="16"/>
      <c r="BM1336" s="16"/>
      <c r="BN1336" s="16"/>
      <c r="BO1336" s="16"/>
      <c r="BP1336" s="16"/>
      <c r="BQ1336" s="16"/>
      <c r="BR1336" s="16"/>
      <c r="BS1336" s="16"/>
      <c r="BT1336" s="16"/>
      <c r="BU1336" s="16"/>
      <c r="BV1336" s="16"/>
      <c r="BW1336" s="16"/>
      <c r="BX1336" s="16"/>
      <c r="BY1336" s="16"/>
      <c r="BZ1336" s="16"/>
      <c r="CA1336" s="16"/>
      <c r="CB1336" s="16"/>
      <c r="CC1336" s="16"/>
      <c r="CD1336" s="16"/>
      <c r="CE1336" s="16"/>
      <c r="CF1336" s="16"/>
      <c r="CG1336" s="16"/>
      <c r="CH1336" s="16"/>
      <c r="CI1336" s="16"/>
      <c r="CJ1336" s="16"/>
      <c r="CK1336" s="16"/>
      <c r="CL1336" s="16"/>
      <c r="CM1336" s="16"/>
      <c r="CN1336" s="16"/>
      <c r="CO1336" s="16"/>
      <c r="CP1336" s="16"/>
    </row>
    <row r="1337" ht="15.75" customHeight="1">
      <c r="A1337" s="245" t="s">
        <v>6302</v>
      </c>
      <c r="B1337" s="17" t="s">
        <v>6303</v>
      </c>
      <c r="C1337" s="17" t="s">
        <v>123</v>
      </c>
      <c r="D1337" s="245"/>
      <c r="E1337" s="245"/>
      <c r="F1337" s="803" t="s">
        <v>6304</v>
      </c>
      <c r="G1337" s="317"/>
      <c r="H1337" s="22" t="s">
        <v>357</v>
      </c>
      <c r="I1337" s="23" t="s">
        <v>358</v>
      </c>
      <c r="J1337" s="237"/>
      <c r="K1337" s="36"/>
      <c r="L1337" s="23"/>
      <c r="M1337" s="25">
        <f t="shared" si="789"/>
        <v>2025</v>
      </c>
      <c r="N1337" s="26">
        <f t="shared" si="790"/>
        <v>0</v>
      </c>
      <c r="O1337" s="27" t="str">
        <f t="shared" si="3"/>
        <v>#N/A</v>
      </c>
      <c r="P1337" s="28"/>
      <c r="Q1337" s="28"/>
      <c r="R1337" s="28"/>
      <c r="S1337" s="28"/>
      <c r="T1337" s="29">
        <f t="shared" si="791"/>
        <v>0</v>
      </c>
      <c r="U1337" s="28"/>
      <c r="V1337" s="30">
        <f t="shared" si="425"/>
        <v>0</v>
      </c>
      <c r="W1337" s="30"/>
      <c r="X1337" s="847"/>
      <c r="Y1337" s="33" t="str">
        <f t="shared" si="792"/>
        <v>#DIV/0!</v>
      </c>
      <c r="Z1337" s="692"/>
      <c r="AA1337" s="665"/>
      <c r="AB1337" s="36"/>
      <c r="AC1337" s="36"/>
      <c r="AD1337" s="44"/>
      <c r="AE1337" s="46"/>
      <c r="AF1337" s="39"/>
      <c r="AG1337" s="38"/>
      <c r="AH1337" s="36"/>
      <c r="AI1337" s="159"/>
      <c r="AJ1337" s="44"/>
      <c r="AK1337" s="46"/>
      <c r="AL1337" s="44"/>
      <c r="AM1337" s="46"/>
      <c r="AN1337" s="44"/>
      <c r="AO1337" s="46"/>
      <c r="AP1337" s="44"/>
      <c r="AQ1337" s="46"/>
      <c r="AR1337" s="44"/>
      <c r="AS1337" s="44"/>
      <c r="AT1337" s="44"/>
      <c r="AU1337" s="45"/>
      <c r="AV1337" s="44"/>
      <c r="AW1337" s="38"/>
      <c r="AX1337" s="44"/>
      <c r="AY1337" s="38"/>
      <c r="AZ1337" s="44"/>
      <c r="BA1337" s="45"/>
      <c r="BB1337" s="44"/>
      <c r="BC1337" s="45"/>
      <c r="BD1337" s="44"/>
      <c r="BE1337" s="38"/>
      <c r="BF1337" s="36"/>
      <c r="BG1337" s="16"/>
      <c r="BH1337" s="16"/>
      <c r="BI1337" s="16"/>
      <c r="BJ1337" s="16"/>
      <c r="BK1337" s="16"/>
      <c r="BL1337" s="16"/>
      <c r="BM1337" s="16"/>
      <c r="BN1337" s="16"/>
      <c r="BO1337" s="16"/>
      <c r="BP1337" s="16"/>
      <c r="BQ1337" s="16"/>
      <c r="BR1337" s="16"/>
      <c r="BS1337" s="16"/>
      <c r="BT1337" s="16"/>
      <c r="BU1337" s="16"/>
      <c r="BV1337" s="16"/>
      <c r="BW1337" s="16"/>
      <c r="BX1337" s="16"/>
      <c r="BY1337" s="16"/>
      <c r="BZ1337" s="16"/>
      <c r="CA1337" s="16"/>
      <c r="CB1337" s="16"/>
      <c r="CC1337" s="16"/>
      <c r="CD1337" s="16"/>
      <c r="CE1337" s="16"/>
      <c r="CF1337" s="16"/>
      <c r="CG1337" s="16"/>
      <c r="CH1337" s="16"/>
      <c r="CI1337" s="16"/>
      <c r="CJ1337" s="16"/>
      <c r="CK1337" s="16"/>
      <c r="CL1337" s="16"/>
      <c r="CM1337" s="16"/>
      <c r="CN1337" s="16"/>
      <c r="CO1337" s="16"/>
      <c r="CP1337" s="16"/>
    </row>
    <row r="1338" ht="15.75" customHeight="1">
      <c r="A1338" s="21" t="s">
        <v>6305</v>
      </c>
      <c r="B1338" s="16"/>
      <c r="C1338" s="17" t="s">
        <v>6306</v>
      </c>
      <c r="D1338" s="48"/>
      <c r="E1338" s="337"/>
      <c r="F1338" s="173" t="s">
        <v>6307</v>
      </c>
      <c r="G1338" s="317"/>
      <c r="H1338" s="22" t="s">
        <v>357</v>
      </c>
      <c r="I1338" s="23" t="s">
        <v>358</v>
      </c>
      <c r="J1338" s="237"/>
      <c r="K1338" s="36"/>
      <c r="L1338" s="23"/>
      <c r="M1338" s="25">
        <f t="shared" si="789"/>
        <v>2025</v>
      </c>
      <c r="N1338" s="26">
        <f t="shared" si="790"/>
        <v>0</v>
      </c>
      <c r="O1338" s="27" t="str">
        <f t="shared" si="3"/>
        <v>#N/A</v>
      </c>
      <c r="P1338" s="28"/>
      <c r="Q1338" s="28"/>
      <c r="R1338" s="28"/>
      <c r="S1338" s="28"/>
      <c r="T1338" s="29">
        <f t="shared" si="791"/>
        <v>0</v>
      </c>
      <c r="U1338" s="28"/>
      <c r="V1338" s="30">
        <f t="shared" si="425"/>
        <v>0</v>
      </c>
      <c r="W1338" s="30"/>
      <c r="X1338" s="847"/>
      <c r="Y1338" s="33" t="str">
        <f t="shared" si="792"/>
        <v>#DIV/0!</v>
      </c>
      <c r="Z1338" s="692"/>
      <c r="AA1338" s="665"/>
      <c r="AB1338" s="36"/>
      <c r="AC1338" s="36"/>
      <c r="AD1338" s="44"/>
      <c r="AE1338" s="46"/>
      <c r="AF1338" s="39"/>
      <c r="AG1338" s="38"/>
      <c r="AH1338" s="36"/>
      <c r="AI1338" s="159"/>
      <c r="AJ1338" s="44"/>
      <c r="AK1338" s="46"/>
      <c r="AL1338" s="44"/>
      <c r="AM1338" s="46"/>
      <c r="AN1338" s="44"/>
      <c r="AO1338" s="46"/>
      <c r="AP1338" s="44"/>
      <c r="AQ1338" s="46"/>
      <c r="AR1338" s="44"/>
      <c r="AS1338" s="44"/>
      <c r="AT1338" s="44"/>
      <c r="AU1338" s="45"/>
      <c r="AV1338" s="44"/>
      <c r="AW1338" s="38"/>
      <c r="AX1338" s="44"/>
      <c r="AY1338" s="38"/>
      <c r="AZ1338" s="44"/>
      <c r="BA1338" s="45"/>
      <c r="BB1338" s="44"/>
      <c r="BC1338" s="45"/>
      <c r="BD1338" s="44"/>
      <c r="BE1338" s="38"/>
      <c r="BF1338" s="36"/>
      <c r="BG1338" s="16"/>
      <c r="BH1338" s="16"/>
      <c r="BI1338" s="16"/>
      <c r="BJ1338" s="16"/>
      <c r="BK1338" s="16"/>
      <c r="BL1338" s="16"/>
      <c r="BM1338" s="16"/>
      <c r="BN1338" s="16"/>
      <c r="BO1338" s="16"/>
      <c r="BP1338" s="16"/>
      <c r="BQ1338" s="16"/>
      <c r="BR1338" s="16"/>
      <c r="BS1338" s="16"/>
      <c r="BT1338" s="16"/>
      <c r="BU1338" s="16"/>
      <c r="BV1338" s="16"/>
      <c r="BW1338" s="16"/>
      <c r="BX1338" s="16"/>
      <c r="BY1338" s="16"/>
      <c r="BZ1338" s="16"/>
      <c r="CA1338" s="16"/>
      <c r="CB1338" s="16"/>
      <c r="CC1338" s="16"/>
      <c r="CD1338" s="16"/>
      <c r="CE1338" s="16"/>
      <c r="CF1338" s="16"/>
      <c r="CG1338" s="16"/>
      <c r="CH1338" s="16"/>
      <c r="CI1338" s="16"/>
      <c r="CJ1338" s="16"/>
      <c r="CK1338" s="16"/>
      <c r="CL1338" s="16"/>
      <c r="CM1338" s="16"/>
      <c r="CN1338" s="16"/>
      <c r="CO1338" s="16"/>
      <c r="CP1338" s="16"/>
    </row>
    <row r="1339" ht="15.75" customHeight="1">
      <c r="A1339" s="1162" t="s">
        <v>6308</v>
      </c>
      <c r="B1339" s="16"/>
      <c r="C1339" s="17" t="s">
        <v>123</v>
      </c>
      <c r="D1339" s="337"/>
      <c r="E1339" s="236" t="s">
        <v>6309</v>
      </c>
      <c r="F1339" s="803" t="s">
        <v>6310</v>
      </c>
      <c r="G1339" s="317"/>
      <c r="H1339" s="22" t="s">
        <v>64</v>
      </c>
      <c r="I1339" s="23" t="s">
        <v>65</v>
      </c>
      <c r="J1339" s="237"/>
      <c r="K1339" s="23"/>
      <c r="L1339" s="23">
        <v>2017.0</v>
      </c>
      <c r="M1339" s="25">
        <f t="shared" si="789"/>
        <v>8</v>
      </c>
      <c r="N1339" s="26">
        <f t="shared" si="790"/>
        <v>0</v>
      </c>
      <c r="O1339" s="27" t="str">
        <f t="shared" si="3"/>
        <v>#N/A</v>
      </c>
      <c r="P1339" s="28"/>
      <c r="Q1339" s="28"/>
      <c r="R1339" s="28"/>
      <c r="S1339" s="28"/>
      <c r="T1339" s="29">
        <f t="shared" si="791"/>
        <v>0</v>
      </c>
      <c r="U1339" s="28"/>
      <c r="V1339" s="30">
        <f t="shared" si="425"/>
        <v>0</v>
      </c>
      <c r="W1339" s="30"/>
      <c r="X1339" s="33"/>
      <c r="Y1339" s="33" t="str">
        <f t="shared" si="792"/>
        <v>#DIV/0!</v>
      </c>
      <c r="Z1339" s="692"/>
      <c r="AA1339" s="665"/>
      <c r="AB1339" s="36"/>
      <c r="AC1339" s="36"/>
      <c r="AD1339" s="44"/>
      <c r="AE1339" s="46"/>
      <c r="AF1339" s="39"/>
      <c r="AG1339" s="38"/>
      <c r="AH1339" s="36"/>
      <c r="AI1339" s="159"/>
      <c r="AJ1339" s="44"/>
      <c r="AK1339" s="46"/>
      <c r="AL1339" s="44"/>
      <c r="AM1339" s="46"/>
      <c r="AN1339" s="44"/>
      <c r="AO1339" s="46"/>
      <c r="AP1339" s="1138"/>
      <c r="AQ1339" s="38"/>
      <c r="AR1339" s="44"/>
      <c r="AS1339" s="44"/>
      <c r="AT1339" s="44"/>
      <c r="AU1339" s="45"/>
      <c r="AV1339" s="44"/>
      <c r="AW1339" s="38"/>
      <c r="AX1339" s="44"/>
      <c r="AY1339" s="38"/>
      <c r="AZ1339" s="44"/>
      <c r="BA1339" s="45"/>
      <c r="BB1339" s="44"/>
      <c r="BC1339" s="45"/>
      <c r="BD1339" s="44"/>
      <c r="BE1339" s="38"/>
      <c r="BF1339" s="36"/>
      <c r="BG1339" s="16"/>
      <c r="BH1339" s="16"/>
      <c r="BI1339" s="16"/>
      <c r="BJ1339" s="16"/>
      <c r="BK1339" s="16"/>
      <c r="BL1339" s="16"/>
      <c r="BM1339" s="16"/>
      <c r="BN1339" s="16"/>
      <c r="BO1339" s="16"/>
      <c r="BP1339" s="16"/>
      <c r="BQ1339" s="16"/>
      <c r="BR1339" s="16"/>
      <c r="BS1339" s="16"/>
      <c r="BT1339" s="16"/>
      <c r="BU1339" s="16"/>
      <c r="BV1339" s="16"/>
      <c r="BW1339" s="16"/>
      <c r="BX1339" s="16"/>
      <c r="BY1339" s="16"/>
      <c r="BZ1339" s="16"/>
      <c r="CA1339" s="16"/>
      <c r="CB1339" s="16"/>
      <c r="CC1339" s="16"/>
      <c r="CD1339" s="16"/>
      <c r="CE1339" s="16"/>
      <c r="CF1339" s="16"/>
      <c r="CG1339" s="16"/>
      <c r="CH1339" s="16"/>
      <c r="CI1339" s="16"/>
      <c r="CJ1339" s="16"/>
      <c r="CK1339" s="16"/>
      <c r="CL1339" s="16"/>
      <c r="CM1339" s="16"/>
      <c r="CN1339" s="16"/>
      <c r="CO1339" s="16"/>
      <c r="CP1339" s="16"/>
    </row>
    <row r="1340" ht="15.75" customHeight="1">
      <c r="A1340" s="21" t="s">
        <v>6311</v>
      </c>
      <c r="B1340" s="16"/>
      <c r="C1340" s="17" t="s">
        <v>123</v>
      </c>
      <c r="D1340" s="138" t="s">
        <v>6312</v>
      </c>
      <c r="E1340" s="492" t="s">
        <v>6313</v>
      </c>
      <c r="F1340" s="20" t="s">
        <v>6314</v>
      </c>
      <c r="G1340" s="317"/>
      <c r="H1340" s="22" t="s">
        <v>6315</v>
      </c>
      <c r="I1340" s="810" t="s">
        <v>6316</v>
      </c>
      <c r="J1340" s="237"/>
      <c r="K1340" s="23">
        <v>2.0</v>
      </c>
      <c r="L1340" s="23">
        <v>2017.0</v>
      </c>
      <c r="M1340" s="25">
        <f t="shared" si="789"/>
        <v>8</v>
      </c>
      <c r="N1340" s="26">
        <f t="shared" si="790"/>
        <v>0</v>
      </c>
      <c r="O1340" s="27" t="str">
        <f t="shared" si="3"/>
        <v>#N/A</v>
      </c>
      <c r="P1340" s="28"/>
      <c r="Q1340" s="28"/>
      <c r="R1340" s="28"/>
      <c r="S1340" s="28"/>
      <c r="T1340" s="29">
        <f t="shared" si="791"/>
        <v>0</v>
      </c>
      <c r="U1340" s="28"/>
      <c r="V1340" s="30">
        <f t="shared" si="425"/>
        <v>0</v>
      </c>
      <c r="W1340" s="30"/>
      <c r="X1340" s="33"/>
      <c r="Y1340" s="33" t="str">
        <f t="shared" si="792"/>
        <v>#DIV/0!</v>
      </c>
      <c r="Z1340" s="692"/>
      <c r="AA1340" s="665"/>
      <c r="AB1340" s="36"/>
      <c r="AC1340" s="36"/>
      <c r="AD1340" s="44"/>
      <c r="AE1340" s="46"/>
      <c r="AF1340" s="39"/>
      <c r="AG1340" s="38"/>
      <c r="AH1340" s="36"/>
      <c r="AI1340" s="159"/>
      <c r="AJ1340" s="44"/>
      <c r="AK1340" s="46"/>
      <c r="AL1340" s="44"/>
      <c r="AM1340" s="46"/>
      <c r="AN1340" s="44"/>
      <c r="AO1340" s="46"/>
      <c r="AP1340" s="44"/>
      <c r="AQ1340" s="46"/>
      <c r="AR1340" s="44"/>
      <c r="AS1340" s="44"/>
      <c r="AT1340" s="44"/>
      <c r="AU1340" s="45"/>
      <c r="AV1340" s="44"/>
      <c r="AW1340" s="38"/>
      <c r="AX1340" s="44"/>
      <c r="AY1340" s="38"/>
      <c r="AZ1340" s="44"/>
      <c r="BA1340" s="45"/>
      <c r="BB1340" s="44"/>
      <c r="BC1340" s="45"/>
      <c r="BD1340" s="44"/>
      <c r="BE1340" s="38"/>
      <c r="BF1340" s="36"/>
      <c r="BG1340" s="16"/>
      <c r="BH1340" s="16"/>
      <c r="BI1340" s="16"/>
      <c r="BJ1340" s="16"/>
      <c r="BK1340" s="16"/>
      <c r="BL1340" s="16"/>
      <c r="BM1340" s="16"/>
      <c r="BN1340" s="16"/>
      <c r="BO1340" s="16"/>
      <c r="BP1340" s="16"/>
      <c r="BQ1340" s="16"/>
      <c r="BR1340" s="16"/>
      <c r="BS1340" s="16"/>
      <c r="BT1340" s="16"/>
      <c r="BU1340" s="16"/>
      <c r="BV1340" s="16"/>
      <c r="BW1340" s="16"/>
      <c r="BX1340" s="16"/>
      <c r="BY1340" s="16"/>
      <c r="BZ1340" s="16"/>
      <c r="CA1340" s="16"/>
      <c r="CB1340" s="16"/>
      <c r="CC1340" s="16"/>
      <c r="CD1340" s="16"/>
      <c r="CE1340" s="16"/>
      <c r="CF1340" s="16"/>
      <c r="CG1340" s="16"/>
      <c r="CH1340" s="16"/>
      <c r="CI1340" s="16"/>
      <c r="CJ1340" s="16"/>
      <c r="CK1340" s="16"/>
      <c r="CL1340" s="16"/>
      <c r="CM1340" s="16"/>
      <c r="CN1340" s="16"/>
      <c r="CO1340" s="16"/>
      <c r="CP1340" s="16"/>
    </row>
    <row r="1341" ht="15.75" customHeight="1">
      <c r="A1341" s="442" t="s">
        <v>6317</v>
      </c>
      <c r="B1341" s="16" t="s">
        <v>2206</v>
      </c>
      <c r="C1341" s="17" t="s">
        <v>123</v>
      </c>
      <c r="D1341" s="184" t="s">
        <v>6318</v>
      </c>
      <c r="E1341" s="492" t="s">
        <v>6319</v>
      </c>
      <c r="F1341" s="185" t="s">
        <v>6320</v>
      </c>
      <c r="G1341" s="317" t="s">
        <v>6321</v>
      </c>
      <c r="H1341" s="317" t="s">
        <v>771</v>
      </c>
      <c r="I1341" s="23" t="s">
        <v>772</v>
      </c>
      <c r="J1341" s="237"/>
      <c r="K1341" s="36">
        <v>2.0</v>
      </c>
      <c r="L1341" s="23">
        <v>2015.0</v>
      </c>
      <c r="M1341" s="25">
        <f t="shared" si="789"/>
        <v>10</v>
      </c>
      <c r="N1341" s="26">
        <f t="shared" si="790"/>
        <v>0</v>
      </c>
      <c r="O1341" s="27" t="str">
        <f t="shared" si="3"/>
        <v>#N/A</v>
      </c>
      <c r="P1341" s="28"/>
      <c r="Q1341" s="28"/>
      <c r="R1341" s="28"/>
      <c r="S1341" s="28"/>
      <c r="T1341" s="29">
        <f t="shared" si="791"/>
        <v>0</v>
      </c>
      <c r="U1341" s="28"/>
      <c r="V1341" s="30">
        <f t="shared" si="425"/>
        <v>0</v>
      </c>
      <c r="W1341" s="30"/>
      <c r="X1341" s="847"/>
      <c r="Y1341" s="33" t="str">
        <f t="shared" si="792"/>
        <v>#DIV/0!</v>
      </c>
      <c r="Z1341" s="692"/>
      <c r="AA1341" s="665"/>
      <c r="AB1341" s="36"/>
      <c r="AC1341" s="36"/>
      <c r="AD1341" s="44"/>
      <c r="AE1341" s="46"/>
      <c r="AF1341" s="39"/>
      <c r="AG1341" s="38"/>
      <c r="AH1341" s="36"/>
      <c r="AI1341" s="159"/>
      <c r="AJ1341" s="44"/>
      <c r="AK1341" s="46"/>
      <c r="AL1341" s="44"/>
      <c r="AM1341" s="46"/>
      <c r="AN1341" s="44"/>
      <c r="AO1341" s="46"/>
      <c r="AP1341" s="44"/>
      <c r="AQ1341" s="46"/>
      <c r="AR1341" s="44"/>
      <c r="AS1341" s="44"/>
      <c r="AT1341" s="44"/>
      <c r="AU1341" s="45"/>
      <c r="AV1341" s="44"/>
      <c r="AW1341" s="38"/>
      <c r="AX1341" s="44"/>
      <c r="AY1341" s="38"/>
      <c r="AZ1341" s="44"/>
      <c r="BA1341" s="45"/>
      <c r="BB1341" s="44"/>
      <c r="BC1341" s="45"/>
      <c r="BD1341" s="44"/>
      <c r="BE1341" s="38"/>
      <c r="BF1341" s="36"/>
      <c r="BG1341" s="16"/>
      <c r="BH1341" s="16"/>
      <c r="BI1341" s="16"/>
      <c r="BJ1341" s="16"/>
      <c r="BK1341" s="16"/>
      <c r="BL1341" s="16"/>
      <c r="BM1341" s="16"/>
      <c r="BN1341" s="16"/>
      <c r="BO1341" s="16"/>
      <c r="BP1341" s="16"/>
      <c r="BQ1341" s="16"/>
      <c r="BR1341" s="16"/>
      <c r="BS1341" s="16"/>
      <c r="BT1341" s="16"/>
      <c r="BU1341" s="16"/>
      <c r="BV1341" s="16"/>
      <c r="BW1341" s="16"/>
      <c r="BX1341" s="16"/>
      <c r="BY1341" s="16"/>
      <c r="BZ1341" s="16"/>
      <c r="CA1341" s="16"/>
      <c r="CB1341" s="16"/>
      <c r="CC1341" s="16"/>
      <c r="CD1341" s="16"/>
      <c r="CE1341" s="16"/>
      <c r="CF1341" s="16"/>
      <c r="CG1341" s="16"/>
      <c r="CH1341" s="16"/>
      <c r="CI1341" s="16"/>
      <c r="CJ1341" s="16"/>
      <c r="CK1341" s="16"/>
      <c r="CL1341" s="16"/>
      <c r="CM1341" s="16"/>
      <c r="CN1341" s="16"/>
      <c r="CO1341" s="16"/>
      <c r="CP1341" s="16"/>
    </row>
    <row r="1342" ht="15.75" customHeight="1">
      <c r="A1342" s="1162" t="s">
        <v>6322</v>
      </c>
      <c r="B1342" s="16"/>
      <c r="C1342" s="17" t="s">
        <v>6323</v>
      </c>
      <c r="D1342" s="270" t="s">
        <v>6324</v>
      </c>
      <c r="E1342" s="236" t="s">
        <v>6325</v>
      </c>
      <c r="F1342" s="20" t="s">
        <v>6326</v>
      </c>
      <c r="G1342" s="317"/>
      <c r="H1342" s="22" t="s">
        <v>6327</v>
      </c>
      <c r="I1342" s="23" t="s">
        <v>188</v>
      </c>
      <c r="J1342" s="237"/>
      <c r="K1342" s="36"/>
      <c r="L1342" s="23">
        <v>2003.0</v>
      </c>
      <c r="M1342" s="25">
        <f t="shared" si="789"/>
        <v>22</v>
      </c>
      <c r="N1342" s="26">
        <f t="shared" si="790"/>
        <v>0</v>
      </c>
      <c r="O1342" s="27" t="str">
        <f t="shared" si="3"/>
        <v>#N/A</v>
      </c>
      <c r="P1342" s="28"/>
      <c r="Q1342" s="28"/>
      <c r="R1342" s="28"/>
      <c r="S1342" s="28"/>
      <c r="T1342" s="29">
        <f t="shared" si="791"/>
        <v>0</v>
      </c>
      <c r="U1342" s="28"/>
      <c r="V1342" s="30">
        <f t="shared" si="425"/>
        <v>0</v>
      </c>
      <c r="W1342" s="30"/>
      <c r="X1342" s="847"/>
      <c r="Y1342" s="33" t="str">
        <f t="shared" si="792"/>
        <v>#DIV/0!</v>
      </c>
      <c r="Z1342" s="692"/>
      <c r="AA1342" s="665"/>
      <c r="AB1342" s="36"/>
      <c r="AC1342" s="36"/>
      <c r="AD1342" s="44"/>
      <c r="AE1342" s="46"/>
      <c r="AF1342" s="39"/>
      <c r="AG1342" s="46"/>
      <c r="AH1342" s="36"/>
      <c r="AI1342" s="159"/>
      <c r="AJ1342" s="44"/>
      <c r="AK1342" s="46"/>
      <c r="AL1342" s="44"/>
      <c r="AM1342" s="46"/>
      <c r="AN1342" s="44"/>
      <c r="AO1342" s="46"/>
      <c r="AP1342" s="44"/>
      <c r="AQ1342" s="46"/>
      <c r="AR1342" s="44"/>
      <c r="AS1342" s="44"/>
      <c r="AT1342" s="44"/>
      <c r="AU1342" s="45"/>
      <c r="AV1342" s="44"/>
      <c r="AW1342" s="38"/>
      <c r="AX1342" s="44"/>
      <c r="AY1342" s="38"/>
      <c r="AZ1342" s="44"/>
      <c r="BA1342" s="45"/>
      <c r="BB1342" s="44"/>
      <c r="BC1342" s="45"/>
      <c r="BD1342" s="44"/>
      <c r="BE1342" s="38"/>
      <c r="BF1342" s="36"/>
      <c r="BG1342" s="1407"/>
      <c r="BH1342" s="1407"/>
      <c r="BI1342" s="1407"/>
      <c r="BJ1342" s="1407"/>
      <c r="BK1342" s="1407"/>
      <c r="BL1342" s="1407"/>
      <c r="BM1342" s="1407"/>
      <c r="BN1342" s="1407"/>
      <c r="BO1342" s="1407"/>
      <c r="BP1342" s="1407"/>
      <c r="BQ1342" s="1407"/>
      <c r="BR1342" s="1407"/>
      <c r="BS1342" s="1407"/>
      <c r="BT1342" s="1407"/>
      <c r="BU1342" s="1407"/>
      <c r="BV1342" s="1407"/>
      <c r="BW1342" s="1407"/>
      <c r="BX1342" s="1407"/>
      <c r="BY1342" s="1407"/>
      <c r="BZ1342" s="1407"/>
      <c r="CA1342" s="1407"/>
      <c r="CB1342" s="1407"/>
      <c r="CC1342" s="1407"/>
      <c r="CD1342" s="1407"/>
      <c r="CE1342" s="1407"/>
      <c r="CF1342" s="1407"/>
      <c r="CG1342" s="1407"/>
      <c r="CH1342" s="1407"/>
      <c r="CI1342" s="1407"/>
      <c r="CJ1342" s="1407"/>
      <c r="CK1342" s="1407"/>
      <c r="CL1342" s="1407"/>
      <c r="CM1342" s="1407"/>
      <c r="CN1342" s="1407"/>
      <c r="CO1342" s="1407"/>
      <c r="CP1342" s="1407"/>
    </row>
    <row r="1343" ht="15.75" customHeight="1">
      <c r="A1343" s="1579" t="s">
        <v>6328</v>
      </c>
      <c r="B1343" s="1490"/>
      <c r="C1343" s="1490"/>
      <c r="D1343" s="767" t="s">
        <v>6329</v>
      </c>
      <c r="E1343" s="767" t="s">
        <v>6330</v>
      </c>
      <c r="F1343" s="1581" t="s">
        <v>6331</v>
      </c>
      <c r="G1343" s="1626"/>
      <c r="H1343" s="1583"/>
      <c r="I1343" s="1584"/>
      <c r="J1343" s="1638"/>
      <c r="K1343" s="1586"/>
      <c r="L1343" s="1584">
        <v>2013.0</v>
      </c>
      <c r="M1343" s="25">
        <f t="shared" si="789"/>
        <v>12</v>
      </c>
      <c r="N1343" s="26">
        <f t="shared" si="790"/>
        <v>0</v>
      </c>
      <c r="O1343" s="27" t="str">
        <f t="shared" si="3"/>
        <v>#N/A</v>
      </c>
      <c r="P1343" s="28"/>
      <c r="Q1343" s="28"/>
      <c r="R1343" s="28"/>
      <c r="S1343" s="28"/>
      <c r="T1343" s="29">
        <f t="shared" si="791"/>
        <v>0</v>
      </c>
      <c r="U1343" s="28"/>
      <c r="V1343" s="30">
        <f t="shared" si="425"/>
        <v>0</v>
      </c>
      <c r="W1343" s="30"/>
      <c r="X1343" s="1587"/>
      <c r="Y1343" s="33" t="str">
        <f t="shared" si="792"/>
        <v>#DIV/0!</v>
      </c>
      <c r="Z1343" s="692"/>
      <c r="AA1343" s="665"/>
      <c r="AB1343" s="1586"/>
      <c r="AC1343" s="1586"/>
      <c r="AD1343" s="1617"/>
      <c r="AE1343" s="1591"/>
      <c r="AF1343" s="1590"/>
      <c r="AG1343" s="1591"/>
      <c r="AH1343" s="1586"/>
      <c r="AI1343" s="1627"/>
      <c r="AJ1343" s="1639"/>
      <c r="AK1343" s="1591"/>
      <c r="AL1343" s="1588"/>
      <c r="AM1343" s="1589"/>
      <c r="AN1343" s="1588"/>
      <c r="AO1343" s="1589"/>
      <c r="AP1343" s="1588"/>
      <c r="AQ1343" s="1589"/>
      <c r="AR1343" s="1588"/>
      <c r="AS1343" s="1588"/>
      <c r="AT1343" s="1588"/>
      <c r="AU1343" s="30"/>
      <c r="AV1343" s="1588"/>
      <c r="AW1343" s="38"/>
      <c r="AX1343" s="1588"/>
      <c r="AY1343" s="38"/>
      <c r="AZ1343" s="1588"/>
      <c r="BA1343" s="30"/>
      <c r="BB1343" s="1588"/>
      <c r="BC1343" s="30"/>
      <c r="BD1343" s="1588"/>
      <c r="BE1343" s="38"/>
      <c r="BF1343" s="1586"/>
      <c r="BG1343" s="68"/>
      <c r="BH1343" s="68"/>
      <c r="BI1343" s="68"/>
      <c r="BJ1343" s="68"/>
      <c r="BK1343" s="68"/>
      <c r="BL1343" s="68"/>
      <c r="BM1343" s="68"/>
      <c r="BN1343" s="68"/>
      <c r="BO1343" s="68"/>
      <c r="BP1343" s="68"/>
      <c r="BQ1343" s="68"/>
      <c r="BR1343" s="68"/>
      <c r="BS1343" s="68"/>
      <c r="BT1343" s="68"/>
      <c r="BU1343" s="68"/>
      <c r="BV1343" s="68"/>
      <c r="BW1343" s="68"/>
      <c r="BX1343" s="68"/>
      <c r="BY1343" s="68"/>
      <c r="BZ1343" s="68"/>
      <c r="CA1343" s="68"/>
      <c r="CB1343" s="68"/>
      <c r="CC1343" s="68"/>
      <c r="CD1343" s="68"/>
      <c r="CE1343" s="68"/>
      <c r="CF1343" s="68"/>
      <c r="CG1343" s="68"/>
      <c r="CH1343" s="68"/>
      <c r="CI1343" s="68"/>
      <c r="CJ1343" s="68"/>
      <c r="CK1343" s="68"/>
      <c r="CL1343" s="68"/>
      <c r="CM1343" s="68"/>
      <c r="CN1343" s="68"/>
      <c r="CO1343" s="68"/>
      <c r="CP1343" s="68"/>
    </row>
    <row r="1344" ht="15.75" customHeight="1">
      <c r="A1344" s="866" t="s">
        <v>6332</v>
      </c>
      <c r="B1344" s="16"/>
      <c r="C1344" s="17" t="s">
        <v>123</v>
      </c>
      <c r="D1344" s="245"/>
      <c r="E1344" s="236" t="s">
        <v>6333</v>
      </c>
      <c r="F1344" s="803" t="s">
        <v>6334</v>
      </c>
      <c r="G1344" s="317"/>
      <c r="H1344" s="22" t="s">
        <v>6335</v>
      </c>
      <c r="I1344" s="23" t="s">
        <v>6252</v>
      </c>
      <c r="J1344" s="1142"/>
      <c r="K1344" s="36"/>
      <c r="L1344" s="23">
        <v>2004.0</v>
      </c>
      <c r="M1344" s="25">
        <f t="shared" si="789"/>
        <v>21</v>
      </c>
      <c r="N1344" s="26">
        <f t="shared" si="790"/>
        <v>0</v>
      </c>
      <c r="O1344" s="27" t="str">
        <f t="shared" si="3"/>
        <v>#N/A</v>
      </c>
      <c r="P1344" s="28"/>
      <c r="Q1344" s="28"/>
      <c r="R1344" s="28"/>
      <c r="S1344" s="28"/>
      <c r="T1344" s="29">
        <f t="shared" si="791"/>
        <v>0</v>
      </c>
      <c r="U1344" s="28"/>
      <c r="V1344" s="30">
        <f t="shared" si="425"/>
        <v>0</v>
      </c>
      <c r="W1344" s="30"/>
      <c r="X1344" s="847"/>
      <c r="Y1344" s="33" t="str">
        <f t="shared" si="792"/>
        <v>#DIV/0!</v>
      </c>
      <c r="Z1344" s="692"/>
      <c r="AA1344" s="665"/>
      <c r="AB1344" s="36"/>
      <c r="AC1344" s="36"/>
      <c r="AD1344" s="37"/>
      <c r="AE1344" s="38"/>
      <c r="AF1344" s="39"/>
      <c r="AG1344" s="38"/>
      <c r="AH1344" s="36"/>
      <c r="AI1344" s="159"/>
      <c r="AJ1344" s="227"/>
      <c r="AK1344" s="38"/>
      <c r="AL1344" s="44"/>
      <c r="AM1344" s="46"/>
      <c r="AN1344" s="44"/>
      <c r="AO1344" s="46"/>
      <c r="AP1344" s="44"/>
      <c r="AQ1344" s="46"/>
      <c r="AR1344" s="44"/>
      <c r="AS1344" s="44"/>
      <c r="AT1344" s="44"/>
      <c r="AU1344" s="45"/>
      <c r="AV1344" s="44"/>
      <c r="AW1344" s="38"/>
      <c r="AX1344" s="44"/>
      <c r="AY1344" s="38"/>
      <c r="AZ1344" s="44"/>
      <c r="BA1344" s="45"/>
      <c r="BB1344" s="44"/>
      <c r="BC1344" s="45"/>
      <c r="BD1344" s="44"/>
      <c r="BE1344" s="38"/>
      <c r="BF1344" s="36"/>
      <c r="BG1344" s="1407"/>
      <c r="BH1344" s="1407"/>
      <c r="BI1344" s="1407"/>
      <c r="BJ1344" s="1407"/>
      <c r="BK1344" s="1407"/>
      <c r="BL1344" s="1407"/>
      <c r="BM1344" s="1407"/>
      <c r="BN1344" s="1407"/>
      <c r="BO1344" s="1407"/>
      <c r="BP1344" s="1407"/>
      <c r="BQ1344" s="1407"/>
      <c r="BR1344" s="1407"/>
      <c r="BS1344" s="1407"/>
      <c r="BT1344" s="1407"/>
      <c r="BU1344" s="1407"/>
      <c r="BV1344" s="1407"/>
      <c r="BW1344" s="1407"/>
      <c r="BX1344" s="1407"/>
      <c r="BY1344" s="1407"/>
      <c r="BZ1344" s="1407"/>
      <c r="CA1344" s="1407"/>
      <c r="CB1344" s="1407"/>
      <c r="CC1344" s="1407"/>
      <c r="CD1344" s="1407"/>
      <c r="CE1344" s="1407"/>
      <c r="CF1344" s="1407"/>
      <c r="CG1344" s="1407"/>
      <c r="CH1344" s="1407"/>
      <c r="CI1344" s="1407"/>
      <c r="CJ1344" s="1407"/>
      <c r="CK1344" s="1407"/>
      <c r="CL1344" s="1407"/>
      <c r="CM1344" s="1407"/>
      <c r="CN1344" s="1407"/>
      <c r="CO1344" s="1407"/>
      <c r="CP1344" s="1407"/>
    </row>
    <row r="1345" ht="15.75" customHeight="1">
      <c r="A1345" s="1579" t="s">
        <v>6336</v>
      </c>
      <c r="B1345" s="1490"/>
      <c r="C1345" s="1490"/>
      <c r="D1345" s="767" t="s">
        <v>6337</v>
      </c>
      <c r="E1345" s="767" t="s">
        <v>6338</v>
      </c>
      <c r="F1345" s="1581" t="s">
        <v>6339</v>
      </c>
      <c r="G1345" s="1626"/>
      <c r="H1345" s="1583"/>
      <c r="I1345" s="1584"/>
      <c r="J1345" s="1638"/>
      <c r="K1345" s="1586"/>
      <c r="L1345" s="1584"/>
      <c r="M1345" s="25">
        <f t="shared" si="789"/>
        <v>2025</v>
      </c>
      <c r="N1345" s="26">
        <f t="shared" si="790"/>
        <v>0</v>
      </c>
      <c r="O1345" s="27" t="str">
        <f t="shared" si="3"/>
        <v>#N/A</v>
      </c>
      <c r="P1345" s="28"/>
      <c r="Q1345" s="28"/>
      <c r="R1345" s="28"/>
      <c r="S1345" s="28"/>
      <c r="T1345" s="29">
        <f t="shared" si="791"/>
        <v>0</v>
      </c>
      <c r="U1345" s="28"/>
      <c r="V1345" s="30">
        <f t="shared" si="425"/>
        <v>0</v>
      </c>
      <c r="W1345" s="30"/>
      <c r="X1345" s="1587"/>
      <c r="Y1345" s="33" t="str">
        <f t="shared" si="792"/>
        <v>#DIV/0!</v>
      </c>
      <c r="Z1345" s="692"/>
      <c r="AA1345" s="665"/>
      <c r="AB1345" s="1586"/>
      <c r="AC1345" s="1586"/>
      <c r="AD1345" s="1617"/>
      <c r="AE1345" s="1591"/>
      <c r="AF1345" s="1590"/>
      <c r="AG1345" s="1591"/>
      <c r="AH1345" s="1586"/>
      <c r="AI1345" s="1627"/>
      <c r="AJ1345" s="1639"/>
      <c r="AK1345" s="1591"/>
      <c r="AL1345" s="1588"/>
      <c r="AM1345" s="1589"/>
      <c r="AN1345" s="1588"/>
      <c r="AO1345" s="1589"/>
      <c r="AP1345" s="1588"/>
      <c r="AQ1345" s="1589"/>
      <c r="AR1345" s="1588"/>
      <c r="AS1345" s="1588"/>
      <c r="AT1345" s="1588"/>
      <c r="AU1345" s="30"/>
      <c r="AV1345" s="1588"/>
      <c r="AW1345" s="38"/>
      <c r="AX1345" s="1588"/>
      <c r="AY1345" s="38"/>
      <c r="AZ1345" s="1588"/>
      <c r="BA1345" s="30"/>
      <c r="BB1345" s="1588"/>
      <c r="BC1345" s="30"/>
      <c r="BD1345" s="1588"/>
      <c r="BE1345" s="38"/>
      <c r="BF1345" s="1586"/>
      <c r="BG1345" s="1407"/>
      <c r="BH1345" s="1407"/>
      <c r="BI1345" s="1407"/>
      <c r="BJ1345" s="1407"/>
      <c r="BK1345" s="1407"/>
      <c r="BL1345" s="1407"/>
      <c r="BM1345" s="1407"/>
      <c r="BN1345" s="1407"/>
      <c r="BO1345" s="1407"/>
      <c r="BP1345" s="1407"/>
      <c r="BQ1345" s="1407"/>
      <c r="BR1345" s="1407"/>
      <c r="BS1345" s="1407"/>
      <c r="BT1345" s="1407"/>
      <c r="BU1345" s="1407"/>
      <c r="BV1345" s="1407"/>
      <c r="BW1345" s="1407"/>
      <c r="BX1345" s="1407"/>
      <c r="BY1345" s="1407"/>
      <c r="BZ1345" s="1407"/>
      <c r="CA1345" s="1407"/>
      <c r="CB1345" s="1407"/>
      <c r="CC1345" s="1407"/>
      <c r="CD1345" s="1407"/>
      <c r="CE1345" s="1407"/>
      <c r="CF1345" s="1407"/>
      <c r="CG1345" s="1407"/>
      <c r="CH1345" s="1407"/>
      <c r="CI1345" s="1407"/>
      <c r="CJ1345" s="1407"/>
      <c r="CK1345" s="1407"/>
      <c r="CL1345" s="1407"/>
      <c r="CM1345" s="1407"/>
      <c r="CN1345" s="1407"/>
      <c r="CO1345" s="1407"/>
      <c r="CP1345" s="1407"/>
    </row>
    <row r="1346" ht="15.75" customHeight="1">
      <c r="A1346" s="1579" t="s">
        <v>6340</v>
      </c>
      <c r="B1346" s="1490"/>
      <c r="C1346" s="1490"/>
      <c r="D1346" s="767" t="s">
        <v>6341</v>
      </c>
      <c r="E1346" s="1640"/>
      <c r="F1346" s="1581" t="s">
        <v>6342</v>
      </c>
      <c r="G1346" s="1641"/>
      <c r="H1346" s="1626"/>
      <c r="I1346" s="1586"/>
      <c r="J1346" s="1642"/>
      <c r="K1346" s="1584"/>
      <c r="L1346" s="1584"/>
      <c r="M1346" s="25">
        <f t="shared" si="789"/>
        <v>2025</v>
      </c>
      <c r="N1346" s="26">
        <f t="shared" si="790"/>
        <v>0</v>
      </c>
      <c r="O1346" s="27" t="str">
        <f t="shared" si="3"/>
        <v>#N/A</v>
      </c>
      <c r="P1346" s="28"/>
      <c r="Q1346" s="28"/>
      <c r="R1346" s="28"/>
      <c r="S1346" s="28"/>
      <c r="T1346" s="29">
        <f t="shared" si="791"/>
        <v>0</v>
      </c>
      <c r="U1346" s="28"/>
      <c r="V1346" s="30">
        <f t="shared" si="425"/>
        <v>0</v>
      </c>
      <c r="W1346" s="30"/>
      <c r="X1346" s="1616"/>
      <c r="Y1346" s="33" t="str">
        <f t="shared" si="792"/>
        <v>#DIV/0!</v>
      </c>
      <c r="Z1346" s="692"/>
      <c r="AA1346" s="665"/>
      <c r="AB1346" s="1586"/>
      <c r="AC1346" s="1586"/>
      <c r="AD1346" s="1588"/>
      <c r="AE1346" s="1591"/>
      <c r="AF1346" s="1590"/>
      <c r="AG1346" s="1591"/>
      <c r="AH1346" s="1586"/>
      <c r="AI1346" s="1627"/>
      <c r="AJ1346" s="1588"/>
      <c r="AK1346" s="1589"/>
      <c r="AL1346" s="1588"/>
      <c r="AM1346" s="1589"/>
      <c r="AN1346" s="1588"/>
      <c r="AO1346" s="1589"/>
      <c r="AP1346" s="1588"/>
      <c r="AQ1346" s="1589"/>
      <c r="AR1346" s="1588"/>
      <c r="AS1346" s="1588"/>
      <c r="AT1346" s="1588"/>
      <c r="AU1346" s="30"/>
      <c r="AV1346" s="1588"/>
      <c r="AW1346" s="38"/>
      <c r="AX1346" s="1588"/>
      <c r="AY1346" s="38"/>
      <c r="AZ1346" s="1588"/>
      <c r="BA1346" s="30"/>
      <c r="BB1346" s="1588"/>
      <c r="BC1346" s="30"/>
      <c r="BD1346" s="1588"/>
      <c r="BE1346" s="38"/>
      <c r="BF1346" s="1586"/>
      <c r="BG1346" s="68"/>
      <c r="BH1346" s="68"/>
      <c r="BI1346" s="68"/>
      <c r="BJ1346" s="68"/>
      <c r="BK1346" s="68"/>
      <c r="BL1346" s="68"/>
      <c r="BM1346" s="68"/>
      <c r="BN1346" s="68"/>
      <c r="BO1346" s="68"/>
      <c r="BP1346" s="68"/>
      <c r="BQ1346" s="68"/>
      <c r="BR1346" s="68"/>
      <c r="BS1346" s="68"/>
      <c r="BT1346" s="68"/>
      <c r="BU1346" s="68"/>
      <c r="BV1346" s="68"/>
      <c r="BW1346" s="68"/>
      <c r="BX1346" s="68"/>
      <c r="BY1346" s="68"/>
      <c r="BZ1346" s="68"/>
      <c r="CA1346" s="68"/>
      <c r="CB1346" s="68"/>
      <c r="CC1346" s="68"/>
      <c r="CD1346" s="68"/>
      <c r="CE1346" s="68"/>
      <c r="CF1346" s="68"/>
      <c r="CG1346" s="68"/>
      <c r="CH1346" s="68"/>
      <c r="CI1346" s="68"/>
      <c r="CJ1346" s="68"/>
      <c r="CK1346" s="68"/>
      <c r="CL1346" s="68"/>
      <c r="CM1346" s="68"/>
      <c r="CN1346" s="68"/>
      <c r="CO1346" s="68"/>
      <c r="CP1346" s="68"/>
    </row>
    <row r="1347" ht="15.75" customHeight="1">
      <c r="A1347" s="866" t="s">
        <v>6343</v>
      </c>
      <c r="B1347" s="16"/>
      <c r="C1347" s="17" t="s">
        <v>123</v>
      </c>
      <c r="D1347" s="18" t="s">
        <v>6344</v>
      </c>
      <c r="E1347" s="18" t="s">
        <v>6345</v>
      </c>
      <c r="F1347" s="803" t="s">
        <v>6346</v>
      </c>
      <c r="G1347" s="317"/>
      <c r="H1347" s="22" t="s">
        <v>64</v>
      </c>
      <c r="I1347" s="23" t="s">
        <v>65</v>
      </c>
      <c r="J1347" s="237"/>
      <c r="K1347" s="23"/>
      <c r="L1347" s="23">
        <v>2016.0</v>
      </c>
      <c r="M1347" s="25">
        <f t="shared" si="789"/>
        <v>9</v>
      </c>
      <c r="N1347" s="26">
        <f t="shared" si="790"/>
        <v>0</v>
      </c>
      <c r="O1347" s="27" t="str">
        <f t="shared" si="3"/>
        <v>#N/A</v>
      </c>
      <c r="P1347" s="28"/>
      <c r="Q1347" s="28"/>
      <c r="R1347" s="28"/>
      <c r="S1347" s="28"/>
      <c r="T1347" s="29">
        <f t="shared" si="791"/>
        <v>0</v>
      </c>
      <c r="U1347" s="28"/>
      <c r="V1347" s="30">
        <f t="shared" si="425"/>
        <v>0</v>
      </c>
      <c r="W1347" s="30"/>
      <c r="X1347" s="33"/>
      <c r="Y1347" s="33" t="str">
        <f t="shared" si="792"/>
        <v>#DIV/0!</v>
      </c>
      <c r="Z1347" s="692"/>
      <c r="AA1347" s="665"/>
      <c r="AB1347" s="36"/>
      <c r="AC1347" s="36"/>
      <c r="AD1347" s="44"/>
      <c r="AE1347" s="38"/>
      <c r="AF1347" s="39"/>
      <c r="AG1347" s="38"/>
      <c r="AH1347" s="36"/>
      <c r="AI1347" s="159"/>
      <c r="AJ1347" s="44"/>
      <c r="AK1347" s="46"/>
      <c r="AL1347" s="44"/>
      <c r="AM1347" s="46"/>
      <c r="AN1347" s="44"/>
      <c r="AO1347" s="46"/>
      <c r="AP1347" s="44"/>
      <c r="AQ1347" s="46"/>
      <c r="AR1347" s="44"/>
      <c r="AS1347" s="44"/>
      <c r="AT1347" s="44"/>
      <c r="AU1347" s="45"/>
      <c r="AV1347" s="44"/>
      <c r="AW1347" s="38"/>
      <c r="AX1347" s="44"/>
      <c r="AY1347" s="38"/>
      <c r="AZ1347" s="44"/>
      <c r="BA1347" s="45"/>
      <c r="BB1347" s="44"/>
      <c r="BC1347" s="45"/>
      <c r="BD1347" s="44"/>
      <c r="BE1347" s="38"/>
      <c r="BF1347" s="36"/>
      <c r="BG1347" s="68"/>
      <c r="BH1347" s="68"/>
      <c r="BI1347" s="68"/>
      <c r="BJ1347" s="68"/>
      <c r="BK1347" s="68"/>
      <c r="BL1347" s="68"/>
      <c r="BM1347" s="68"/>
      <c r="BN1347" s="68"/>
      <c r="BO1347" s="68"/>
      <c r="BP1347" s="68"/>
      <c r="BQ1347" s="68"/>
      <c r="BR1347" s="68"/>
      <c r="BS1347" s="68"/>
      <c r="BT1347" s="68"/>
      <c r="BU1347" s="68"/>
      <c r="BV1347" s="68"/>
      <c r="BW1347" s="68"/>
      <c r="BX1347" s="68"/>
      <c r="BY1347" s="68"/>
      <c r="BZ1347" s="68"/>
      <c r="CA1347" s="68"/>
      <c r="CB1347" s="68"/>
      <c r="CC1347" s="68"/>
      <c r="CD1347" s="68"/>
      <c r="CE1347" s="68"/>
      <c r="CF1347" s="68"/>
      <c r="CG1347" s="68"/>
      <c r="CH1347" s="68"/>
      <c r="CI1347" s="68"/>
      <c r="CJ1347" s="68"/>
      <c r="CK1347" s="68"/>
      <c r="CL1347" s="68"/>
      <c r="CM1347" s="68"/>
      <c r="CN1347" s="68"/>
      <c r="CO1347" s="68"/>
      <c r="CP1347" s="68"/>
    </row>
    <row r="1348" ht="15.75" customHeight="1">
      <c r="A1348" s="1579" t="s">
        <v>6347</v>
      </c>
      <c r="B1348" s="1490"/>
      <c r="C1348" s="1490"/>
      <c r="D1348" s="1640"/>
      <c r="E1348" s="767" t="s">
        <v>6348</v>
      </c>
      <c r="F1348" s="1581" t="s">
        <v>6349</v>
      </c>
      <c r="G1348" s="1626"/>
      <c r="H1348" s="1583" t="s">
        <v>129</v>
      </c>
      <c r="I1348" s="1584" t="s">
        <v>129</v>
      </c>
      <c r="J1348" s="1585"/>
      <c r="K1348" s="1586"/>
      <c r="L1348" s="1584"/>
      <c r="M1348" s="25">
        <f t="shared" si="789"/>
        <v>2025</v>
      </c>
      <c r="N1348" s="26">
        <f t="shared" si="790"/>
        <v>0</v>
      </c>
      <c r="O1348" s="27" t="str">
        <f t="shared" si="3"/>
        <v>#N/A</v>
      </c>
      <c r="P1348" s="28"/>
      <c r="Q1348" s="28"/>
      <c r="R1348" s="28"/>
      <c r="S1348" s="28"/>
      <c r="T1348" s="29">
        <f t="shared" si="791"/>
        <v>0</v>
      </c>
      <c r="U1348" s="28"/>
      <c r="V1348" s="30">
        <f t="shared" si="425"/>
        <v>0</v>
      </c>
      <c r="W1348" s="30"/>
      <c r="X1348" s="1587"/>
      <c r="Y1348" s="33" t="str">
        <f t="shared" si="792"/>
        <v>#DIV/0!</v>
      </c>
      <c r="Z1348" s="692"/>
      <c r="AA1348" s="665"/>
      <c r="AB1348" s="1586"/>
      <c r="AC1348" s="1586"/>
      <c r="AD1348" s="1588"/>
      <c r="AE1348" s="1589"/>
      <c r="AF1348" s="1590"/>
      <c r="AG1348" s="1589"/>
      <c r="AH1348" s="1586"/>
      <c r="AI1348" s="1627"/>
      <c r="AJ1348" s="1617"/>
      <c r="AK1348" s="1589"/>
      <c r="AL1348" s="1588"/>
      <c r="AM1348" s="1589"/>
      <c r="AN1348" s="1617"/>
      <c r="AO1348" s="1589"/>
      <c r="AP1348" s="1588"/>
      <c r="AQ1348" s="1589"/>
      <c r="AR1348" s="1588"/>
      <c r="AS1348" s="1588"/>
      <c r="AT1348" s="1588"/>
      <c r="AU1348" s="30"/>
      <c r="AV1348" s="1588"/>
      <c r="AW1348" s="38"/>
      <c r="AX1348" s="1588"/>
      <c r="AY1348" s="38"/>
      <c r="AZ1348" s="1588"/>
      <c r="BA1348" s="30"/>
      <c r="BB1348" s="1588"/>
      <c r="BC1348" s="30"/>
      <c r="BD1348" s="1588"/>
      <c r="BE1348" s="38"/>
      <c r="BF1348" s="1586"/>
      <c r="BG1348" s="68"/>
      <c r="BH1348" s="68"/>
      <c r="BI1348" s="68"/>
      <c r="BJ1348" s="68"/>
      <c r="BK1348" s="68"/>
      <c r="BL1348" s="68"/>
      <c r="BM1348" s="68"/>
      <c r="BN1348" s="68"/>
      <c r="BO1348" s="68"/>
      <c r="BP1348" s="68"/>
      <c r="BQ1348" s="68"/>
      <c r="BR1348" s="68"/>
      <c r="BS1348" s="68"/>
      <c r="BT1348" s="68"/>
      <c r="BU1348" s="68"/>
      <c r="BV1348" s="68"/>
      <c r="BW1348" s="68"/>
      <c r="BX1348" s="68"/>
      <c r="BY1348" s="68"/>
      <c r="BZ1348" s="68"/>
      <c r="CA1348" s="68"/>
      <c r="CB1348" s="68"/>
      <c r="CC1348" s="68"/>
      <c r="CD1348" s="68"/>
      <c r="CE1348" s="68"/>
      <c r="CF1348" s="68"/>
      <c r="CG1348" s="68"/>
      <c r="CH1348" s="68"/>
      <c r="CI1348" s="68"/>
      <c r="CJ1348" s="68"/>
      <c r="CK1348" s="68"/>
      <c r="CL1348" s="68"/>
      <c r="CM1348" s="68"/>
      <c r="CN1348" s="68"/>
      <c r="CO1348" s="68"/>
      <c r="CP1348" s="68"/>
    </row>
    <row r="1349" ht="15.75" customHeight="1">
      <c r="A1349" s="1579" t="s">
        <v>6350</v>
      </c>
      <c r="B1349" s="1490"/>
      <c r="C1349" s="1490"/>
      <c r="D1349" s="767" t="s">
        <v>6351</v>
      </c>
      <c r="E1349" s="767" t="s">
        <v>6352</v>
      </c>
      <c r="F1349" s="1614" t="s">
        <v>6353</v>
      </c>
      <c r="G1349" s="1626"/>
      <c r="H1349" s="1583" t="s">
        <v>1065</v>
      </c>
      <c r="I1349" s="1584" t="s">
        <v>639</v>
      </c>
      <c r="J1349" s="1585"/>
      <c r="K1349" s="1586"/>
      <c r="L1349" s="1584">
        <v>2017.0</v>
      </c>
      <c r="M1349" s="25">
        <f t="shared" si="789"/>
        <v>8</v>
      </c>
      <c r="N1349" s="26">
        <f t="shared" si="790"/>
        <v>0</v>
      </c>
      <c r="O1349" s="27" t="str">
        <f t="shared" si="3"/>
        <v>#N/A</v>
      </c>
      <c r="P1349" s="28"/>
      <c r="Q1349" s="28"/>
      <c r="R1349" s="28"/>
      <c r="S1349" s="28"/>
      <c r="T1349" s="29">
        <f t="shared" si="791"/>
        <v>0</v>
      </c>
      <c r="U1349" s="28"/>
      <c r="V1349" s="30">
        <f t="shared" si="425"/>
        <v>0</v>
      </c>
      <c r="W1349" s="30"/>
      <c r="X1349" s="1587"/>
      <c r="Y1349" s="33" t="str">
        <f t="shared" si="792"/>
        <v>#DIV/0!</v>
      </c>
      <c r="Z1349" s="692"/>
      <c r="AA1349" s="665"/>
      <c r="AB1349" s="1586"/>
      <c r="AC1349" s="1586"/>
      <c r="AD1349" s="1588"/>
      <c r="AE1349" s="1589"/>
      <c r="AF1349" s="1590"/>
      <c r="AG1349" s="1589"/>
      <c r="AH1349" s="1586"/>
      <c r="AI1349" s="1627"/>
      <c r="AJ1349" s="1617"/>
      <c r="AK1349" s="1589"/>
      <c r="AL1349" s="1588"/>
      <c r="AM1349" s="1589"/>
      <c r="AN1349" s="1617"/>
      <c r="AO1349" s="1589"/>
      <c r="AP1349" s="1588"/>
      <c r="AQ1349" s="1589"/>
      <c r="AR1349" s="1588"/>
      <c r="AS1349" s="1588"/>
      <c r="AT1349" s="1588"/>
      <c r="AU1349" s="30"/>
      <c r="AV1349" s="1588"/>
      <c r="AW1349" s="38"/>
      <c r="AX1349" s="1588"/>
      <c r="AY1349" s="38"/>
      <c r="AZ1349" s="1588"/>
      <c r="BA1349" s="30"/>
      <c r="BB1349" s="1588"/>
      <c r="BC1349" s="30"/>
      <c r="BD1349" s="1588"/>
      <c r="BE1349" s="38"/>
      <c r="BF1349" s="1586"/>
      <c r="BG1349" s="68"/>
      <c r="BH1349" s="68"/>
      <c r="BI1349" s="68"/>
      <c r="BJ1349" s="68"/>
      <c r="BK1349" s="68"/>
      <c r="BL1349" s="68"/>
      <c r="BM1349" s="68"/>
      <c r="BN1349" s="68"/>
      <c r="BO1349" s="68"/>
      <c r="BP1349" s="68"/>
      <c r="BQ1349" s="68"/>
      <c r="BR1349" s="68"/>
      <c r="BS1349" s="68"/>
      <c r="BT1349" s="68"/>
      <c r="BU1349" s="68"/>
      <c r="BV1349" s="68"/>
      <c r="BW1349" s="68"/>
      <c r="BX1349" s="68"/>
      <c r="BY1349" s="68"/>
      <c r="BZ1349" s="68"/>
      <c r="CA1349" s="68"/>
      <c r="CB1349" s="68"/>
      <c r="CC1349" s="68"/>
      <c r="CD1349" s="68"/>
      <c r="CE1349" s="68"/>
      <c r="CF1349" s="68"/>
      <c r="CG1349" s="68"/>
      <c r="CH1349" s="68"/>
      <c r="CI1349" s="68"/>
      <c r="CJ1349" s="68"/>
      <c r="CK1349" s="68"/>
      <c r="CL1349" s="68"/>
      <c r="CM1349" s="68"/>
      <c r="CN1349" s="68"/>
      <c r="CO1349" s="68"/>
      <c r="CP1349" s="68"/>
    </row>
    <row r="1350" ht="15.75" customHeight="1">
      <c r="A1350" s="866" t="s">
        <v>6354</v>
      </c>
      <c r="B1350" s="16"/>
      <c r="C1350" s="17" t="s">
        <v>123</v>
      </c>
      <c r="D1350" s="236" t="s">
        <v>6355</v>
      </c>
      <c r="E1350" s="236" t="s">
        <v>6356</v>
      </c>
      <c r="F1350" s="1173" t="s">
        <v>6357</v>
      </c>
      <c r="G1350" s="317"/>
      <c r="H1350" s="22" t="s">
        <v>64</v>
      </c>
      <c r="I1350" s="23" t="s">
        <v>65</v>
      </c>
      <c r="J1350" s="237"/>
      <c r="K1350" s="36"/>
      <c r="L1350" s="23">
        <v>2012.0</v>
      </c>
      <c r="M1350" s="25">
        <f t="shared" si="789"/>
        <v>13</v>
      </c>
      <c r="N1350" s="26">
        <f t="shared" si="790"/>
        <v>0</v>
      </c>
      <c r="O1350" s="27" t="str">
        <f t="shared" si="3"/>
        <v>#N/A</v>
      </c>
      <c r="P1350" s="28"/>
      <c r="Q1350" s="28"/>
      <c r="R1350" s="28"/>
      <c r="S1350" s="28"/>
      <c r="T1350" s="29">
        <f t="shared" si="791"/>
        <v>0</v>
      </c>
      <c r="U1350" s="28"/>
      <c r="V1350" s="30">
        <f t="shared" si="425"/>
        <v>0</v>
      </c>
      <c r="W1350" s="30"/>
      <c r="X1350" s="847"/>
      <c r="Y1350" s="33" t="str">
        <f t="shared" si="792"/>
        <v>#DIV/0!</v>
      </c>
      <c r="Z1350" s="692"/>
      <c r="AA1350" s="665"/>
      <c r="AB1350" s="36"/>
      <c r="AC1350" s="36"/>
      <c r="AD1350" s="44"/>
      <c r="AE1350" s="46"/>
      <c r="AF1350" s="39"/>
      <c r="AG1350" s="46"/>
      <c r="AH1350" s="36"/>
      <c r="AI1350" s="159"/>
      <c r="AJ1350" s="37"/>
      <c r="AK1350" s="46"/>
      <c r="AL1350" s="44"/>
      <c r="AM1350" s="46"/>
      <c r="AN1350" s="37"/>
      <c r="AO1350" s="46"/>
      <c r="AP1350" s="44"/>
      <c r="AQ1350" s="46"/>
      <c r="AR1350" s="44"/>
      <c r="AS1350" s="44"/>
      <c r="AT1350" s="44"/>
      <c r="AU1350" s="45"/>
      <c r="AV1350" s="44"/>
      <c r="AW1350" s="38"/>
      <c r="AX1350" s="44"/>
      <c r="AY1350" s="38"/>
      <c r="AZ1350" s="44"/>
      <c r="BA1350" s="45"/>
      <c r="BB1350" s="44"/>
      <c r="BC1350" s="45"/>
      <c r="BD1350" s="44"/>
      <c r="BE1350" s="38"/>
      <c r="BF1350" s="36"/>
      <c r="BG1350" s="68"/>
      <c r="BH1350" s="68"/>
      <c r="BI1350" s="68"/>
      <c r="BJ1350" s="68"/>
      <c r="BK1350" s="68"/>
      <c r="BL1350" s="68"/>
      <c r="BM1350" s="68"/>
      <c r="BN1350" s="68"/>
      <c r="BO1350" s="68"/>
      <c r="BP1350" s="68"/>
      <c r="BQ1350" s="68"/>
      <c r="BR1350" s="68"/>
      <c r="BS1350" s="68"/>
      <c r="BT1350" s="68"/>
      <c r="BU1350" s="68"/>
      <c r="BV1350" s="68"/>
      <c r="BW1350" s="68"/>
      <c r="BX1350" s="68"/>
      <c r="BY1350" s="68"/>
      <c r="BZ1350" s="68"/>
      <c r="CA1350" s="68"/>
      <c r="CB1350" s="68"/>
      <c r="CC1350" s="68"/>
      <c r="CD1350" s="68"/>
      <c r="CE1350" s="68"/>
      <c r="CF1350" s="68"/>
      <c r="CG1350" s="68"/>
      <c r="CH1350" s="68"/>
      <c r="CI1350" s="68"/>
      <c r="CJ1350" s="68"/>
      <c r="CK1350" s="68"/>
      <c r="CL1350" s="68"/>
      <c r="CM1350" s="68"/>
      <c r="CN1350" s="68"/>
      <c r="CO1350" s="68"/>
      <c r="CP1350" s="68"/>
    </row>
    <row r="1351" ht="15.75" customHeight="1">
      <c r="A1351" s="866" t="s">
        <v>6358</v>
      </c>
      <c r="B1351" s="16"/>
      <c r="C1351" s="17" t="s">
        <v>123</v>
      </c>
      <c r="D1351" s="236" t="s">
        <v>6359</v>
      </c>
      <c r="E1351" s="236" t="s">
        <v>6360</v>
      </c>
      <c r="F1351" s="803" t="s">
        <v>6361</v>
      </c>
      <c r="G1351" s="317"/>
      <c r="H1351" s="22" t="s">
        <v>6362</v>
      </c>
      <c r="I1351" s="23" t="s">
        <v>1338</v>
      </c>
      <c r="J1351" s="237"/>
      <c r="K1351" s="36"/>
      <c r="L1351" s="23">
        <v>2015.0</v>
      </c>
      <c r="M1351" s="25">
        <f t="shared" si="789"/>
        <v>10</v>
      </c>
      <c r="N1351" s="26">
        <f t="shared" si="790"/>
        <v>0</v>
      </c>
      <c r="O1351" s="27" t="str">
        <f t="shared" si="3"/>
        <v>#N/A</v>
      </c>
      <c r="P1351" s="28"/>
      <c r="Q1351" s="28"/>
      <c r="R1351" s="28"/>
      <c r="S1351" s="28"/>
      <c r="T1351" s="29">
        <f t="shared" si="791"/>
        <v>0</v>
      </c>
      <c r="U1351" s="28"/>
      <c r="V1351" s="30">
        <f t="shared" si="425"/>
        <v>0</v>
      </c>
      <c r="W1351" s="30"/>
      <c r="X1351" s="847"/>
      <c r="Y1351" s="33" t="str">
        <f t="shared" si="792"/>
        <v>#DIV/0!</v>
      </c>
      <c r="Z1351" s="692"/>
      <c r="AA1351" s="665"/>
      <c r="AB1351" s="36"/>
      <c r="AC1351" s="36"/>
      <c r="AD1351" s="44"/>
      <c r="AE1351" s="46"/>
      <c r="AF1351" s="39"/>
      <c r="AG1351" s="38"/>
      <c r="AH1351" s="36"/>
      <c r="AI1351" s="159"/>
      <c r="AJ1351" s="37"/>
      <c r="AK1351" s="38"/>
      <c r="AL1351" s="44"/>
      <c r="AM1351" s="46"/>
      <c r="AN1351" s="44"/>
      <c r="AO1351" s="46"/>
      <c r="AP1351" s="44"/>
      <c r="AQ1351" s="46"/>
      <c r="AR1351" s="44"/>
      <c r="AS1351" s="44"/>
      <c r="AT1351" s="44"/>
      <c r="AU1351" s="45"/>
      <c r="AV1351" s="44"/>
      <c r="AW1351" s="38"/>
      <c r="AX1351" s="44"/>
      <c r="AY1351" s="38"/>
      <c r="AZ1351" s="44"/>
      <c r="BA1351" s="45"/>
      <c r="BB1351" s="44"/>
      <c r="BC1351" s="45"/>
      <c r="BD1351" s="44"/>
      <c r="BE1351" s="38"/>
      <c r="BF1351" s="36"/>
      <c r="BG1351" s="68"/>
      <c r="BH1351" s="68"/>
      <c r="BI1351" s="68"/>
      <c r="BJ1351" s="68"/>
      <c r="BK1351" s="68"/>
      <c r="BL1351" s="68"/>
      <c r="BM1351" s="68"/>
      <c r="BN1351" s="68"/>
      <c r="BO1351" s="68"/>
      <c r="BP1351" s="68"/>
      <c r="BQ1351" s="68"/>
      <c r="BR1351" s="68"/>
      <c r="BS1351" s="68"/>
      <c r="BT1351" s="68"/>
      <c r="BU1351" s="68"/>
      <c r="BV1351" s="68"/>
      <c r="BW1351" s="68"/>
      <c r="BX1351" s="68"/>
      <c r="BY1351" s="68"/>
      <c r="BZ1351" s="68"/>
      <c r="CA1351" s="68"/>
      <c r="CB1351" s="68"/>
      <c r="CC1351" s="68"/>
      <c r="CD1351" s="68"/>
      <c r="CE1351" s="68"/>
      <c r="CF1351" s="68"/>
      <c r="CG1351" s="68"/>
      <c r="CH1351" s="68"/>
      <c r="CI1351" s="68"/>
      <c r="CJ1351" s="68"/>
      <c r="CK1351" s="68"/>
      <c r="CL1351" s="68"/>
      <c r="CM1351" s="68"/>
      <c r="CN1351" s="68"/>
      <c r="CO1351" s="68"/>
      <c r="CP1351" s="68"/>
    </row>
    <row r="1352" ht="15.75" customHeight="1">
      <c r="A1352" s="1568" t="s">
        <v>6363</v>
      </c>
      <c r="B1352" s="66"/>
      <c r="C1352" s="1390" t="s">
        <v>276</v>
      </c>
      <c r="D1352" s="1592"/>
      <c r="E1352" s="1592"/>
      <c r="F1352" s="1393" t="s">
        <v>6364</v>
      </c>
      <c r="G1352" s="1394"/>
      <c r="H1352" s="1395" t="s">
        <v>937</v>
      </c>
      <c r="I1352" s="1284" t="s">
        <v>65</v>
      </c>
      <c r="J1352" s="178" t="s">
        <v>6365</v>
      </c>
      <c r="K1352" s="1284">
        <v>2.0</v>
      </c>
      <c r="L1352" s="1284">
        <v>2017.0</v>
      </c>
      <c r="M1352" s="25">
        <f t="shared" si="789"/>
        <v>8</v>
      </c>
      <c r="N1352" s="26">
        <f t="shared" si="790"/>
        <v>0</v>
      </c>
      <c r="O1352" s="27" t="str">
        <f t="shared" si="3"/>
        <v>#N/A</v>
      </c>
      <c r="P1352" s="28"/>
      <c r="Q1352" s="28"/>
      <c r="R1352" s="28"/>
      <c r="S1352" s="28"/>
      <c r="T1352" s="29">
        <f t="shared" si="791"/>
        <v>0</v>
      </c>
      <c r="U1352" s="28"/>
      <c r="V1352" s="30">
        <f t="shared" si="425"/>
        <v>0</v>
      </c>
      <c r="W1352" s="30"/>
      <c r="X1352" s="1286"/>
      <c r="Y1352" s="33" t="str">
        <f t="shared" si="792"/>
        <v>#DIV/0!</v>
      </c>
      <c r="Z1352" s="692"/>
      <c r="AA1352" s="665"/>
      <c r="AB1352" s="1161"/>
      <c r="AC1352" s="1161"/>
      <c r="AD1352" s="1158"/>
      <c r="AE1352" s="1159"/>
      <c r="AF1352" s="1609"/>
      <c r="AG1352" s="1288"/>
      <c r="AH1352" s="1161"/>
      <c r="AI1352" s="1630"/>
      <c r="AJ1352" s="1289"/>
      <c r="AK1352" s="1288"/>
      <c r="AL1352" s="1158"/>
      <c r="AM1352" s="1159"/>
      <c r="AN1352" s="1158"/>
      <c r="AO1352" s="1159"/>
      <c r="AP1352" s="1158"/>
      <c r="AQ1352" s="1159"/>
      <c r="AR1352" s="1158"/>
      <c r="AS1352" s="1158"/>
      <c r="AT1352" s="1158"/>
      <c r="AU1352" s="1160"/>
      <c r="AV1352" s="1158"/>
      <c r="AW1352" s="38"/>
      <c r="AX1352" s="1158"/>
      <c r="AY1352" s="38"/>
      <c r="AZ1352" s="1158"/>
      <c r="BA1352" s="1160"/>
      <c r="BB1352" s="1158"/>
      <c r="BC1352" s="1160"/>
      <c r="BD1352" s="1158"/>
      <c r="BE1352" s="38"/>
      <c r="BF1352" s="1161"/>
      <c r="BG1352" s="68"/>
      <c r="BH1352" s="68"/>
      <c r="BI1352" s="68"/>
      <c r="BJ1352" s="68"/>
      <c r="BK1352" s="68"/>
      <c r="BL1352" s="68"/>
      <c r="BM1352" s="68"/>
      <c r="BN1352" s="68"/>
      <c r="BO1352" s="68"/>
      <c r="BP1352" s="68"/>
      <c r="BQ1352" s="68"/>
      <c r="BR1352" s="68"/>
      <c r="BS1352" s="68"/>
      <c r="BT1352" s="68"/>
      <c r="BU1352" s="68"/>
      <c r="BV1352" s="68"/>
      <c r="BW1352" s="68"/>
      <c r="BX1352" s="68"/>
      <c r="BY1352" s="68"/>
      <c r="BZ1352" s="68"/>
      <c r="CA1352" s="68"/>
      <c r="CB1352" s="68"/>
      <c r="CC1352" s="68"/>
      <c r="CD1352" s="68"/>
      <c r="CE1352" s="68"/>
      <c r="CF1352" s="68"/>
      <c r="CG1352" s="68"/>
      <c r="CH1352" s="68"/>
      <c r="CI1352" s="68"/>
      <c r="CJ1352" s="68"/>
      <c r="CK1352" s="68"/>
      <c r="CL1352" s="68"/>
      <c r="CM1352" s="68"/>
      <c r="CN1352" s="68"/>
      <c r="CO1352" s="68"/>
      <c r="CP1352" s="68"/>
    </row>
    <row r="1353" ht="15.75" customHeight="1">
      <c r="A1353" s="866" t="s">
        <v>6366</v>
      </c>
      <c r="B1353" s="16"/>
      <c r="C1353" s="17" t="s">
        <v>123</v>
      </c>
      <c r="D1353" s="236" t="s">
        <v>6367</v>
      </c>
      <c r="E1353" s="236" t="s">
        <v>6368</v>
      </c>
      <c r="F1353" s="1611" t="s">
        <v>6369</v>
      </c>
      <c r="G1353" s="317"/>
      <c r="H1353" s="22" t="s">
        <v>2478</v>
      </c>
      <c r="I1353" s="23" t="s">
        <v>65</v>
      </c>
      <c r="J1353" s="237"/>
      <c r="K1353" s="36"/>
      <c r="L1353" s="23">
        <v>2018.0</v>
      </c>
      <c r="M1353" s="25">
        <f t="shared" si="789"/>
        <v>7</v>
      </c>
      <c r="N1353" s="26">
        <f t="shared" si="790"/>
        <v>0</v>
      </c>
      <c r="O1353" s="27" t="str">
        <f t="shared" si="3"/>
        <v>#N/A</v>
      </c>
      <c r="P1353" s="28"/>
      <c r="Q1353" s="28"/>
      <c r="R1353" s="28"/>
      <c r="S1353" s="28"/>
      <c r="T1353" s="29">
        <f t="shared" si="791"/>
        <v>0</v>
      </c>
      <c r="U1353" s="28"/>
      <c r="V1353" s="30">
        <f t="shared" si="425"/>
        <v>0</v>
      </c>
      <c r="W1353" s="30"/>
      <c r="X1353" s="847"/>
      <c r="Y1353" s="33" t="str">
        <f t="shared" si="792"/>
        <v>#DIV/0!</v>
      </c>
      <c r="Z1353" s="692"/>
      <c r="AA1353" s="665"/>
      <c r="AB1353" s="36"/>
      <c r="AC1353" s="36"/>
      <c r="AD1353" s="44"/>
      <c r="AE1353" s="46"/>
      <c r="AF1353" s="39"/>
      <c r="AG1353" s="38"/>
      <c r="AH1353" s="36"/>
      <c r="AI1353" s="159"/>
      <c r="AJ1353" s="37"/>
      <c r="AK1353" s="38"/>
      <c r="AL1353" s="44"/>
      <c r="AM1353" s="46"/>
      <c r="AN1353" s="44"/>
      <c r="AO1353" s="46"/>
      <c r="AP1353" s="44"/>
      <c r="AQ1353" s="46"/>
      <c r="AR1353" s="44"/>
      <c r="AS1353" s="44"/>
      <c r="AT1353" s="44"/>
      <c r="AU1353" s="45"/>
      <c r="AV1353" s="44"/>
      <c r="AW1353" s="38"/>
      <c r="AX1353" s="44"/>
      <c r="AY1353" s="38"/>
      <c r="AZ1353" s="44"/>
      <c r="BA1353" s="45"/>
      <c r="BB1353" s="44"/>
      <c r="BC1353" s="45"/>
      <c r="BD1353" s="44"/>
      <c r="BE1353" s="38"/>
      <c r="BF1353" s="36"/>
      <c r="BG1353" s="68"/>
      <c r="BH1353" s="68"/>
      <c r="BI1353" s="68"/>
      <c r="BJ1353" s="68"/>
      <c r="BK1353" s="68"/>
      <c r="BL1353" s="68"/>
      <c r="BM1353" s="68"/>
      <c r="BN1353" s="68"/>
      <c r="BO1353" s="68"/>
      <c r="BP1353" s="68"/>
      <c r="BQ1353" s="68"/>
      <c r="BR1353" s="68"/>
      <c r="BS1353" s="68"/>
      <c r="BT1353" s="68"/>
      <c r="BU1353" s="68"/>
      <c r="BV1353" s="68"/>
      <c r="BW1353" s="68"/>
      <c r="BX1353" s="68"/>
      <c r="BY1353" s="68"/>
      <c r="BZ1353" s="68"/>
      <c r="CA1353" s="68"/>
      <c r="CB1353" s="68"/>
      <c r="CC1353" s="68"/>
      <c r="CD1353" s="68"/>
      <c r="CE1353" s="68"/>
      <c r="CF1353" s="68"/>
      <c r="CG1353" s="68"/>
      <c r="CH1353" s="68"/>
      <c r="CI1353" s="68"/>
      <c r="CJ1353" s="68"/>
      <c r="CK1353" s="68"/>
      <c r="CL1353" s="68"/>
      <c r="CM1353" s="68"/>
      <c r="CN1353" s="68"/>
      <c r="CO1353" s="68"/>
      <c r="CP1353" s="68"/>
    </row>
    <row r="1354" ht="15.75" customHeight="1">
      <c r="A1354" s="1579" t="s">
        <v>6370</v>
      </c>
      <c r="B1354" s="1490"/>
      <c r="C1354" s="1490"/>
      <c r="D1354" s="767" t="s">
        <v>6371</v>
      </c>
      <c r="E1354" s="1643"/>
      <c r="F1354" s="1614" t="s">
        <v>6372</v>
      </c>
      <c r="G1354" s="1626"/>
      <c r="H1354" s="1583"/>
      <c r="I1354" s="1584"/>
      <c r="J1354" s="1585"/>
      <c r="K1354" s="1586"/>
      <c r="L1354" s="1584"/>
      <c r="M1354" s="25">
        <f t="shared" si="789"/>
        <v>2025</v>
      </c>
      <c r="N1354" s="26">
        <f t="shared" si="790"/>
        <v>0</v>
      </c>
      <c r="O1354" s="27" t="str">
        <f t="shared" si="3"/>
        <v>#N/A</v>
      </c>
      <c r="P1354" s="28"/>
      <c r="Q1354" s="28"/>
      <c r="R1354" s="28"/>
      <c r="S1354" s="28"/>
      <c r="T1354" s="29">
        <f t="shared" si="791"/>
        <v>0</v>
      </c>
      <c r="U1354" s="28"/>
      <c r="V1354" s="30">
        <f t="shared" si="425"/>
        <v>0</v>
      </c>
      <c r="W1354" s="30"/>
      <c r="X1354" s="1587"/>
      <c r="Y1354" s="33" t="str">
        <f t="shared" si="792"/>
        <v>#DIV/0!</v>
      </c>
      <c r="Z1354" s="692"/>
      <c r="AA1354" s="665"/>
      <c r="AB1354" s="1586"/>
      <c r="AC1354" s="1586"/>
      <c r="AD1354" s="1588"/>
      <c r="AE1354" s="1589"/>
      <c r="AF1354" s="1590"/>
      <c r="AG1354" s="1591"/>
      <c r="AH1354" s="1586"/>
      <c r="AI1354" s="1627"/>
      <c r="AJ1354" s="1617"/>
      <c r="AK1354" s="1591"/>
      <c r="AL1354" s="1588"/>
      <c r="AM1354" s="1589"/>
      <c r="AN1354" s="1588"/>
      <c r="AO1354" s="1589"/>
      <c r="AP1354" s="1588"/>
      <c r="AQ1354" s="1589"/>
      <c r="AR1354" s="1588"/>
      <c r="AS1354" s="1588"/>
      <c r="AT1354" s="1588"/>
      <c r="AU1354" s="30"/>
      <c r="AV1354" s="1588"/>
      <c r="AW1354" s="38"/>
      <c r="AX1354" s="1588"/>
      <c r="AY1354" s="38"/>
      <c r="AZ1354" s="1588"/>
      <c r="BA1354" s="30"/>
      <c r="BB1354" s="1588"/>
      <c r="BC1354" s="30"/>
      <c r="BD1354" s="1588"/>
      <c r="BE1354" s="38"/>
      <c r="BF1354" s="1586"/>
      <c r="BG1354" s="1407"/>
      <c r="BH1354" s="1407"/>
      <c r="BI1354" s="1407"/>
      <c r="BJ1354" s="1407"/>
      <c r="BK1354" s="1407"/>
      <c r="BL1354" s="1407"/>
      <c r="BM1354" s="1407"/>
      <c r="BN1354" s="1407"/>
      <c r="BO1354" s="1407"/>
      <c r="BP1354" s="1407"/>
      <c r="BQ1354" s="1407"/>
      <c r="BR1354" s="1407"/>
      <c r="BS1354" s="1407"/>
      <c r="BT1354" s="1407"/>
      <c r="BU1354" s="1407"/>
      <c r="BV1354" s="1407"/>
      <c r="BW1354" s="1407"/>
      <c r="BX1354" s="1407"/>
      <c r="BY1354" s="1407"/>
      <c r="BZ1354" s="1407"/>
      <c r="CA1354" s="1407"/>
      <c r="CB1354" s="1407"/>
      <c r="CC1354" s="1407"/>
      <c r="CD1354" s="1407"/>
      <c r="CE1354" s="1407"/>
      <c r="CF1354" s="1407"/>
      <c r="CG1354" s="1407"/>
      <c r="CH1354" s="1407"/>
      <c r="CI1354" s="1407"/>
      <c r="CJ1354" s="1407"/>
      <c r="CK1354" s="1407"/>
      <c r="CL1354" s="1407"/>
      <c r="CM1354" s="1407"/>
      <c r="CN1354" s="1407"/>
      <c r="CO1354" s="1407"/>
      <c r="CP1354" s="1407"/>
    </row>
    <row r="1355" ht="15.75" customHeight="1">
      <c r="A1355" s="442" t="s">
        <v>6373</v>
      </c>
      <c r="B1355" s="16" t="s">
        <v>1306</v>
      </c>
      <c r="C1355" s="17" t="s">
        <v>207</v>
      </c>
      <c r="D1355" s="184" t="s">
        <v>6374</v>
      </c>
      <c r="E1355" s="184" t="s">
        <v>6375</v>
      </c>
      <c r="F1355" s="185" t="s">
        <v>6376</v>
      </c>
      <c r="G1355" s="317" t="s">
        <v>6377</v>
      </c>
      <c r="H1355" s="317" t="s">
        <v>2307</v>
      </c>
      <c r="I1355" s="36" t="s">
        <v>6378</v>
      </c>
      <c r="J1355" s="237" t="s">
        <v>6379</v>
      </c>
      <c r="K1355" s="36" t="s">
        <v>723</v>
      </c>
      <c r="L1355" s="23">
        <v>1999.0</v>
      </c>
      <c r="M1355" s="25">
        <f t="shared" si="789"/>
        <v>26</v>
      </c>
      <c r="N1355" s="26">
        <f t="shared" si="790"/>
        <v>0</v>
      </c>
      <c r="O1355" s="27" t="str">
        <f t="shared" si="3"/>
        <v>#N/A</v>
      </c>
      <c r="P1355" s="28"/>
      <c r="Q1355" s="28"/>
      <c r="R1355" s="28"/>
      <c r="S1355" s="28"/>
      <c r="T1355" s="29">
        <f t="shared" si="791"/>
        <v>0</v>
      </c>
      <c r="U1355" s="28"/>
      <c r="V1355" s="30">
        <f t="shared" si="425"/>
        <v>0</v>
      </c>
      <c r="W1355" s="30"/>
      <c r="X1355" s="847"/>
      <c r="Y1355" s="33" t="str">
        <f t="shared" si="792"/>
        <v>#DIV/0!</v>
      </c>
      <c r="Z1355" s="692"/>
      <c r="AA1355" s="665"/>
      <c r="AB1355" s="36"/>
      <c r="AC1355" s="36"/>
      <c r="AD1355" s="44"/>
      <c r="AE1355" s="46"/>
      <c r="AF1355" s="39"/>
      <c r="AG1355" s="46"/>
      <c r="AH1355" s="36"/>
      <c r="AI1355" s="159"/>
      <c r="AJ1355" s="44"/>
      <c r="AK1355" s="46"/>
      <c r="AL1355" s="44"/>
      <c r="AM1355" s="46"/>
      <c r="AN1355" s="44"/>
      <c r="AO1355" s="46"/>
      <c r="AP1355" s="44"/>
      <c r="AQ1355" s="46"/>
      <c r="AR1355" s="44"/>
      <c r="AS1355" s="44"/>
      <c r="AT1355" s="44"/>
      <c r="AU1355" s="45"/>
      <c r="AV1355" s="44"/>
      <c r="AW1355" s="38"/>
      <c r="AX1355" s="44"/>
      <c r="AY1355" s="38"/>
      <c r="AZ1355" s="44"/>
      <c r="BA1355" s="45"/>
      <c r="BB1355" s="44"/>
      <c r="BC1355" s="45"/>
      <c r="BD1355" s="44"/>
      <c r="BE1355" s="38"/>
      <c r="BF1355" s="36"/>
      <c r="BG1355" s="68"/>
      <c r="BH1355" s="68"/>
      <c r="BI1355" s="68"/>
      <c r="BJ1355" s="68"/>
      <c r="BK1355" s="68"/>
      <c r="BL1355" s="68"/>
      <c r="BM1355" s="68"/>
      <c r="BN1355" s="68"/>
      <c r="BO1355" s="68"/>
      <c r="BP1355" s="68"/>
      <c r="BQ1355" s="68"/>
      <c r="BR1355" s="68"/>
      <c r="BS1355" s="68"/>
      <c r="BT1355" s="68"/>
      <c r="BU1355" s="68"/>
      <c r="BV1355" s="68"/>
      <c r="BW1355" s="68"/>
      <c r="BX1355" s="68"/>
      <c r="BY1355" s="68"/>
      <c r="BZ1355" s="68"/>
      <c r="CA1355" s="68"/>
      <c r="CB1355" s="68"/>
      <c r="CC1355" s="68"/>
      <c r="CD1355" s="68"/>
      <c r="CE1355" s="68"/>
      <c r="CF1355" s="68"/>
      <c r="CG1355" s="68"/>
      <c r="CH1355" s="68"/>
      <c r="CI1355" s="68"/>
      <c r="CJ1355" s="68"/>
      <c r="CK1355" s="68"/>
      <c r="CL1355" s="68"/>
      <c r="CM1355" s="68"/>
      <c r="CN1355" s="68"/>
      <c r="CO1355" s="68"/>
      <c r="CP1355" s="68"/>
    </row>
    <row r="1356" ht="15.75" customHeight="1">
      <c r="A1356" s="866" t="s">
        <v>6380</v>
      </c>
      <c r="B1356" s="16"/>
      <c r="C1356" s="17" t="s">
        <v>132</v>
      </c>
      <c r="D1356" s="236" t="s">
        <v>6381</v>
      </c>
      <c r="E1356" s="236" t="s">
        <v>6382</v>
      </c>
      <c r="F1356" s="20" t="s">
        <v>6383</v>
      </c>
      <c r="G1356" s="22"/>
      <c r="H1356" s="22"/>
      <c r="I1356" s="23"/>
      <c r="J1356" s="237"/>
      <c r="K1356" s="36"/>
      <c r="L1356" s="23"/>
      <c r="M1356" s="25">
        <f t="shared" si="789"/>
        <v>2025</v>
      </c>
      <c r="N1356" s="26">
        <f t="shared" si="790"/>
        <v>0</v>
      </c>
      <c r="O1356" s="27" t="str">
        <f t="shared" si="3"/>
        <v>#N/A</v>
      </c>
      <c r="P1356" s="28"/>
      <c r="Q1356" s="28"/>
      <c r="R1356" s="28"/>
      <c r="S1356" s="28"/>
      <c r="T1356" s="29">
        <f t="shared" si="791"/>
        <v>0</v>
      </c>
      <c r="U1356" s="28"/>
      <c r="V1356" s="30">
        <f t="shared" si="425"/>
        <v>0</v>
      </c>
      <c r="W1356" s="30"/>
      <c r="X1356" s="847"/>
      <c r="Y1356" s="33" t="str">
        <f t="shared" si="792"/>
        <v>#DIV/0!</v>
      </c>
      <c r="Z1356" s="692"/>
      <c r="AA1356" s="665"/>
      <c r="AB1356" s="36"/>
      <c r="AC1356" s="36"/>
      <c r="AD1356" s="44"/>
      <c r="AE1356" s="46"/>
      <c r="AF1356" s="320"/>
      <c r="AG1356" s="38"/>
      <c r="AH1356" s="46"/>
      <c r="AI1356" s="159"/>
      <c r="AJ1356" s="44"/>
      <c r="AK1356" s="46"/>
      <c r="AL1356" s="44"/>
      <c r="AM1356" s="46"/>
      <c r="AN1356" s="44"/>
      <c r="AO1356" s="46"/>
      <c r="AP1356" s="44"/>
      <c r="AQ1356" s="46"/>
      <c r="AR1356" s="44"/>
      <c r="AS1356" s="44"/>
      <c r="AT1356" s="44"/>
      <c r="AU1356" s="45"/>
      <c r="AV1356" s="44"/>
      <c r="AW1356" s="38"/>
      <c r="AX1356" s="44"/>
      <c r="AY1356" s="38"/>
      <c r="AZ1356" s="44"/>
      <c r="BA1356" s="45"/>
      <c r="BB1356" s="44"/>
      <c r="BC1356" s="45"/>
      <c r="BD1356" s="44"/>
      <c r="BE1356" s="38"/>
      <c r="BF1356" s="46"/>
      <c r="BG1356" s="68"/>
      <c r="BH1356" s="68"/>
      <c r="BI1356" s="68"/>
      <c r="BJ1356" s="68"/>
      <c r="BK1356" s="68"/>
      <c r="BL1356" s="68"/>
      <c r="BM1356" s="68"/>
      <c r="BN1356" s="68"/>
      <c r="BO1356" s="68"/>
      <c r="BP1356" s="68"/>
      <c r="BQ1356" s="68"/>
      <c r="BR1356" s="68"/>
      <c r="BS1356" s="68"/>
      <c r="BT1356" s="68"/>
      <c r="BU1356" s="68"/>
      <c r="BV1356" s="68"/>
      <c r="BW1356" s="68"/>
      <c r="BX1356" s="68"/>
      <c r="BY1356" s="68"/>
      <c r="BZ1356" s="68"/>
      <c r="CA1356" s="68"/>
      <c r="CB1356" s="68"/>
      <c r="CC1356" s="68"/>
      <c r="CD1356" s="68"/>
      <c r="CE1356" s="68"/>
      <c r="CF1356" s="68"/>
      <c r="CG1356" s="68"/>
      <c r="CH1356" s="68"/>
      <c r="CI1356" s="68"/>
      <c r="CJ1356" s="68"/>
      <c r="CK1356" s="68"/>
      <c r="CL1356" s="68"/>
      <c r="CM1356" s="68"/>
      <c r="CN1356" s="68"/>
      <c r="CO1356" s="68"/>
      <c r="CP1356" s="68"/>
    </row>
    <row r="1357" ht="15.75" customHeight="1">
      <c r="A1357" s="866" t="s">
        <v>6384</v>
      </c>
      <c r="B1357" s="16"/>
      <c r="C1357" s="17" t="s">
        <v>123</v>
      </c>
      <c r="D1357" s="236" t="s">
        <v>6385</v>
      </c>
      <c r="E1357" s="236" t="s">
        <v>6386</v>
      </c>
      <c r="F1357" s="1611" t="s">
        <v>6387</v>
      </c>
      <c r="G1357" s="22"/>
      <c r="H1357" s="22" t="s">
        <v>114</v>
      </c>
      <c r="I1357" s="23" t="s">
        <v>115</v>
      </c>
      <c r="J1357" s="237"/>
      <c r="K1357" s="36"/>
      <c r="L1357" s="23">
        <v>2008.0</v>
      </c>
      <c r="M1357" s="25">
        <f t="shared" si="789"/>
        <v>17</v>
      </c>
      <c r="N1357" s="26">
        <f t="shared" si="790"/>
        <v>0</v>
      </c>
      <c r="O1357" s="27" t="str">
        <f t="shared" si="3"/>
        <v>#N/A</v>
      </c>
      <c r="P1357" s="28"/>
      <c r="Q1357" s="28"/>
      <c r="R1357" s="28"/>
      <c r="S1357" s="28"/>
      <c r="T1357" s="29">
        <f t="shared" si="791"/>
        <v>0</v>
      </c>
      <c r="U1357" s="28"/>
      <c r="V1357" s="30">
        <f t="shared" si="425"/>
        <v>0</v>
      </c>
      <c r="W1357" s="30"/>
      <c r="X1357" s="847"/>
      <c r="Y1357" s="33" t="str">
        <f t="shared" si="792"/>
        <v>#DIV/0!</v>
      </c>
      <c r="Z1357" s="692"/>
      <c r="AA1357" s="665"/>
      <c r="AB1357" s="36"/>
      <c r="AC1357" s="36"/>
      <c r="AD1357" s="44"/>
      <c r="AE1357" s="46"/>
      <c r="AF1357" s="320"/>
      <c r="AG1357" s="38"/>
      <c r="AH1357" s="46"/>
      <c r="AI1357" s="159"/>
      <c r="AJ1357" s="44"/>
      <c r="AK1357" s="46"/>
      <c r="AL1357" s="44"/>
      <c r="AM1357" s="46"/>
      <c r="AN1357" s="44"/>
      <c r="AO1357" s="46"/>
      <c r="AP1357" s="44"/>
      <c r="AQ1357" s="46"/>
      <c r="AR1357" s="44"/>
      <c r="AS1357" s="44"/>
      <c r="AT1357" s="44"/>
      <c r="AU1357" s="45"/>
      <c r="AV1357" s="44"/>
      <c r="AW1357" s="38"/>
      <c r="AX1357" s="44"/>
      <c r="AY1357" s="38"/>
      <c r="AZ1357" s="44"/>
      <c r="BA1357" s="45"/>
      <c r="BB1357" s="44"/>
      <c r="BC1357" s="45"/>
      <c r="BD1357" s="44"/>
      <c r="BE1357" s="38"/>
      <c r="BF1357" s="46"/>
      <c r="BG1357" s="1644"/>
      <c r="BH1357" s="1644"/>
      <c r="BI1357" s="1644"/>
      <c r="BJ1357" s="1644"/>
      <c r="BK1357" s="1644"/>
      <c r="BL1357" s="1644"/>
      <c r="BM1357" s="1644"/>
      <c r="BN1357" s="1644"/>
      <c r="BO1357" s="1644"/>
      <c r="BP1357" s="1644"/>
      <c r="BQ1357" s="1644"/>
      <c r="BR1357" s="1644"/>
      <c r="BS1357" s="1644"/>
      <c r="BT1357" s="1644"/>
      <c r="BU1357" s="1644"/>
      <c r="BV1357" s="1644"/>
      <c r="BW1357" s="1644"/>
      <c r="BX1357" s="1644"/>
      <c r="BY1357" s="1644"/>
      <c r="BZ1357" s="1644"/>
      <c r="CA1357" s="1644"/>
      <c r="CB1357" s="1644"/>
      <c r="CC1357" s="1644"/>
      <c r="CD1357" s="1644"/>
      <c r="CE1357" s="1644"/>
      <c r="CF1357" s="1644"/>
      <c r="CG1357" s="1644"/>
      <c r="CH1357" s="1644"/>
      <c r="CI1357" s="1644"/>
      <c r="CJ1357" s="1644"/>
      <c r="CK1357" s="1644"/>
      <c r="CL1357" s="1644"/>
      <c r="CM1357" s="1644"/>
      <c r="CN1357" s="1644"/>
      <c r="CO1357" s="1644"/>
      <c r="CP1357" s="1644"/>
    </row>
    <row r="1358" ht="15.75" customHeight="1">
      <c r="A1358" s="866" t="s">
        <v>6388</v>
      </c>
      <c r="B1358" s="16"/>
      <c r="C1358" s="17" t="s">
        <v>123</v>
      </c>
      <c r="D1358" s="337"/>
      <c r="E1358" s="236" t="s">
        <v>6389</v>
      </c>
      <c r="F1358" s="1611" t="s">
        <v>6390</v>
      </c>
      <c r="G1358" s="22"/>
      <c r="H1358" s="22" t="s">
        <v>2824</v>
      </c>
      <c r="I1358" s="23" t="s">
        <v>65</v>
      </c>
      <c r="J1358" s="237"/>
      <c r="K1358" s="36"/>
      <c r="L1358" s="23">
        <v>2010.0</v>
      </c>
      <c r="M1358" s="25">
        <f t="shared" si="789"/>
        <v>15</v>
      </c>
      <c r="N1358" s="26">
        <f t="shared" si="790"/>
        <v>0</v>
      </c>
      <c r="O1358" s="27" t="str">
        <f t="shared" si="3"/>
        <v>#N/A</v>
      </c>
      <c r="P1358" s="28"/>
      <c r="Q1358" s="28"/>
      <c r="R1358" s="28"/>
      <c r="S1358" s="28"/>
      <c r="T1358" s="29">
        <f t="shared" si="791"/>
        <v>0</v>
      </c>
      <c r="U1358" s="28"/>
      <c r="V1358" s="30">
        <f t="shared" si="425"/>
        <v>0</v>
      </c>
      <c r="W1358" s="30"/>
      <c r="X1358" s="847"/>
      <c r="Y1358" s="33" t="str">
        <f t="shared" si="792"/>
        <v>#DIV/0!</v>
      </c>
      <c r="Z1358" s="692"/>
      <c r="AA1358" s="665"/>
      <c r="AB1358" s="36"/>
      <c r="AC1358" s="36"/>
      <c r="AD1358" s="44"/>
      <c r="AE1358" s="46"/>
      <c r="AF1358" s="39"/>
      <c r="AG1358" s="46"/>
      <c r="AH1358" s="46"/>
      <c r="AI1358" s="159"/>
      <c r="AJ1358" s="44"/>
      <c r="AK1358" s="46"/>
      <c r="AL1358" s="44"/>
      <c r="AM1358" s="46"/>
      <c r="AN1358" s="44"/>
      <c r="AO1358" s="46"/>
      <c r="AP1358" s="44"/>
      <c r="AQ1358" s="46"/>
      <c r="AR1358" s="44"/>
      <c r="AS1358" s="44"/>
      <c r="AT1358" s="44"/>
      <c r="AU1358" s="45"/>
      <c r="AV1358" s="44"/>
      <c r="AW1358" s="38"/>
      <c r="AX1358" s="44"/>
      <c r="AY1358" s="38"/>
      <c r="AZ1358" s="44"/>
      <c r="BA1358" s="45"/>
      <c r="BB1358" s="44"/>
      <c r="BC1358" s="45"/>
      <c r="BD1358" s="44"/>
      <c r="BE1358" s="38"/>
      <c r="BF1358" s="46"/>
      <c r="BG1358" s="1407"/>
      <c r="BH1358" s="1407"/>
      <c r="BI1358" s="1407"/>
      <c r="BJ1358" s="1407"/>
      <c r="BK1358" s="1407"/>
      <c r="BL1358" s="1407"/>
      <c r="BM1358" s="1407"/>
      <c r="BN1358" s="1407"/>
      <c r="BO1358" s="1407"/>
      <c r="BP1358" s="1407"/>
      <c r="BQ1358" s="1407"/>
      <c r="BR1358" s="1407"/>
      <c r="BS1358" s="1407"/>
      <c r="BT1358" s="1407"/>
      <c r="BU1358" s="1407"/>
      <c r="BV1358" s="1407"/>
      <c r="BW1358" s="1407"/>
      <c r="BX1358" s="1407"/>
      <c r="BY1358" s="1407"/>
      <c r="BZ1358" s="1407"/>
      <c r="CA1358" s="1407"/>
      <c r="CB1358" s="1407"/>
      <c r="CC1358" s="1407"/>
      <c r="CD1358" s="1407"/>
      <c r="CE1358" s="1407"/>
      <c r="CF1358" s="1407"/>
      <c r="CG1358" s="1407"/>
      <c r="CH1358" s="1407"/>
      <c r="CI1358" s="1407"/>
      <c r="CJ1358" s="1407"/>
      <c r="CK1358" s="1407"/>
      <c r="CL1358" s="1407"/>
      <c r="CM1358" s="1407"/>
      <c r="CN1358" s="1407"/>
      <c r="CO1358" s="1407"/>
      <c r="CP1358" s="1407"/>
    </row>
    <row r="1359" ht="15.75" customHeight="1">
      <c r="A1359" s="442" t="s">
        <v>6231</v>
      </c>
      <c r="B1359" s="1333" t="s">
        <v>944</v>
      </c>
      <c r="C1359" s="17" t="s">
        <v>123</v>
      </c>
      <c r="D1359" s="184" t="s">
        <v>6391</v>
      </c>
      <c r="E1359" s="184" t="s">
        <v>6392</v>
      </c>
      <c r="F1359" s="185" t="s">
        <v>6393</v>
      </c>
      <c r="G1359" s="22" t="s">
        <v>1410</v>
      </c>
      <c r="H1359" s="317" t="s">
        <v>357</v>
      </c>
      <c r="I1359" s="36" t="s">
        <v>6394</v>
      </c>
      <c r="J1359" s="237"/>
      <c r="K1359" s="36">
        <v>1.0</v>
      </c>
      <c r="L1359" s="23">
        <v>2001.0</v>
      </c>
      <c r="M1359" s="25">
        <f t="shared" si="789"/>
        <v>24</v>
      </c>
      <c r="N1359" s="26">
        <f t="shared" si="790"/>
        <v>0</v>
      </c>
      <c r="O1359" s="27" t="str">
        <f t="shared" si="3"/>
        <v>#N/A</v>
      </c>
      <c r="P1359" s="28"/>
      <c r="Q1359" s="28"/>
      <c r="R1359" s="28"/>
      <c r="S1359" s="28"/>
      <c r="T1359" s="29">
        <f t="shared" si="791"/>
        <v>0</v>
      </c>
      <c r="U1359" s="28"/>
      <c r="V1359" s="30">
        <f t="shared" si="425"/>
        <v>0</v>
      </c>
      <c r="W1359" s="30"/>
      <c r="X1359" s="847"/>
      <c r="Y1359" s="33" t="str">
        <f t="shared" si="792"/>
        <v>#DIV/0!</v>
      </c>
      <c r="Z1359" s="692"/>
      <c r="AA1359" s="665"/>
      <c r="AB1359" s="36"/>
      <c r="AC1359" s="36"/>
      <c r="AD1359" s="44"/>
      <c r="AE1359" s="46"/>
      <c r="AF1359" s="39"/>
      <c r="AG1359" s="46"/>
      <c r="AH1359" s="46"/>
      <c r="AI1359" s="159"/>
      <c r="AJ1359" s="44"/>
      <c r="AK1359" s="46"/>
      <c r="AL1359" s="44"/>
      <c r="AM1359" s="46"/>
      <c r="AN1359" s="44"/>
      <c r="AO1359" s="46"/>
      <c r="AP1359" s="44"/>
      <c r="AQ1359" s="46"/>
      <c r="AR1359" s="44"/>
      <c r="AS1359" s="44"/>
      <c r="AT1359" s="44"/>
      <c r="AU1359" s="45"/>
      <c r="AV1359" s="44"/>
      <c r="AW1359" s="38"/>
      <c r="AX1359" s="44"/>
      <c r="AY1359" s="38"/>
      <c r="AZ1359" s="44"/>
      <c r="BA1359" s="45"/>
      <c r="BB1359" s="44"/>
      <c r="BC1359" s="45"/>
      <c r="BD1359" s="44"/>
      <c r="BE1359" s="38"/>
      <c r="BF1359" s="46"/>
      <c r="BG1359" s="68"/>
      <c r="BH1359" s="68"/>
      <c r="BI1359" s="68"/>
      <c r="BJ1359" s="68"/>
      <c r="BK1359" s="68"/>
      <c r="BL1359" s="68"/>
      <c r="BM1359" s="68"/>
      <c r="BN1359" s="68"/>
      <c r="BO1359" s="68"/>
      <c r="BP1359" s="68"/>
      <c r="BQ1359" s="68"/>
      <c r="BR1359" s="68"/>
      <c r="BS1359" s="68"/>
      <c r="BT1359" s="68"/>
      <c r="BU1359" s="68"/>
      <c r="BV1359" s="68"/>
      <c r="BW1359" s="68"/>
      <c r="BX1359" s="68"/>
      <c r="BY1359" s="68"/>
      <c r="BZ1359" s="68"/>
      <c r="CA1359" s="68"/>
      <c r="CB1359" s="68"/>
      <c r="CC1359" s="68"/>
      <c r="CD1359" s="68"/>
      <c r="CE1359" s="68"/>
      <c r="CF1359" s="68"/>
      <c r="CG1359" s="68"/>
      <c r="CH1359" s="68"/>
      <c r="CI1359" s="68"/>
      <c r="CJ1359" s="68"/>
      <c r="CK1359" s="68"/>
      <c r="CL1359" s="68"/>
      <c r="CM1359" s="68"/>
      <c r="CN1359" s="68"/>
      <c r="CO1359" s="68"/>
      <c r="CP1359" s="68"/>
    </row>
    <row r="1360" ht="15.75" customHeight="1">
      <c r="A1360" s="462" t="s">
        <v>6395</v>
      </c>
      <c r="B1360" s="16"/>
      <c r="C1360" s="17" t="s">
        <v>76</v>
      </c>
      <c r="D1360" s="337"/>
      <c r="E1360" s="236" t="s">
        <v>6396</v>
      </c>
      <c r="F1360" s="20" t="s">
        <v>6397</v>
      </c>
      <c r="G1360" s="48" t="s">
        <v>6398</v>
      </c>
      <c r="H1360" s="22" t="s">
        <v>2784</v>
      </c>
      <c r="I1360" s="23" t="s">
        <v>65</v>
      </c>
      <c r="J1360" s="24" t="s">
        <v>6399</v>
      </c>
      <c r="K1360" s="23" t="s">
        <v>219</v>
      </c>
      <c r="L1360" s="23">
        <v>1958.0</v>
      </c>
      <c r="M1360" s="25">
        <f t="shared" si="789"/>
        <v>67</v>
      </c>
      <c r="N1360" s="26">
        <f t="shared" si="790"/>
        <v>0</v>
      </c>
      <c r="O1360" s="27" t="str">
        <f t="shared" si="3"/>
        <v>#N/A</v>
      </c>
      <c r="P1360" s="28"/>
      <c r="Q1360" s="28"/>
      <c r="R1360" s="28"/>
      <c r="S1360" s="28"/>
      <c r="T1360" s="29">
        <f t="shared" si="791"/>
        <v>0</v>
      </c>
      <c r="U1360" s="28"/>
      <c r="V1360" s="30">
        <f t="shared" si="425"/>
        <v>0</v>
      </c>
      <c r="W1360" s="30"/>
      <c r="X1360" s="33"/>
      <c r="Y1360" s="33" t="str">
        <f t="shared" si="792"/>
        <v>#DIV/0!</v>
      </c>
      <c r="Z1360" s="692"/>
      <c r="AA1360" s="665"/>
      <c r="AB1360" s="36"/>
      <c r="AC1360" s="36"/>
      <c r="AD1360" s="898"/>
      <c r="AE1360" s="1174"/>
      <c r="AF1360" s="39"/>
      <c r="AG1360" s="46"/>
      <c r="AH1360" s="36"/>
      <c r="AI1360" s="159"/>
      <c r="AJ1360" s="227"/>
      <c r="AK1360" s="1547"/>
      <c r="AL1360" s="44"/>
      <c r="AM1360" s="46"/>
      <c r="AN1360" s="44"/>
      <c r="AO1360" s="46"/>
      <c r="AP1360" s="44"/>
      <c r="AQ1360" s="46"/>
      <c r="AR1360" s="44"/>
      <c r="AS1360" s="44"/>
      <c r="AT1360" s="44"/>
      <c r="AU1360" s="45"/>
      <c r="AV1360" s="44"/>
      <c r="AW1360" s="38"/>
      <c r="AX1360" s="44"/>
      <c r="AY1360" s="38"/>
      <c r="AZ1360" s="44"/>
      <c r="BA1360" s="45"/>
      <c r="BB1360" s="44"/>
      <c r="BC1360" s="45"/>
      <c r="BD1360" s="44"/>
      <c r="BE1360" s="38"/>
      <c r="BF1360" s="36"/>
      <c r="BG1360" s="68"/>
      <c r="BH1360" s="68"/>
      <c r="BI1360" s="68"/>
      <c r="BJ1360" s="68"/>
      <c r="BK1360" s="68"/>
      <c r="BL1360" s="68"/>
      <c r="BM1360" s="68"/>
      <c r="BN1360" s="68"/>
      <c r="BO1360" s="68"/>
      <c r="BP1360" s="68"/>
      <c r="BQ1360" s="68"/>
      <c r="BR1360" s="68"/>
      <c r="BS1360" s="68"/>
      <c r="BT1360" s="68"/>
      <c r="BU1360" s="68"/>
      <c r="BV1360" s="68"/>
      <c r="BW1360" s="68"/>
      <c r="BX1360" s="68"/>
      <c r="BY1360" s="68"/>
      <c r="BZ1360" s="68"/>
      <c r="CA1360" s="68"/>
      <c r="CB1360" s="68"/>
      <c r="CC1360" s="68"/>
      <c r="CD1360" s="68"/>
      <c r="CE1360" s="68"/>
      <c r="CF1360" s="68"/>
      <c r="CG1360" s="68"/>
      <c r="CH1360" s="68"/>
      <c r="CI1360" s="68"/>
      <c r="CJ1360" s="68"/>
      <c r="CK1360" s="68"/>
      <c r="CL1360" s="68"/>
      <c r="CM1360" s="68"/>
      <c r="CN1360" s="68"/>
      <c r="CO1360" s="68"/>
      <c r="CP1360" s="68"/>
    </row>
    <row r="1361" ht="15.75" customHeight="1">
      <c r="A1361" s="866" t="s">
        <v>6400</v>
      </c>
      <c r="B1361" s="16"/>
      <c r="C1361" s="17" t="s">
        <v>123</v>
      </c>
      <c r="D1361" s="236" t="s">
        <v>6401</v>
      </c>
      <c r="E1361" s="236" t="s">
        <v>6402</v>
      </c>
      <c r="F1361" s="1611" t="s">
        <v>6403</v>
      </c>
      <c r="G1361" s="317"/>
      <c r="H1361" s="22" t="s">
        <v>673</v>
      </c>
      <c r="I1361" s="23" t="s">
        <v>674</v>
      </c>
      <c r="J1361" s="237"/>
      <c r="K1361" s="23"/>
      <c r="L1361" s="23">
        <v>2016.0</v>
      </c>
      <c r="M1361" s="25">
        <f t="shared" si="789"/>
        <v>9</v>
      </c>
      <c r="N1361" s="26">
        <f t="shared" si="790"/>
        <v>0</v>
      </c>
      <c r="O1361" s="27" t="str">
        <f t="shared" si="3"/>
        <v>#N/A</v>
      </c>
      <c r="P1361" s="28"/>
      <c r="Q1361" s="28"/>
      <c r="R1361" s="28"/>
      <c r="S1361" s="28"/>
      <c r="T1361" s="29">
        <f t="shared" si="791"/>
        <v>0</v>
      </c>
      <c r="U1361" s="28"/>
      <c r="V1361" s="30">
        <f t="shared" si="425"/>
        <v>0</v>
      </c>
      <c r="W1361" s="30"/>
      <c r="X1361" s="33"/>
      <c r="Y1361" s="33" t="str">
        <f t="shared" si="792"/>
        <v>#DIV/0!</v>
      </c>
      <c r="Z1361" s="692"/>
      <c r="AA1361" s="665"/>
      <c r="AB1361" s="36"/>
      <c r="AC1361" s="36"/>
      <c r="AD1361" s="44"/>
      <c r="AE1361" s="38"/>
      <c r="AF1361" s="39"/>
      <c r="AG1361" s="46"/>
      <c r="AH1361" s="36"/>
      <c r="AI1361" s="159"/>
      <c r="AJ1361" s="804"/>
      <c r="AK1361" s="38"/>
      <c r="AL1361" s="804"/>
      <c r="AM1361" s="805"/>
      <c r="AN1361" s="1116"/>
      <c r="AO1361" s="805"/>
      <c r="AP1361" s="44"/>
      <c r="AQ1361" s="46"/>
      <c r="AR1361" s="44"/>
      <c r="AS1361" s="44"/>
      <c r="AT1361" s="44"/>
      <c r="AU1361" s="45"/>
      <c r="AV1361" s="44"/>
      <c r="AW1361" s="38"/>
      <c r="AX1361" s="44"/>
      <c r="AY1361" s="38"/>
      <c r="AZ1361" s="44"/>
      <c r="BA1361" s="45"/>
      <c r="BB1361" s="44"/>
      <c r="BC1361" s="45"/>
      <c r="BD1361" s="44"/>
      <c r="BE1361" s="38"/>
      <c r="BF1361" s="36"/>
      <c r="BG1361" s="68"/>
      <c r="BH1361" s="68"/>
      <c r="BI1361" s="68"/>
      <c r="BJ1361" s="68"/>
      <c r="BK1361" s="68"/>
      <c r="BL1361" s="68"/>
      <c r="BM1361" s="68"/>
      <c r="BN1361" s="68"/>
      <c r="BO1361" s="68"/>
      <c r="BP1361" s="68"/>
      <c r="BQ1361" s="68"/>
      <c r="BR1361" s="68"/>
      <c r="BS1361" s="68"/>
      <c r="BT1361" s="68"/>
      <c r="BU1361" s="68"/>
      <c r="BV1361" s="68"/>
      <c r="BW1361" s="68"/>
      <c r="BX1361" s="68"/>
      <c r="BY1361" s="68"/>
      <c r="BZ1361" s="68"/>
      <c r="CA1361" s="68"/>
      <c r="CB1361" s="68"/>
      <c r="CC1361" s="68"/>
      <c r="CD1361" s="68"/>
      <c r="CE1361" s="68"/>
      <c r="CF1361" s="68"/>
      <c r="CG1361" s="68"/>
      <c r="CH1361" s="68"/>
      <c r="CI1361" s="68"/>
      <c r="CJ1361" s="68"/>
      <c r="CK1361" s="68"/>
      <c r="CL1361" s="68"/>
      <c r="CM1361" s="68"/>
      <c r="CN1361" s="68"/>
      <c r="CO1361" s="68"/>
      <c r="CP1361" s="68"/>
    </row>
    <row r="1362" ht="15.75" customHeight="1">
      <c r="A1362" s="1579" t="s">
        <v>6404</v>
      </c>
      <c r="B1362" s="1490"/>
      <c r="C1362" s="1613" t="s">
        <v>123</v>
      </c>
      <c r="D1362" s="1622" t="s">
        <v>6405</v>
      </c>
      <c r="E1362" s="1645"/>
      <c r="F1362" s="1614" t="s">
        <v>6406</v>
      </c>
      <c r="G1362" s="1626"/>
      <c r="H1362" s="1583"/>
      <c r="I1362" s="1586"/>
      <c r="J1362" s="1585"/>
      <c r="K1362" s="1584"/>
      <c r="L1362" s="1584"/>
      <c r="M1362" s="25">
        <f t="shared" si="789"/>
        <v>2025</v>
      </c>
      <c r="N1362" s="26">
        <f t="shared" si="790"/>
        <v>0</v>
      </c>
      <c r="O1362" s="27" t="str">
        <f t="shared" si="3"/>
        <v>#N/A</v>
      </c>
      <c r="P1362" s="28"/>
      <c r="Q1362" s="28"/>
      <c r="R1362" s="28"/>
      <c r="S1362" s="28"/>
      <c r="T1362" s="29">
        <f t="shared" si="791"/>
        <v>0</v>
      </c>
      <c r="U1362" s="28"/>
      <c r="V1362" s="30">
        <f t="shared" si="425"/>
        <v>0</v>
      </c>
      <c r="W1362" s="30"/>
      <c r="X1362" s="1616"/>
      <c r="Y1362" s="33" t="str">
        <f t="shared" si="792"/>
        <v>#DIV/0!</v>
      </c>
      <c r="Z1362" s="692"/>
      <c r="AA1362" s="665"/>
      <c r="AB1362" s="1586"/>
      <c r="AC1362" s="1586"/>
      <c r="AD1362" s="1588"/>
      <c r="AE1362" s="1591"/>
      <c r="AF1362" s="1590"/>
      <c r="AG1362" s="1589"/>
      <c r="AH1362" s="1586"/>
      <c r="AI1362" s="1627"/>
      <c r="AJ1362" s="1646"/>
      <c r="AK1362" s="1591"/>
      <c r="AL1362" s="1646"/>
      <c r="AM1362" s="1647"/>
      <c r="AN1362" s="1648"/>
      <c r="AO1362" s="1647"/>
      <c r="AP1362" s="1588"/>
      <c r="AQ1362" s="1589"/>
      <c r="AR1362" s="1588"/>
      <c r="AS1362" s="1588"/>
      <c r="AT1362" s="1588"/>
      <c r="AU1362" s="30"/>
      <c r="AV1362" s="1588"/>
      <c r="AW1362" s="38"/>
      <c r="AX1362" s="1588"/>
      <c r="AY1362" s="38"/>
      <c r="AZ1362" s="1588"/>
      <c r="BA1362" s="30"/>
      <c r="BB1362" s="1588"/>
      <c r="BC1362" s="30"/>
      <c r="BD1362" s="1588"/>
      <c r="BE1362" s="38"/>
      <c r="BF1362" s="1586"/>
      <c r="BG1362" s="68"/>
      <c r="BH1362" s="68"/>
      <c r="BI1362" s="68"/>
      <c r="BJ1362" s="68"/>
      <c r="BK1362" s="68"/>
      <c r="BL1362" s="68"/>
      <c r="BM1362" s="68"/>
      <c r="BN1362" s="68"/>
      <c r="BO1362" s="68"/>
      <c r="BP1362" s="68"/>
      <c r="BQ1362" s="68"/>
      <c r="BR1362" s="68"/>
      <c r="BS1362" s="68"/>
      <c r="BT1362" s="68"/>
      <c r="BU1362" s="68"/>
      <c r="BV1362" s="68"/>
      <c r="BW1362" s="68"/>
      <c r="BX1362" s="68"/>
      <c r="BY1362" s="68"/>
      <c r="BZ1362" s="68"/>
      <c r="CA1362" s="68"/>
      <c r="CB1362" s="68"/>
      <c r="CC1362" s="68"/>
      <c r="CD1362" s="68"/>
      <c r="CE1362" s="68"/>
      <c r="CF1362" s="68"/>
      <c r="CG1362" s="68"/>
      <c r="CH1362" s="68"/>
      <c r="CI1362" s="68"/>
      <c r="CJ1362" s="68"/>
      <c r="CK1362" s="68"/>
      <c r="CL1362" s="68"/>
      <c r="CM1362" s="68"/>
      <c r="CN1362" s="68"/>
      <c r="CO1362" s="68"/>
      <c r="CP1362" s="68"/>
    </row>
    <row r="1363" ht="15.75" customHeight="1">
      <c r="A1363" s="866" t="s">
        <v>6407</v>
      </c>
      <c r="B1363" s="16"/>
      <c r="C1363" s="17" t="s">
        <v>123</v>
      </c>
      <c r="D1363" s="236" t="s">
        <v>6408</v>
      </c>
      <c r="E1363" s="236" t="s">
        <v>6409</v>
      </c>
      <c r="F1363" s="1173" t="s">
        <v>6410</v>
      </c>
      <c r="G1363" s="317"/>
      <c r="H1363" s="22" t="s">
        <v>4841</v>
      </c>
      <c r="I1363" s="23" t="s">
        <v>257</v>
      </c>
      <c r="J1363" s="237"/>
      <c r="K1363" s="36"/>
      <c r="L1363" s="23">
        <v>2016.0</v>
      </c>
      <c r="M1363" s="25">
        <f t="shared" si="789"/>
        <v>9</v>
      </c>
      <c r="N1363" s="26">
        <f t="shared" si="790"/>
        <v>0</v>
      </c>
      <c r="O1363" s="27" t="str">
        <f t="shared" si="3"/>
        <v>#N/A</v>
      </c>
      <c r="P1363" s="28"/>
      <c r="Q1363" s="28"/>
      <c r="R1363" s="28"/>
      <c r="S1363" s="28"/>
      <c r="T1363" s="29">
        <f t="shared" si="791"/>
        <v>0</v>
      </c>
      <c r="U1363" s="28"/>
      <c r="V1363" s="30">
        <f t="shared" si="425"/>
        <v>0</v>
      </c>
      <c r="W1363" s="30"/>
      <c r="X1363" s="847"/>
      <c r="Y1363" s="33" t="str">
        <f t="shared" si="792"/>
        <v>#DIV/0!</v>
      </c>
      <c r="Z1363" s="692"/>
      <c r="AA1363" s="665"/>
      <c r="AB1363" s="36"/>
      <c r="AC1363" s="36"/>
      <c r="AD1363" s="898"/>
      <c r="AE1363" s="1174"/>
      <c r="AF1363" s="39"/>
      <c r="AG1363" s="46"/>
      <c r="AH1363" s="36"/>
      <c r="AI1363" s="159"/>
      <c r="AJ1363" s="44"/>
      <c r="AK1363" s="46"/>
      <c r="AL1363" s="44"/>
      <c r="AM1363" s="46"/>
      <c r="AN1363" s="44"/>
      <c r="AO1363" s="46"/>
      <c r="AP1363" s="44"/>
      <c r="AQ1363" s="46"/>
      <c r="AR1363" s="44"/>
      <c r="AS1363" s="44"/>
      <c r="AT1363" s="44"/>
      <c r="AU1363" s="45"/>
      <c r="AV1363" s="44"/>
      <c r="AW1363" s="38"/>
      <c r="AX1363" s="44"/>
      <c r="AY1363" s="38"/>
      <c r="AZ1363" s="44"/>
      <c r="BA1363" s="45"/>
      <c r="BB1363" s="44"/>
      <c r="BC1363" s="45"/>
      <c r="BD1363" s="44"/>
      <c r="BE1363" s="38"/>
      <c r="BF1363" s="36"/>
      <c r="BG1363" s="68"/>
      <c r="BH1363" s="68"/>
      <c r="BI1363" s="68"/>
      <c r="BJ1363" s="68"/>
      <c r="BK1363" s="68"/>
      <c r="BL1363" s="68"/>
      <c r="BM1363" s="68"/>
      <c r="BN1363" s="68"/>
      <c r="BO1363" s="68"/>
      <c r="BP1363" s="68"/>
      <c r="BQ1363" s="68"/>
      <c r="BR1363" s="68"/>
      <c r="BS1363" s="68"/>
      <c r="BT1363" s="68"/>
      <c r="BU1363" s="68"/>
      <c r="BV1363" s="68"/>
      <c r="BW1363" s="68"/>
      <c r="BX1363" s="68"/>
      <c r="BY1363" s="68"/>
      <c r="BZ1363" s="68"/>
      <c r="CA1363" s="68"/>
      <c r="CB1363" s="68"/>
      <c r="CC1363" s="68"/>
      <c r="CD1363" s="68"/>
      <c r="CE1363" s="68"/>
      <c r="CF1363" s="68"/>
      <c r="CG1363" s="68"/>
      <c r="CH1363" s="68"/>
      <c r="CI1363" s="68"/>
      <c r="CJ1363" s="68"/>
      <c r="CK1363" s="68"/>
      <c r="CL1363" s="68"/>
      <c r="CM1363" s="68"/>
      <c r="CN1363" s="68"/>
      <c r="CO1363" s="68"/>
      <c r="CP1363" s="68"/>
    </row>
    <row r="1364" ht="15.75" customHeight="1">
      <c r="A1364" s="462" t="s">
        <v>6411</v>
      </c>
      <c r="B1364" s="16"/>
      <c r="C1364" s="17" t="s">
        <v>84</v>
      </c>
      <c r="D1364" s="245"/>
      <c r="E1364" s="245"/>
      <c r="F1364" s="803" t="s">
        <v>6412</v>
      </c>
      <c r="G1364" s="317"/>
      <c r="H1364" s="22" t="s">
        <v>357</v>
      </c>
      <c r="I1364" s="23" t="s">
        <v>358</v>
      </c>
      <c r="J1364" s="237"/>
      <c r="K1364" s="23"/>
      <c r="L1364" s="23"/>
      <c r="M1364" s="25">
        <f t="shared" si="789"/>
        <v>2025</v>
      </c>
      <c r="N1364" s="26">
        <f t="shared" si="790"/>
        <v>0</v>
      </c>
      <c r="O1364" s="27" t="str">
        <f t="shared" si="3"/>
        <v>#N/A</v>
      </c>
      <c r="P1364" s="28"/>
      <c r="Q1364" s="28"/>
      <c r="R1364" s="28"/>
      <c r="S1364" s="28"/>
      <c r="T1364" s="29">
        <f t="shared" si="791"/>
        <v>0</v>
      </c>
      <c r="U1364" s="28"/>
      <c r="V1364" s="30">
        <f t="shared" si="425"/>
        <v>0</v>
      </c>
      <c r="W1364" s="30"/>
      <c r="X1364" s="33"/>
      <c r="Y1364" s="33" t="str">
        <f t="shared" si="792"/>
        <v>#DIV/0!</v>
      </c>
      <c r="Z1364" s="692"/>
      <c r="AA1364" s="665"/>
      <c r="AB1364" s="36"/>
      <c r="AC1364" s="36"/>
      <c r="AD1364" s="44"/>
      <c r="AE1364" s="38"/>
      <c r="AF1364" s="225"/>
      <c r="AG1364" s="38"/>
      <c r="AH1364" s="16"/>
      <c r="AI1364" s="962"/>
      <c r="AJ1364" s="227"/>
      <c r="AK1364" s="38"/>
      <c r="AL1364" s="227"/>
      <c r="AM1364" s="805"/>
      <c r="AN1364" s="42"/>
      <c r="AO1364" s="805"/>
      <c r="AP1364" s="44"/>
      <c r="AQ1364" s="46"/>
      <c r="AR1364" s="44"/>
      <c r="AS1364" s="44"/>
      <c r="AT1364" s="44"/>
      <c r="AU1364" s="45"/>
      <c r="AV1364" s="44"/>
      <c r="AW1364" s="38"/>
      <c r="AX1364" s="44"/>
      <c r="AY1364" s="38"/>
      <c r="AZ1364" s="44"/>
      <c r="BA1364" s="45"/>
      <c r="BB1364" s="44"/>
      <c r="BC1364" s="45"/>
      <c r="BD1364" s="44"/>
      <c r="BE1364" s="38"/>
      <c r="BF1364" s="36"/>
      <c r="BG1364" s="68"/>
      <c r="BH1364" s="68"/>
      <c r="BI1364" s="68"/>
      <c r="BJ1364" s="68"/>
      <c r="BK1364" s="68"/>
      <c r="BL1364" s="68"/>
      <c r="BM1364" s="68"/>
      <c r="BN1364" s="68"/>
      <c r="BO1364" s="68"/>
      <c r="BP1364" s="68"/>
      <c r="BQ1364" s="68"/>
      <c r="BR1364" s="68"/>
      <c r="BS1364" s="68"/>
      <c r="BT1364" s="68"/>
      <c r="BU1364" s="68"/>
      <c r="BV1364" s="68"/>
      <c r="BW1364" s="68"/>
      <c r="BX1364" s="68"/>
      <c r="BY1364" s="68"/>
      <c r="BZ1364" s="68"/>
      <c r="CA1364" s="68"/>
      <c r="CB1364" s="68"/>
      <c r="CC1364" s="68"/>
      <c r="CD1364" s="68"/>
      <c r="CE1364" s="68"/>
      <c r="CF1364" s="68"/>
      <c r="CG1364" s="68"/>
      <c r="CH1364" s="68"/>
      <c r="CI1364" s="68"/>
      <c r="CJ1364" s="68"/>
      <c r="CK1364" s="68"/>
      <c r="CL1364" s="68"/>
      <c r="CM1364" s="68"/>
      <c r="CN1364" s="68"/>
      <c r="CO1364" s="68"/>
      <c r="CP1364" s="68"/>
    </row>
    <row r="1365" ht="15.75" customHeight="1">
      <c r="A1365" s="866" t="s">
        <v>6413</v>
      </c>
      <c r="B1365" s="16"/>
      <c r="C1365" s="17" t="s">
        <v>123</v>
      </c>
      <c r="D1365" s="192" t="s">
        <v>6414</v>
      </c>
      <c r="E1365" s="236" t="s">
        <v>6415</v>
      </c>
      <c r="F1365" s="803" t="s">
        <v>6416</v>
      </c>
      <c r="G1365" s="317"/>
      <c r="H1365" s="22" t="s">
        <v>6417</v>
      </c>
      <c r="I1365" s="23" t="s">
        <v>2240</v>
      </c>
      <c r="J1365" s="237"/>
      <c r="K1365" s="23"/>
      <c r="L1365" s="23">
        <v>2016.0</v>
      </c>
      <c r="M1365" s="25">
        <f t="shared" si="789"/>
        <v>9</v>
      </c>
      <c r="N1365" s="26">
        <f t="shared" si="790"/>
        <v>0</v>
      </c>
      <c r="O1365" s="27" t="str">
        <f t="shared" si="3"/>
        <v>#N/A</v>
      </c>
      <c r="P1365" s="28"/>
      <c r="Q1365" s="28"/>
      <c r="R1365" s="28"/>
      <c r="S1365" s="28"/>
      <c r="T1365" s="29">
        <f t="shared" si="791"/>
        <v>0</v>
      </c>
      <c r="U1365" s="28"/>
      <c r="V1365" s="30">
        <f t="shared" si="425"/>
        <v>0</v>
      </c>
      <c r="W1365" s="30"/>
      <c r="X1365" s="33"/>
      <c r="Y1365" s="33" t="str">
        <f t="shared" si="792"/>
        <v>#DIV/0!</v>
      </c>
      <c r="Z1365" s="692"/>
      <c r="AA1365" s="665"/>
      <c r="AB1365" s="36"/>
      <c r="AC1365" s="36"/>
      <c r="AD1365" s="44"/>
      <c r="AE1365" s="38"/>
      <c r="AF1365" s="39"/>
      <c r="AG1365" s="46"/>
      <c r="AH1365" s="36"/>
      <c r="AI1365" s="159"/>
      <c r="AJ1365" s="37"/>
      <c r="AK1365" s="38"/>
      <c r="AL1365" s="1044"/>
      <c r="AM1365" s="805"/>
      <c r="AN1365" s="1116"/>
      <c r="AO1365" s="805"/>
      <c r="AP1365" s="44"/>
      <c r="AQ1365" s="46"/>
      <c r="AR1365" s="44"/>
      <c r="AS1365" s="44"/>
      <c r="AT1365" s="44"/>
      <c r="AU1365" s="45"/>
      <c r="AV1365" s="44"/>
      <c r="AW1365" s="38"/>
      <c r="AX1365" s="44"/>
      <c r="AY1365" s="38"/>
      <c r="AZ1365" s="44"/>
      <c r="BA1365" s="45"/>
      <c r="BB1365" s="44"/>
      <c r="BC1365" s="45"/>
      <c r="BD1365" s="44"/>
      <c r="BE1365" s="38"/>
      <c r="BF1365" s="36"/>
      <c r="BG1365" s="68"/>
      <c r="BH1365" s="68"/>
      <c r="BI1365" s="68"/>
      <c r="BJ1365" s="68"/>
      <c r="BK1365" s="68"/>
      <c r="BL1365" s="68"/>
      <c r="BM1365" s="68"/>
      <c r="BN1365" s="68"/>
      <c r="BO1365" s="68"/>
      <c r="BP1365" s="68"/>
      <c r="BQ1365" s="68"/>
      <c r="BR1365" s="68"/>
      <c r="BS1365" s="68"/>
      <c r="BT1365" s="68"/>
      <c r="BU1365" s="68"/>
      <c r="BV1365" s="68"/>
      <c r="BW1365" s="68"/>
      <c r="BX1365" s="68"/>
      <c r="BY1365" s="68"/>
      <c r="BZ1365" s="68"/>
      <c r="CA1365" s="68"/>
      <c r="CB1365" s="68"/>
      <c r="CC1365" s="68"/>
      <c r="CD1365" s="68"/>
      <c r="CE1365" s="68"/>
      <c r="CF1365" s="68"/>
      <c r="CG1365" s="68"/>
      <c r="CH1365" s="68"/>
      <c r="CI1365" s="68"/>
      <c r="CJ1365" s="68"/>
      <c r="CK1365" s="68"/>
      <c r="CL1365" s="68"/>
      <c r="CM1365" s="68"/>
      <c r="CN1365" s="68"/>
      <c r="CO1365" s="68"/>
      <c r="CP1365" s="68"/>
    </row>
    <row r="1366" ht="15.75" customHeight="1">
      <c r="A1366" s="866" t="s">
        <v>6418</v>
      </c>
      <c r="B1366" s="16"/>
      <c r="C1366" s="17" t="s">
        <v>84</v>
      </c>
      <c r="D1366" s="192" t="s">
        <v>6419</v>
      </c>
      <c r="E1366" s="236" t="s">
        <v>6420</v>
      </c>
      <c r="F1366" s="1173" t="s">
        <v>6421</v>
      </c>
      <c r="G1366" s="317"/>
      <c r="H1366" s="22" t="s">
        <v>1065</v>
      </c>
      <c r="I1366" s="23" t="s">
        <v>639</v>
      </c>
      <c r="J1366" s="237"/>
      <c r="K1366" s="23"/>
      <c r="L1366" s="23">
        <v>2009.0</v>
      </c>
      <c r="M1366" s="25">
        <f t="shared" si="789"/>
        <v>16</v>
      </c>
      <c r="N1366" s="26">
        <f t="shared" si="790"/>
        <v>0</v>
      </c>
      <c r="O1366" s="27" t="str">
        <f t="shared" si="3"/>
        <v>#N/A</v>
      </c>
      <c r="P1366" s="28"/>
      <c r="Q1366" s="28"/>
      <c r="R1366" s="28"/>
      <c r="S1366" s="28"/>
      <c r="T1366" s="29">
        <f t="shared" si="791"/>
        <v>0</v>
      </c>
      <c r="U1366" s="28"/>
      <c r="V1366" s="30">
        <f t="shared" si="425"/>
        <v>0</v>
      </c>
      <c r="W1366" s="30"/>
      <c r="X1366" s="33"/>
      <c r="Y1366" s="33" t="str">
        <f t="shared" si="792"/>
        <v>#DIV/0!</v>
      </c>
      <c r="Z1366" s="692"/>
      <c r="AA1366" s="665"/>
      <c r="AB1366" s="36"/>
      <c r="AC1366" s="36"/>
      <c r="AD1366" s="44"/>
      <c r="AE1366" s="38"/>
      <c r="AF1366" s="39"/>
      <c r="AG1366" s="46"/>
      <c r="AH1366" s="36"/>
      <c r="AI1366" s="159"/>
      <c r="AJ1366" s="37"/>
      <c r="AK1366" s="38"/>
      <c r="AL1366" s="1044"/>
      <c r="AM1366" s="805"/>
      <c r="AN1366" s="1116"/>
      <c r="AO1366" s="805"/>
      <c r="AP1366" s="44"/>
      <c r="AQ1366" s="46"/>
      <c r="AR1366" s="44"/>
      <c r="AS1366" s="44"/>
      <c r="AT1366" s="44"/>
      <c r="AU1366" s="45"/>
      <c r="AV1366" s="44"/>
      <c r="AW1366" s="38"/>
      <c r="AX1366" s="44"/>
      <c r="AY1366" s="38"/>
      <c r="AZ1366" s="44"/>
      <c r="BA1366" s="45"/>
      <c r="BB1366" s="44"/>
      <c r="BC1366" s="45"/>
      <c r="BD1366" s="44"/>
      <c r="BE1366" s="38"/>
      <c r="BF1366" s="36"/>
      <c r="BG1366" s="68"/>
      <c r="BH1366" s="68"/>
      <c r="BI1366" s="68"/>
      <c r="BJ1366" s="68"/>
      <c r="BK1366" s="68"/>
      <c r="BL1366" s="68"/>
      <c r="BM1366" s="68"/>
      <c r="BN1366" s="68"/>
      <c r="BO1366" s="68"/>
      <c r="BP1366" s="68"/>
      <c r="BQ1366" s="68"/>
      <c r="BR1366" s="68"/>
      <c r="BS1366" s="68"/>
      <c r="BT1366" s="68"/>
      <c r="BU1366" s="68"/>
      <c r="BV1366" s="68"/>
      <c r="BW1366" s="68"/>
      <c r="BX1366" s="68"/>
      <c r="BY1366" s="68"/>
      <c r="BZ1366" s="68"/>
      <c r="CA1366" s="68"/>
      <c r="CB1366" s="68"/>
      <c r="CC1366" s="68"/>
      <c r="CD1366" s="68"/>
      <c r="CE1366" s="68"/>
      <c r="CF1366" s="68"/>
      <c r="CG1366" s="68"/>
      <c r="CH1366" s="68"/>
      <c r="CI1366" s="68"/>
      <c r="CJ1366" s="68"/>
      <c r="CK1366" s="68"/>
      <c r="CL1366" s="68"/>
      <c r="CM1366" s="68"/>
      <c r="CN1366" s="68"/>
      <c r="CO1366" s="68"/>
      <c r="CP1366" s="68"/>
    </row>
    <row r="1367" ht="15.75" customHeight="1">
      <c r="A1367" s="1568" t="s">
        <v>6422</v>
      </c>
      <c r="B1367" s="66"/>
      <c r="C1367" s="1390" t="s">
        <v>59</v>
      </c>
      <c r="D1367" s="1649" t="s">
        <v>6069</v>
      </c>
      <c r="E1367" s="1649" t="s">
        <v>6069</v>
      </c>
      <c r="F1367" s="1650" t="s">
        <v>6423</v>
      </c>
      <c r="G1367" s="1283" t="s">
        <v>6424</v>
      </c>
      <c r="H1367" s="1395" t="s">
        <v>6425</v>
      </c>
      <c r="I1367" s="1284" t="s">
        <v>65</v>
      </c>
      <c r="J1367" s="1651" t="s">
        <v>6426</v>
      </c>
      <c r="K1367" s="1284">
        <v>1.0</v>
      </c>
      <c r="L1367" s="1284">
        <v>2016.0</v>
      </c>
      <c r="M1367" s="25">
        <f t="shared" si="789"/>
        <v>9</v>
      </c>
      <c r="N1367" s="26">
        <f t="shared" si="790"/>
        <v>0</v>
      </c>
      <c r="O1367" s="27" t="str">
        <f t="shared" si="3"/>
        <v>#N/A</v>
      </c>
      <c r="P1367" s="28"/>
      <c r="Q1367" s="28"/>
      <c r="R1367" s="28"/>
      <c r="S1367" s="28"/>
      <c r="T1367" s="29">
        <f t="shared" si="791"/>
        <v>0</v>
      </c>
      <c r="U1367" s="28"/>
      <c r="V1367" s="30">
        <f t="shared" si="425"/>
        <v>0</v>
      </c>
      <c r="W1367" s="30"/>
      <c r="X1367" s="1286"/>
      <c r="Y1367" s="33" t="str">
        <f t="shared" si="792"/>
        <v>#DIV/0!</v>
      </c>
      <c r="Z1367" s="692"/>
      <c r="AA1367" s="665"/>
      <c r="AB1367" s="1161"/>
      <c r="AC1367" s="1161"/>
      <c r="AD1367" s="1158"/>
      <c r="AE1367" s="1288"/>
      <c r="AF1367" s="1609"/>
      <c r="AG1367" s="1159"/>
      <c r="AH1367" s="1161"/>
      <c r="AI1367" s="1630"/>
      <c r="AJ1367" s="1289"/>
      <c r="AK1367" s="1288"/>
      <c r="AL1367" s="1652"/>
      <c r="AM1367" s="1653"/>
      <c r="AN1367" s="1654"/>
      <c r="AO1367" s="1653"/>
      <c r="AP1367" s="1158"/>
      <c r="AQ1367" s="1159"/>
      <c r="AR1367" s="1158"/>
      <c r="AS1367" s="1158"/>
      <c r="AT1367" s="1158"/>
      <c r="AU1367" s="1160"/>
      <c r="AV1367" s="1158"/>
      <c r="AW1367" s="38"/>
      <c r="AX1367" s="1158"/>
      <c r="AY1367" s="38"/>
      <c r="AZ1367" s="1158"/>
      <c r="BA1367" s="1160"/>
      <c r="BB1367" s="1158"/>
      <c r="BC1367" s="1160"/>
      <c r="BD1367" s="1158"/>
      <c r="BE1367" s="38"/>
      <c r="BF1367" s="1161"/>
      <c r="BG1367" s="68"/>
      <c r="BH1367" s="68"/>
      <c r="BI1367" s="68"/>
      <c r="BJ1367" s="68"/>
      <c r="BK1367" s="68"/>
      <c r="BL1367" s="68"/>
      <c r="BM1367" s="68"/>
      <c r="BN1367" s="68"/>
      <c r="BO1367" s="68"/>
      <c r="BP1367" s="68"/>
      <c r="BQ1367" s="68"/>
      <c r="BR1367" s="68"/>
      <c r="BS1367" s="68"/>
      <c r="BT1367" s="68"/>
      <c r="BU1367" s="68"/>
      <c r="BV1367" s="68"/>
      <c r="BW1367" s="68"/>
      <c r="BX1367" s="68"/>
      <c r="BY1367" s="68"/>
      <c r="BZ1367" s="68"/>
      <c r="CA1367" s="68"/>
      <c r="CB1367" s="68"/>
      <c r="CC1367" s="68"/>
      <c r="CD1367" s="68"/>
      <c r="CE1367" s="68"/>
      <c r="CF1367" s="68"/>
      <c r="CG1367" s="68"/>
      <c r="CH1367" s="68"/>
      <c r="CI1367" s="68"/>
      <c r="CJ1367" s="68"/>
      <c r="CK1367" s="68"/>
      <c r="CL1367" s="68"/>
      <c r="CM1367" s="68"/>
      <c r="CN1367" s="68"/>
      <c r="CO1367" s="68"/>
      <c r="CP1367" s="68"/>
    </row>
    <row r="1368" ht="15.75" customHeight="1">
      <c r="A1368" s="21" t="s">
        <v>6427</v>
      </c>
      <c r="B1368" s="16"/>
      <c r="C1368" s="17" t="s">
        <v>123</v>
      </c>
      <c r="D1368" s="337"/>
      <c r="E1368" s="138" t="s">
        <v>6428</v>
      </c>
      <c r="F1368" s="173" t="s">
        <v>6429</v>
      </c>
      <c r="G1368" s="317"/>
      <c r="H1368" s="22" t="s">
        <v>455</v>
      </c>
      <c r="I1368" s="23" t="s">
        <v>100</v>
      </c>
      <c r="J1368" s="237"/>
      <c r="K1368" s="23">
        <v>1.0</v>
      </c>
      <c r="L1368" s="23">
        <v>2016.0</v>
      </c>
      <c r="M1368" s="25">
        <f t="shared" si="789"/>
        <v>9</v>
      </c>
      <c r="N1368" s="26">
        <f t="shared" si="790"/>
        <v>1</v>
      </c>
      <c r="O1368" s="27" t="str">
        <f t="shared" si="3"/>
        <v>#N/A</v>
      </c>
      <c r="P1368" s="28"/>
      <c r="Q1368" s="28"/>
      <c r="R1368" s="28"/>
      <c r="S1368" s="28"/>
      <c r="T1368" s="29">
        <f t="shared" si="791"/>
        <v>0</v>
      </c>
      <c r="U1368" s="28"/>
      <c r="V1368" s="30">
        <f t="shared" si="425"/>
        <v>0</v>
      </c>
      <c r="W1368" s="30"/>
      <c r="X1368" s="33"/>
      <c r="Y1368" s="33" t="str">
        <f t="shared" si="792"/>
        <v>#DIV/0!</v>
      </c>
      <c r="Z1368" s="692"/>
      <c r="AA1368" s="665"/>
      <c r="AB1368" s="36"/>
      <c r="AC1368" s="36"/>
      <c r="AD1368" s="43" t="str">
        <f> HYPERLINK("https://www.crunchbase.com/funding_round/caala-pre-seed--d7b241e3", "Mar 4, 2019")</f>
        <v>Mar 4, 2019</v>
      </c>
      <c r="AE1368" s="38">
        <v>0.0</v>
      </c>
      <c r="AF1368" s="39"/>
      <c r="AG1368" s="46"/>
      <c r="AH1368" s="36"/>
      <c r="AI1368" s="159"/>
      <c r="AJ1368" s="37"/>
      <c r="AK1368" s="38"/>
      <c r="AL1368" s="1044"/>
      <c r="AM1368" s="805"/>
      <c r="AN1368" s="1116"/>
      <c r="AO1368" s="805"/>
      <c r="AP1368" s="44"/>
      <c r="AQ1368" s="46"/>
      <c r="AR1368" s="44"/>
      <c r="AS1368" s="44"/>
      <c r="AT1368" s="44"/>
      <c r="AU1368" s="45"/>
      <c r="AV1368" s="44"/>
      <c r="AW1368" s="38"/>
      <c r="AX1368" s="44"/>
      <c r="AY1368" s="38"/>
      <c r="AZ1368" s="44"/>
      <c r="BA1368" s="45"/>
      <c r="BB1368" s="44"/>
      <c r="BC1368" s="45"/>
      <c r="BD1368" s="44"/>
      <c r="BE1368" s="38"/>
      <c r="BF1368" s="36"/>
      <c r="BG1368" s="68"/>
      <c r="BH1368" s="68"/>
      <c r="BI1368" s="68"/>
      <c r="BJ1368" s="68"/>
      <c r="BK1368" s="68"/>
      <c r="BL1368" s="68"/>
      <c r="BM1368" s="68"/>
      <c r="BN1368" s="68"/>
      <c r="BO1368" s="68"/>
      <c r="BP1368" s="68"/>
      <c r="BQ1368" s="68"/>
      <c r="BR1368" s="68"/>
      <c r="BS1368" s="68"/>
      <c r="BT1368" s="68"/>
      <c r="BU1368" s="68"/>
      <c r="BV1368" s="68"/>
      <c r="BW1368" s="68"/>
      <c r="BX1368" s="68"/>
      <c r="BY1368" s="68"/>
      <c r="BZ1368" s="68"/>
      <c r="CA1368" s="68"/>
      <c r="CB1368" s="68"/>
      <c r="CC1368" s="68"/>
      <c r="CD1368" s="68"/>
      <c r="CE1368" s="68"/>
      <c r="CF1368" s="68"/>
      <c r="CG1368" s="68"/>
      <c r="CH1368" s="68"/>
      <c r="CI1368" s="68"/>
      <c r="CJ1368" s="68"/>
      <c r="CK1368" s="68"/>
      <c r="CL1368" s="68"/>
      <c r="CM1368" s="68"/>
      <c r="CN1368" s="68"/>
      <c r="CO1368" s="68"/>
      <c r="CP1368" s="68"/>
    </row>
    <row r="1369" ht="15.75" customHeight="1">
      <c r="A1369" s="442" t="s">
        <v>6430</v>
      </c>
      <c r="B1369" s="16" t="s">
        <v>3545</v>
      </c>
      <c r="C1369" s="17" t="s">
        <v>123</v>
      </c>
      <c r="D1369" s="236" t="s">
        <v>6431</v>
      </c>
      <c r="E1369" s="385" t="s">
        <v>3432</v>
      </c>
      <c r="F1369" s="177" t="s">
        <v>6432</v>
      </c>
      <c r="G1369" s="317"/>
      <c r="H1369" s="317" t="s">
        <v>80</v>
      </c>
      <c r="I1369" s="36" t="s">
        <v>2240</v>
      </c>
      <c r="J1369" s="237" t="s">
        <v>6433</v>
      </c>
      <c r="K1369" s="36">
        <v>2.0</v>
      </c>
      <c r="L1369" s="23">
        <v>2014.0</v>
      </c>
      <c r="M1369" s="25">
        <f t="shared" si="789"/>
        <v>11</v>
      </c>
      <c r="N1369" s="26">
        <f t="shared" si="790"/>
        <v>0</v>
      </c>
      <c r="O1369" s="27" t="str">
        <f t="shared" si="3"/>
        <v>#N/A</v>
      </c>
      <c r="P1369" s="28"/>
      <c r="Q1369" s="28"/>
      <c r="R1369" s="28"/>
      <c r="S1369" s="28"/>
      <c r="T1369" s="29">
        <f t="shared" si="791"/>
        <v>0</v>
      </c>
      <c r="U1369" s="28"/>
      <c r="V1369" s="30">
        <f t="shared" si="425"/>
        <v>0</v>
      </c>
      <c r="W1369" s="30"/>
      <c r="X1369" s="847"/>
      <c r="Y1369" s="33" t="str">
        <f t="shared" si="792"/>
        <v>#DIV/0!</v>
      </c>
      <c r="Z1369" s="692"/>
      <c r="AA1369" s="665"/>
      <c r="AB1369" s="36"/>
      <c r="AC1369" s="36"/>
      <c r="AD1369" s="44"/>
      <c r="AE1369" s="46"/>
      <c r="AF1369" s="39"/>
      <c r="AG1369" s="46"/>
      <c r="AH1369" s="36"/>
      <c r="AI1369" s="159"/>
      <c r="AJ1369" s="44"/>
      <c r="AK1369" s="46"/>
      <c r="AL1369" s="44"/>
      <c r="AM1369" s="46"/>
      <c r="AN1369" s="44"/>
      <c r="AO1369" s="46"/>
      <c r="AP1369" s="44"/>
      <c r="AQ1369" s="46"/>
      <c r="AR1369" s="44"/>
      <c r="AS1369" s="44"/>
      <c r="AT1369" s="44"/>
      <c r="AU1369" s="45"/>
      <c r="AV1369" s="44"/>
      <c r="AW1369" s="38"/>
      <c r="AX1369" s="44"/>
      <c r="AY1369" s="38"/>
      <c r="AZ1369" s="44"/>
      <c r="BA1369" s="45"/>
      <c r="BB1369" s="44"/>
      <c r="BC1369" s="45"/>
      <c r="BD1369" s="44"/>
      <c r="BE1369" s="38"/>
      <c r="BF1369" s="36"/>
      <c r="BG1369" s="68"/>
      <c r="BH1369" s="68"/>
      <c r="BI1369" s="68"/>
      <c r="BJ1369" s="68"/>
      <c r="BK1369" s="68"/>
      <c r="BL1369" s="68"/>
      <c r="BM1369" s="68"/>
      <c r="BN1369" s="68"/>
      <c r="BO1369" s="68"/>
      <c r="BP1369" s="68"/>
      <c r="BQ1369" s="68"/>
      <c r="BR1369" s="68"/>
      <c r="BS1369" s="68"/>
      <c r="BT1369" s="68"/>
      <c r="BU1369" s="68"/>
      <c r="BV1369" s="68"/>
      <c r="BW1369" s="68"/>
      <c r="BX1369" s="68"/>
      <c r="BY1369" s="68"/>
      <c r="BZ1369" s="68"/>
      <c r="CA1369" s="68"/>
      <c r="CB1369" s="68"/>
      <c r="CC1369" s="68"/>
      <c r="CD1369" s="68"/>
      <c r="CE1369" s="68"/>
      <c r="CF1369" s="68"/>
      <c r="CG1369" s="68"/>
      <c r="CH1369" s="68"/>
      <c r="CI1369" s="68"/>
      <c r="CJ1369" s="68"/>
      <c r="CK1369" s="68"/>
      <c r="CL1369" s="68"/>
      <c r="CM1369" s="68"/>
      <c r="CN1369" s="68"/>
      <c r="CO1369" s="68"/>
      <c r="CP1369" s="68"/>
    </row>
    <row r="1370" ht="15.75" customHeight="1">
      <c r="A1370" s="860" t="s">
        <v>6434</v>
      </c>
      <c r="B1370" s="16"/>
      <c r="C1370" s="17" t="s">
        <v>132</v>
      </c>
      <c r="D1370" s="192" t="s">
        <v>6435</v>
      </c>
      <c r="E1370" s="192" t="s">
        <v>6436</v>
      </c>
      <c r="F1370" s="1655" t="s">
        <v>6437</v>
      </c>
      <c r="G1370" s="22"/>
      <c r="H1370" s="22" t="s">
        <v>6438</v>
      </c>
      <c r="I1370" s="23" t="s">
        <v>6439</v>
      </c>
      <c r="J1370" s="24"/>
      <c r="K1370" s="23"/>
      <c r="L1370" s="23">
        <v>2012.0</v>
      </c>
      <c r="M1370" s="25">
        <f t="shared" si="789"/>
        <v>13</v>
      </c>
      <c r="N1370" s="26">
        <f t="shared" si="790"/>
        <v>0</v>
      </c>
      <c r="O1370" s="27" t="str">
        <f t="shared" si="3"/>
        <v>#N/A</v>
      </c>
      <c r="P1370" s="28"/>
      <c r="Q1370" s="28"/>
      <c r="R1370" s="28"/>
      <c r="S1370" s="28"/>
      <c r="T1370" s="29">
        <f t="shared" si="791"/>
        <v>0</v>
      </c>
      <c r="U1370" s="28"/>
      <c r="V1370" s="30">
        <f t="shared" si="425"/>
        <v>0</v>
      </c>
      <c r="W1370" s="30"/>
      <c r="X1370" s="33"/>
      <c r="Y1370" s="33" t="str">
        <f t="shared" si="792"/>
        <v>#DIV/0!</v>
      </c>
      <c r="Z1370" s="692"/>
      <c r="AA1370" s="665"/>
      <c r="AB1370" s="36"/>
      <c r="AC1370" s="36"/>
      <c r="AD1370" s="44"/>
      <c r="AE1370" s="46"/>
      <c r="AF1370" s="39"/>
      <c r="AG1370" s="38"/>
      <c r="AH1370" s="36"/>
      <c r="AI1370" s="159"/>
      <c r="AJ1370" s="44"/>
      <c r="AK1370" s="46"/>
      <c r="AL1370" s="44"/>
      <c r="AM1370" s="46"/>
      <c r="AN1370" s="44"/>
      <c r="AO1370" s="46"/>
      <c r="AP1370" s="44"/>
      <c r="AQ1370" s="46"/>
      <c r="AR1370" s="44"/>
      <c r="AS1370" s="44"/>
      <c r="AT1370" s="44"/>
      <c r="AU1370" s="45"/>
      <c r="AV1370" s="44"/>
      <c r="AW1370" s="38"/>
      <c r="AX1370" s="44"/>
      <c r="AY1370" s="38"/>
      <c r="AZ1370" s="44"/>
      <c r="BA1370" s="45"/>
      <c r="BB1370" s="44"/>
      <c r="BC1370" s="45"/>
      <c r="BD1370" s="44"/>
      <c r="BE1370" s="38"/>
      <c r="BF1370" s="36"/>
      <c r="BG1370" s="68"/>
      <c r="BH1370" s="68"/>
      <c r="BI1370" s="68"/>
      <c r="BJ1370" s="68"/>
      <c r="BK1370" s="68"/>
      <c r="BL1370" s="68"/>
      <c r="BM1370" s="68"/>
      <c r="BN1370" s="68"/>
      <c r="BO1370" s="68"/>
      <c r="BP1370" s="68"/>
      <c r="BQ1370" s="68"/>
      <c r="BR1370" s="68"/>
      <c r="BS1370" s="68"/>
      <c r="BT1370" s="68"/>
      <c r="BU1370" s="68"/>
      <c r="BV1370" s="68"/>
      <c r="BW1370" s="68"/>
      <c r="BX1370" s="68"/>
      <c r="BY1370" s="68"/>
      <c r="BZ1370" s="68"/>
      <c r="CA1370" s="68"/>
      <c r="CB1370" s="68"/>
      <c r="CC1370" s="68"/>
      <c r="CD1370" s="68"/>
      <c r="CE1370" s="68"/>
      <c r="CF1370" s="68"/>
      <c r="CG1370" s="68"/>
      <c r="CH1370" s="68"/>
      <c r="CI1370" s="68"/>
      <c r="CJ1370" s="68"/>
      <c r="CK1370" s="68"/>
      <c r="CL1370" s="68"/>
      <c r="CM1370" s="68"/>
      <c r="CN1370" s="68"/>
      <c r="CO1370" s="68"/>
      <c r="CP1370" s="68"/>
    </row>
    <row r="1371" ht="15.75" customHeight="1">
      <c r="A1371" s="860" t="s">
        <v>6440</v>
      </c>
      <c r="B1371" s="16"/>
      <c r="C1371" s="17" t="s">
        <v>123</v>
      </c>
      <c r="D1371" s="192" t="s">
        <v>6441</v>
      </c>
      <c r="E1371" s="192" t="s">
        <v>6442</v>
      </c>
      <c r="F1371" s="1487" t="s">
        <v>6443</v>
      </c>
      <c r="G1371" s="22"/>
      <c r="H1371" s="22" t="s">
        <v>129</v>
      </c>
      <c r="I1371" s="23" t="s">
        <v>129</v>
      </c>
      <c r="J1371" s="24"/>
      <c r="K1371" s="23"/>
      <c r="L1371" s="23">
        <v>2015.0</v>
      </c>
      <c r="M1371" s="25">
        <f t="shared" si="789"/>
        <v>10</v>
      </c>
      <c r="N1371" s="26">
        <f t="shared" si="790"/>
        <v>0</v>
      </c>
      <c r="O1371" s="27" t="str">
        <f t="shared" si="3"/>
        <v>#N/A</v>
      </c>
      <c r="P1371" s="28"/>
      <c r="Q1371" s="28"/>
      <c r="R1371" s="28"/>
      <c r="S1371" s="28"/>
      <c r="T1371" s="29">
        <f t="shared" si="791"/>
        <v>0</v>
      </c>
      <c r="U1371" s="28"/>
      <c r="V1371" s="30">
        <f t="shared" si="425"/>
        <v>0</v>
      </c>
      <c r="W1371" s="30"/>
      <c r="X1371" s="33"/>
      <c r="Y1371" s="33" t="str">
        <f t="shared" si="792"/>
        <v>#DIV/0!</v>
      </c>
      <c r="Z1371" s="692"/>
      <c r="AA1371" s="665"/>
      <c r="AB1371" s="36"/>
      <c r="AC1371" s="36"/>
      <c r="AD1371" s="44"/>
      <c r="AE1371" s="46"/>
      <c r="AF1371" s="39"/>
      <c r="AG1371" s="38"/>
      <c r="AH1371" s="36"/>
      <c r="AI1371" s="159"/>
      <c r="AJ1371" s="44"/>
      <c r="AK1371" s="46"/>
      <c r="AL1371" s="44"/>
      <c r="AM1371" s="46"/>
      <c r="AN1371" s="44"/>
      <c r="AO1371" s="46"/>
      <c r="AP1371" s="44"/>
      <c r="AQ1371" s="46"/>
      <c r="AR1371" s="44"/>
      <c r="AS1371" s="44"/>
      <c r="AT1371" s="44"/>
      <c r="AU1371" s="45"/>
      <c r="AV1371" s="44"/>
      <c r="AW1371" s="38"/>
      <c r="AX1371" s="44"/>
      <c r="AY1371" s="38"/>
      <c r="AZ1371" s="44"/>
      <c r="BA1371" s="45"/>
      <c r="BB1371" s="44"/>
      <c r="BC1371" s="45"/>
      <c r="BD1371" s="44"/>
      <c r="BE1371" s="38"/>
      <c r="BF1371" s="36"/>
      <c r="BG1371" s="68"/>
      <c r="BH1371" s="68"/>
      <c r="BI1371" s="68"/>
      <c r="BJ1371" s="68"/>
      <c r="BK1371" s="68"/>
      <c r="BL1371" s="68"/>
      <c r="BM1371" s="68"/>
      <c r="BN1371" s="68"/>
      <c r="BO1371" s="68"/>
      <c r="BP1371" s="68"/>
      <c r="BQ1371" s="68"/>
      <c r="BR1371" s="68"/>
      <c r="BS1371" s="68"/>
      <c r="BT1371" s="68"/>
      <c r="BU1371" s="68"/>
      <c r="BV1371" s="68"/>
      <c r="BW1371" s="68"/>
      <c r="BX1371" s="68"/>
      <c r="BY1371" s="68"/>
      <c r="BZ1371" s="68"/>
      <c r="CA1371" s="68"/>
      <c r="CB1371" s="68"/>
      <c r="CC1371" s="68"/>
      <c r="CD1371" s="68"/>
      <c r="CE1371" s="68"/>
      <c r="CF1371" s="68"/>
      <c r="CG1371" s="68"/>
      <c r="CH1371" s="68"/>
      <c r="CI1371" s="68"/>
      <c r="CJ1371" s="68"/>
      <c r="CK1371" s="68"/>
      <c r="CL1371" s="68"/>
      <c r="CM1371" s="68"/>
      <c r="CN1371" s="68"/>
      <c r="CO1371" s="68"/>
      <c r="CP1371" s="68"/>
    </row>
    <row r="1372" ht="15.75" customHeight="1">
      <c r="A1372" s="442" t="s">
        <v>6444</v>
      </c>
      <c r="B1372" s="16" t="s">
        <v>301</v>
      </c>
      <c r="C1372" s="16" t="s">
        <v>59</v>
      </c>
      <c r="D1372" s="337" t="s">
        <v>6445</v>
      </c>
      <c r="E1372" s="138" t="s">
        <v>6446</v>
      </c>
      <c r="F1372" s="652" t="s">
        <v>6447</v>
      </c>
      <c r="G1372" s="22" t="s">
        <v>6448</v>
      </c>
      <c r="H1372" s="22" t="s">
        <v>64</v>
      </c>
      <c r="I1372" s="23" t="s">
        <v>65</v>
      </c>
      <c r="J1372" s="24" t="s">
        <v>142</v>
      </c>
      <c r="K1372" s="23">
        <v>2.0</v>
      </c>
      <c r="L1372" s="23">
        <v>2010.0</v>
      </c>
      <c r="M1372" s="25">
        <f t="shared" si="789"/>
        <v>15</v>
      </c>
      <c r="N1372" s="26">
        <f t="shared" si="790"/>
        <v>1</v>
      </c>
      <c r="O1372" s="27" t="str">
        <f t="shared" si="3"/>
        <v>#N/A</v>
      </c>
      <c r="P1372" s="28"/>
      <c r="Q1372" s="28"/>
      <c r="R1372" s="28"/>
      <c r="S1372" s="28"/>
      <c r="T1372" s="29">
        <f t="shared" si="791"/>
        <v>0</v>
      </c>
      <c r="U1372" s="28"/>
      <c r="V1372" s="30">
        <f t="shared" si="425"/>
        <v>0</v>
      </c>
      <c r="W1372" s="30"/>
      <c r="X1372" s="33"/>
      <c r="Y1372" s="33" t="str">
        <f t="shared" si="792"/>
        <v>#DIV/0!</v>
      </c>
      <c r="Z1372" s="692"/>
      <c r="AA1372" s="665"/>
      <c r="AB1372" s="36"/>
      <c r="AC1372" s="36"/>
      <c r="AD1372" s="44"/>
      <c r="AE1372" s="46"/>
      <c r="AF1372" s="158" t="str">
        <f>HYPERLINK("https://www.crunchbase.com/funding_round/carbon-lighthouse-seed--8d5fd260","Oct 1, 2016")</f>
        <v>Oct 1, 2016</v>
      </c>
      <c r="AG1372" s="38">
        <v>0.0</v>
      </c>
      <c r="AH1372" s="36"/>
      <c r="AI1372" s="159"/>
      <c r="AJ1372" s="44"/>
      <c r="AK1372" s="46"/>
      <c r="AL1372" s="44"/>
      <c r="AM1372" s="46"/>
      <c r="AN1372" s="44"/>
      <c r="AO1372" s="46"/>
      <c r="AP1372" s="44"/>
      <c r="AQ1372" s="46"/>
      <c r="AR1372" s="44"/>
      <c r="AS1372" s="44"/>
      <c r="AT1372" s="44"/>
      <c r="AU1372" s="45"/>
      <c r="AV1372" s="44"/>
      <c r="AW1372" s="38"/>
      <c r="AX1372" s="44"/>
      <c r="AY1372" s="38"/>
      <c r="AZ1372" s="44"/>
      <c r="BA1372" s="45"/>
      <c r="BB1372" s="44"/>
      <c r="BC1372" s="45"/>
      <c r="BD1372" s="44"/>
      <c r="BE1372" s="38"/>
      <c r="BF1372" s="36"/>
      <c r="BG1372" s="68"/>
      <c r="BH1372" s="68"/>
      <c r="BI1372" s="68"/>
      <c r="BJ1372" s="68"/>
      <c r="BK1372" s="68"/>
      <c r="BL1372" s="68"/>
      <c r="BM1372" s="68"/>
      <c r="BN1372" s="68"/>
      <c r="BO1372" s="68"/>
      <c r="BP1372" s="68"/>
      <c r="BQ1372" s="68"/>
      <c r="BR1372" s="68"/>
      <c r="BS1372" s="68"/>
      <c r="BT1372" s="68"/>
      <c r="BU1372" s="68"/>
      <c r="BV1372" s="68"/>
      <c r="BW1372" s="68"/>
      <c r="BX1372" s="68"/>
      <c r="BY1372" s="68"/>
      <c r="BZ1372" s="68"/>
      <c r="CA1372" s="68"/>
      <c r="CB1372" s="68"/>
      <c r="CC1372" s="68"/>
      <c r="CD1372" s="68"/>
      <c r="CE1372" s="68"/>
      <c r="CF1372" s="68"/>
      <c r="CG1372" s="68"/>
      <c r="CH1372" s="68"/>
      <c r="CI1372" s="68"/>
      <c r="CJ1372" s="68"/>
      <c r="CK1372" s="68"/>
      <c r="CL1372" s="68"/>
      <c r="CM1372" s="68"/>
      <c r="CN1372" s="68"/>
      <c r="CO1372" s="68"/>
      <c r="CP1372" s="68"/>
    </row>
    <row r="1373" ht="15.75" customHeight="1">
      <c r="A1373" s="442" t="s">
        <v>6449</v>
      </c>
      <c r="B1373" s="16" t="s">
        <v>501</v>
      </c>
      <c r="C1373" s="16" t="s">
        <v>59</v>
      </c>
      <c r="D1373" s="184" t="s">
        <v>6450</v>
      </c>
      <c r="E1373" s="184" t="s">
        <v>6451</v>
      </c>
      <c r="F1373" s="185" t="s">
        <v>6452</v>
      </c>
      <c r="G1373" s="317" t="s">
        <v>6453</v>
      </c>
      <c r="H1373" s="317" t="s">
        <v>187</v>
      </c>
      <c r="I1373" s="23" t="s">
        <v>188</v>
      </c>
      <c r="J1373" s="237" t="s">
        <v>1804</v>
      </c>
      <c r="K1373" s="36">
        <v>3.0</v>
      </c>
      <c r="L1373" s="23">
        <v>2015.0</v>
      </c>
      <c r="M1373" s="25">
        <f t="shared" si="789"/>
        <v>10</v>
      </c>
      <c r="N1373" s="26">
        <f t="shared" si="790"/>
        <v>1</v>
      </c>
      <c r="O1373" s="27" t="str">
        <f t="shared" si="3"/>
        <v>#N/A</v>
      </c>
      <c r="P1373" s="28"/>
      <c r="Q1373" s="28"/>
      <c r="R1373" s="28"/>
      <c r="S1373" s="28"/>
      <c r="T1373" s="29">
        <f t="shared" si="791"/>
        <v>0</v>
      </c>
      <c r="U1373" s="28"/>
      <c r="V1373" s="30">
        <f t="shared" si="425"/>
        <v>0</v>
      </c>
      <c r="W1373" s="30"/>
      <c r="X1373" s="847"/>
      <c r="Y1373" s="33" t="str">
        <f t="shared" si="792"/>
        <v>#DIV/0!</v>
      </c>
      <c r="Z1373" s="692"/>
      <c r="AA1373" s="665"/>
      <c r="AB1373" s="36"/>
      <c r="AC1373" s="36"/>
      <c r="AD1373" s="44"/>
      <c r="AE1373" s="46"/>
      <c r="AF1373" s="158" t="str">
        <f>HYPERLINK("https://www.crunchbase.com/organization/cartofront#section-funding-rounds","Oct 1, 2018")</f>
        <v>Oct 1, 2018</v>
      </c>
      <c r="AG1373" s="38">
        <v>0.0</v>
      </c>
      <c r="AH1373" s="36"/>
      <c r="AI1373" s="159"/>
      <c r="AJ1373" s="44"/>
      <c r="AK1373" s="46"/>
      <c r="AL1373" s="44"/>
      <c r="AM1373" s="46"/>
      <c r="AN1373" s="44"/>
      <c r="AO1373" s="46"/>
      <c r="AP1373" s="44"/>
      <c r="AQ1373" s="46"/>
      <c r="AR1373" s="44"/>
      <c r="AS1373" s="44"/>
      <c r="AT1373" s="44"/>
      <c r="AU1373" s="45"/>
      <c r="AV1373" s="44"/>
      <c r="AW1373" s="38"/>
      <c r="AX1373" s="44"/>
      <c r="AY1373" s="38"/>
      <c r="AZ1373" s="44"/>
      <c r="BA1373" s="45"/>
      <c r="BB1373" s="44"/>
      <c r="BC1373" s="45"/>
      <c r="BD1373" s="44"/>
      <c r="BE1373" s="38"/>
      <c r="BF1373" s="36"/>
      <c r="BG1373" s="68"/>
      <c r="BH1373" s="68"/>
      <c r="BI1373" s="68"/>
      <c r="BJ1373" s="68"/>
      <c r="BK1373" s="68"/>
      <c r="BL1373" s="68"/>
      <c r="BM1373" s="68"/>
      <c r="BN1373" s="68"/>
      <c r="BO1373" s="68"/>
      <c r="BP1373" s="68"/>
      <c r="BQ1373" s="68"/>
      <c r="BR1373" s="68"/>
      <c r="BS1373" s="68"/>
      <c r="BT1373" s="68"/>
      <c r="BU1373" s="68"/>
      <c r="BV1373" s="68"/>
      <c r="BW1373" s="68"/>
      <c r="BX1373" s="68"/>
      <c r="BY1373" s="68"/>
      <c r="BZ1373" s="68"/>
      <c r="CA1373" s="68"/>
      <c r="CB1373" s="68"/>
      <c r="CC1373" s="68"/>
      <c r="CD1373" s="68"/>
      <c r="CE1373" s="68"/>
      <c r="CF1373" s="68"/>
      <c r="CG1373" s="68"/>
      <c r="CH1373" s="68"/>
      <c r="CI1373" s="68"/>
      <c r="CJ1373" s="68"/>
      <c r="CK1373" s="68"/>
      <c r="CL1373" s="68"/>
      <c r="CM1373" s="68"/>
      <c r="CN1373" s="68"/>
      <c r="CO1373" s="68"/>
      <c r="CP1373" s="68"/>
    </row>
    <row r="1374" ht="15.75" customHeight="1">
      <c r="A1374" s="892" t="s">
        <v>6454</v>
      </c>
      <c r="B1374" s="16"/>
      <c r="C1374" s="17" t="s">
        <v>123</v>
      </c>
      <c r="D1374" s="192" t="s">
        <v>6455</v>
      </c>
      <c r="E1374" s="192" t="s">
        <v>6456</v>
      </c>
      <c r="F1374" s="1487" t="s">
        <v>6457</v>
      </c>
      <c r="G1374" s="317"/>
      <c r="H1374" s="22" t="s">
        <v>455</v>
      </c>
      <c r="I1374" s="23" t="s">
        <v>100</v>
      </c>
      <c r="J1374" s="237"/>
      <c r="K1374" s="36"/>
      <c r="L1374" s="23">
        <v>2015.0</v>
      </c>
      <c r="M1374" s="25">
        <f t="shared" si="789"/>
        <v>10</v>
      </c>
      <c r="N1374" s="26">
        <f t="shared" si="790"/>
        <v>0</v>
      </c>
      <c r="O1374" s="27" t="str">
        <f t="shared" si="3"/>
        <v>#N/A</v>
      </c>
      <c r="P1374" s="28"/>
      <c r="Q1374" s="28"/>
      <c r="R1374" s="28"/>
      <c r="S1374" s="28"/>
      <c r="T1374" s="29">
        <f t="shared" si="791"/>
        <v>0</v>
      </c>
      <c r="U1374" s="28"/>
      <c r="V1374" s="30">
        <f t="shared" si="425"/>
        <v>0</v>
      </c>
      <c r="W1374" s="30"/>
      <c r="X1374" s="847"/>
      <c r="Y1374" s="33" t="str">
        <f t="shared" si="792"/>
        <v>#DIV/0!</v>
      </c>
      <c r="Z1374" s="692"/>
      <c r="AA1374" s="665"/>
      <c r="AB1374" s="36"/>
      <c r="AC1374" s="36"/>
      <c r="AD1374" s="44"/>
      <c r="AE1374" s="46"/>
      <c r="AF1374" s="39"/>
      <c r="AG1374" s="46"/>
      <c r="AH1374" s="36"/>
      <c r="AI1374" s="159"/>
      <c r="AJ1374" s="44"/>
      <c r="AK1374" s="46"/>
      <c r="AL1374" s="44"/>
      <c r="AM1374" s="46"/>
      <c r="AN1374" s="44"/>
      <c r="AO1374" s="46"/>
      <c r="AP1374" s="44"/>
      <c r="AQ1374" s="46"/>
      <c r="AR1374" s="44"/>
      <c r="AS1374" s="44"/>
      <c r="AT1374" s="44"/>
      <c r="AU1374" s="45"/>
      <c r="AV1374" s="44"/>
      <c r="AW1374" s="38"/>
      <c r="AX1374" s="44"/>
      <c r="AY1374" s="38"/>
      <c r="AZ1374" s="44"/>
      <c r="BA1374" s="45"/>
      <c r="BB1374" s="44"/>
      <c r="BC1374" s="45"/>
      <c r="BD1374" s="44"/>
      <c r="BE1374" s="38"/>
      <c r="BF1374" s="36"/>
      <c r="BG1374" s="68"/>
      <c r="BH1374" s="68"/>
      <c r="BI1374" s="68"/>
      <c r="BJ1374" s="68"/>
      <c r="BK1374" s="68"/>
      <c r="BL1374" s="68"/>
      <c r="BM1374" s="68"/>
      <c r="BN1374" s="68"/>
      <c r="BO1374" s="68"/>
      <c r="BP1374" s="68"/>
      <c r="BQ1374" s="68"/>
      <c r="BR1374" s="68"/>
      <c r="BS1374" s="68"/>
      <c r="BT1374" s="68"/>
      <c r="BU1374" s="68"/>
      <c r="BV1374" s="68"/>
      <c r="BW1374" s="68"/>
      <c r="BX1374" s="68"/>
      <c r="BY1374" s="68"/>
      <c r="BZ1374" s="68"/>
      <c r="CA1374" s="68"/>
      <c r="CB1374" s="68"/>
      <c r="CC1374" s="68"/>
      <c r="CD1374" s="68"/>
      <c r="CE1374" s="68"/>
      <c r="CF1374" s="68"/>
      <c r="CG1374" s="68"/>
      <c r="CH1374" s="68"/>
      <c r="CI1374" s="68"/>
      <c r="CJ1374" s="68"/>
      <c r="CK1374" s="68"/>
      <c r="CL1374" s="68"/>
      <c r="CM1374" s="68"/>
      <c r="CN1374" s="68"/>
      <c r="CO1374" s="68"/>
      <c r="CP1374" s="68"/>
    </row>
    <row r="1375" ht="15.75" customHeight="1">
      <c r="A1375" s="442" t="s">
        <v>6458</v>
      </c>
      <c r="B1375" s="16" t="s">
        <v>2541</v>
      </c>
      <c r="C1375" s="16" t="s">
        <v>59</v>
      </c>
      <c r="D1375" s="184" t="s">
        <v>6459</v>
      </c>
      <c r="E1375" s="184" t="s">
        <v>6460</v>
      </c>
      <c r="F1375" s="185" t="s">
        <v>6461</v>
      </c>
      <c r="G1375" s="317" t="s">
        <v>6462</v>
      </c>
      <c r="H1375" s="317" t="s">
        <v>6463</v>
      </c>
      <c r="I1375" s="36" t="s">
        <v>1642</v>
      </c>
      <c r="J1375" s="237" t="s">
        <v>6464</v>
      </c>
      <c r="K1375" s="36">
        <v>1.0</v>
      </c>
      <c r="L1375" s="23">
        <v>2001.0</v>
      </c>
      <c r="M1375" s="25">
        <f t="shared" si="789"/>
        <v>24</v>
      </c>
      <c r="N1375" s="26">
        <f t="shared" si="790"/>
        <v>0</v>
      </c>
      <c r="O1375" s="27" t="str">
        <f t="shared" si="3"/>
        <v>#N/A</v>
      </c>
      <c r="P1375" s="28"/>
      <c r="Q1375" s="28"/>
      <c r="R1375" s="28"/>
      <c r="S1375" s="28"/>
      <c r="T1375" s="29">
        <f t="shared" si="791"/>
        <v>0</v>
      </c>
      <c r="U1375" s="28"/>
      <c r="V1375" s="30">
        <f t="shared" si="425"/>
        <v>0</v>
      </c>
      <c r="W1375" s="30"/>
      <c r="X1375" s="847"/>
      <c r="Y1375" s="33" t="str">
        <f t="shared" si="792"/>
        <v>#DIV/0!</v>
      </c>
      <c r="Z1375" s="692"/>
      <c r="AA1375" s="665"/>
      <c r="AB1375" s="36"/>
      <c r="AC1375" s="36"/>
      <c r="AD1375" s="44"/>
      <c r="AE1375" s="1656"/>
      <c r="AF1375" s="39"/>
      <c r="AG1375" s="46"/>
      <c r="AH1375" s="36"/>
      <c r="AI1375" s="159"/>
      <c r="AJ1375" s="44"/>
      <c r="AK1375" s="46"/>
      <c r="AL1375" s="44"/>
      <c r="AM1375" s="46"/>
      <c r="AN1375" s="44"/>
      <c r="AO1375" s="46"/>
      <c r="AP1375" s="44"/>
      <c r="AQ1375" s="46"/>
      <c r="AR1375" s="44"/>
      <c r="AS1375" s="44"/>
      <c r="AT1375" s="44"/>
      <c r="AU1375" s="45"/>
      <c r="AV1375" s="44"/>
      <c r="AW1375" s="38"/>
      <c r="AX1375" s="44"/>
      <c r="AY1375" s="38"/>
      <c r="AZ1375" s="44"/>
      <c r="BA1375" s="45"/>
      <c r="BB1375" s="44"/>
      <c r="BC1375" s="45"/>
      <c r="BD1375" s="44"/>
      <c r="BE1375" s="38"/>
      <c r="BF1375" s="36"/>
      <c r="BG1375" s="68"/>
      <c r="BH1375" s="68"/>
      <c r="BI1375" s="68"/>
      <c r="BJ1375" s="68"/>
      <c r="BK1375" s="68"/>
      <c r="BL1375" s="68"/>
      <c r="BM1375" s="68"/>
      <c r="BN1375" s="68"/>
      <c r="BO1375" s="68"/>
      <c r="BP1375" s="68"/>
      <c r="BQ1375" s="68"/>
      <c r="BR1375" s="68"/>
      <c r="BS1375" s="68"/>
      <c r="BT1375" s="68"/>
      <c r="BU1375" s="68"/>
      <c r="BV1375" s="68"/>
      <c r="BW1375" s="68"/>
      <c r="BX1375" s="68"/>
      <c r="BY1375" s="68"/>
      <c r="BZ1375" s="68"/>
      <c r="CA1375" s="68"/>
      <c r="CB1375" s="68"/>
      <c r="CC1375" s="68"/>
      <c r="CD1375" s="68"/>
      <c r="CE1375" s="68"/>
      <c r="CF1375" s="68"/>
      <c r="CG1375" s="68"/>
      <c r="CH1375" s="68"/>
      <c r="CI1375" s="68"/>
      <c r="CJ1375" s="68"/>
      <c r="CK1375" s="68"/>
      <c r="CL1375" s="68"/>
      <c r="CM1375" s="68"/>
      <c r="CN1375" s="68"/>
      <c r="CO1375" s="68"/>
      <c r="CP1375" s="68"/>
    </row>
    <row r="1376" ht="15.75" customHeight="1">
      <c r="A1376" s="860" t="s">
        <v>6465</v>
      </c>
      <c r="B1376" s="16"/>
      <c r="C1376" s="17" t="s">
        <v>123</v>
      </c>
      <c r="D1376" s="192" t="s">
        <v>6466</v>
      </c>
      <c r="E1376" s="192" t="s">
        <v>6467</v>
      </c>
      <c r="F1376" s="118" t="s">
        <v>6468</v>
      </c>
      <c r="G1376" s="71"/>
      <c r="H1376" s="71" t="s">
        <v>187</v>
      </c>
      <c r="I1376" s="26" t="s">
        <v>188</v>
      </c>
      <c r="J1376" s="72"/>
      <c r="K1376" s="36"/>
      <c r="L1376" s="23">
        <v>1967.0</v>
      </c>
      <c r="M1376" s="25">
        <f t="shared" si="789"/>
        <v>58</v>
      </c>
      <c r="N1376" s="26">
        <f t="shared" si="790"/>
        <v>0</v>
      </c>
      <c r="O1376" s="27" t="str">
        <f t="shared" si="3"/>
        <v>#N/A</v>
      </c>
      <c r="P1376" s="28"/>
      <c r="Q1376" s="28"/>
      <c r="R1376" s="28"/>
      <c r="S1376" s="28"/>
      <c r="T1376" s="29">
        <f t="shared" si="791"/>
        <v>0</v>
      </c>
      <c r="U1376" s="28"/>
      <c r="V1376" s="30">
        <f t="shared" si="425"/>
        <v>0</v>
      </c>
      <c r="W1376" s="30"/>
      <c r="X1376" s="847"/>
      <c r="Y1376" s="33" t="str">
        <f t="shared" si="792"/>
        <v>#DIV/0!</v>
      </c>
      <c r="Z1376" s="692"/>
      <c r="AA1376" s="665"/>
      <c r="AB1376" s="36"/>
      <c r="AC1376" s="36"/>
      <c r="AD1376" s="44"/>
      <c r="AE1376" s="46"/>
      <c r="AF1376" s="39"/>
      <c r="AG1376" s="46"/>
      <c r="AH1376" s="36"/>
      <c r="AI1376" s="159"/>
      <c r="AJ1376" s="44"/>
      <c r="AK1376" s="38"/>
      <c r="AL1376" s="44"/>
      <c r="AM1376" s="46"/>
      <c r="AN1376" s="44"/>
      <c r="AO1376" s="46"/>
      <c r="AP1376" s="44"/>
      <c r="AQ1376" s="46"/>
      <c r="AR1376" s="44"/>
      <c r="AS1376" s="44"/>
      <c r="AT1376" s="44"/>
      <c r="AU1376" s="45"/>
      <c r="AV1376" s="44"/>
      <c r="AW1376" s="38"/>
      <c r="AX1376" s="44"/>
      <c r="AY1376" s="38"/>
      <c r="AZ1376" s="44"/>
      <c r="BA1376" s="45"/>
      <c r="BB1376" s="44"/>
      <c r="BC1376" s="45"/>
      <c r="BD1376" s="44"/>
      <c r="BE1376" s="38"/>
      <c r="BF1376" s="36"/>
      <c r="BG1376" s="68"/>
      <c r="BH1376" s="68"/>
      <c r="BI1376" s="68"/>
      <c r="BJ1376" s="68"/>
      <c r="BK1376" s="68"/>
      <c r="BL1376" s="68"/>
      <c r="BM1376" s="68"/>
      <c r="BN1376" s="68"/>
      <c r="BO1376" s="68"/>
      <c r="BP1376" s="68"/>
      <c r="BQ1376" s="68"/>
      <c r="BR1376" s="68"/>
      <c r="BS1376" s="68"/>
      <c r="BT1376" s="68"/>
      <c r="BU1376" s="68"/>
      <c r="BV1376" s="68"/>
      <c r="BW1376" s="68"/>
      <c r="BX1376" s="68"/>
      <c r="BY1376" s="68"/>
      <c r="BZ1376" s="68"/>
      <c r="CA1376" s="68"/>
      <c r="CB1376" s="68"/>
      <c r="CC1376" s="68"/>
      <c r="CD1376" s="68"/>
      <c r="CE1376" s="68"/>
      <c r="CF1376" s="68"/>
      <c r="CG1376" s="68"/>
      <c r="CH1376" s="68"/>
      <c r="CI1376" s="68"/>
      <c r="CJ1376" s="68"/>
      <c r="CK1376" s="68"/>
      <c r="CL1376" s="68"/>
      <c r="CM1376" s="68"/>
      <c r="CN1376" s="68"/>
      <c r="CO1376" s="68"/>
      <c r="CP1376" s="68"/>
    </row>
    <row r="1377" ht="15.75" customHeight="1">
      <c r="A1377" s="860" t="s">
        <v>6469</v>
      </c>
      <c r="B1377" s="16"/>
      <c r="C1377" s="17" t="s">
        <v>123</v>
      </c>
      <c r="D1377" s="192" t="s">
        <v>6470</v>
      </c>
      <c r="E1377" s="192" t="s">
        <v>6471</v>
      </c>
      <c r="F1377" s="1487" t="s">
        <v>6472</v>
      </c>
      <c r="G1377" s="71"/>
      <c r="H1377" s="71" t="s">
        <v>6473</v>
      </c>
      <c r="I1377" s="26" t="s">
        <v>188</v>
      </c>
      <c r="J1377" s="72"/>
      <c r="K1377" s="36"/>
      <c r="L1377" s="23">
        <v>1991.0</v>
      </c>
      <c r="M1377" s="25">
        <f t="shared" si="789"/>
        <v>34</v>
      </c>
      <c r="N1377" s="26">
        <f t="shared" si="790"/>
        <v>0</v>
      </c>
      <c r="O1377" s="27" t="str">
        <f t="shared" si="3"/>
        <v>#N/A</v>
      </c>
      <c r="P1377" s="28"/>
      <c r="Q1377" s="28"/>
      <c r="R1377" s="28"/>
      <c r="S1377" s="28"/>
      <c r="T1377" s="29">
        <f t="shared" si="791"/>
        <v>0</v>
      </c>
      <c r="U1377" s="28"/>
      <c r="V1377" s="30">
        <f t="shared" si="425"/>
        <v>0</v>
      </c>
      <c r="W1377" s="30"/>
      <c r="X1377" s="847"/>
      <c r="Y1377" s="33" t="str">
        <f t="shared" si="792"/>
        <v>#DIV/0!</v>
      </c>
      <c r="Z1377" s="692"/>
      <c r="AA1377" s="665"/>
      <c r="AB1377" s="36"/>
      <c r="AC1377" s="36"/>
      <c r="AD1377" s="44"/>
      <c r="AE1377" s="46"/>
      <c r="AF1377" s="39"/>
      <c r="AG1377" s="46"/>
      <c r="AH1377" s="36"/>
      <c r="AI1377" s="159"/>
      <c r="AJ1377" s="44"/>
      <c r="AK1377" s="38"/>
      <c r="AL1377" s="44"/>
      <c r="AM1377" s="46"/>
      <c r="AN1377" s="44"/>
      <c r="AO1377" s="46"/>
      <c r="AP1377" s="44"/>
      <c r="AQ1377" s="46"/>
      <c r="AR1377" s="44"/>
      <c r="AS1377" s="44"/>
      <c r="AT1377" s="44"/>
      <c r="AU1377" s="45"/>
      <c r="AV1377" s="44"/>
      <c r="AW1377" s="38"/>
      <c r="AX1377" s="44"/>
      <c r="AY1377" s="38"/>
      <c r="AZ1377" s="44"/>
      <c r="BA1377" s="45"/>
      <c r="BB1377" s="44"/>
      <c r="BC1377" s="45"/>
      <c r="BD1377" s="44"/>
      <c r="BE1377" s="38"/>
      <c r="BF1377" s="36"/>
      <c r="BG1377" s="68"/>
      <c r="BH1377" s="68"/>
      <c r="BI1377" s="68"/>
      <c r="BJ1377" s="68"/>
      <c r="BK1377" s="68"/>
      <c r="BL1377" s="68"/>
      <c r="BM1377" s="68"/>
      <c r="BN1377" s="68"/>
      <c r="BO1377" s="68"/>
      <c r="BP1377" s="68"/>
      <c r="BQ1377" s="68"/>
      <c r="BR1377" s="68"/>
      <c r="BS1377" s="68"/>
      <c r="BT1377" s="68"/>
      <c r="BU1377" s="68"/>
      <c r="BV1377" s="68"/>
      <c r="BW1377" s="68"/>
      <c r="BX1377" s="68"/>
      <c r="BY1377" s="68"/>
      <c r="BZ1377" s="68"/>
      <c r="CA1377" s="68"/>
      <c r="CB1377" s="68"/>
      <c r="CC1377" s="68"/>
      <c r="CD1377" s="68"/>
      <c r="CE1377" s="68"/>
      <c r="CF1377" s="68"/>
      <c r="CG1377" s="68"/>
      <c r="CH1377" s="68"/>
      <c r="CI1377" s="68"/>
      <c r="CJ1377" s="68"/>
      <c r="CK1377" s="68"/>
      <c r="CL1377" s="68"/>
      <c r="CM1377" s="68"/>
      <c r="CN1377" s="68"/>
      <c r="CO1377" s="68"/>
      <c r="CP1377" s="68"/>
    </row>
    <row r="1378" ht="15.75" customHeight="1">
      <c r="A1378" s="860" t="s">
        <v>6474</v>
      </c>
      <c r="B1378" s="534"/>
      <c r="C1378" s="849" t="s">
        <v>132</v>
      </c>
      <c r="D1378" s="731" t="s">
        <v>4781</v>
      </c>
      <c r="E1378" s="731" t="s">
        <v>4781</v>
      </c>
      <c r="F1378" s="1655" t="s">
        <v>6475</v>
      </c>
      <c r="G1378" s="119" t="s">
        <v>6476</v>
      </c>
      <c r="H1378" s="119" t="s">
        <v>6477</v>
      </c>
      <c r="I1378" s="25" t="s">
        <v>395</v>
      </c>
      <c r="J1378" s="178" t="s">
        <v>6478</v>
      </c>
      <c r="K1378" s="222">
        <v>2.0</v>
      </c>
      <c r="L1378" s="222">
        <v>1995.0</v>
      </c>
      <c r="M1378" s="25">
        <f t="shared" si="789"/>
        <v>30</v>
      </c>
      <c r="N1378" s="26">
        <f t="shared" si="790"/>
        <v>0</v>
      </c>
      <c r="O1378" s="27" t="str">
        <f t="shared" si="3"/>
        <v>#N/A</v>
      </c>
      <c r="P1378" s="28"/>
      <c r="Q1378" s="28"/>
      <c r="R1378" s="28"/>
      <c r="S1378" s="28"/>
      <c r="T1378" s="29">
        <f t="shared" si="791"/>
        <v>0</v>
      </c>
      <c r="U1378" s="28"/>
      <c r="V1378" s="30">
        <f t="shared" si="425"/>
        <v>0</v>
      </c>
      <c r="W1378" s="30"/>
      <c r="X1378" s="852"/>
      <c r="Y1378" s="33" t="str">
        <f t="shared" si="792"/>
        <v>#DIV/0!</v>
      </c>
      <c r="Z1378" s="692"/>
      <c r="AA1378" s="665"/>
      <c r="AB1378" s="326"/>
      <c r="AC1378" s="326"/>
      <c r="AD1378" s="322"/>
      <c r="AE1378" s="323"/>
      <c r="AF1378" s="868"/>
      <c r="AG1378" s="323"/>
      <c r="AH1378" s="326"/>
      <c r="AI1378" s="327"/>
      <c r="AJ1378" s="322"/>
      <c r="AK1378" s="325"/>
      <c r="AL1378" s="322"/>
      <c r="AM1378" s="323"/>
      <c r="AN1378" s="322"/>
      <c r="AO1378" s="323"/>
      <c r="AP1378" s="322"/>
      <c r="AQ1378" s="323"/>
      <c r="AR1378" s="322"/>
      <c r="AS1378" s="322"/>
      <c r="AT1378" s="322"/>
      <c r="AU1378" s="335"/>
      <c r="AV1378" s="322"/>
      <c r="AW1378" s="38"/>
      <c r="AX1378" s="322"/>
      <c r="AY1378" s="38"/>
      <c r="AZ1378" s="322"/>
      <c r="BA1378" s="335"/>
      <c r="BB1378" s="322"/>
      <c r="BC1378" s="335"/>
      <c r="BD1378" s="322"/>
      <c r="BE1378" s="38"/>
      <c r="BF1378" s="326"/>
      <c r="BG1378" s="68"/>
      <c r="BH1378" s="68"/>
      <c r="BI1378" s="68"/>
      <c r="BJ1378" s="68"/>
      <c r="BK1378" s="68"/>
      <c r="BL1378" s="68"/>
      <c r="BM1378" s="68"/>
      <c r="BN1378" s="68"/>
      <c r="BO1378" s="68"/>
      <c r="BP1378" s="68"/>
      <c r="BQ1378" s="68"/>
      <c r="BR1378" s="68"/>
      <c r="BS1378" s="68"/>
      <c r="BT1378" s="68"/>
      <c r="BU1378" s="68"/>
      <c r="BV1378" s="68"/>
      <c r="BW1378" s="68"/>
      <c r="BX1378" s="68"/>
      <c r="BY1378" s="68"/>
      <c r="BZ1378" s="68"/>
      <c r="CA1378" s="68"/>
      <c r="CB1378" s="68"/>
      <c r="CC1378" s="68"/>
      <c r="CD1378" s="68"/>
      <c r="CE1378" s="68"/>
      <c r="CF1378" s="68"/>
      <c r="CG1378" s="68"/>
      <c r="CH1378" s="68"/>
      <c r="CI1378" s="68"/>
      <c r="CJ1378" s="68"/>
      <c r="CK1378" s="68"/>
      <c r="CL1378" s="68"/>
      <c r="CM1378" s="68"/>
      <c r="CN1378" s="68"/>
      <c r="CO1378" s="68"/>
      <c r="CP1378" s="68"/>
    </row>
    <row r="1379" ht="15.75" customHeight="1">
      <c r="A1379" s="48" t="s">
        <v>6479</v>
      </c>
      <c r="B1379" s="16"/>
      <c r="C1379" s="17" t="s">
        <v>207</v>
      </c>
      <c r="D1379" s="48"/>
      <c r="E1379" s="388" t="s">
        <v>6480</v>
      </c>
      <c r="F1379" s="118" t="s">
        <v>6481</v>
      </c>
      <c r="G1379" s="407"/>
      <c r="H1379" s="71" t="s">
        <v>64</v>
      </c>
      <c r="I1379" s="26" t="s">
        <v>65</v>
      </c>
      <c r="J1379" s="72"/>
      <c r="K1379" s="23">
        <v>1.0</v>
      </c>
      <c r="L1379" s="23">
        <v>2020.0</v>
      </c>
      <c r="M1379" s="25">
        <f t="shared" si="789"/>
        <v>5</v>
      </c>
      <c r="N1379" s="26">
        <f t="shared" si="790"/>
        <v>0</v>
      </c>
      <c r="O1379" s="27" t="str">
        <f t="shared" si="3"/>
        <v>#N/A</v>
      </c>
      <c r="P1379" s="28"/>
      <c r="Q1379" s="28"/>
      <c r="R1379" s="28"/>
      <c r="S1379" s="28"/>
      <c r="T1379" s="29">
        <f t="shared" si="791"/>
        <v>0</v>
      </c>
      <c r="U1379" s="28"/>
      <c r="V1379" s="30">
        <f t="shared" si="425"/>
        <v>0</v>
      </c>
      <c r="W1379" s="30"/>
      <c r="X1379" s="33"/>
      <c r="Y1379" s="33" t="str">
        <f t="shared" si="792"/>
        <v>#DIV/0!</v>
      </c>
      <c r="Z1379" s="692"/>
      <c r="AA1379" s="665"/>
      <c r="AB1379" s="36"/>
      <c r="AC1379" s="36"/>
      <c r="AD1379" s="44"/>
      <c r="AE1379" s="46"/>
      <c r="AF1379" s="39"/>
      <c r="AG1379" s="46"/>
      <c r="AH1379" s="36"/>
      <c r="AI1379" s="159"/>
      <c r="AJ1379" s="227"/>
      <c r="AK1379" s="38"/>
      <c r="AL1379" s="42"/>
      <c r="AM1379" s="38"/>
      <c r="AN1379" s="44"/>
      <c r="AO1379" s="46"/>
      <c r="AP1379" s="44"/>
      <c r="AQ1379" s="46"/>
      <c r="AR1379" s="44"/>
      <c r="AS1379" s="44"/>
      <c r="AT1379" s="44"/>
      <c r="AU1379" s="45"/>
      <c r="AV1379" s="44"/>
      <c r="AW1379" s="38"/>
      <c r="AX1379" s="44"/>
      <c r="AY1379" s="38"/>
      <c r="AZ1379" s="44"/>
      <c r="BA1379" s="45"/>
      <c r="BB1379" s="44"/>
      <c r="BC1379" s="45"/>
      <c r="BD1379" s="44"/>
      <c r="BE1379" s="38"/>
      <c r="BF1379" s="36"/>
      <c r="BG1379" s="68"/>
      <c r="BH1379" s="68"/>
      <c r="BI1379" s="68"/>
      <c r="BJ1379" s="68"/>
      <c r="BK1379" s="68"/>
      <c r="BL1379" s="68"/>
      <c r="BM1379" s="68"/>
      <c r="BN1379" s="68"/>
      <c r="BO1379" s="68"/>
      <c r="BP1379" s="68"/>
      <c r="BQ1379" s="68"/>
      <c r="BR1379" s="68"/>
      <c r="BS1379" s="68"/>
      <c r="BT1379" s="68"/>
      <c r="BU1379" s="68"/>
      <c r="BV1379" s="68"/>
      <c r="BW1379" s="68"/>
      <c r="BX1379" s="68"/>
      <c r="BY1379" s="68"/>
      <c r="BZ1379" s="68"/>
      <c r="CA1379" s="68"/>
      <c r="CB1379" s="68"/>
      <c r="CC1379" s="68"/>
      <c r="CD1379" s="68"/>
      <c r="CE1379" s="68"/>
      <c r="CF1379" s="68"/>
      <c r="CG1379" s="68"/>
      <c r="CH1379" s="68"/>
      <c r="CI1379" s="68"/>
      <c r="CJ1379" s="68"/>
      <c r="CK1379" s="68"/>
      <c r="CL1379" s="68"/>
      <c r="CM1379" s="68"/>
      <c r="CN1379" s="68"/>
      <c r="CO1379" s="68"/>
      <c r="CP1379" s="68"/>
    </row>
    <row r="1380" ht="15.75" customHeight="1">
      <c r="A1380" s="892" t="s">
        <v>6482</v>
      </c>
      <c r="B1380" s="534"/>
      <c r="C1380" s="849" t="s">
        <v>132</v>
      </c>
      <c r="D1380" s="731" t="s">
        <v>4781</v>
      </c>
      <c r="E1380" s="731" t="s">
        <v>4781</v>
      </c>
      <c r="F1380" s="386" t="s">
        <v>6483</v>
      </c>
      <c r="G1380" s="119" t="s">
        <v>6484</v>
      </c>
      <c r="H1380" s="119" t="s">
        <v>114</v>
      </c>
      <c r="I1380" s="25" t="s">
        <v>115</v>
      </c>
      <c r="J1380" s="120" t="s">
        <v>5276</v>
      </c>
      <c r="K1380" s="222">
        <v>1.0</v>
      </c>
      <c r="L1380" s="222"/>
      <c r="M1380" s="25">
        <f t="shared" si="789"/>
        <v>2025</v>
      </c>
      <c r="N1380" s="26">
        <f t="shared" si="790"/>
        <v>0</v>
      </c>
      <c r="O1380" s="27" t="str">
        <f t="shared" si="3"/>
        <v>#N/A</v>
      </c>
      <c r="P1380" s="28"/>
      <c r="Q1380" s="28"/>
      <c r="R1380" s="28"/>
      <c r="S1380" s="28"/>
      <c r="T1380" s="29">
        <f t="shared" si="791"/>
        <v>0</v>
      </c>
      <c r="U1380" s="28"/>
      <c r="V1380" s="30">
        <f t="shared" si="425"/>
        <v>0</v>
      </c>
      <c r="W1380" s="30"/>
      <c r="X1380" s="852"/>
      <c r="Y1380" s="33" t="str">
        <f t="shared" si="792"/>
        <v>#DIV/0!</v>
      </c>
      <c r="Z1380" s="692"/>
      <c r="AA1380" s="665"/>
      <c r="AB1380" s="326"/>
      <c r="AC1380" s="326"/>
      <c r="AD1380" s="322"/>
      <c r="AE1380" s="323"/>
      <c r="AF1380" s="868"/>
      <c r="AG1380" s="323"/>
      <c r="AH1380" s="326"/>
      <c r="AI1380" s="327"/>
      <c r="AJ1380" s="322"/>
      <c r="AK1380" s="325"/>
      <c r="AL1380" s="322"/>
      <c r="AM1380" s="323"/>
      <c r="AN1380" s="322"/>
      <c r="AO1380" s="323"/>
      <c r="AP1380" s="322"/>
      <c r="AQ1380" s="323"/>
      <c r="AR1380" s="322"/>
      <c r="AS1380" s="322"/>
      <c r="AT1380" s="322"/>
      <c r="AU1380" s="335"/>
      <c r="AV1380" s="322"/>
      <c r="AW1380" s="38"/>
      <c r="AX1380" s="322"/>
      <c r="AY1380" s="38"/>
      <c r="AZ1380" s="322"/>
      <c r="BA1380" s="335"/>
      <c r="BB1380" s="322"/>
      <c r="BC1380" s="335"/>
      <c r="BD1380" s="322"/>
      <c r="BE1380" s="38"/>
      <c r="BF1380" s="326"/>
      <c r="BG1380" s="68"/>
      <c r="BH1380" s="68"/>
      <c r="BI1380" s="68"/>
      <c r="BJ1380" s="68"/>
      <c r="BK1380" s="68"/>
      <c r="BL1380" s="68"/>
      <c r="BM1380" s="68"/>
      <c r="BN1380" s="68"/>
      <c r="BO1380" s="68"/>
      <c r="BP1380" s="68"/>
      <c r="BQ1380" s="68"/>
      <c r="BR1380" s="68"/>
      <c r="BS1380" s="68"/>
      <c r="BT1380" s="68"/>
      <c r="BU1380" s="68"/>
      <c r="BV1380" s="68"/>
      <c r="BW1380" s="68"/>
      <c r="BX1380" s="68"/>
      <c r="BY1380" s="68"/>
      <c r="BZ1380" s="68"/>
      <c r="CA1380" s="68"/>
      <c r="CB1380" s="68"/>
      <c r="CC1380" s="68"/>
      <c r="CD1380" s="68"/>
      <c r="CE1380" s="68"/>
      <c r="CF1380" s="68"/>
      <c r="CG1380" s="68"/>
      <c r="CH1380" s="68"/>
      <c r="CI1380" s="68"/>
      <c r="CJ1380" s="68"/>
      <c r="CK1380" s="68"/>
      <c r="CL1380" s="68"/>
      <c r="CM1380" s="68"/>
      <c r="CN1380" s="68"/>
      <c r="CO1380" s="68"/>
      <c r="CP1380" s="68"/>
    </row>
    <row r="1381" ht="15.75" customHeight="1">
      <c r="A1381" s="892" t="s">
        <v>6485</v>
      </c>
      <c r="B1381" s="16"/>
      <c r="C1381" s="17" t="s">
        <v>84</v>
      </c>
      <c r="D1381" s="192" t="s">
        <v>6486</v>
      </c>
      <c r="E1381" s="192" t="s">
        <v>6487</v>
      </c>
      <c r="F1381" s="1657" t="s">
        <v>6488</v>
      </c>
      <c r="G1381" s="71"/>
      <c r="H1381" s="71" t="s">
        <v>5599</v>
      </c>
      <c r="I1381" s="26" t="s">
        <v>1384</v>
      </c>
      <c r="J1381" s="72"/>
      <c r="K1381" s="36"/>
      <c r="L1381" s="23">
        <v>2000.0</v>
      </c>
      <c r="M1381" s="25">
        <f t="shared" si="789"/>
        <v>25</v>
      </c>
      <c r="N1381" s="26">
        <f t="shared" si="790"/>
        <v>0</v>
      </c>
      <c r="O1381" s="27" t="str">
        <f t="shared" si="3"/>
        <v>#N/A</v>
      </c>
      <c r="P1381" s="28"/>
      <c r="Q1381" s="28"/>
      <c r="R1381" s="28"/>
      <c r="S1381" s="28"/>
      <c r="T1381" s="29">
        <f t="shared" si="791"/>
        <v>0</v>
      </c>
      <c r="U1381" s="28"/>
      <c r="V1381" s="30">
        <f t="shared" si="425"/>
        <v>0</v>
      </c>
      <c r="W1381" s="30"/>
      <c r="X1381" s="847"/>
      <c r="Y1381" s="33" t="str">
        <f t="shared" si="792"/>
        <v>#DIV/0!</v>
      </c>
      <c r="Z1381" s="692"/>
      <c r="AA1381" s="665"/>
      <c r="AB1381" s="36"/>
      <c r="AC1381" s="36"/>
      <c r="AD1381" s="44"/>
      <c r="AE1381" s="46"/>
      <c r="AF1381" s="39"/>
      <c r="AG1381" s="46"/>
      <c r="AH1381" s="36"/>
      <c r="AI1381" s="159"/>
      <c r="AJ1381" s="44"/>
      <c r="AK1381" s="38"/>
      <c r="AL1381" s="44"/>
      <c r="AM1381" s="46"/>
      <c r="AN1381" s="44"/>
      <c r="AO1381" s="46"/>
      <c r="AP1381" s="44"/>
      <c r="AQ1381" s="46"/>
      <c r="AR1381" s="44"/>
      <c r="AS1381" s="44"/>
      <c r="AT1381" s="44"/>
      <c r="AU1381" s="45"/>
      <c r="AV1381" s="44"/>
      <c r="AW1381" s="38"/>
      <c r="AX1381" s="44"/>
      <c r="AY1381" s="38"/>
      <c r="AZ1381" s="44"/>
      <c r="BA1381" s="45"/>
      <c r="BB1381" s="44"/>
      <c r="BC1381" s="45"/>
      <c r="BD1381" s="44"/>
      <c r="BE1381" s="38"/>
      <c r="BF1381" s="36"/>
      <c r="BG1381" s="68"/>
      <c r="BH1381" s="68"/>
      <c r="BI1381" s="68"/>
      <c r="BJ1381" s="68"/>
      <c r="BK1381" s="68"/>
      <c r="BL1381" s="68"/>
      <c r="BM1381" s="68"/>
      <c r="BN1381" s="68"/>
      <c r="BO1381" s="68"/>
      <c r="BP1381" s="68"/>
      <c r="BQ1381" s="68"/>
      <c r="BR1381" s="68"/>
      <c r="BS1381" s="68"/>
      <c r="BT1381" s="68"/>
      <c r="BU1381" s="68"/>
      <c r="BV1381" s="68"/>
      <c r="BW1381" s="68"/>
      <c r="BX1381" s="68"/>
      <c r="BY1381" s="68"/>
      <c r="BZ1381" s="68"/>
      <c r="CA1381" s="68"/>
      <c r="CB1381" s="68"/>
      <c r="CC1381" s="68"/>
      <c r="CD1381" s="68"/>
      <c r="CE1381" s="68"/>
      <c r="CF1381" s="68"/>
      <c r="CG1381" s="68"/>
      <c r="CH1381" s="68"/>
      <c r="CI1381" s="68"/>
      <c r="CJ1381" s="68"/>
      <c r="CK1381" s="68"/>
      <c r="CL1381" s="68"/>
      <c r="CM1381" s="68"/>
      <c r="CN1381" s="68"/>
      <c r="CO1381" s="68"/>
      <c r="CP1381" s="68"/>
    </row>
    <row r="1382" ht="15.75" customHeight="1">
      <c r="A1382" s="21" t="s">
        <v>6489</v>
      </c>
      <c r="B1382" s="16"/>
      <c r="C1382" s="17" t="s">
        <v>84</v>
      </c>
      <c r="D1382" s="192" t="s">
        <v>6490</v>
      </c>
      <c r="E1382" s="18" t="s">
        <v>6491</v>
      </c>
      <c r="F1382" s="138" t="s">
        <v>6492</v>
      </c>
      <c r="G1382" s="317"/>
      <c r="H1382" s="22" t="s">
        <v>6493</v>
      </c>
      <c r="I1382" s="23" t="s">
        <v>5617</v>
      </c>
      <c r="J1382" s="237"/>
      <c r="K1382" s="36"/>
      <c r="L1382" s="23">
        <v>2012.0</v>
      </c>
      <c r="M1382" s="25">
        <f t="shared" si="789"/>
        <v>13</v>
      </c>
      <c r="N1382" s="26">
        <f t="shared" si="790"/>
        <v>0</v>
      </c>
      <c r="O1382" s="27" t="str">
        <f t="shared" si="3"/>
        <v>#N/A</v>
      </c>
      <c r="P1382" s="28"/>
      <c r="Q1382" s="28"/>
      <c r="R1382" s="28"/>
      <c r="S1382" s="28"/>
      <c r="T1382" s="29">
        <f t="shared" si="791"/>
        <v>0</v>
      </c>
      <c r="U1382" s="28"/>
      <c r="V1382" s="30">
        <f t="shared" si="425"/>
        <v>0</v>
      </c>
      <c r="W1382" s="30"/>
      <c r="X1382" s="847"/>
      <c r="Y1382" s="33" t="str">
        <f t="shared" si="792"/>
        <v>#DIV/0!</v>
      </c>
      <c r="Z1382" s="692"/>
      <c r="AA1382" s="665"/>
      <c r="AB1382" s="23"/>
      <c r="AC1382" s="36"/>
      <c r="AD1382" s="44"/>
      <c r="AE1382" s="38"/>
      <c r="AF1382" s="39"/>
      <c r="AG1382" s="46"/>
      <c r="AH1382" s="36"/>
      <c r="AI1382" s="159"/>
      <c r="AJ1382" s="44"/>
      <c r="AK1382" s="46"/>
      <c r="AL1382" s="44"/>
      <c r="AM1382" s="46"/>
      <c r="AN1382" s="44"/>
      <c r="AO1382" s="46"/>
      <c r="AP1382" s="44"/>
      <c r="AQ1382" s="46"/>
      <c r="AR1382" s="44"/>
      <c r="AS1382" s="44"/>
      <c r="AT1382" s="44"/>
      <c r="AU1382" s="45"/>
      <c r="AV1382" s="44"/>
      <c r="AW1382" s="38"/>
      <c r="AX1382" s="44"/>
      <c r="AY1382" s="38"/>
      <c r="AZ1382" s="44"/>
      <c r="BA1382" s="45"/>
      <c r="BB1382" s="44"/>
      <c r="BC1382" s="45"/>
      <c r="BD1382" s="44"/>
      <c r="BE1382" s="38"/>
      <c r="BF1382" s="36"/>
      <c r="BG1382" s="68"/>
      <c r="BH1382" s="68"/>
      <c r="BI1382" s="68"/>
      <c r="BJ1382" s="68"/>
      <c r="BK1382" s="68"/>
      <c r="BL1382" s="68"/>
      <c r="BM1382" s="68"/>
      <c r="BN1382" s="68"/>
      <c r="BO1382" s="68"/>
      <c r="BP1382" s="68"/>
      <c r="BQ1382" s="68"/>
      <c r="BR1382" s="68"/>
      <c r="BS1382" s="68"/>
      <c r="BT1382" s="68"/>
      <c r="BU1382" s="68"/>
      <c r="BV1382" s="68"/>
      <c r="BW1382" s="68"/>
      <c r="BX1382" s="68"/>
      <c r="BY1382" s="68"/>
      <c r="BZ1382" s="68"/>
      <c r="CA1382" s="68"/>
      <c r="CB1382" s="68"/>
      <c r="CC1382" s="68"/>
      <c r="CD1382" s="68"/>
      <c r="CE1382" s="68"/>
      <c r="CF1382" s="68"/>
      <c r="CG1382" s="68"/>
      <c r="CH1382" s="68"/>
      <c r="CI1382" s="68"/>
      <c r="CJ1382" s="68"/>
      <c r="CK1382" s="68"/>
      <c r="CL1382" s="68"/>
      <c r="CM1382" s="68"/>
      <c r="CN1382" s="68"/>
      <c r="CO1382" s="68"/>
      <c r="CP1382" s="68"/>
    </row>
    <row r="1383" ht="15.75" customHeight="1">
      <c r="A1383" s="892" t="s">
        <v>6494</v>
      </c>
      <c r="B1383" s="534"/>
      <c r="C1383" s="849" t="s">
        <v>132</v>
      </c>
      <c r="D1383" s="731" t="s">
        <v>6069</v>
      </c>
      <c r="E1383" s="47" t="s">
        <v>4781</v>
      </c>
      <c r="F1383" s="386" t="s">
        <v>6495</v>
      </c>
      <c r="G1383" s="850" t="s">
        <v>6496</v>
      </c>
      <c r="H1383" s="850" t="s">
        <v>6497</v>
      </c>
      <c r="I1383" s="222" t="s">
        <v>1088</v>
      </c>
      <c r="J1383" s="953" t="s">
        <v>6498</v>
      </c>
      <c r="K1383" s="222">
        <v>1.0</v>
      </c>
      <c r="L1383" s="222">
        <v>2002.0</v>
      </c>
      <c r="M1383" s="25">
        <f t="shared" si="789"/>
        <v>23</v>
      </c>
      <c r="N1383" s="26">
        <f t="shared" si="790"/>
        <v>0</v>
      </c>
      <c r="O1383" s="27" t="str">
        <f t="shared" si="3"/>
        <v>#N/A</v>
      </c>
      <c r="P1383" s="28"/>
      <c r="Q1383" s="28"/>
      <c r="R1383" s="28"/>
      <c r="S1383" s="28"/>
      <c r="T1383" s="29">
        <f t="shared" si="791"/>
        <v>0</v>
      </c>
      <c r="U1383" s="28"/>
      <c r="V1383" s="30">
        <f t="shared" si="425"/>
        <v>0</v>
      </c>
      <c r="W1383" s="30"/>
      <c r="X1383" s="852"/>
      <c r="Y1383" s="33" t="str">
        <f t="shared" si="792"/>
        <v>#DIV/0!</v>
      </c>
      <c r="Z1383" s="692"/>
      <c r="AA1383" s="665"/>
      <c r="AB1383" s="222"/>
      <c r="AC1383" s="326"/>
      <c r="AD1383" s="322"/>
      <c r="AE1383" s="325"/>
      <c r="AF1383" s="868"/>
      <c r="AG1383" s="323"/>
      <c r="AH1383" s="326"/>
      <c r="AI1383" s="327"/>
      <c r="AJ1383" s="322"/>
      <c r="AK1383" s="323"/>
      <c r="AL1383" s="322"/>
      <c r="AM1383" s="323"/>
      <c r="AN1383" s="322"/>
      <c r="AO1383" s="323"/>
      <c r="AP1383" s="322"/>
      <c r="AQ1383" s="323"/>
      <c r="AR1383" s="322"/>
      <c r="AS1383" s="322"/>
      <c r="AT1383" s="322"/>
      <c r="AU1383" s="335"/>
      <c r="AV1383" s="322"/>
      <c r="AW1383" s="38"/>
      <c r="AX1383" s="322"/>
      <c r="AY1383" s="38"/>
      <c r="AZ1383" s="322"/>
      <c r="BA1383" s="335"/>
      <c r="BB1383" s="322"/>
      <c r="BC1383" s="335"/>
      <c r="BD1383" s="322"/>
      <c r="BE1383" s="38"/>
      <c r="BF1383" s="326"/>
      <c r="BG1383" s="115"/>
      <c r="BH1383" s="115"/>
      <c r="BI1383" s="115"/>
      <c r="BJ1383" s="115"/>
      <c r="BK1383" s="115"/>
      <c r="BL1383" s="115"/>
      <c r="BM1383" s="115"/>
      <c r="BN1383" s="115"/>
      <c r="BO1383" s="115"/>
      <c r="BP1383" s="115"/>
      <c r="BQ1383" s="115"/>
      <c r="BR1383" s="115"/>
      <c r="BS1383" s="115"/>
      <c r="BT1383" s="115"/>
      <c r="BU1383" s="115"/>
      <c r="BV1383" s="115"/>
      <c r="BW1383" s="115"/>
      <c r="BX1383" s="115"/>
      <c r="BY1383" s="115"/>
      <c r="BZ1383" s="115"/>
      <c r="CA1383" s="115"/>
      <c r="CB1383" s="115"/>
      <c r="CC1383" s="115"/>
      <c r="CD1383" s="115"/>
      <c r="CE1383" s="115"/>
      <c r="CF1383" s="115"/>
      <c r="CG1383" s="115"/>
      <c r="CH1383" s="115"/>
      <c r="CI1383" s="115"/>
      <c r="CJ1383" s="115"/>
      <c r="CK1383" s="115"/>
      <c r="CL1383" s="115"/>
      <c r="CM1383" s="115"/>
      <c r="CN1383" s="115"/>
      <c r="CO1383" s="115"/>
      <c r="CP1383" s="115"/>
    </row>
    <row r="1384" ht="15.75" customHeight="1">
      <c r="A1384" s="48" t="s">
        <v>6499</v>
      </c>
      <c r="B1384" s="16"/>
      <c r="C1384" s="17" t="s">
        <v>267</v>
      </c>
      <c r="D1384" s="192" t="s">
        <v>6500</v>
      </c>
      <c r="E1384" s="192" t="s">
        <v>6501</v>
      </c>
      <c r="F1384" s="1655" t="s">
        <v>6502</v>
      </c>
      <c r="G1384" s="317"/>
      <c r="H1384" s="22" t="s">
        <v>1125</v>
      </c>
      <c r="I1384" s="23" t="s">
        <v>5617</v>
      </c>
      <c r="J1384" s="509"/>
      <c r="K1384" s="36"/>
      <c r="L1384" s="23">
        <v>2017.0</v>
      </c>
      <c r="M1384" s="25">
        <f t="shared" si="789"/>
        <v>8</v>
      </c>
      <c r="N1384" s="26">
        <f t="shared" si="790"/>
        <v>0</v>
      </c>
      <c r="O1384" s="27" t="str">
        <f t="shared" si="3"/>
        <v>#N/A</v>
      </c>
      <c r="P1384" s="28"/>
      <c r="Q1384" s="28"/>
      <c r="R1384" s="28"/>
      <c r="S1384" s="28"/>
      <c r="T1384" s="29">
        <f t="shared" si="791"/>
        <v>0</v>
      </c>
      <c r="U1384" s="28"/>
      <c r="V1384" s="30">
        <f t="shared" si="425"/>
        <v>0</v>
      </c>
      <c r="W1384" s="30"/>
      <c r="X1384" s="847"/>
      <c r="Y1384" s="33" t="str">
        <f t="shared" si="792"/>
        <v>#DIV/0!</v>
      </c>
      <c r="Z1384" s="692"/>
      <c r="AA1384" s="665"/>
      <c r="AB1384" s="23"/>
      <c r="AC1384" s="36"/>
      <c r="AD1384" s="44"/>
      <c r="AE1384" s="38"/>
      <c r="AF1384" s="39"/>
      <c r="AG1384" s="46"/>
      <c r="AH1384" s="36"/>
      <c r="AI1384" s="159"/>
      <c r="AJ1384" s="44"/>
      <c r="AK1384" s="46"/>
      <c r="AL1384" s="44"/>
      <c r="AM1384" s="46"/>
      <c r="AN1384" s="44"/>
      <c r="AO1384" s="46"/>
      <c r="AP1384" s="44"/>
      <c r="AQ1384" s="46"/>
      <c r="AR1384" s="44"/>
      <c r="AS1384" s="44"/>
      <c r="AT1384" s="44"/>
      <c r="AU1384" s="45"/>
      <c r="AV1384" s="44"/>
      <c r="AW1384" s="38"/>
      <c r="AX1384" s="44"/>
      <c r="AY1384" s="38"/>
      <c r="AZ1384" s="44"/>
      <c r="BA1384" s="45"/>
      <c r="BB1384" s="44"/>
      <c r="BC1384" s="45"/>
      <c r="BD1384" s="44"/>
      <c r="BE1384" s="38"/>
      <c r="BF1384" s="36"/>
      <c r="BG1384" s="115"/>
      <c r="BH1384" s="115"/>
      <c r="BI1384" s="115"/>
      <c r="BJ1384" s="115"/>
      <c r="BK1384" s="115"/>
      <c r="BL1384" s="115"/>
      <c r="BM1384" s="115"/>
      <c r="BN1384" s="115"/>
      <c r="BO1384" s="115"/>
      <c r="BP1384" s="115"/>
      <c r="BQ1384" s="115"/>
      <c r="BR1384" s="115"/>
      <c r="BS1384" s="115"/>
      <c r="BT1384" s="115"/>
      <c r="BU1384" s="115"/>
      <c r="BV1384" s="115"/>
      <c r="BW1384" s="115"/>
      <c r="BX1384" s="115"/>
      <c r="BY1384" s="115"/>
      <c r="BZ1384" s="115"/>
      <c r="CA1384" s="115"/>
      <c r="CB1384" s="115"/>
      <c r="CC1384" s="115"/>
      <c r="CD1384" s="115"/>
      <c r="CE1384" s="115"/>
      <c r="CF1384" s="115"/>
      <c r="CG1384" s="115"/>
      <c r="CH1384" s="115"/>
      <c r="CI1384" s="115"/>
      <c r="CJ1384" s="115"/>
      <c r="CK1384" s="115"/>
      <c r="CL1384" s="115"/>
      <c r="CM1384" s="115"/>
      <c r="CN1384" s="115"/>
      <c r="CO1384" s="115"/>
      <c r="CP1384" s="115"/>
    </row>
    <row r="1385" ht="15.75" customHeight="1">
      <c r="A1385" s="892" t="s">
        <v>6503</v>
      </c>
      <c r="B1385" s="534"/>
      <c r="C1385" s="849" t="s">
        <v>132</v>
      </c>
      <c r="D1385" s="731" t="s">
        <v>6069</v>
      </c>
      <c r="E1385" s="731" t="s">
        <v>4781</v>
      </c>
      <c r="F1385" s="386" t="s">
        <v>6504</v>
      </c>
      <c r="G1385" s="850" t="s">
        <v>6505</v>
      </c>
      <c r="H1385" s="850" t="s">
        <v>6506</v>
      </c>
      <c r="I1385" s="222" t="s">
        <v>129</v>
      </c>
      <c r="J1385" s="953" t="s">
        <v>6507</v>
      </c>
      <c r="K1385" s="222">
        <v>1.0</v>
      </c>
      <c r="L1385" s="222">
        <v>2016.0</v>
      </c>
      <c r="M1385" s="25">
        <f t="shared" si="789"/>
        <v>9</v>
      </c>
      <c r="N1385" s="26">
        <f t="shared" si="790"/>
        <v>0</v>
      </c>
      <c r="O1385" s="27" t="str">
        <f t="shared" si="3"/>
        <v>#N/A</v>
      </c>
      <c r="P1385" s="28"/>
      <c r="Q1385" s="28"/>
      <c r="R1385" s="28"/>
      <c r="S1385" s="28"/>
      <c r="T1385" s="29">
        <f t="shared" si="791"/>
        <v>0</v>
      </c>
      <c r="U1385" s="28"/>
      <c r="V1385" s="30">
        <f t="shared" si="425"/>
        <v>0</v>
      </c>
      <c r="W1385" s="30"/>
      <c r="X1385" s="852"/>
      <c r="Y1385" s="33" t="str">
        <f t="shared" si="792"/>
        <v>#DIV/0!</v>
      </c>
      <c r="Z1385" s="692"/>
      <c r="AA1385" s="665"/>
      <c r="AB1385" s="222"/>
      <c r="AC1385" s="326"/>
      <c r="AD1385" s="322"/>
      <c r="AE1385" s="325"/>
      <c r="AF1385" s="868"/>
      <c r="AG1385" s="323"/>
      <c r="AH1385" s="326"/>
      <c r="AI1385" s="327"/>
      <c r="AJ1385" s="322"/>
      <c r="AK1385" s="323"/>
      <c r="AL1385" s="322"/>
      <c r="AM1385" s="323"/>
      <c r="AN1385" s="322"/>
      <c r="AO1385" s="323"/>
      <c r="AP1385" s="322"/>
      <c r="AQ1385" s="323"/>
      <c r="AR1385" s="322"/>
      <c r="AS1385" s="322"/>
      <c r="AT1385" s="322"/>
      <c r="AU1385" s="335"/>
      <c r="AV1385" s="322"/>
      <c r="AW1385" s="38"/>
      <c r="AX1385" s="322"/>
      <c r="AY1385" s="38"/>
      <c r="AZ1385" s="322"/>
      <c r="BA1385" s="335"/>
      <c r="BB1385" s="322"/>
      <c r="BC1385" s="335"/>
      <c r="BD1385" s="322"/>
      <c r="BE1385" s="38"/>
      <c r="BF1385" s="326"/>
      <c r="BG1385" s="115"/>
      <c r="BH1385" s="115"/>
      <c r="BI1385" s="115"/>
      <c r="BJ1385" s="115"/>
      <c r="BK1385" s="115"/>
      <c r="BL1385" s="115"/>
      <c r="BM1385" s="115"/>
      <c r="BN1385" s="115"/>
      <c r="BO1385" s="115"/>
      <c r="BP1385" s="115"/>
      <c r="BQ1385" s="115"/>
      <c r="BR1385" s="115"/>
      <c r="BS1385" s="115"/>
      <c r="BT1385" s="115"/>
      <c r="BU1385" s="115"/>
      <c r="BV1385" s="115"/>
      <c r="BW1385" s="115"/>
      <c r="BX1385" s="115"/>
      <c r="BY1385" s="115"/>
      <c r="BZ1385" s="115"/>
      <c r="CA1385" s="115"/>
      <c r="CB1385" s="115"/>
      <c r="CC1385" s="115"/>
      <c r="CD1385" s="115"/>
      <c r="CE1385" s="115"/>
      <c r="CF1385" s="115"/>
      <c r="CG1385" s="115"/>
      <c r="CH1385" s="115"/>
      <c r="CI1385" s="115"/>
      <c r="CJ1385" s="115"/>
      <c r="CK1385" s="115"/>
      <c r="CL1385" s="115"/>
      <c r="CM1385" s="115"/>
      <c r="CN1385" s="115"/>
      <c r="CO1385" s="115"/>
      <c r="CP1385" s="115"/>
    </row>
    <row r="1386" ht="15.75" customHeight="1">
      <c r="A1386" s="892" t="s">
        <v>6508</v>
      </c>
      <c r="B1386" s="16"/>
      <c r="C1386" s="17" t="s">
        <v>123</v>
      </c>
      <c r="D1386" s="192" t="s">
        <v>6509</v>
      </c>
      <c r="E1386" s="192" t="s">
        <v>6510</v>
      </c>
      <c r="F1386" s="386" t="s">
        <v>6511</v>
      </c>
      <c r="G1386" s="1658"/>
      <c r="H1386" s="22" t="s">
        <v>6512</v>
      </c>
      <c r="I1386" s="23" t="s">
        <v>257</v>
      </c>
      <c r="J1386" s="237"/>
      <c r="K1386" s="36"/>
      <c r="L1386" s="23">
        <v>2000.0</v>
      </c>
      <c r="M1386" s="25">
        <f t="shared" si="789"/>
        <v>25</v>
      </c>
      <c r="N1386" s="26">
        <f t="shared" si="790"/>
        <v>0</v>
      </c>
      <c r="O1386" s="27" t="str">
        <f t="shared" si="3"/>
        <v>#N/A</v>
      </c>
      <c r="P1386" s="28"/>
      <c r="Q1386" s="28"/>
      <c r="R1386" s="28"/>
      <c r="S1386" s="28"/>
      <c r="T1386" s="29">
        <f t="shared" si="791"/>
        <v>0</v>
      </c>
      <c r="U1386" s="28"/>
      <c r="V1386" s="30">
        <f t="shared" si="425"/>
        <v>0</v>
      </c>
      <c r="W1386" s="30"/>
      <c r="X1386" s="847"/>
      <c r="Y1386" s="33" t="str">
        <f t="shared" si="792"/>
        <v>#DIV/0!</v>
      </c>
      <c r="Z1386" s="692"/>
      <c r="AA1386" s="665"/>
      <c r="AB1386" s="23"/>
      <c r="AC1386" s="36"/>
      <c r="AD1386" s="44"/>
      <c r="AE1386" s="38"/>
      <c r="AF1386" s="39"/>
      <c r="AG1386" s="46"/>
      <c r="AH1386" s="36"/>
      <c r="AI1386" s="159"/>
      <c r="AJ1386" s="44"/>
      <c r="AK1386" s="46"/>
      <c r="AL1386" s="44"/>
      <c r="AM1386" s="46"/>
      <c r="AN1386" s="44"/>
      <c r="AO1386" s="46"/>
      <c r="AP1386" s="44"/>
      <c r="AQ1386" s="46"/>
      <c r="AR1386" s="44"/>
      <c r="AS1386" s="44"/>
      <c r="AT1386" s="44"/>
      <c r="AU1386" s="45"/>
      <c r="AV1386" s="44"/>
      <c r="AW1386" s="38"/>
      <c r="AX1386" s="44"/>
      <c r="AY1386" s="38"/>
      <c r="AZ1386" s="44"/>
      <c r="BA1386" s="45"/>
      <c r="BB1386" s="44"/>
      <c r="BC1386" s="45"/>
      <c r="BD1386" s="44"/>
      <c r="BE1386" s="38"/>
      <c r="BF1386" s="36"/>
      <c r="BG1386" s="115"/>
      <c r="BH1386" s="115"/>
      <c r="BI1386" s="115"/>
      <c r="BJ1386" s="115"/>
      <c r="BK1386" s="115"/>
      <c r="BL1386" s="115"/>
      <c r="BM1386" s="115"/>
      <c r="BN1386" s="115"/>
      <c r="BO1386" s="115"/>
      <c r="BP1386" s="115"/>
      <c r="BQ1386" s="115"/>
      <c r="BR1386" s="115"/>
      <c r="BS1386" s="115"/>
      <c r="BT1386" s="115"/>
      <c r="BU1386" s="115"/>
      <c r="BV1386" s="115"/>
      <c r="BW1386" s="115"/>
      <c r="BX1386" s="115"/>
      <c r="BY1386" s="115"/>
      <c r="BZ1386" s="115"/>
      <c r="CA1386" s="115"/>
      <c r="CB1386" s="115"/>
      <c r="CC1386" s="115"/>
      <c r="CD1386" s="115"/>
      <c r="CE1386" s="115"/>
      <c r="CF1386" s="115"/>
      <c r="CG1386" s="115"/>
      <c r="CH1386" s="115"/>
      <c r="CI1386" s="115"/>
      <c r="CJ1386" s="115"/>
      <c r="CK1386" s="115"/>
      <c r="CL1386" s="115"/>
      <c r="CM1386" s="115"/>
      <c r="CN1386" s="115"/>
      <c r="CO1386" s="115"/>
      <c r="CP1386" s="115"/>
    </row>
    <row r="1387" ht="15.75" customHeight="1">
      <c r="A1387" s="1162" t="s">
        <v>6513</v>
      </c>
      <c r="B1387" s="16"/>
      <c r="C1387" s="17" t="s">
        <v>123</v>
      </c>
      <c r="D1387" s="337"/>
      <c r="E1387" s="18" t="s">
        <v>6514</v>
      </c>
      <c r="F1387" s="20" t="s">
        <v>6515</v>
      </c>
      <c r="G1387" s="317"/>
      <c r="H1387" s="22" t="s">
        <v>129</v>
      </c>
      <c r="I1387" s="23" t="s">
        <v>129</v>
      </c>
      <c r="J1387" s="237"/>
      <c r="K1387" s="36"/>
      <c r="L1387" s="23">
        <v>2018.0</v>
      </c>
      <c r="M1387" s="25">
        <f t="shared" si="789"/>
        <v>7</v>
      </c>
      <c r="N1387" s="26">
        <f t="shared" si="790"/>
        <v>0</v>
      </c>
      <c r="O1387" s="27" t="str">
        <f t="shared" si="3"/>
        <v>#N/A</v>
      </c>
      <c r="P1387" s="28"/>
      <c r="Q1387" s="28"/>
      <c r="R1387" s="28"/>
      <c r="S1387" s="28"/>
      <c r="T1387" s="29">
        <f t="shared" si="791"/>
        <v>0</v>
      </c>
      <c r="U1387" s="28"/>
      <c r="V1387" s="30">
        <f t="shared" si="425"/>
        <v>0</v>
      </c>
      <c r="W1387" s="30"/>
      <c r="X1387" s="847"/>
      <c r="Y1387" s="33" t="str">
        <f t="shared" si="792"/>
        <v>#DIV/0!</v>
      </c>
      <c r="Z1387" s="692"/>
      <c r="AA1387" s="665"/>
      <c r="AB1387" s="23"/>
      <c r="AC1387" s="36"/>
      <c r="AD1387" s="44"/>
      <c r="AE1387" s="38"/>
      <c r="AF1387" s="39"/>
      <c r="AG1387" s="46"/>
      <c r="AH1387" s="36"/>
      <c r="AI1387" s="159"/>
      <c r="AJ1387" s="44"/>
      <c r="AK1387" s="46"/>
      <c r="AL1387" s="44"/>
      <c r="AM1387" s="46"/>
      <c r="AN1387" s="44"/>
      <c r="AO1387" s="46"/>
      <c r="AP1387" s="44"/>
      <c r="AQ1387" s="46"/>
      <c r="AR1387" s="44"/>
      <c r="AS1387" s="44"/>
      <c r="AT1387" s="44"/>
      <c r="AU1387" s="45"/>
      <c r="AV1387" s="44"/>
      <c r="AW1387" s="38"/>
      <c r="AX1387" s="44"/>
      <c r="AY1387" s="38"/>
      <c r="AZ1387" s="44"/>
      <c r="BA1387" s="45"/>
      <c r="BB1387" s="44"/>
      <c r="BC1387" s="45"/>
      <c r="BD1387" s="44"/>
      <c r="BE1387" s="38"/>
      <c r="BF1387" s="36"/>
      <c r="BG1387" s="1407"/>
      <c r="BH1387" s="1407"/>
      <c r="BI1387" s="1407"/>
      <c r="BJ1387" s="1407"/>
      <c r="BK1387" s="1407"/>
      <c r="BL1387" s="1407"/>
      <c r="BM1387" s="1407"/>
      <c r="BN1387" s="1407"/>
      <c r="BO1387" s="1407"/>
      <c r="BP1387" s="1407"/>
      <c r="BQ1387" s="1407"/>
      <c r="BR1387" s="1407"/>
      <c r="BS1387" s="1407"/>
      <c r="BT1387" s="1407"/>
      <c r="BU1387" s="1407"/>
      <c r="BV1387" s="1407"/>
      <c r="BW1387" s="1407"/>
      <c r="BX1387" s="1407"/>
      <c r="BY1387" s="1407"/>
      <c r="BZ1387" s="1407"/>
      <c r="CA1387" s="1407"/>
      <c r="CB1387" s="1407"/>
      <c r="CC1387" s="1407"/>
      <c r="CD1387" s="1407"/>
      <c r="CE1387" s="1407"/>
      <c r="CF1387" s="1407"/>
      <c r="CG1387" s="1407"/>
      <c r="CH1387" s="1407"/>
      <c r="CI1387" s="1407"/>
      <c r="CJ1387" s="1407"/>
      <c r="CK1387" s="1407"/>
      <c r="CL1387" s="1407"/>
      <c r="CM1387" s="1407"/>
      <c r="CN1387" s="1407"/>
      <c r="CO1387" s="1407"/>
      <c r="CP1387" s="1407"/>
    </row>
    <row r="1388" ht="15.75" customHeight="1">
      <c r="A1388" s="1162" t="s">
        <v>6516</v>
      </c>
      <c r="B1388" s="16"/>
      <c r="C1388" s="17" t="s">
        <v>84</v>
      </c>
      <c r="D1388" s="18" t="s">
        <v>6517</v>
      </c>
      <c r="E1388" s="19" t="s">
        <v>6518</v>
      </c>
      <c r="F1388" s="20" t="s">
        <v>6519</v>
      </c>
      <c r="G1388" s="317"/>
      <c r="H1388" s="22" t="s">
        <v>6520</v>
      </c>
      <c r="I1388" s="23" t="s">
        <v>329</v>
      </c>
      <c r="J1388" s="237"/>
      <c r="K1388" s="36"/>
      <c r="L1388" s="23"/>
      <c r="M1388" s="25">
        <f t="shared" si="789"/>
        <v>2025</v>
      </c>
      <c r="N1388" s="26">
        <f t="shared" si="790"/>
        <v>0</v>
      </c>
      <c r="O1388" s="27" t="str">
        <f t="shared" si="3"/>
        <v>#N/A</v>
      </c>
      <c r="P1388" s="28"/>
      <c r="Q1388" s="28"/>
      <c r="R1388" s="28"/>
      <c r="S1388" s="28"/>
      <c r="T1388" s="29">
        <f t="shared" si="791"/>
        <v>0</v>
      </c>
      <c r="U1388" s="28"/>
      <c r="V1388" s="30">
        <f t="shared" si="425"/>
        <v>0</v>
      </c>
      <c r="W1388" s="30"/>
      <c r="X1388" s="847"/>
      <c r="Y1388" s="33" t="str">
        <f t="shared" si="792"/>
        <v>#DIV/0!</v>
      </c>
      <c r="Z1388" s="692"/>
      <c r="AA1388" s="665"/>
      <c r="AB1388" s="23"/>
      <c r="AC1388" s="36"/>
      <c r="AD1388" s="44"/>
      <c r="AE1388" s="38"/>
      <c r="AF1388" s="39"/>
      <c r="AG1388" s="46"/>
      <c r="AH1388" s="36"/>
      <c r="AI1388" s="159"/>
      <c r="AJ1388" s="44"/>
      <c r="AK1388" s="46"/>
      <c r="AL1388" s="44"/>
      <c r="AM1388" s="46"/>
      <c r="AN1388" s="44"/>
      <c r="AO1388" s="46"/>
      <c r="AP1388" s="44"/>
      <c r="AQ1388" s="46"/>
      <c r="AR1388" s="44"/>
      <c r="AS1388" s="44"/>
      <c r="AT1388" s="44"/>
      <c r="AU1388" s="45"/>
      <c r="AV1388" s="44"/>
      <c r="AW1388" s="38"/>
      <c r="AX1388" s="44"/>
      <c r="AY1388" s="38"/>
      <c r="AZ1388" s="44"/>
      <c r="BA1388" s="45"/>
      <c r="BB1388" s="44"/>
      <c r="BC1388" s="45"/>
      <c r="BD1388" s="44"/>
      <c r="BE1388" s="38"/>
      <c r="BF1388" s="36"/>
      <c r="BG1388" s="115"/>
      <c r="BH1388" s="115"/>
      <c r="BI1388" s="115"/>
      <c r="BJ1388" s="115"/>
      <c r="BK1388" s="115"/>
      <c r="BL1388" s="115"/>
      <c r="BM1388" s="115"/>
      <c r="BN1388" s="115"/>
      <c r="BO1388" s="115"/>
      <c r="BP1388" s="115"/>
      <c r="BQ1388" s="115"/>
      <c r="BR1388" s="115"/>
      <c r="BS1388" s="115"/>
      <c r="BT1388" s="115"/>
      <c r="BU1388" s="115"/>
      <c r="BV1388" s="115"/>
      <c r="BW1388" s="115"/>
      <c r="BX1388" s="115"/>
      <c r="BY1388" s="115"/>
      <c r="BZ1388" s="115"/>
      <c r="CA1388" s="115"/>
      <c r="CB1388" s="115"/>
      <c r="CC1388" s="115"/>
      <c r="CD1388" s="115"/>
      <c r="CE1388" s="115"/>
      <c r="CF1388" s="115"/>
      <c r="CG1388" s="115"/>
      <c r="CH1388" s="115"/>
      <c r="CI1388" s="115"/>
      <c r="CJ1388" s="115"/>
      <c r="CK1388" s="115"/>
      <c r="CL1388" s="115"/>
      <c r="CM1388" s="115"/>
      <c r="CN1388" s="115"/>
      <c r="CO1388" s="115"/>
      <c r="CP1388" s="115"/>
    </row>
    <row r="1389" ht="15.75" customHeight="1">
      <c r="A1389" s="866" t="s">
        <v>6521</v>
      </c>
      <c r="B1389" s="16"/>
      <c r="C1389" s="17" t="s">
        <v>123</v>
      </c>
      <c r="D1389" s="18" t="s">
        <v>6522</v>
      </c>
      <c r="E1389" s="337"/>
      <c r="F1389" s="20" t="s">
        <v>6523</v>
      </c>
      <c r="G1389" s="442"/>
      <c r="H1389" s="22" t="s">
        <v>6425</v>
      </c>
      <c r="I1389" s="23" t="s">
        <v>65</v>
      </c>
      <c r="J1389" s="509"/>
      <c r="K1389" s="36"/>
      <c r="L1389" s="23"/>
      <c r="M1389" s="25">
        <f t="shared" si="789"/>
        <v>2025</v>
      </c>
      <c r="N1389" s="26">
        <f t="shared" si="790"/>
        <v>0</v>
      </c>
      <c r="O1389" s="27" t="str">
        <f t="shared" si="3"/>
        <v>#N/A</v>
      </c>
      <c r="P1389" s="28"/>
      <c r="Q1389" s="28"/>
      <c r="R1389" s="28"/>
      <c r="S1389" s="28"/>
      <c r="T1389" s="29">
        <f t="shared" si="791"/>
        <v>0</v>
      </c>
      <c r="U1389" s="28"/>
      <c r="V1389" s="30">
        <f t="shared" si="425"/>
        <v>0</v>
      </c>
      <c r="W1389" s="30"/>
      <c r="X1389" s="847"/>
      <c r="Y1389" s="33" t="str">
        <f t="shared" si="792"/>
        <v>#DIV/0!</v>
      </c>
      <c r="Z1389" s="692"/>
      <c r="AA1389" s="665"/>
      <c r="AB1389" s="23"/>
      <c r="AC1389" s="36"/>
      <c r="AD1389" s="44"/>
      <c r="AE1389" s="38"/>
      <c r="AF1389" s="39"/>
      <c r="AG1389" s="46"/>
      <c r="AH1389" s="36"/>
      <c r="AI1389" s="159"/>
      <c r="AJ1389" s="44"/>
      <c r="AK1389" s="46"/>
      <c r="AL1389" s="44"/>
      <c r="AM1389" s="46"/>
      <c r="AN1389" s="44"/>
      <c r="AO1389" s="46"/>
      <c r="AP1389" s="44"/>
      <c r="AQ1389" s="46"/>
      <c r="AR1389" s="44"/>
      <c r="AS1389" s="44"/>
      <c r="AT1389" s="44"/>
      <c r="AU1389" s="45"/>
      <c r="AV1389" s="44"/>
      <c r="AW1389" s="38"/>
      <c r="AX1389" s="44"/>
      <c r="AY1389" s="38"/>
      <c r="AZ1389" s="44"/>
      <c r="BA1389" s="45"/>
      <c r="BB1389" s="44"/>
      <c r="BC1389" s="45"/>
      <c r="BD1389" s="44"/>
      <c r="BE1389" s="38"/>
      <c r="BF1389" s="36"/>
      <c r="BG1389" s="68"/>
      <c r="BH1389" s="68"/>
      <c r="BI1389" s="68"/>
      <c r="BJ1389" s="68"/>
      <c r="BK1389" s="68"/>
      <c r="BL1389" s="68"/>
      <c r="BM1389" s="68"/>
      <c r="BN1389" s="68"/>
      <c r="BO1389" s="68"/>
      <c r="BP1389" s="68"/>
      <c r="BQ1389" s="68"/>
      <c r="BR1389" s="68"/>
      <c r="BS1389" s="68"/>
      <c r="BT1389" s="68"/>
      <c r="BU1389" s="68"/>
      <c r="BV1389" s="68"/>
      <c r="BW1389" s="68"/>
      <c r="BX1389" s="68"/>
      <c r="BY1389" s="68"/>
      <c r="BZ1389" s="68"/>
      <c r="CA1389" s="68"/>
      <c r="CB1389" s="68"/>
      <c r="CC1389" s="68"/>
      <c r="CD1389" s="68"/>
      <c r="CE1389" s="68"/>
      <c r="CF1389" s="68"/>
      <c r="CG1389" s="68"/>
      <c r="CH1389" s="68"/>
      <c r="CI1389" s="68"/>
      <c r="CJ1389" s="68"/>
      <c r="CK1389" s="68"/>
      <c r="CL1389" s="68"/>
      <c r="CM1389" s="68"/>
      <c r="CN1389" s="68"/>
      <c r="CO1389" s="68"/>
      <c r="CP1389" s="68"/>
    </row>
    <row r="1390" ht="15.75" customHeight="1">
      <c r="A1390" s="892" t="s">
        <v>6524</v>
      </c>
      <c r="B1390" s="534"/>
      <c r="C1390" s="849" t="s">
        <v>513</v>
      </c>
      <c r="D1390" s="731" t="s">
        <v>6069</v>
      </c>
      <c r="E1390" s="731" t="s">
        <v>4781</v>
      </c>
      <c r="F1390" s="386" t="s">
        <v>6525</v>
      </c>
      <c r="G1390" s="400" t="s">
        <v>6526</v>
      </c>
      <c r="H1390" s="850" t="s">
        <v>592</v>
      </c>
      <c r="I1390" s="222" t="s">
        <v>2954</v>
      </c>
      <c r="J1390" s="1603" t="s">
        <v>6527</v>
      </c>
      <c r="K1390" s="222">
        <v>1.0</v>
      </c>
      <c r="L1390" s="222">
        <v>2019.0</v>
      </c>
      <c r="M1390" s="25">
        <f t="shared" si="789"/>
        <v>6</v>
      </c>
      <c r="N1390" s="26">
        <f t="shared" si="790"/>
        <v>0</v>
      </c>
      <c r="O1390" s="27" t="str">
        <f t="shared" si="3"/>
        <v>#N/A</v>
      </c>
      <c r="P1390" s="28"/>
      <c r="Q1390" s="28"/>
      <c r="R1390" s="28"/>
      <c r="S1390" s="28"/>
      <c r="T1390" s="29">
        <f t="shared" si="791"/>
        <v>0</v>
      </c>
      <c r="U1390" s="28"/>
      <c r="V1390" s="30">
        <f t="shared" si="425"/>
        <v>0</v>
      </c>
      <c r="W1390" s="30"/>
      <c r="X1390" s="852"/>
      <c r="Y1390" s="33" t="str">
        <f t="shared" si="792"/>
        <v>#DIV/0!</v>
      </c>
      <c r="Z1390" s="692"/>
      <c r="AA1390" s="665"/>
      <c r="AB1390" s="222"/>
      <c r="AC1390" s="326"/>
      <c r="AD1390" s="322"/>
      <c r="AE1390" s="325"/>
      <c r="AF1390" s="868"/>
      <c r="AG1390" s="323"/>
      <c r="AH1390" s="326"/>
      <c r="AI1390" s="327"/>
      <c r="AJ1390" s="322"/>
      <c r="AK1390" s="323"/>
      <c r="AL1390" s="322"/>
      <c r="AM1390" s="323"/>
      <c r="AN1390" s="322"/>
      <c r="AO1390" s="323"/>
      <c r="AP1390" s="322"/>
      <c r="AQ1390" s="323"/>
      <c r="AR1390" s="322"/>
      <c r="AS1390" s="322"/>
      <c r="AT1390" s="322"/>
      <c r="AU1390" s="335"/>
      <c r="AV1390" s="322"/>
      <c r="AW1390" s="38"/>
      <c r="AX1390" s="322"/>
      <c r="AY1390" s="38"/>
      <c r="AZ1390" s="322"/>
      <c r="BA1390" s="335"/>
      <c r="BB1390" s="322"/>
      <c r="BC1390" s="335"/>
      <c r="BD1390" s="322"/>
      <c r="BE1390" s="38"/>
      <c r="BF1390" s="326"/>
      <c r="BG1390" s="1644"/>
      <c r="BH1390" s="1644"/>
      <c r="BI1390" s="1644"/>
      <c r="BJ1390" s="1644"/>
      <c r="BK1390" s="1644"/>
      <c r="BL1390" s="1644"/>
      <c r="BM1390" s="1644"/>
      <c r="BN1390" s="1644"/>
      <c r="BO1390" s="1644"/>
      <c r="BP1390" s="1644"/>
      <c r="BQ1390" s="1644"/>
      <c r="BR1390" s="1644"/>
      <c r="BS1390" s="1644"/>
      <c r="BT1390" s="1644"/>
      <c r="BU1390" s="1644"/>
      <c r="BV1390" s="1644"/>
      <c r="BW1390" s="1644"/>
      <c r="BX1390" s="1644"/>
      <c r="BY1390" s="1644"/>
      <c r="BZ1390" s="1644"/>
      <c r="CA1390" s="1644"/>
      <c r="CB1390" s="1644"/>
      <c r="CC1390" s="1644"/>
      <c r="CD1390" s="1644"/>
      <c r="CE1390" s="1644"/>
      <c r="CF1390" s="1644"/>
      <c r="CG1390" s="1644"/>
      <c r="CH1390" s="1644"/>
      <c r="CI1390" s="1644"/>
      <c r="CJ1390" s="1644"/>
      <c r="CK1390" s="1644"/>
      <c r="CL1390" s="1644"/>
      <c r="CM1390" s="1644"/>
      <c r="CN1390" s="1644"/>
      <c r="CO1390" s="1644"/>
      <c r="CP1390" s="1644"/>
    </row>
    <row r="1391" ht="15.75" customHeight="1">
      <c r="A1391" s="21" t="s">
        <v>6528</v>
      </c>
      <c r="B1391" s="16"/>
      <c r="C1391" s="17" t="s">
        <v>123</v>
      </c>
      <c r="D1391" s="337"/>
      <c r="E1391" s="18" t="s">
        <v>6529</v>
      </c>
      <c r="F1391" s="173" t="s">
        <v>6530</v>
      </c>
      <c r="G1391" s="442"/>
      <c r="H1391" s="22" t="s">
        <v>6531</v>
      </c>
      <c r="I1391" s="23" t="s">
        <v>65</v>
      </c>
      <c r="J1391" s="509"/>
      <c r="K1391" s="36"/>
      <c r="L1391" s="23">
        <v>2008.0</v>
      </c>
      <c r="M1391" s="25">
        <f t="shared" si="789"/>
        <v>17</v>
      </c>
      <c r="N1391" s="26">
        <f t="shared" si="790"/>
        <v>0</v>
      </c>
      <c r="O1391" s="27" t="str">
        <f t="shared" si="3"/>
        <v>#N/A</v>
      </c>
      <c r="P1391" s="28"/>
      <c r="Q1391" s="28"/>
      <c r="R1391" s="28"/>
      <c r="S1391" s="28"/>
      <c r="T1391" s="29">
        <f t="shared" si="791"/>
        <v>0</v>
      </c>
      <c r="U1391" s="28"/>
      <c r="V1391" s="30">
        <f t="shared" si="425"/>
        <v>0</v>
      </c>
      <c r="W1391" s="30"/>
      <c r="X1391" s="847"/>
      <c r="Y1391" s="33" t="str">
        <f t="shared" si="792"/>
        <v>#DIV/0!</v>
      </c>
      <c r="Z1391" s="692"/>
      <c r="AA1391" s="665"/>
      <c r="AB1391" s="36"/>
      <c r="AC1391" s="36"/>
      <c r="AD1391" s="44"/>
      <c r="AE1391" s="46"/>
      <c r="AF1391" s="39"/>
      <c r="AG1391" s="46"/>
      <c r="AH1391" s="36"/>
      <c r="AI1391" s="159"/>
      <c r="AJ1391" s="44"/>
      <c r="AK1391" s="46"/>
      <c r="AL1391" s="44"/>
      <c r="AM1391" s="46"/>
      <c r="AN1391" s="44"/>
      <c r="AO1391" s="46"/>
      <c r="AP1391" s="44"/>
      <c r="AQ1391" s="46"/>
      <c r="AR1391" s="44"/>
      <c r="AS1391" s="44"/>
      <c r="AT1391" s="44"/>
      <c r="AU1391" s="45"/>
      <c r="AV1391" s="44"/>
      <c r="AW1391" s="38"/>
      <c r="AX1391" s="44"/>
      <c r="AY1391" s="38"/>
      <c r="AZ1391" s="44"/>
      <c r="BA1391" s="45"/>
      <c r="BB1391" s="44"/>
      <c r="BC1391" s="45"/>
      <c r="BD1391" s="44"/>
      <c r="BE1391" s="38"/>
      <c r="BF1391" s="36"/>
      <c r="BG1391" s="115"/>
      <c r="BH1391" s="115"/>
      <c r="BI1391" s="115"/>
      <c r="BJ1391" s="115"/>
      <c r="BK1391" s="115"/>
      <c r="BL1391" s="115"/>
      <c r="BM1391" s="115"/>
      <c r="BN1391" s="115"/>
      <c r="BO1391" s="115"/>
      <c r="BP1391" s="115"/>
      <c r="BQ1391" s="115"/>
      <c r="BR1391" s="115"/>
      <c r="BS1391" s="115"/>
      <c r="BT1391" s="115"/>
      <c r="BU1391" s="115"/>
      <c r="BV1391" s="115"/>
      <c r="BW1391" s="115"/>
      <c r="BX1391" s="115"/>
      <c r="BY1391" s="115"/>
      <c r="BZ1391" s="115"/>
      <c r="CA1391" s="115"/>
      <c r="CB1391" s="115"/>
      <c r="CC1391" s="115"/>
      <c r="CD1391" s="115"/>
      <c r="CE1391" s="115"/>
      <c r="CF1391" s="115"/>
      <c r="CG1391" s="115"/>
      <c r="CH1391" s="115"/>
      <c r="CI1391" s="115"/>
      <c r="CJ1391" s="115"/>
      <c r="CK1391" s="115"/>
      <c r="CL1391" s="115"/>
      <c r="CM1391" s="115"/>
      <c r="CN1391" s="115"/>
      <c r="CO1391" s="115"/>
      <c r="CP1391" s="115"/>
    </row>
    <row r="1392" ht="15.75" customHeight="1">
      <c r="A1392" s="442" t="s">
        <v>6532</v>
      </c>
      <c r="B1392" s="16" t="s">
        <v>4747</v>
      </c>
      <c r="C1392" s="17" t="s">
        <v>123</v>
      </c>
      <c r="D1392" s="184" t="s">
        <v>6533</v>
      </c>
      <c r="E1392" s="337"/>
      <c r="F1392" s="185" t="s">
        <v>6534</v>
      </c>
      <c r="G1392" s="317" t="s">
        <v>6535</v>
      </c>
      <c r="H1392" s="317" t="s">
        <v>6536</v>
      </c>
      <c r="I1392" s="36" t="s">
        <v>65</v>
      </c>
      <c r="J1392" s="509"/>
      <c r="K1392" s="36">
        <v>2.0</v>
      </c>
      <c r="L1392" s="23">
        <v>2017.0</v>
      </c>
      <c r="M1392" s="25">
        <f t="shared" si="789"/>
        <v>8</v>
      </c>
      <c r="N1392" s="26">
        <f t="shared" si="790"/>
        <v>0</v>
      </c>
      <c r="O1392" s="27" t="str">
        <f t="shared" si="3"/>
        <v>#N/A</v>
      </c>
      <c r="P1392" s="28"/>
      <c r="Q1392" s="28"/>
      <c r="R1392" s="28"/>
      <c r="S1392" s="28"/>
      <c r="T1392" s="29">
        <f t="shared" si="791"/>
        <v>0</v>
      </c>
      <c r="U1392" s="28"/>
      <c r="V1392" s="30">
        <f t="shared" si="425"/>
        <v>0</v>
      </c>
      <c r="W1392" s="30"/>
      <c r="X1392" s="847"/>
      <c r="Y1392" s="33" t="str">
        <f t="shared" si="792"/>
        <v>#DIV/0!</v>
      </c>
      <c r="Z1392" s="692"/>
      <c r="AA1392" s="665"/>
      <c r="AB1392" s="36"/>
      <c r="AC1392" s="36"/>
      <c r="AD1392" s="44"/>
      <c r="AE1392" s="46"/>
      <c r="AF1392" s="39"/>
      <c r="AG1392" s="46"/>
      <c r="AH1392" s="36"/>
      <c r="AI1392" s="159"/>
      <c r="AJ1392" s="44"/>
      <c r="AK1392" s="46"/>
      <c r="AL1392" s="44"/>
      <c r="AM1392" s="46"/>
      <c r="AN1392" s="44"/>
      <c r="AO1392" s="46"/>
      <c r="AP1392" s="44"/>
      <c r="AQ1392" s="46"/>
      <c r="AR1392" s="44"/>
      <c r="AS1392" s="44"/>
      <c r="AT1392" s="44"/>
      <c r="AU1392" s="45"/>
      <c r="AV1392" s="44"/>
      <c r="AW1392" s="38"/>
      <c r="AX1392" s="44"/>
      <c r="AY1392" s="38"/>
      <c r="AZ1392" s="44"/>
      <c r="BA1392" s="45"/>
      <c r="BB1392" s="44"/>
      <c r="BC1392" s="45"/>
      <c r="BD1392" s="44"/>
      <c r="BE1392" s="38"/>
      <c r="BF1392" s="36"/>
      <c r="BG1392" s="115"/>
      <c r="BH1392" s="115"/>
      <c r="BI1392" s="115"/>
      <c r="BJ1392" s="115"/>
      <c r="BK1392" s="115"/>
      <c r="BL1392" s="115"/>
      <c r="BM1392" s="115"/>
      <c r="BN1392" s="115"/>
      <c r="BO1392" s="115"/>
      <c r="BP1392" s="115"/>
      <c r="BQ1392" s="115"/>
      <c r="BR1392" s="115"/>
      <c r="BS1392" s="115"/>
      <c r="BT1392" s="115"/>
      <c r="BU1392" s="115"/>
      <c r="BV1392" s="115"/>
      <c r="BW1392" s="115"/>
      <c r="BX1392" s="115"/>
      <c r="BY1392" s="115"/>
      <c r="BZ1392" s="115"/>
      <c r="CA1392" s="115"/>
      <c r="CB1392" s="115"/>
      <c r="CC1392" s="115"/>
      <c r="CD1392" s="115"/>
      <c r="CE1392" s="115"/>
      <c r="CF1392" s="115"/>
      <c r="CG1392" s="115"/>
      <c r="CH1392" s="115"/>
      <c r="CI1392" s="115"/>
      <c r="CJ1392" s="115"/>
      <c r="CK1392" s="115"/>
      <c r="CL1392" s="115"/>
      <c r="CM1392" s="115"/>
      <c r="CN1392" s="115"/>
      <c r="CO1392" s="115"/>
      <c r="CP1392" s="115"/>
    </row>
    <row r="1393" ht="15.75" customHeight="1">
      <c r="A1393" s="1162" t="s">
        <v>6537</v>
      </c>
      <c r="B1393" s="16"/>
      <c r="C1393" s="17" t="s">
        <v>123</v>
      </c>
      <c r="D1393" s="18" t="s">
        <v>6538</v>
      </c>
      <c r="E1393" s="18" t="s">
        <v>6539</v>
      </c>
      <c r="F1393" s="803" t="s">
        <v>6540</v>
      </c>
      <c r="G1393" s="317"/>
      <c r="H1393" s="22" t="s">
        <v>6541</v>
      </c>
      <c r="I1393" s="23" t="s">
        <v>1384</v>
      </c>
      <c r="J1393" s="509"/>
      <c r="K1393" s="36"/>
      <c r="L1393" s="23">
        <v>2019.0</v>
      </c>
      <c r="M1393" s="25">
        <f t="shared" si="789"/>
        <v>6</v>
      </c>
      <c r="N1393" s="26">
        <f t="shared" si="790"/>
        <v>0</v>
      </c>
      <c r="O1393" s="27" t="str">
        <f t="shared" si="3"/>
        <v>#N/A</v>
      </c>
      <c r="P1393" s="28"/>
      <c r="Q1393" s="28"/>
      <c r="R1393" s="28"/>
      <c r="S1393" s="28"/>
      <c r="T1393" s="29">
        <f t="shared" si="791"/>
        <v>0</v>
      </c>
      <c r="U1393" s="28"/>
      <c r="V1393" s="30">
        <f t="shared" si="425"/>
        <v>0</v>
      </c>
      <c r="W1393" s="30"/>
      <c r="X1393" s="847"/>
      <c r="Y1393" s="33" t="str">
        <f t="shared" si="792"/>
        <v>#DIV/0!</v>
      </c>
      <c r="Z1393" s="692"/>
      <c r="AA1393" s="665"/>
      <c r="AB1393" s="36"/>
      <c r="AC1393" s="36"/>
      <c r="AD1393" s="44"/>
      <c r="AE1393" s="46"/>
      <c r="AF1393" s="39"/>
      <c r="AG1393" s="46"/>
      <c r="AH1393" s="36"/>
      <c r="AI1393" s="159"/>
      <c r="AJ1393" s="44"/>
      <c r="AK1393" s="46"/>
      <c r="AL1393" s="44"/>
      <c r="AM1393" s="46"/>
      <c r="AN1393" s="44"/>
      <c r="AO1393" s="46"/>
      <c r="AP1393" s="44"/>
      <c r="AQ1393" s="46"/>
      <c r="AR1393" s="44"/>
      <c r="AS1393" s="44"/>
      <c r="AT1393" s="44"/>
      <c r="AU1393" s="45"/>
      <c r="AV1393" s="44"/>
      <c r="AW1393" s="38"/>
      <c r="AX1393" s="44"/>
      <c r="AY1393" s="38"/>
      <c r="AZ1393" s="44"/>
      <c r="BA1393" s="45"/>
      <c r="BB1393" s="44"/>
      <c r="BC1393" s="45"/>
      <c r="BD1393" s="44"/>
      <c r="BE1393" s="38"/>
      <c r="BF1393" s="36"/>
      <c r="BG1393" s="115"/>
      <c r="BH1393" s="115"/>
      <c r="BI1393" s="115"/>
      <c r="BJ1393" s="115"/>
      <c r="BK1393" s="115"/>
      <c r="BL1393" s="115"/>
      <c r="BM1393" s="115"/>
      <c r="BN1393" s="115"/>
      <c r="BO1393" s="115"/>
      <c r="BP1393" s="115"/>
      <c r="BQ1393" s="115"/>
      <c r="BR1393" s="115"/>
      <c r="BS1393" s="115"/>
      <c r="BT1393" s="115"/>
      <c r="BU1393" s="115"/>
      <c r="BV1393" s="115"/>
      <c r="BW1393" s="115"/>
      <c r="BX1393" s="115"/>
      <c r="BY1393" s="115"/>
      <c r="BZ1393" s="115"/>
      <c r="CA1393" s="115"/>
      <c r="CB1393" s="115"/>
      <c r="CC1393" s="115"/>
      <c r="CD1393" s="115"/>
      <c r="CE1393" s="115"/>
      <c r="CF1393" s="115"/>
      <c r="CG1393" s="115"/>
      <c r="CH1393" s="115"/>
      <c r="CI1393" s="115"/>
      <c r="CJ1393" s="115"/>
      <c r="CK1393" s="115"/>
      <c r="CL1393" s="115"/>
      <c r="CM1393" s="115"/>
      <c r="CN1393" s="115"/>
      <c r="CO1393" s="115"/>
      <c r="CP1393" s="115"/>
    </row>
    <row r="1394" ht="15.75" customHeight="1">
      <c r="A1394" s="1162" t="s">
        <v>6542</v>
      </c>
      <c r="B1394" s="16"/>
      <c r="C1394" s="17" t="s">
        <v>276</v>
      </c>
      <c r="D1394" s="236" t="s">
        <v>6543</v>
      </c>
      <c r="E1394" s="337"/>
      <c r="F1394" s="803" t="s">
        <v>6544</v>
      </c>
      <c r="G1394" s="317"/>
      <c r="H1394" s="317"/>
      <c r="I1394" s="36"/>
      <c r="J1394" s="237"/>
      <c r="K1394" s="23"/>
      <c r="L1394" s="23"/>
      <c r="M1394" s="25">
        <f t="shared" si="789"/>
        <v>2025</v>
      </c>
      <c r="N1394" s="26">
        <f t="shared" si="790"/>
        <v>0</v>
      </c>
      <c r="O1394" s="27" t="str">
        <f t="shared" si="3"/>
        <v>#N/A</v>
      </c>
      <c r="P1394" s="28"/>
      <c r="Q1394" s="28"/>
      <c r="R1394" s="28"/>
      <c r="S1394" s="28"/>
      <c r="T1394" s="29">
        <f t="shared" si="791"/>
        <v>0</v>
      </c>
      <c r="U1394" s="28"/>
      <c r="V1394" s="30">
        <f t="shared" si="425"/>
        <v>0</v>
      </c>
      <c r="W1394" s="30"/>
      <c r="X1394" s="33"/>
      <c r="Y1394" s="33" t="str">
        <f t="shared" si="792"/>
        <v>#DIV/0!</v>
      </c>
      <c r="Z1394" s="692"/>
      <c r="AA1394" s="665"/>
      <c r="AB1394" s="36"/>
      <c r="AC1394" s="36"/>
      <c r="AD1394" s="44"/>
      <c r="AE1394" s="46"/>
      <c r="AF1394" s="39"/>
      <c r="AG1394" s="38"/>
      <c r="AH1394" s="919"/>
      <c r="AI1394" s="159"/>
      <c r="AJ1394" s="44"/>
      <c r="AK1394" s="38"/>
      <c r="AL1394" s="44"/>
      <c r="AM1394" s="46"/>
      <c r="AN1394" s="44"/>
      <c r="AO1394" s="46"/>
      <c r="AP1394" s="44"/>
      <c r="AQ1394" s="46"/>
      <c r="AR1394" s="44"/>
      <c r="AS1394" s="44"/>
      <c r="AT1394" s="44"/>
      <c r="AU1394" s="45"/>
      <c r="AV1394" s="44"/>
      <c r="AW1394" s="38"/>
      <c r="AX1394" s="44"/>
      <c r="AY1394" s="38"/>
      <c r="AZ1394" s="44"/>
      <c r="BA1394" s="45"/>
      <c r="BB1394" s="44"/>
      <c r="BC1394" s="45"/>
      <c r="BD1394" s="44"/>
      <c r="BE1394" s="38"/>
      <c r="BF1394" s="36"/>
      <c r="BG1394" s="115"/>
      <c r="BH1394" s="115"/>
      <c r="BI1394" s="115"/>
      <c r="BJ1394" s="115"/>
      <c r="BK1394" s="115"/>
      <c r="BL1394" s="115"/>
      <c r="BM1394" s="115"/>
      <c r="BN1394" s="115"/>
      <c r="BO1394" s="115"/>
      <c r="BP1394" s="115"/>
      <c r="BQ1394" s="115"/>
      <c r="BR1394" s="115"/>
      <c r="BS1394" s="115"/>
      <c r="BT1394" s="115"/>
      <c r="BU1394" s="115"/>
      <c r="BV1394" s="115"/>
      <c r="BW1394" s="115"/>
      <c r="BX1394" s="115"/>
      <c r="BY1394" s="115"/>
      <c r="BZ1394" s="115"/>
      <c r="CA1394" s="115"/>
      <c r="CB1394" s="115"/>
      <c r="CC1394" s="115"/>
      <c r="CD1394" s="115"/>
      <c r="CE1394" s="115"/>
      <c r="CF1394" s="115"/>
      <c r="CG1394" s="115"/>
      <c r="CH1394" s="115"/>
      <c r="CI1394" s="115"/>
      <c r="CJ1394" s="115"/>
      <c r="CK1394" s="115"/>
      <c r="CL1394" s="115"/>
      <c r="CM1394" s="115"/>
      <c r="CN1394" s="115"/>
      <c r="CO1394" s="115"/>
      <c r="CP1394" s="115"/>
    </row>
    <row r="1395" ht="15.75" customHeight="1">
      <c r="A1395" s="21" t="s">
        <v>6545</v>
      </c>
      <c r="B1395" s="16"/>
      <c r="C1395" s="17" t="s">
        <v>513</v>
      </c>
      <c r="D1395" s="1634"/>
      <c r="E1395" s="18" t="s">
        <v>6546</v>
      </c>
      <c r="F1395" s="154" t="s">
        <v>6547</v>
      </c>
      <c r="G1395" s="317"/>
      <c r="H1395" s="317" t="s">
        <v>365</v>
      </c>
      <c r="I1395" s="36" t="s">
        <v>65</v>
      </c>
      <c r="J1395" s="237"/>
      <c r="K1395" s="23"/>
      <c r="L1395" s="23">
        <v>2016.0</v>
      </c>
      <c r="M1395" s="25">
        <f t="shared" si="789"/>
        <v>9</v>
      </c>
      <c r="N1395" s="26">
        <f t="shared" si="790"/>
        <v>0</v>
      </c>
      <c r="O1395" s="27" t="str">
        <f t="shared" si="3"/>
        <v>#N/A</v>
      </c>
      <c r="P1395" s="28"/>
      <c r="Q1395" s="28"/>
      <c r="R1395" s="28"/>
      <c r="S1395" s="28"/>
      <c r="T1395" s="29">
        <f t="shared" si="791"/>
        <v>0</v>
      </c>
      <c r="U1395" s="28"/>
      <c r="V1395" s="30">
        <f t="shared" si="425"/>
        <v>0</v>
      </c>
      <c r="W1395" s="30"/>
      <c r="X1395" s="33"/>
      <c r="Y1395" s="33" t="str">
        <f t="shared" si="792"/>
        <v>#DIV/0!</v>
      </c>
      <c r="Z1395" s="692"/>
      <c r="AA1395" s="665"/>
      <c r="AB1395" s="36"/>
      <c r="AC1395" s="36"/>
      <c r="AD1395" s="37"/>
      <c r="AE1395" s="40"/>
      <c r="AF1395" s="1502"/>
      <c r="AG1395" s="38"/>
      <c r="AH1395" s="919"/>
      <c r="AI1395" s="159"/>
      <c r="AJ1395" s="37"/>
      <c r="AK1395" s="46"/>
      <c r="AL1395" s="44"/>
      <c r="AM1395" s="46"/>
      <c r="AN1395" s="37"/>
      <c r="AO1395" s="38"/>
      <c r="AP1395" s="37"/>
      <c r="AQ1395" s="38"/>
      <c r="AR1395" s="44"/>
      <c r="AS1395" s="44"/>
      <c r="AT1395" s="44"/>
      <c r="AU1395" s="45"/>
      <c r="AV1395" s="44"/>
      <c r="AW1395" s="38"/>
      <c r="AX1395" s="44"/>
      <c r="AY1395" s="38"/>
      <c r="AZ1395" s="44"/>
      <c r="BA1395" s="45"/>
      <c r="BB1395" s="44"/>
      <c r="BC1395" s="45"/>
      <c r="BD1395" s="44"/>
      <c r="BE1395" s="38"/>
      <c r="BF1395" s="36"/>
      <c r="BG1395" s="115"/>
      <c r="BH1395" s="115"/>
      <c r="BI1395" s="115"/>
      <c r="BJ1395" s="115"/>
      <c r="BK1395" s="115"/>
      <c r="BL1395" s="115"/>
      <c r="BM1395" s="115"/>
      <c r="BN1395" s="115"/>
      <c r="BO1395" s="115"/>
      <c r="BP1395" s="115"/>
      <c r="BQ1395" s="115"/>
      <c r="BR1395" s="115"/>
      <c r="BS1395" s="115"/>
      <c r="BT1395" s="115"/>
      <c r="BU1395" s="115"/>
      <c r="BV1395" s="115"/>
      <c r="BW1395" s="115"/>
      <c r="BX1395" s="115"/>
      <c r="BY1395" s="115"/>
      <c r="BZ1395" s="115"/>
      <c r="CA1395" s="115"/>
      <c r="CB1395" s="115"/>
      <c r="CC1395" s="115"/>
      <c r="CD1395" s="115"/>
      <c r="CE1395" s="115"/>
      <c r="CF1395" s="115"/>
      <c r="CG1395" s="115"/>
      <c r="CH1395" s="115"/>
      <c r="CI1395" s="115"/>
      <c r="CJ1395" s="115"/>
      <c r="CK1395" s="115"/>
      <c r="CL1395" s="115"/>
      <c r="CM1395" s="115"/>
      <c r="CN1395" s="115"/>
      <c r="CO1395" s="115"/>
      <c r="CP1395" s="115"/>
    </row>
    <row r="1396" ht="15.75" customHeight="1">
      <c r="A1396" s="866" t="s">
        <v>6548</v>
      </c>
      <c r="B1396" s="16"/>
      <c r="C1396" s="17" t="s">
        <v>123</v>
      </c>
      <c r="D1396" s="236" t="s">
        <v>6549</v>
      </c>
      <c r="E1396" s="236" t="s">
        <v>6550</v>
      </c>
      <c r="F1396" s="1611" t="s">
        <v>6551</v>
      </c>
      <c r="G1396" s="317"/>
      <c r="H1396" s="317"/>
      <c r="I1396" s="23" t="s">
        <v>257</v>
      </c>
      <c r="J1396" s="237"/>
      <c r="K1396" s="23"/>
      <c r="L1396" s="23">
        <v>2009.0</v>
      </c>
      <c r="M1396" s="25">
        <f t="shared" si="789"/>
        <v>16</v>
      </c>
      <c r="N1396" s="26">
        <f t="shared" si="790"/>
        <v>0</v>
      </c>
      <c r="O1396" s="27" t="str">
        <f t="shared" si="3"/>
        <v>#N/A</v>
      </c>
      <c r="P1396" s="28"/>
      <c r="Q1396" s="28"/>
      <c r="R1396" s="28"/>
      <c r="S1396" s="28"/>
      <c r="T1396" s="29">
        <f t="shared" si="791"/>
        <v>0</v>
      </c>
      <c r="U1396" s="28"/>
      <c r="V1396" s="30">
        <f t="shared" si="425"/>
        <v>0</v>
      </c>
      <c r="W1396" s="30"/>
      <c r="X1396" s="33"/>
      <c r="Y1396" s="33" t="str">
        <f t="shared" si="792"/>
        <v>#DIV/0!</v>
      </c>
      <c r="Z1396" s="692"/>
      <c r="AA1396" s="665"/>
      <c r="AB1396" s="36"/>
      <c r="AC1396" s="36"/>
      <c r="AD1396" s="37"/>
      <c r="AE1396" s="40"/>
      <c r="AF1396" s="1502"/>
      <c r="AG1396" s="38"/>
      <c r="AH1396" s="919"/>
      <c r="AI1396" s="159"/>
      <c r="AJ1396" s="37"/>
      <c r="AK1396" s="46"/>
      <c r="AL1396" s="44"/>
      <c r="AM1396" s="46"/>
      <c r="AN1396" s="37"/>
      <c r="AO1396" s="38"/>
      <c r="AP1396" s="37"/>
      <c r="AQ1396" s="38"/>
      <c r="AR1396" s="44"/>
      <c r="AS1396" s="44"/>
      <c r="AT1396" s="44"/>
      <c r="AU1396" s="45"/>
      <c r="AV1396" s="44"/>
      <c r="AW1396" s="38"/>
      <c r="AX1396" s="44"/>
      <c r="AY1396" s="38"/>
      <c r="AZ1396" s="44"/>
      <c r="BA1396" s="45"/>
      <c r="BB1396" s="44"/>
      <c r="BC1396" s="45"/>
      <c r="BD1396" s="44"/>
      <c r="BE1396" s="38"/>
      <c r="BF1396" s="36"/>
      <c r="BG1396" s="115"/>
      <c r="BH1396" s="115"/>
      <c r="BI1396" s="115"/>
      <c r="BJ1396" s="115"/>
      <c r="BK1396" s="115"/>
      <c r="BL1396" s="115"/>
      <c r="BM1396" s="115"/>
      <c r="BN1396" s="115"/>
      <c r="BO1396" s="115"/>
      <c r="BP1396" s="115"/>
      <c r="BQ1396" s="115"/>
      <c r="BR1396" s="115"/>
      <c r="BS1396" s="115"/>
      <c r="BT1396" s="115"/>
      <c r="BU1396" s="115"/>
      <c r="BV1396" s="115"/>
      <c r="BW1396" s="115"/>
      <c r="BX1396" s="115"/>
      <c r="BY1396" s="115"/>
      <c r="BZ1396" s="115"/>
      <c r="CA1396" s="115"/>
      <c r="CB1396" s="115"/>
      <c r="CC1396" s="115"/>
      <c r="CD1396" s="115"/>
      <c r="CE1396" s="115"/>
      <c r="CF1396" s="115"/>
      <c r="CG1396" s="115"/>
      <c r="CH1396" s="115"/>
      <c r="CI1396" s="115"/>
      <c r="CJ1396" s="115"/>
      <c r="CK1396" s="115"/>
      <c r="CL1396" s="115"/>
      <c r="CM1396" s="115"/>
      <c r="CN1396" s="115"/>
      <c r="CO1396" s="115"/>
      <c r="CP1396" s="115"/>
    </row>
    <row r="1397" ht="15.75" customHeight="1">
      <c r="A1397" s="1162" t="s">
        <v>6552</v>
      </c>
      <c r="B1397" s="16"/>
      <c r="C1397" s="17" t="s">
        <v>190</v>
      </c>
      <c r="D1397" s="1634"/>
      <c r="E1397" s="236" t="s">
        <v>6553</v>
      </c>
      <c r="F1397" s="20" t="s">
        <v>6554</v>
      </c>
      <c r="G1397" s="317"/>
      <c r="H1397" s="22" t="s">
        <v>450</v>
      </c>
      <c r="I1397" s="36"/>
      <c r="J1397" s="237"/>
      <c r="K1397" s="23"/>
      <c r="L1397" s="23"/>
      <c r="M1397" s="25">
        <f t="shared" si="789"/>
        <v>2025</v>
      </c>
      <c r="N1397" s="26">
        <f t="shared" si="790"/>
        <v>0</v>
      </c>
      <c r="O1397" s="27" t="str">
        <f t="shared" si="3"/>
        <v>#N/A</v>
      </c>
      <c r="P1397" s="28"/>
      <c r="Q1397" s="28"/>
      <c r="R1397" s="28"/>
      <c r="S1397" s="28"/>
      <c r="T1397" s="29">
        <f t="shared" si="791"/>
        <v>0</v>
      </c>
      <c r="U1397" s="28"/>
      <c r="V1397" s="30">
        <f t="shared" si="425"/>
        <v>0</v>
      </c>
      <c r="W1397" s="30"/>
      <c r="X1397" s="33"/>
      <c r="Y1397" s="33" t="str">
        <f t="shared" si="792"/>
        <v>#DIV/0!</v>
      </c>
      <c r="Z1397" s="692"/>
      <c r="AA1397" s="665"/>
      <c r="AB1397" s="36"/>
      <c r="AC1397" s="36"/>
      <c r="AD1397" s="37"/>
      <c r="AE1397" s="40"/>
      <c r="AF1397" s="1502"/>
      <c r="AG1397" s="38"/>
      <c r="AH1397" s="919"/>
      <c r="AI1397" s="159"/>
      <c r="AJ1397" s="37"/>
      <c r="AK1397" s="46"/>
      <c r="AL1397" s="44"/>
      <c r="AM1397" s="46"/>
      <c r="AN1397" s="37"/>
      <c r="AO1397" s="38"/>
      <c r="AP1397" s="37"/>
      <c r="AQ1397" s="38"/>
      <c r="AR1397" s="44"/>
      <c r="AS1397" s="44"/>
      <c r="AT1397" s="44"/>
      <c r="AU1397" s="45"/>
      <c r="AV1397" s="44"/>
      <c r="AW1397" s="38"/>
      <c r="AX1397" s="44"/>
      <c r="AY1397" s="38"/>
      <c r="AZ1397" s="44"/>
      <c r="BA1397" s="45"/>
      <c r="BB1397" s="44"/>
      <c r="BC1397" s="45"/>
      <c r="BD1397" s="44"/>
      <c r="BE1397" s="38"/>
      <c r="BF1397" s="36"/>
      <c r="BG1397" s="1644"/>
      <c r="BH1397" s="1644"/>
      <c r="BI1397" s="1644"/>
      <c r="BJ1397" s="1644"/>
      <c r="BK1397" s="1644"/>
      <c r="BL1397" s="1644"/>
      <c r="BM1397" s="1644"/>
      <c r="BN1397" s="1644"/>
      <c r="BO1397" s="1644"/>
      <c r="BP1397" s="1644"/>
      <c r="BQ1397" s="1644"/>
      <c r="BR1397" s="1644"/>
      <c r="BS1397" s="1644"/>
      <c r="BT1397" s="1644"/>
      <c r="BU1397" s="1644"/>
      <c r="BV1397" s="1644"/>
      <c r="BW1397" s="1644"/>
      <c r="BX1397" s="1644"/>
      <c r="BY1397" s="1644"/>
      <c r="BZ1397" s="1644"/>
      <c r="CA1397" s="1644"/>
      <c r="CB1397" s="1644"/>
      <c r="CC1397" s="1644"/>
      <c r="CD1397" s="1644"/>
      <c r="CE1397" s="1644"/>
      <c r="CF1397" s="1644"/>
      <c r="CG1397" s="1644"/>
      <c r="CH1397" s="1644"/>
      <c r="CI1397" s="1644"/>
      <c r="CJ1397" s="1644"/>
      <c r="CK1397" s="1644"/>
      <c r="CL1397" s="1644"/>
      <c r="CM1397" s="1644"/>
      <c r="CN1397" s="1644"/>
      <c r="CO1397" s="1644"/>
      <c r="CP1397" s="1644"/>
    </row>
    <row r="1398" ht="15.75" customHeight="1">
      <c r="A1398" s="1162" t="s">
        <v>6555</v>
      </c>
      <c r="B1398" s="16"/>
      <c r="C1398" s="17" t="s">
        <v>123</v>
      </c>
      <c r="D1398" s="236" t="s">
        <v>6556</v>
      </c>
      <c r="E1398" s="18" t="s">
        <v>6557</v>
      </c>
      <c r="F1398" s="20" t="s">
        <v>6558</v>
      </c>
      <c r="G1398" s="317"/>
      <c r="H1398" s="22" t="s">
        <v>6205</v>
      </c>
      <c r="I1398" s="23" t="s">
        <v>65</v>
      </c>
      <c r="J1398" s="237"/>
      <c r="K1398" s="23"/>
      <c r="L1398" s="23">
        <v>2017.0</v>
      </c>
      <c r="M1398" s="25">
        <f t="shared" si="789"/>
        <v>8</v>
      </c>
      <c r="N1398" s="26">
        <f t="shared" si="790"/>
        <v>0</v>
      </c>
      <c r="O1398" s="27" t="str">
        <f t="shared" si="3"/>
        <v>#N/A</v>
      </c>
      <c r="P1398" s="28"/>
      <c r="Q1398" s="28"/>
      <c r="R1398" s="28"/>
      <c r="S1398" s="28"/>
      <c r="T1398" s="29">
        <f t="shared" si="791"/>
        <v>0</v>
      </c>
      <c r="U1398" s="28"/>
      <c r="V1398" s="30">
        <f t="shared" si="425"/>
        <v>0</v>
      </c>
      <c r="W1398" s="30"/>
      <c r="X1398" s="33"/>
      <c r="Y1398" s="33" t="str">
        <f t="shared" si="792"/>
        <v>#DIV/0!</v>
      </c>
      <c r="Z1398" s="692"/>
      <c r="AA1398" s="665"/>
      <c r="AB1398" s="36"/>
      <c r="AC1398" s="36"/>
      <c r="AD1398" s="44"/>
      <c r="AE1398" s="46"/>
      <c r="AF1398" s="1502"/>
      <c r="AG1398" s="46"/>
      <c r="AH1398" s="919"/>
      <c r="AI1398" s="159"/>
      <c r="AJ1398" s="44"/>
      <c r="AK1398" s="46"/>
      <c r="AL1398" s="37"/>
      <c r="AM1398" s="38"/>
      <c r="AN1398" s="44"/>
      <c r="AO1398" s="46"/>
      <c r="AP1398" s="44"/>
      <c r="AQ1398" s="46"/>
      <c r="AR1398" s="44"/>
      <c r="AS1398" s="44"/>
      <c r="AT1398" s="44"/>
      <c r="AU1398" s="45"/>
      <c r="AV1398" s="44"/>
      <c r="AW1398" s="38"/>
      <c r="AX1398" s="44"/>
      <c r="AY1398" s="38"/>
      <c r="AZ1398" s="44"/>
      <c r="BA1398" s="45"/>
      <c r="BB1398" s="44"/>
      <c r="BC1398" s="45"/>
      <c r="BD1398" s="44"/>
      <c r="BE1398" s="38"/>
      <c r="BF1398" s="36"/>
      <c r="BG1398" s="115"/>
      <c r="BH1398" s="115"/>
      <c r="BI1398" s="115"/>
      <c r="BJ1398" s="115"/>
      <c r="BK1398" s="115"/>
      <c r="BL1398" s="115"/>
      <c r="BM1398" s="115"/>
      <c r="BN1398" s="115"/>
      <c r="BO1398" s="115"/>
      <c r="BP1398" s="115"/>
      <c r="BQ1398" s="115"/>
      <c r="BR1398" s="115"/>
      <c r="BS1398" s="115"/>
      <c r="BT1398" s="115"/>
      <c r="BU1398" s="115"/>
      <c r="BV1398" s="115"/>
      <c r="BW1398" s="115"/>
      <c r="BX1398" s="115"/>
      <c r="BY1398" s="115"/>
      <c r="BZ1398" s="115"/>
      <c r="CA1398" s="115"/>
      <c r="CB1398" s="115"/>
      <c r="CC1398" s="115"/>
      <c r="CD1398" s="115"/>
      <c r="CE1398" s="115"/>
      <c r="CF1398" s="115"/>
      <c r="CG1398" s="115"/>
      <c r="CH1398" s="115"/>
      <c r="CI1398" s="115"/>
      <c r="CJ1398" s="115"/>
      <c r="CK1398" s="115"/>
      <c r="CL1398" s="115"/>
      <c r="CM1398" s="115"/>
      <c r="CN1398" s="115"/>
      <c r="CO1398" s="115"/>
      <c r="CP1398" s="115"/>
    </row>
    <row r="1399" ht="15.75" customHeight="1">
      <c r="A1399" s="1162" t="s">
        <v>6559</v>
      </c>
      <c r="B1399" s="16"/>
      <c r="C1399" s="17" t="s">
        <v>123</v>
      </c>
      <c r="D1399" s="236" t="s">
        <v>6560</v>
      </c>
      <c r="E1399" s="236" t="s">
        <v>6561</v>
      </c>
      <c r="F1399" s="20" t="s">
        <v>6562</v>
      </c>
      <c r="G1399" s="317"/>
      <c r="H1399" s="1361" t="s">
        <v>6563</v>
      </c>
      <c r="I1399" s="23" t="s">
        <v>257</v>
      </c>
      <c r="J1399" s="237"/>
      <c r="K1399" s="23"/>
      <c r="L1399" s="23">
        <v>2013.0</v>
      </c>
      <c r="M1399" s="25">
        <f t="shared" si="789"/>
        <v>12</v>
      </c>
      <c r="N1399" s="26">
        <f t="shared" si="790"/>
        <v>0</v>
      </c>
      <c r="O1399" s="27" t="str">
        <f t="shared" si="3"/>
        <v>#N/A</v>
      </c>
      <c r="P1399" s="28"/>
      <c r="Q1399" s="28"/>
      <c r="R1399" s="28"/>
      <c r="S1399" s="28"/>
      <c r="T1399" s="29">
        <f t="shared" si="791"/>
        <v>0</v>
      </c>
      <c r="U1399" s="28"/>
      <c r="V1399" s="30">
        <f t="shared" si="425"/>
        <v>0</v>
      </c>
      <c r="W1399" s="30"/>
      <c r="X1399" s="33"/>
      <c r="Y1399" s="33" t="str">
        <f t="shared" si="792"/>
        <v>#DIV/0!</v>
      </c>
      <c r="Z1399" s="692"/>
      <c r="AA1399" s="665"/>
      <c r="AB1399" s="36"/>
      <c r="AC1399" s="36"/>
      <c r="AD1399" s="44"/>
      <c r="AE1399" s="46"/>
      <c r="AF1399" s="1502"/>
      <c r="AG1399" s="46"/>
      <c r="AH1399" s="919"/>
      <c r="AI1399" s="159"/>
      <c r="AJ1399" s="44"/>
      <c r="AK1399" s="46"/>
      <c r="AL1399" s="37"/>
      <c r="AM1399" s="38"/>
      <c r="AN1399" s="44"/>
      <c r="AO1399" s="46"/>
      <c r="AP1399" s="44"/>
      <c r="AQ1399" s="46"/>
      <c r="AR1399" s="44"/>
      <c r="AS1399" s="44"/>
      <c r="AT1399" s="44"/>
      <c r="AU1399" s="45"/>
      <c r="AV1399" s="44"/>
      <c r="AW1399" s="38"/>
      <c r="AX1399" s="44"/>
      <c r="AY1399" s="38"/>
      <c r="AZ1399" s="44"/>
      <c r="BA1399" s="45"/>
      <c r="BB1399" s="44"/>
      <c r="BC1399" s="45"/>
      <c r="BD1399" s="44"/>
      <c r="BE1399" s="38"/>
      <c r="BF1399" s="36"/>
      <c r="BG1399" s="115"/>
      <c r="BH1399" s="115"/>
      <c r="BI1399" s="115"/>
      <c r="BJ1399" s="115"/>
      <c r="BK1399" s="115"/>
      <c r="BL1399" s="115"/>
      <c r="BM1399" s="115"/>
      <c r="BN1399" s="115"/>
      <c r="BO1399" s="115"/>
      <c r="BP1399" s="115"/>
      <c r="BQ1399" s="115"/>
      <c r="BR1399" s="115"/>
      <c r="BS1399" s="115"/>
      <c r="BT1399" s="115"/>
      <c r="BU1399" s="115"/>
      <c r="BV1399" s="115"/>
      <c r="BW1399" s="115"/>
      <c r="BX1399" s="115"/>
      <c r="BY1399" s="115"/>
      <c r="BZ1399" s="115"/>
      <c r="CA1399" s="115"/>
      <c r="CB1399" s="115"/>
      <c r="CC1399" s="115"/>
      <c r="CD1399" s="115"/>
      <c r="CE1399" s="115"/>
      <c r="CF1399" s="115"/>
      <c r="CG1399" s="115"/>
      <c r="CH1399" s="115"/>
      <c r="CI1399" s="115"/>
      <c r="CJ1399" s="115"/>
      <c r="CK1399" s="115"/>
      <c r="CL1399" s="115"/>
      <c r="CM1399" s="115"/>
      <c r="CN1399" s="115"/>
      <c r="CO1399" s="115"/>
      <c r="CP1399" s="115"/>
    </row>
    <row r="1400" ht="15.75" customHeight="1">
      <c r="A1400" s="1162" t="s">
        <v>6564</v>
      </c>
      <c r="B1400" s="16"/>
      <c r="C1400" s="17" t="s">
        <v>123</v>
      </c>
      <c r="D1400" s="184"/>
      <c r="E1400" s="236" t="s">
        <v>6565</v>
      </c>
      <c r="F1400" s="20" t="s">
        <v>6566</v>
      </c>
      <c r="G1400" s="317"/>
      <c r="H1400" s="22" t="s">
        <v>6567</v>
      </c>
      <c r="I1400" s="23" t="s">
        <v>3847</v>
      </c>
      <c r="J1400" s="237"/>
      <c r="K1400" s="23"/>
      <c r="L1400" s="23">
        <v>2018.0</v>
      </c>
      <c r="M1400" s="25">
        <f t="shared" si="789"/>
        <v>7</v>
      </c>
      <c r="N1400" s="26">
        <f t="shared" si="790"/>
        <v>0</v>
      </c>
      <c r="O1400" s="27" t="str">
        <f t="shared" si="3"/>
        <v>#N/A</v>
      </c>
      <c r="P1400" s="28"/>
      <c r="Q1400" s="28"/>
      <c r="R1400" s="28"/>
      <c r="S1400" s="28"/>
      <c r="T1400" s="29">
        <f t="shared" si="791"/>
        <v>0</v>
      </c>
      <c r="U1400" s="28"/>
      <c r="V1400" s="30">
        <f t="shared" si="425"/>
        <v>0</v>
      </c>
      <c r="W1400" s="30"/>
      <c r="X1400" s="33"/>
      <c r="Y1400" s="33" t="str">
        <f t="shared" si="792"/>
        <v>#DIV/0!</v>
      </c>
      <c r="Z1400" s="692"/>
      <c r="AA1400" s="665"/>
      <c r="AB1400" s="36"/>
      <c r="AC1400" s="36"/>
      <c r="AD1400" s="44"/>
      <c r="AE1400" s="46"/>
      <c r="AF1400" s="1502"/>
      <c r="AG1400" s="46"/>
      <c r="AH1400" s="919"/>
      <c r="AI1400" s="159"/>
      <c r="AJ1400" s="473"/>
      <c r="AK1400" s="46"/>
      <c r="AL1400" s="37"/>
      <c r="AM1400" s="38"/>
      <c r="AN1400" s="44"/>
      <c r="AO1400" s="46"/>
      <c r="AP1400" s="44"/>
      <c r="AQ1400" s="46"/>
      <c r="AR1400" s="44"/>
      <c r="AS1400" s="44"/>
      <c r="AT1400" s="44"/>
      <c r="AU1400" s="45"/>
      <c r="AV1400" s="44"/>
      <c r="AW1400" s="38"/>
      <c r="AX1400" s="44"/>
      <c r="AY1400" s="38"/>
      <c r="AZ1400" s="44"/>
      <c r="BA1400" s="45"/>
      <c r="BB1400" s="44"/>
      <c r="BC1400" s="45"/>
      <c r="BD1400" s="44"/>
      <c r="BE1400" s="38"/>
      <c r="BF1400" s="36"/>
      <c r="BG1400" s="115"/>
      <c r="BH1400" s="115"/>
      <c r="BI1400" s="115"/>
      <c r="BJ1400" s="115"/>
      <c r="BK1400" s="115"/>
      <c r="BL1400" s="115"/>
      <c r="BM1400" s="115"/>
      <c r="BN1400" s="115"/>
      <c r="BO1400" s="115"/>
      <c r="BP1400" s="115"/>
      <c r="BQ1400" s="115"/>
      <c r="BR1400" s="115"/>
      <c r="BS1400" s="115"/>
      <c r="BT1400" s="115"/>
      <c r="BU1400" s="115"/>
      <c r="BV1400" s="115"/>
      <c r="BW1400" s="115"/>
      <c r="BX1400" s="115"/>
      <c r="BY1400" s="115"/>
      <c r="BZ1400" s="115"/>
      <c r="CA1400" s="115"/>
      <c r="CB1400" s="115"/>
      <c r="CC1400" s="115"/>
      <c r="CD1400" s="115"/>
      <c r="CE1400" s="115"/>
      <c r="CF1400" s="115"/>
      <c r="CG1400" s="115"/>
      <c r="CH1400" s="115"/>
      <c r="CI1400" s="115"/>
      <c r="CJ1400" s="115"/>
      <c r="CK1400" s="115"/>
      <c r="CL1400" s="115"/>
      <c r="CM1400" s="115"/>
      <c r="CN1400" s="115"/>
      <c r="CO1400" s="115"/>
      <c r="CP1400" s="115"/>
    </row>
    <row r="1401" ht="15.75" customHeight="1">
      <c r="A1401" s="1162" t="s">
        <v>6568</v>
      </c>
      <c r="B1401" s="16"/>
      <c r="C1401" s="17" t="s">
        <v>207</v>
      </c>
      <c r="D1401" s="184"/>
      <c r="E1401" s="236" t="s">
        <v>6569</v>
      </c>
      <c r="F1401" s="1611" t="s">
        <v>6570</v>
      </c>
      <c r="G1401" s="317"/>
      <c r="H1401" s="1361" t="s">
        <v>6571</v>
      </c>
      <c r="I1401" s="23" t="s">
        <v>329</v>
      </c>
      <c r="J1401" s="237"/>
      <c r="K1401" s="23"/>
      <c r="L1401" s="23">
        <v>2018.0</v>
      </c>
      <c r="M1401" s="25">
        <f t="shared" si="789"/>
        <v>7</v>
      </c>
      <c r="N1401" s="26">
        <f t="shared" si="790"/>
        <v>0</v>
      </c>
      <c r="O1401" s="27" t="str">
        <f t="shared" si="3"/>
        <v>#N/A</v>
      </c>
      <c r="P1401" s="28"/>
      <c r="Q1401" s="28"/>
      <c r="R1401" s="28"/>
      <c r="S1401" s="28"/>
      <c r="T1401" s="29">
        <f t="shared" si="791"/>
        <v>0</v>
      </c>
      <c r="U1401" s="28"/>
      <c r="V1401" s="30">
        <f t="shared" si="425"/>
        <v>0</v>
      </c>
      <c r="W1401" s="30"/>
      <c r="X1401" s="33"/>
      <c r="Y1401" s="33" t="str">
        <f t="shared" si="792"/>
        <v>#DIV/0!</v>
      </c>
      <c r="Z1401" s="692"/>
      <c r="AA1401" s="665"/>
      <c r="AB1401" s="36"/>
      <c r="AC1401" s="36"/>
      <c r="AD1401" s="44"/>
      <c r="AE1401" s="46"/>
      <c r="AF1401" s="1502"/>
      <c r="AG1401" s="46"/>
      <c r="AH1401" s="919"/>
      <c r="AI1401" s="159"/>
      <c r="AJ1401" s="44"/>
      <c r="AK1401" s="46"/>
      <c r="AL1401" s="37"/>
      <c r="AM1401" s="38"/>
      <c r="AN1401" s="44"/>
      <c r="AO1401" s="46"/>
      <c r="AP1401" s="44"/>
      <c r="AQ1401" s="46"/>
      <c r="AR1401" s="44"/>
      <c r="AS1401" s="44"/>
      <c r="AT1401" s="44"/>
      <c r="AU1401" s="45"/>
      <c r="AV1401" s="44"/>
      <c r="AW1401" s="38"/>
      <c r="AX1401" s="44"/>
      <c r="AY1401" s="38"/>
      <c r="AZ1401" s="44"/>
      <c r="BA1401" s="45"/>
      <c r="BB1401" s="44"/>
      <c r="BC1401" s="45"/>
      <c r="BD1401" s="44"/>
      <c r="BE1401" s="38"/>
      <c r="BF1401" s="36"/>
      <c r="BG1401" s="68"/>
      <c r="BH1401" s="68"/>
      <c r="BI1401" s="68"/>
      <c r="BJ1401" s="68"/>
      <c r="BK1401" s="68"/>
      <c r="BL1401" s="68"/>
      <c r="BM1401" s="68"/>
      <c r="BN1401" s="68"/>
      <c r="BO1401" s="68"/>
      <c r="BP1401" s="68"/>
      <c r="BQ1401" s="68"/>
      <c r="BR1401" s="68"/>
      <c r="BS1401" s="68"/>
      <c r="BT1401" s="68"/>
      <c r="BU1401" s="68"/>
      <c r="BV1401" s="68"/>
      <c r="BW1401" s="68"/>
      <c r="BX1401" s="68"/>
      <c r="BY1401" s="68"/>
      <c r="BZ1401" s="68"/>
      <c r="CA1401" s="68"/>
      <c r="CB1401" s="68"/>
      <c r="CC1401" s="68"/>
      <c r="CD1401" s="68"/>
      <c r="CE1401" s="68"/>
      <c r="CF1401" s="68"/>
      <c r="CG1401" s="68"/>
      <c r="CH1401" s="68"/>
      <c r="CI1401" s="68"/>
      <c r="CJ1401" s="68"/>
      <c r="CK1401" s="68"/>
      <c r="CL1401" s="68"/>
      <c r="CM1401" s="68"/>
      <c r="CN1401" s="68"/>
      <c r="CO1401" s="68"/>
      <c r="CP1401" s="68"/>
    </row>
    <row r="1402" ht="15.75" customHeight="1">
      <c r="A1402" s="892" t="s">
        <v>6572</v>
      </c>
      <c r="B1402" s="534"/>
      <c r="C1402" s="849" t="s">
        <v>123</v>
      </c>
      <c r="D1402" s="161" t="s">
        <v>4781</v>
      </c>
      <c r="E1402" s="161" t="s">
        <v>4781</v>
      </c>
      <c r="F1402" s="1655" t="s">
        <v>6573</v>
      </c>
      <c r="G1402" s="690"/>
      <c r="H1402" s="850" t="s">
        <v>187</v>
      </c>
      <c r="I1402" s="222" t="s">
        <v>188</v>
      </c>
      <c r="J1402" s="691"/>
      <c r="K1402" s="222"/>
      <c r="L1402" s="222">
        <v>2012.0</v>
      </c>
      <c r="M1402" s="25">
        <f t="shared" si="789"/>
        <v>13</v>
      </c>
      <c r="N1402" s="26">
        <f t="shared" si="790"/>
        <v>0</v>
      </c>
      <c r="O1402" s="27" t="str">
        <f t="shared" si="3"/>
        <v>#N/A</v>
      </c>
      <c r="P1402" s="28"/>
      <c r="Q1402" s="28"/>
      <c r="R1402" s="28"/>
      <c r="S1402" s="28"/>
      <c r="T1402" s="29">
        <f t="shared" si="791"/>
        <v>0</v>
      </c>
      <c r="U1402" s="28"/>
      <c r="V1402" s="30">
        <f t="shared" si="425"/>
        <v>0</v>
      </c>
      <c r="W1402" s="30"/>
      <c r="X1402" s="852"/>
      <c r="Y1402" s="33" t="str">
        <f t="shared" si="792"/>
        <v>#DIV/0!</v>
      </c>
      <c r="Z1402" s="692"/>
      <c r="AA1402" s="665"/>
      <c r="AB1402" s="326"/>
      <c r="AC1402" s="326"/>
      <c r="AD1402" s="322"/>
      <c r="AE1402" s="323"/>
      <c r="AF1402" s="1595"/>
      <c r="AG1402" s="323"/>
      <c r="AH1402" s="1417"/>
      <c r="AI1402" s="327"/>
      <c r="AJ1402" s="322"/>
      <c r="AK1402" s="323"/>
      <c r="AL1402" s="1134"/>
      <c r="AM1402" s="325"/>
      <c r="AN1402" s="322"/>
      <c r="AO1402" s="323"/>
      <c r="AP1402" s="322"/>
      <c r="AQ1402" s="323"/>
      <c r="AR1402" s="322"/>
      <c r="AS1402" s="322"/>
      <c r="AT1402" s="322"/>
      <c r="AU1402" s="335"/>
      <c r="AV1402" s="322"/>
      <c r="AW1402" s="38"/>
      <c r="AX1402" s="322"/>
      <c r="AY1402" s="38"/>
      <c r="AZ1402" s="322"/>
      <c r="BA1402" s="335"/>
      <c r="BB1402" s="322"/>
      <c r="BC1402" s="335"/>
      <c r="BD1402" s="322"/>
      <c r="BE1402" s="38"/>
      <c r="BF1402" s="326"/>
      <c r="BG1402" s="115"/>
      <c r="BH1402" s="115"/>
      <c r="BI1402" s="115"/>
      <c r="BJ1402" s="115"/>
      <c r="BK1402" s="115"/>
      <c r="BL1402" s="115"/>
      <c r="BM1402" s="115"/>
      <c r="BN1402" s="115"/>
      <c r="BO1402" s="115"/>
      <c r="BP1402" s="115"/>
      <c r="BQ1402" s="115"/>
      <c r="BR1402" s="115"/>
      <c r="BS1402" s="115"/>
      <c r="BT1402" s="115"/>
      <c r="BU1402" s="115"/>
      <c r="BV1402" s="115"/>
      <c r="BW1402" s="115"/>
      <c r="BX1402" s="115"/>
      <c r="BY1402" s="115"/>
      <c r="BZ1402" s="115"/>
      <c r="CA1402" s="115"/>
      <c r="CB1402" s="115"/>
      <c r="CC1402" s="115"/>
      <c r="CD1402" s="115"/>
      <c r="CE1402" s="115"/>
      <c r="CF1402" s="115"/>
      <c r="CG1402" s="115"/>
      <c r="CH1402" s="115"/>
      <c r="CI1402" s="115"/>
      <c r="CJ1402" s="115"/>
      <c r="CK1402" s="115"/>
      <c r="CL1402" s="115"/>
      <c r="CM1402" s="115"/>
      <c r="CN1402" s="115"/>
      <c r="CO1402" s="115"/>
      <c r="CP1402" s="115"/>
    </row>
    <row r="1403" ht="15.75" customHeight="1">
      <c r="A1403" s="442" t="s">
        <v>6574</v>
      </c>
      <c r="B1403" s="16" t="s">
        <v>2541</v>
      </c>
      <c r="C1403" s="17" t="s">
        <v>84</v>
      </c>
      <c r="D1403" s="337"/>
      <c r="E1403" s="492" t="s">
        <v>6575</v>
      </c>
      <c r="F1403" s="154" t="s">
        <v>6576</v>
      </c>
      <c r="G1403" s="22" t="s">
        <v>6577</v>
      </c>
      <c r="H1403" s="22" t="s">
        <v>6578</v>
      </c>
      <c r="I1403" s="23" t="s">
        <v>395</v>
      </c>
      <c r="J1403" s="23">
        <v>30005.0</v>
      </c>
      <c r="K1403" s="74" t="s">
        <v>723</v>
      </c>
      <c r="L1403" s="23">
        <v>2017.0</v>
      </c>
      <c r="M1403" s="25">
        <f t="shared" si="789"/>
        <v>8</v>
      </c>
      <c r="N1403" s="26">
        <f t="shared" si="790"/>
        <v>0</v>
      </c>
      <c r="O1403" s="27" t="str">
        <f t="shared" si="3"/>
        <v>#N/A</v>
      </c>
      <c r="P1403" s="28"/>
      <c r="Q1403" s="28"/>
      <c r="R1403" s="28"/>
      <c r="S1403" s="28"/>
      <c r="T1403" s="29">
        <f t="shared" si="791"/>
        <v>0</v>
      </c>
      <c r="U1403" s="28"/>
      <c r="V1403" s="30">
        <f t="shared" si="425"/>
        <v>0</v>
      </c>
      <c r="W1403" s="30"/>
      <c r="X1403" s="32"/>
      <c r="Y1403" s="33" t="str">
        <f t="shared" si="792"/>
        <v>#DIV/0!</v>
      </c>
      <c r="Z1403" s="692"/>
      <c r="AA1403" s="665"/>
      <c r="AB1403" s="36"/>
      <c r="AC1403" s="36"/>
      <c r="AD1403" s="44"/>
      <c r="AE1403" s="46"/>
      <c r="AF1403" s="39"/>
      <c r="AG1403" s="46"/>
      <c r="AH1403" s="36"/>
      <c r="AI1403" s="159"/>
      <c r="AJ1403" s="44"/>
      <c r="AK1403" s="46"/>
      <c r="AL1403" s="44"/>
      <c r="AM1403" s="46"/>
      <c r="AN1403" s="44"/>
      <c r="AO1403" s="46"/>
      <c r="AP1403" s="44"/>
      <c r="AQ1403" s="46"/>
      <c r="AR1403" s="44"/>
      <c r="AS1403" s="44"/>
      <c r="AT1403" s="44"/>
      <c r="AU1403" s="45"/>
      <c r="AV1403" s="44"/>
      <c r="AW1403" s="38"/>
      <c r="AX1403" s="44"/>
      <c r="AY1403" s="38"/>
      <c r="AZ1403" s="44"/>
      <c r="BA1403" s="45"/>
      <c r="BB1403" s="44"/>
      <c r="BC1403" s="45"/>
      <c r="BD1403" s="44"/>
      <c r="BE1403" s="38"/>
      <c r="BF1403" s="36"/>
      <c r="BG1403" s="68"/>
      <c r="BH1403" s="68"/>
      <c r="BI1403" s="68"/>
      <c r="BJ1403" s="68"/>
      <c r="BK1403" s="68"/>
      <c r="BL1403" s="68"/>
      <c r="BM1403" s="68"/>
      <c r="BN1403" s="68"/>
      <c r="BO1403" s="68"/>
      <c r="BP1403" s="68"/>
      <c r="BQ1403" s="68"/>
      <c r="BR1403" s="68"/>
      <c r="BS1403" s="68"/>
      <c r="BT1403" s="68"/>
      <c r="BU1403" s="68"/>
      <c r="BV1403" s="68"/>
      <c r="BW1403" s="68"/>
      <c r="BX1403" s="68"/>
      <c r="BY1403" s="68"/>
      <c r="BZ1403" s="68"/>
      <c r="CA1403" s="68"/>
      <c r="CB1403" s="68"/>
      <c r="CC1403" s="68"/>
      <c r="CD1403" s="68"/>
      <c r="CE1403" s="68"/>
      <c r="CF1403" s="68"/>
      <c r="CG1403" s="68"/>
      <c r="CH1403" s="68"/>
      <c r="CI1403" s="68"/>
      <c r="CJ1403" s="68"/>
      <c r="CK1403" s="68"/>
      <c r="CL1403" s="68"/>
      <c r="CM1403" s="68"/>
      <c r="CN1403" s="68"/>
      <c r="CO1403" s="68"/>
      <c r="CP1403" s="68"/>
    </row>
    <row r="1404" ht="15.75" customHeight="1">
      <c r="A1404" s="866" t="s">
        <v>6579</v>
      </c>
      <c r="B1404" s="16"/>
      <c r="C1404" s="17" t="s">
        <v>123</v>
      </c>
      <c r="D1404" s="192" t="s">
        <v>6580</v>
      </c>
      <c r="E1404" s="236" t="s">
        <v>6581</v>
      </c>
      <c r="F1404" s="20" t="s">
        <v>6582</v>
      </c>
      <c r="G1404" s="22"/>
      <c r="H1404" s="22" t="s">
        <v>6473</v>
      </c>
      <c r="I1404" s="23" t="s">
        <v>188</v>
      </c>
      <c r="J1404" s="23"/>
      <c r="K1404" s="74"/>
      <c r="L1404" s="23"/>
      <c r="M1404" s="25">
        <f t="shared" si="789"/>
        <v>2025</v>
      </c>
      <c r="N1404" s="26">
        <f t="shared" si="790"/>
        <v>0</v>
      </c>
      <c r="O1404" s="27" t="str">
        <f t="shared" si="3"/>
        <v>#N/A</v>
      </c>
      <c r="P1404" s="28"/>
      <c r="Q1404" s="28"/>
      <c r="R1404" s="28"/>
      <c r="S1404" s="28"/>
      <c r="T1404" s="29">
        <f t="shared" si="791"/>
        <v>0</v>
      </c>
      <c r="U1404" s="28"/>
      <c r="V1404" s="30">
        <f t="shared" si="425"/>
        <v>0</v>
      </c>
      <c r="W1404" s="30"/>
      <c r="X1404" s="32"/>
      <c r="Y1404" s="33" t="str">
        <f t="shared" si="792"/>
        <v>#DIV/0!</v>
      </c>
      <c r="Z1404" s="692"/>
      <c r="AA1404" s="665"/>
      <c r="AB1404" s="36"/>
      <c r="AC1404" s="36"/>
      <c r="AD1404" s="44"/>
      <c r="AE1404" s="46"/>
      <c r="AF1404" s="39"/>
      <c r="AG1404" s="46"/>
      <c r="AH1404" s="36"/>
      <c r="AI1404" s="159"/>
      <c r="AJ1404" s="44"/>
      <c r="AK1404" s="46"/>
      <c r="AL1404" s="44"/>
      <c r="AM1404" s="46"/>
      <c r="AN1404" s="44"/>
      <c r="AO1404" s="46"/>
      <c r="AP1404" s="44"/>
      <c r="AQ1404" s="46"/>
      <c r="AR1404" s="44"/>
      <c r="AS1404" s="44"/>
      <c r="AT1404" s="44"/>
      <c r="AU1404" s="45"/>
      <c r="AV1404" s="44"/>
      <c r="AW1404" s="38"/>
      <c r="AX1404" s="44"/>
      <c r="AY1404" s="38"/>
      <c r="AZ1404" s="44"/>
      <c r="BA1404" s="45"/>
      <c r="BB1404" s="44"/>
      <c r="BC1404" s="45"/>
      <c r="BD1404" s="44"/>
      <c r="BE1404" s="38"/>
      <c r="BF1404" s="36"/>
      <c r="BG1404" s="68"/>
      <c r="BH1404" s="68"/>
      <c r="BI1404" s="68"/>
      <c r="BJ1404" s="68"/>
      <c r="BK1404" s="68"/>
      <c r="BL1404" s="68"/>
      <c r="BM1404" s="68"/>
      <c r="BN1404" s="68"/>
      <c r="BO1404" s="68"/>
      <c r="BP1404" s="68"/>
      <c r="BQ1404" s="68"/>
      <c r="BR1404" s="68"/>
      <c r="BS1404" s="68"/>
      <c r="BT1404" s="68"/>
      <c r="BU1404" s="68"/>
      <c r="BV1404" s="68"/>
      <c r="BW1404" s="68"/>
      <c r="BX1404" s="68"/>
      <c r="BY1404" s="68"/>
      <c r="BZ1404" s="68"/>
      <c r="CA1404" s="68"/>
      <c r="CB1404" s="68"/>
      <c r="CC1404" s="68"/>
      <c r="CD1404" s="68"/>
      <c r="CE1404" s="68"/>
      <c r="CF1404" s="68"/>
      <c r="CG1404" s="68"/>
      <c r="CH1404" s="68"/>
      <c r="CI1404" s="68"/>
      <c r="CJ1404" s="68"/>
      <c r="CK1404" s="68"/>
      <c r="CL1404" s="68"/>
      <c r="CM1404" s="68"/>
      <c r="CN1404" s="68"/>
      <c r="CO1404" s="68"/>
      <c r="CP1404" s="68"/>
    </row>
    <row r="1405" ht="15.75" customHeight="1">
      <c r="A1405" s="1162" t="s">
        <v>6583</v>
      </c>
      <c r="B1405" s="16"/>
      <c r="C1405" s="16"/>
      <c r="D1405" s="236" t="s">
        <v>6580</v>
      </c>
      <c r="E1405" s="236" t="s">
        <v>6584</v>
      </c>
      <c r="F1405" s="20" t="s">
        <v>6585</v>
      </c>
      <c r="G1405" s="22"/>
      <c r="H1405" s="22" t="s">
        <v>6473</v>
      </c>
      <c r="I1405" s="23" t="s">
        <v>188</v>
      </c>
      <c r="J1405" s="17"/>
      <c r="K1405" s="74"/>
      <c r="L1405" s="23">
        <v>1998.0</v>
      </c>
      <c r="M1405" s="25">
        <f t="shared" si="789"/>
        <v>27</v>
      </c>
      <c r="N1405" s="26">
        <f t="shared" si="790"/>
        <v>0</v>
      </c>
      <c r="O1405" s="27" t="str">
        <f t="shared" si="3"/>
        <v>#N/A</v>
      </c>
      <c r="P1405" s="28"/>
      <c r="Q1405" s="28"/>
      <c r="R1405" s="28"/>
      <c r="S1405" s="28"/>
      <c r="T1405" s="29">
        <f t="shared" si="791"/>
        <v>0</v>
      </c>
      <c r="U1405" s="28"/>
      <c r="V1405" s="30">
        <f t="shared" si="425"/>
        <v>0</v>
      </c>
      <c r="W1405" s="30"/>
      <c r="X1405" s="32"/>
      <c r="Y1405" s="33" t="str">
        <f t="shared" si="792"/>
        <v>#DIV/0!</v>
      </c>
      <c r="Z1405" s="692"/>
      <c r="AA1405" s="665"/>
      <c r="AB1405" s="36"/>
      <c r="AC1405" s="36"/>
      <c r="AD1405" s="44"/>
      <c r="AE1405" s="46"/>
      <c r="AF1405" s="39"/>
      <c r="AG1405" s="46"/>
      <c r="AH1405" s="36"/>
      <c r="AI1405" s="159"/>
      <c r="AJ1405" s="44"/>
      <c r="AK1405" s="46"/>
      <c r="AL1405" s="44"/>
      <c r="AM1405" s="46"/>
      <c r="AN1405" s="44"/>
      <c r="AO1405" s="46"/>
      <c r="AP1405" s="44"/>
      <c r="AQ1405" s="46"/>
      <c r="AR1405" s="44"/>
      <c r="AS1405" s="44"/>
      <c r="AT1405" s="44"/>
      <c r="AU1405" s="45"/>
      <c r="AV1405" s="44"/>
      <c r="AW1405" s="38"/>
      <c r="AX1405" s="44"/>
      <c r="AY1405" s="38"/>
      <c r="AZ1405" s="44"/>
      <c r="BA1405" s="45"/>
      <c r="BB1405" s="44"/>
      <c r="BC1405" s="45"/>
      <c r="BD1405" s="44"/>
      <c r="BE1405" s="38"/>
      <c r="BF1405" s="36"/>
      <c r="BG1405" s="68"/>
      <c r="BH1405" s="68"/>
      <c r="BI1405" s="68"/>
      <c r="BJ1405" s="68"/>
      <c r="BK1405" s="68"/>
      <c r="BL1405" s="68"/>
      <c r="BM1405" s="68"/>
      <c r="BN1405" s="68"/>
      <c r="BO1405" s="68"/>
      <c r="BP1405" s="68"/>
      <c r="BQ1405" s="68"/>
      <c r="BR1405" s="68"/>
      <c r="BS1405" s="68"/>
      <c r="BT1405" s="68"/>
      <c r="BU1405" s="68"/>
      <c r="BV1405" s="68"/>
      <c r="BW1405" s="68"/>
      <c r="BX1405" s="68"/>
      <c r="BY1405" s="68"/>
      <c r="BZ1405" s="68"/>
      <c r="CA1405" s="68"/>
      <c r="CB1405" s="68"/>
      <c r="CC1405" s="68"/>
      <c r="CD1405" s="68"/>
      <c r="CE1405" s="68"/>
      <c r="CF1405" s="68"/>
      <c r="CG1405" s="68"/>
      <c r="CH1405" s="68"/>
      <c r="CI1405" s="68"/>
      <c r="CJ1405" s="68"/>
      <c r="CK1405" s="68"/>
      <c r="CL1405" s="68"/>
      <c r="CM1405" s="68"/>
      <c r="CN1405" s="68"/>
      <c r="CO1405" s="68"/>
      <c r="CP1405" s="68"/>
    </row>
    <row r="1406" ht="15.75" customHeight="1">
      <c r="A1406" s="866" t="s">
        <v>6586</v>
      </c>
      <c r="B1406" s="16"/>
      <c r="C1406" s="17" t="s">
        <v>123</v>
      </c>
      <c r="D1406" s="236" t="s">
        <v>6587</v>
      </c>
      <c r="E1406" s="1634"/>
      <c r="F1406" s="1173" t="s">
        <v>6588</v>
      </c>
      <c r="G1406" s="22"/>
      <c r="H1406" s="22"/>
      <c r="I1406" s="23"/>
      <c r="J1406" s="23"/>
      <c r="K1406" s="74"/>
      <c r="L1406" s="23"/>
      <c r="M1406" s="25">
        <f t="shared" si="789"/>
        <v>2025</v>
      </c>
      <c r="N1406" s="26">
        <f t="shared" si="790"/>
        <v>0</v>
      </c>
      <c r="O1406" s="27" t="str">
        <f t="shared" si="3"/>
        <v>#N/A</v>
      </c>
      <c r="P1406" s="28"/>
      <c r="Q1406" s="28"/>
      <c r="R1406" s="28"/>
      <c r="S1406" s="28"/>
      <c r="T1406" s="29">
        <f t="shared" si="791"/>
        <v>0</v>
      </c>
      <c r="U1406" s="28"/>
      <c r="V1406" s="30">
        <f t="shared" si="425"/>
        <v>0</v>
      </c>
      <c r="W1406" s="30"/>
      <c r="X1406" s="32"/>
      <c r="Y1406" s="33" t="str">
        <f t="shared" si="792"/>
        <v>#DIV/0!</v>
      </c>
      <c r="Z1406" s="692"/>
      <c r="AA1406" s="665"/>
      <c r="AB1406" s="36"/>
      <c r="AC1406" s="36"/>
      <c r="AD1406" s="44"/>
      <c r="AE1406" s="46"/>
      <c r="AF1406" s="39"/>
      <c r="AG1406" s="46"/>
      <c r="AH1406" s="36"/>
      <c r="AI1406" s="159"/>
      <c r="AJ1406" s="44"/>
      <c r="AK1406" s="46"/>
      <c r="AL1406" s="44"/>
      <c r="AM1406" s="46"/>
      <c r="AN1406" s="44"/>
      <c r="AO1406" s="46"/>
      <c r="AP1406" s="44"/>
      <c r="AQ1406" s="46"/>
      <c r="AR1406" s="44"/>
      <c r="AS1406" s="44"/>
      <c r="AT1406" s="44"/>
      <c r="AU1406" s="45"/>
      <c r="AV1406" s="44"/>
      <c r="AW1406" s="38"/>
      <c r="AX1406" s="44"/>
      <c r="AY1406" s="38"/>
      <c r="AZ1406" s="44"/>
      <c r="BA1406" s="45"/>
      <c r="BB1406" s="44"/>
      <c r="BC1406" s="45"/>
      <c r="BD1406" s="44"/>
      <c r="BE1406" s="38"/>
      <c r="BF1406" s="36"/>
      <c r="BG1406" s="68"/>
      <c r="BH1406" s="68"/>
      <c r="BI1406" s="68"/>
      <c r="BJ1406" s="68"/>
      <c r="BK1406" s="68"/>
      <c r="BL1406" s="68"/>
      <c r="BM1406" s="68"/>
      <c r="BN1406" s="68"/>
      <c r="BO1406" s="68"/>
      <c r="BP1406" s="68"/>
      <c r="BQ1406" s="68"/>
      <c r="BR1406" s="68"/>
      <c r="BS1406" s="68"/>
      <c r="BT1406" s="68"/>
      <c r="BU1406" s="68"/>
      <c r="BV1406" s="68"/>
      <c r="BW1406" s="68"/>
      <c r="BX1406" s="68"/>
      <c r="BY1406" s="68"/>
      <c r="BZ1406" s="68"/>
      <c r="CA1406" s="68"/>
      <c r="CB1406" s="68"/>
      <c r="CC1406" s="68"/>
      <c r="CD1406" s="68"/>
      <c r="CE1406" s="68"/>
      <c r="CF1406" s="68"/>
      <c r="CG1406" s="68"/>
      <c r="CH1406" s="68"/>
      <c r="CI1406" s="68"/>
      <c r="CJ1406" s="68"/>
      <c r="CK1406" s="68"/>
      <c r="CL1406" s="68"/>
      <c r="CM1406" s="68"/>
      <c r="CN1406" s="68"/>
      <c r="CO1406" s="68"/>
      <c r="CP1406" s="68"/>
    </row>
    <row r="1407" ht="15.75" customHeight="1">
      <c r="A1407" s="1162" t="s">
        <v>6589</v>
      </c>
      <c r="B1407" s="16"/>
      <c r="C1407" s="17" t="s">
        <v>123</v>
      </c>
      <c r="D1407" s="337"/>
      <c r="E1407" s="236" t="s">
        <v>6590</v>
      </c>
      <c r="F1407" s="20" t="s">
        <v>6591</v>
      </c>
      <c r="G1407" s="442"/>
      <c r="H1407" s="22" t="s">
        <v>6592</v>
      </c>
      <c r="I1407" s="23" t="s">
        <v>65</v>
      </c>
      <c r="J1407" s="237"/>
      <c r="K1407" s="36"/>
      <c r="L1407" s="23">
        <v>2014.0</v>
      </c>
      <c r="M1407" s="25">
        <f t="shared" si="789"/>
        <v>11</v>
      </c>
      <c r="N1407" s="26">
        <f t="shared" si="790"/>
        <v>0</v>
      </c>
      <c r="O1407" s="27" t="str">
        <f t="shared" si="3"/>
        <v>#N/A</v>
      </c>
      <c r="P1407" s="28"/>
      <c r="Q1407" s="28"/>
      <c r="R1407" s="28"/>
      <c r="S1407" s="28"/>
      <c r="T1407" s="29">
        <f t="shared" si="791"/>
        <v>0</v>
      </c>
      <c r="U1407" s="28"/>
      <c r="V1407" s="30">
        <f t="shared" si="425"/>
        <v>0</v>
      </c>
      <c r="W1407" s="30"/>
      <c r="X1407" s="847"/>
      <c r="Y1407" s="33" t="str">
        <f t="shared" si="792"/>
        <v>#DIV/0!</v>
      </c>
      <c r="Z1407" s="692"/>
      <c r="AA1407" s="665"/>
      <c r="AB1407" s="36"/>
      <c r="AC1407" s="36"/>
      <c r="AD1407" s="44"/>
      <c r="AE1407" s="46"/>
      <c r="AF1407" s="39"/>
      <c r="AG1407" s="46"/>
      <c r="AH1407" s="36"/>
      <c r="AI1407" s="159"/>
      <c r="AJ1407" s="44"/>
      <c r="AK1407" s="46"/>
      <c r="AL1407" s="44"/>
      <c r="AM1407" s="46"/>
      <c r="AN1407" s="44"/>
      <c r="AO1407" s="46"/>
      <c r="AP1407" s="44"/>
      <c r="AQ1407" s="46"/>
      <c r="AR1407" s="44"/>
      <c r="AS1407" s="44"/>
      <c r="AT1407" s="44"/>
      <c r="AU1407" s="45"/>
      <c r="AV1407" s="44"/>
      <c r="AW1407" s="38"/>
      <c r="AX1407" s="44"/>
      <c r="AY1407" s="38"/>
      <c r="AZ1407" s="44"/>
      <c r="BA1407" s="45"/>
      <c r="BB1407" s="44"/>
      <c r="BC1407" s="45"/>
      <c r="BD1407" s="44"/>
      <c r="BE1407" s="38"/>
      <c r="BF1407" s="36"/>
      <c r="BG1407" s="68"/>
      <c r="BH1407" s="68"/>
      <c r="BI1407" s="68"/>
      <c r="BJ1407" s="68"/>
      <c r="BK1407" s="68"/>
      <c r="BL1407" s="68"/>
      <c r="BM1407" s="68"/>
      <c r="BN1407" s="68"/>
      <c r="BO1407" s="68"/>
      <c r="BP1407" s="68"/>
      <c r="BQ1407" s="68"/>
      <c r="BR1407" s="68"/>
      <c r="BS1407" s="68"/>
      <c r="BT1407" s="68"/>
      <c r="BU1407" s="68"/>
      <c r="BV1407" s="68"/>
      <c r="BW1407" s="68"/>
      <c r="BX1407" s="68"/>
      <c r="BY1407" s="68"/>
      <c r="BZ1407" s="68"/>
      <c r="CA1407" s="68"/>
      <c r="CB1407" s="68"/>
      <c r="CC1407" s="68"/>
      <c r="CD1407" s="68"/>
      <c r="CE1407" s="68"/>
      <c r="CF1407" s="68"/>
      <c r="CG1407" s="68"/>
      <c r="CH1407" s="68"/>
      <c r="CI1407" s="68"/>
      <c r="CJ1407" s="68"/>
      <c r="CK1407" s="68"/>
      <c r="CL1407" s="68"/>
      <c r="CM1407" s="68"/>
      <c r="CN1407" s="68"/>
      <c r="CO1407" s="68"/>
      <c r="CP1407" s="68"/>
    </row>
    <row r="1408" ht="15.75" customHeight="1">
      <c r="A1408" s="866" t="s">
        <v>6593</v>
      </c>
      <c r="B1408" s="16"/>
      <c r="C1408" s="17" t="s">
        <v>123</v>
      </c>
      <c r="D1408" s="236" t="s">
        <v>6594</v>
      </c>
      <c r="E1408" s="236" t="s">
        <v>6595</v>
      </c>
      <c r="F1408" s="20" t="s">
        <v>6596</v>
      </c>
      <c r="G1408" s="442"/>
      <c r="H1408" s="22" t="s">
        <v>129</v>
      </c>
      <c r="I1408" s="23" t="s">
        <v>129</v>
      </c>
      <c r="J1408" s="237"/>
      <c r="K1408" s="36"/>
      <c r="L1408" s="23">
        <v>2008.0</v>
      </c>
      <c r="M1408" s="25">
        <f t="shared" si="789"/>
        <v>17</v>
      </c>
      <c r="N1408" s="26">
        <f t="shared" si="790"/>
        <v>0</v>
      </c>
      <c r="O1408" s="27" t="str">
        <f t="shared" si="3"/>
        <v>#N/A</v>
      </c>
      <c r="P1408" s="28"/>
      <c r="Q1408" s="28"/>
      <c r="R1408" s="28"/>
      <c r="S1408" s="28"/>
      <c r="T1408" s="29">
        <f t="shared" si="791"/>
        <v>0</v>
      </c>
      <c r="U1408" s="28"/>
      <c r="V1408" s="30">
        <f t="shared" si="425"/>
        <v>0</v>
      </c>
      <c r="W1408" s="30"/>
      <c r="X1408" s="847"/>
      <c r="Y1408" s="33" t="str">
        <f t="shared" si="792"/>
        <v>#DIV/0!</v>
      </c>
      <c r="Z1408" s="692"/>
      <c r="AA1408" s="665"/>
      <c r="AB1408" s="36"/>
      <c r="AC1408" s="36"/>
      <c r="AD1408" s="44"/>
      <c r="AE1408" s="46"/>
      <c r="AF1408" s="39"/>
      <c r="AG1408" s="887"/>
      <c r="AH1408" s="36"/>
      <c r="AI1408" s="159"/>
      <c r="AJ1408" s="44"/>
      <c r="AK1408" s="46"/>
      <c r="AL1408" s="44"/>
      <c r="AM1408" s="46"/>
      <c r="AN1408" s="44"/>
      <c r="AO1408" s="46"/>
      <c r="AP1408" s="44"/>
      <c r="AQ1408" s="46"/>
      <c r="AR1408" s="44"/>
      <c r="AS1408" s="44"/>
      <c r="AT1408" s="44"/>
      <c r="AU1408" s="45"/>
      <c r="AV1408" s="44"/>
      <c r="AW1408" s="38"/>
      <c r="AX1408" s="44"/>
      <c r="AY1408" s="38"/>
      <c r="AZ1408" s="44"/>
      <c r="BA1408" s="45"/>
      <c r="BB1408" s="44"/>
      <c r="BC1408" s="45"/>
      <c r="BD1408" s="44"/>
      <c r="BE1408" s="38"/>
      <c r="BF1408" s="36"/>
      <c r="BG1408" s="68"/>
      <c r="BH1408" s="68"/>
      <c r="BI1408" s="68"/>
      <c r="BJ1408" s="68"/>
      <c r="BK1408" s="68"/>
      <c r="BL1408" s="68"/>
      <c r="BM1408" s="68"/>
      <c r="BN1408" s="68"/>
      <c r="BO1408" s="68"/>
      <c r="BP1408" s="68"/>
      <c r="BQ1408" s="68"/>
      <c r="BR1408" s="68"/>
      <c r="BS1408" s="68"/>
      <c r="BT1408" s="68"/>
      <c r="BU1408" s="68"/>
      <c r="BV1408" s="68"/>
      <c r="BW1408" s="68"/>
      <c r="BX1408" s="68"/>
      <c r="BY1408" s="68"/>
      <c r="BZ1408" s="68"/>
      <c r="CA1408" s="68"/>
      <c r="CB1408" s="68"/>
      <c r="CC1408" s="68"/>
      <c r="CD1408" s="68"/>
      <c r="CE1408" s="68"/>
      <c r="CF1408" s="68"/>
      <c r="CG1408" s="68"/>
      <c r="CH1408" s="68"/>
      <c r="CI1408" s="68"/>
      <c r="CJ1408" s="68"/>
      <c r="CK1408" s="68"/>
      <c r="CL1408" s="68"/>
      <c r="CM1408" s="68"/>
      <c r="CN1408" s="68"/>
      <c r="CO1408" s="68"/>
      <c r="CP1408" s="68"/>
    </row>
    <row r="1409" ht="15.75" customHeight="1">
      <c r="A1409" s="21" t="s">
        <v>6597</v>
      </c>
      <c r="B1409" s="16"/>
      <c r="C1409" s="17" t="s">
        <v>123</v>
      </c>
      <c r="D1409" s="337"/>
      <c r="E1409" s="231" t="s">
        <v>6598</v>
      </c>
      <c r="F1409" s="173" t="s">
        <v>6599</v>
      </c>
      <c r="G1409" s="442"/>
      <c r="H1409" s="22" t="s">
        <v>2264</v>
      </c>
      <c r="I1409" s="23" t="s">
        <v>100</v>
      </c>
      <c r="J1409" s="237"/>
      <c r="K1409" s="74" t="s">
        <v>723</v>
      </c>
      <c r="L1409" s="23">
        <v>2017.0</v>
      </c>
      <c r="M1409" s="25">
        <f t="shared" si="789"/>
        <v>8</v>
      </c>
      <c r="N1409" s="26">
        <f t="shared" si="790"/>
        <v>1</v>
      </c>
      <c r="O1409" s="27" t="str">
        <f t="shared" si="3"/>
        <v>#N/A</v>
      </c>
      <c r="P1409" s="28"/>
      <c r="Q1409" s="28"/>
      <c r="R1409" s="28"/>
      <c r="S1409" s="28"/>
      <c r="T1409" s="29">
        <f t="shared" si="791"/>
        <v>0</v>
      </c>
      <c r="U1409" s="28"/>
      <c r="V1409" s="30">
        <f t="shared" si="425"/>
        <v>0</v>
      </c>
      <c r="W1409" s="30"/>
      <c r="X1409" s="32"/>
      <c r="Y1409" s="33" t="str">
        <f t="shared" si="792"/>
        <v>#DIV/0!</v>
      </c>
      <c r="Z1409" s="692"/>
      <c r="AA1409" s="665"/>
      <c r="AB1409" s="36"/>
      <c r="AC1409" s="36"/>
      <c r="AD1409" s="44"/>
      <c r="AE1409" s="46"/>
      <c r="AF1409" s="158" t="str">
        <f>HYPERLINK("https://www.crunchbase.com/funding_round/cido-seed--694fc8ce#section-overview","Oct 2, 2019")</f>
        <v>Oct 2, 2019</v>
      </c>
      <c r="AG1409" s="1141">
        <v>0.0</v>
      </c>
      <c r="AH1409" s="36"/>
      <c r="AI1409" s="159"/>
      <c r="AJ1409" s="37"/>
      <c r="AK1409" s="38"/>
      <c r="AL1409" s="44"/>
      <c r="AM1409" s="38"/>
      <c r="AN1409" s="44"/>
      <c r="AO1409" s="46"/>
      <c r="AP1409" s="44"/>
      <c r="AQ1409" s="46"/>
      <c r="AR1409" s="44"/>
      <c r="AS1409" s="44"/>
      <c r="AT1409" s="44"/>
      <c r="AU1409" s="45"/>
      <c r="AV1409" s="44"/>
      <c r="AW1409" s="38"/>
      <c r="AX1409" s="44"/>
      <c r="AY1409" s="38"/>
      <c r="AZ1409" s="44"/>
      <c r="BA1409" s="45"/>
      <c r="BB1409" s="44"/>
      <c r="BC1409" s="45"/>
      <c r="BD1409" s="44"/>
      <c r="BE1409" s="38"/>
      <c r="BF1409" s="36"/>
      <c r="BG1409" s="68"/>
      <c r="BH1409" s="68"/>
      <c r="BI1409" s="68"/>
      <c r="BJ1409" s="68"/>
      <c r="BK1409" s="68"/>
      <c r="BL1409" s="68"/>
      <c r="BM1409" s="68"/>
      <c r="BN1409" s="68"/>
      <c r="BO1409" s="68"/>
      <c r="BP1409" s="68"/>
      <c r="BQ1409" s="68"/>
      <c r="BR1409" s="68"/>
      <c r="BS1409" s="68"/>
      <c r="BT1409" s="68"/>
      <c r="BU1409" s="68"/>
      <c r="BV1409" s="68"/>
      <c r="BW1409" s="68"/>
      <c r="BX1409" s="68"/>
      <c r="BY1409" s="68"/>
      <c r="BZ1409" s="68"/>
      <c r="CA1409" s="68"/>
      <c r="CB1409" s="68"/>
      <c r="CC1409" s="68"/>
      <c r="CD1409" s="68"/>
      <c r="CE1409" s="68"/>
      <c r="CF1409" s="68"/>
      <c r="CG1409" s="68"/>
      <c r="CH1409" s="68"/>
      <c r="CI1409" s="68"/>
      <c r="CJ1409" s="68"/>
      <c r="CK1409" s="68"/>
      <c r="CL1409" s="68"/>
      <c r="CM1409" s="68"/>
      <c r="CN1409" s="68"/>
      <c r="CO1409" s="68"/>
      <c r="CP1409" s="68"/>
    </row>
    <row r="1410" ht="15.75" customHeight="1">
      <c r="A1410" s="1162" t="s">
        <v>6600</v>
      </c>
      <c r="B1410" s="16"/>
      <c r="C1410" s="17" t="s">
        <v>3357</v>
      </c>
      <c r="D1410" s="337"/>
      <c r="E1410" s="18" t="s">
        <v>6601</v>
      </c>
      <c r="F1410" s="20" t="s">
        <v>6602</v>
      </c>
      <c r="G1410" s="317"/>
      <c r="H1410" s="22" t="s">
        <v>6603</v>
      </c>
      <c r="I1410" s="23" t="s">
        <v>188</v>
      </c>
      <c r="J1410" s="237"/>
      <c r="K1410" s="74"/>
      <c r="L1410" s="23">
        <v>2000.0</v>
      </c>
      <c r="M1410" s="25">
        <f t="shared" si="789"/>
        <v>25</v>
      </c>
      <c r="N1410" s="26">
        <f t="shared" si="790"/>
        <v>0</v>
      </c>
      <c r="O1410" s="27" t="str">
        <f t="shared" si="3"/>
        <v>#N/A</v>
      </c>
      <c r="P1410" s="28"/>
      <c r="Q1410" s="28"/>
      <c r="R1410" s="28"/>
      <c r="S1410" s="28"/>
      <c r="T1410" s="29">
        <f t="shared" si="791"/>
        <v>0</v>
      </c>
      <c r="U1410" s="28"/>
      <c r="V1410" s="30">
        <f t="shared" si="425"/>
        <v>0</v>
      </c>
      <c r="W1410" s="30"/>
      <c r="X1410" s="32"/>
      <c r="Y1410" s="33" t="str">
        <f t="shared" si="792"/>
        <v>#DIV/0!</v>
      </c>
      <c r="Z1410" s="692"/>
      <c r="AA1410" s="665"/>
      <c r="AB1410" s="36"/>
      <c r="AC1410" s="36"/>
      <c r="AD1410" s="44"/>
      <c r="AE1410" s="46"/>
      <c r="AF1410" s="39"/>
      <c r="AG1410" s="1141"/>
      <c r="AH1410" s="36"/>
      <c r="AI1410" s="159"/>
      <c r="AJ1410" s="37"/>
      <c r="AK1410" s="38"/>
      <c r="AL1410" s="44"/>
      <c r="AM1410" s="38"/>
      <c r="AN1410" s="44"/>
      <c r="AO1410" s="46"/>
      <c r="AP1410" s="44"/>
      <c r="AQ1410" s="46"/>
      <c r="AR1410" s="44"/>
      <c r="AS1410" s="44"/>
      <c r="AT1410" s="44"/>
      <c r="AU1410" s="45"/>
      <c r="AV1410" s="44"/>
      <c r="AW1410" s="38"/>
      <c r="AX1410" s="44"/>
      <c r="AY1410" s="38"/>
      <c r="AZ1410" s="44"/>
      <c r="BA1410" s="45"/>
      <c r="BB1410" s="44"/>
      <c r="BC1410" s="45"/>
      <c r="BD1410" s="44"/>
      <c r="BE1410" s="38"/>
      <c r="BF1410" s="36"/>
      <c r="BG1410" s="68"/>
      <c r="BH1410" s="68"/>
      <c r="BI1410" s="68"/>
      <c r="BJ1410" s="68"/>
      <c r="BK1410" s="68"/>
      <c r="BL1410" s="68"/>
      <c r="BM1410" s="68"/>
      <c r="BN1410" s="68"/>
      <c r="BO1410" s="68"/>
      <c r="BP1410" s="68"/>
      <c r="BQ1410" s="68"/>
      <c r="BR1410" s="68"/>
      <c r="BS1410" s="68"/>
      <c r="BT1410" s="68"/>
      <c r="BU1410" s="68"/>
      <c r="BV1410" s="68"/>
      <c r="BW1410" s="68"/>
      <c r="BX1410" s="68"/>
      <c r="BY1410" s="68"/>
      <c r="BZ1410" s="68"/>
      <c r="CA1410" s="68"/>
      <c r="CB1410" s="68"/>
      <c r="CC1410" s="68"/>
      <c r="CD1410" s="68"/>
      <c r="CE1410" s="68"/>
      <c r="CF1410" s="68"/>
      <c r="CG1410" s="68"/>
      <c r="CH1410" s="68"/>
      <c r="CI1410" s="68"/>
      <c r="CJ1410" s="68"/>
      <c r="CK1410" s="68"/>
      <c r="CL1410" s="68"/>
      <c r="CM1410" s="68"/>
      <c r="CN1410" s="68"/>
      <c r="CO1410" s="68"/>
      <c r="CP1410" s="68"/>
    </row>
    <row r="1411" ht="15.75" customHeight="1">
      <c r="A1411" s="1162" t="s">
        <v>6604</v>
      </c>
      <c r="B1411" s="16"/>
      <c r="C1411" s="17" t="s">
        <v>123</v>
      </c>
      <c r="D1411" s="337"/>
      <c r="E1411" s="236" t="s">
        <v>6605</v>
      </c>
      <c r="F1411" s="20" t="s">
        <v>6606</v>
      </c>
      <c r="G1411" s="317"/>
      <c r="H1411" s="22" t="s">
        <v>2478</v>
      </c>
      <c r="I1411" s="23" t="s">
        <v>65</v>
      </c>
      <c r="J1411" s="237"/>
      <c r="K1411" s="74"/>
      <c r="L1411" s="23">
        <v>2014.0</v>
      </c>
      <c r="M1411" s="25">
        <f t="shared" si="789"/>
        <v>11</v>
      </c>
      <c r="N1411" s="26">
        <f t="shared" si="790"/>
        <v>0</v>
      </c>
      <c r="O1411" s="27" t="str">
        <f t="shared" si="3"/>
        <v>#N/A</v>
      </c>
      <c r="P1411" s="28"/>
      <c r="Q1411" s="28"/>
      <c r="R1411" s="28"/>
      <c r="S1411" s="28"/>
      <c r="T1411" s="29">
        <f t="shared" si="791"/>
        <v>0</v>
      </c>
      <c r="U1411" s="28"/>
      <c r="V1411" s="30">
        <f t="shared" si="425"/>
        <v>0</v>
      </c>
      <c r="W1411" s="30"/>
      <c r="X1411" s="32"/>
      <c r="Y1411" s="33" t="str">
        <f t="shared" si="792"/>
        <v>#DIV/0!</v>
      </c>
      <c r="Z1411" s="692"/>
      <c r="AA1411" s="665"/>
      <c r="AB1411" s="36"/>
      <c r="AC1411" s="36"/>
      <c r="AD1411" s="44"/>
      <c r="AE1411" s="46"/>
      <c r="AF1411" s="39"/>
      <c r="AG1411" s="1141"/>
      <c r="AH1411" s="36"/>
      <c r="AI1411" s="159"/>
      <c r="AJ1411" s="37"/>
      <c r="AK1411" s="38"/>
      <c r="AL1411" s="44"/>
      <c r="AM1411" s="38"/>
      <c r="AN1411" s="44"/>
      <c r="AO1411" s="46"/>
      <c r="AP1411" s="44"/>
      <c r="AQ1411" s="46"/>
      <c r="AR1411" s="44"/>
      <c r="AS1411" s="44"/>
      <c r="AT1411" s="44"/>
      <c r="AU1411" s="45"/>
      <c r="AV1411" s="44"/>
      <c r="AW1411" s="38"/>
      <c r="AX1411" s="44"/>
      <c r="AY1411" s="38"/>
      <c r="AZ1411" s="44"/>
      <c r="BA1411" s="45"/>
      <c r="BB1411" s="44"/>
      <c r="BC1411" s="45"/>
      <c r="BD1411" s="44"/>
      <c r="BE1411" s="38"/>
      <c r="BF1411" s="36"/>
      <c r="BG1411" s="68"/>
      <c r="BH1411" s="68"/>
      <c r="BI1411" s="68"/>
      <c r="BJ1411" s="68"/>
      <c r="BK1411" s="68"/>
      <c r="BL1411" s="68"/>
      <c r="BM1411" s="68"/>
      <c r="BN1411" s="68"/>
      <c r="BO1411" s="68"/>
      <c r="BP1411" s="68"/>
      <c r="BQ1411" s="68"/>
      <c r="BR1411" s="68"/>
      <c r="BS1411" s="68"/>
      <c r="BT1411" s="68"/>
      <c r="BU1411" s="68"/>
      <c r="BV1411" s="68"/>
      <c r="BW1411" s="68"/>
      <c r="BX1411" s="68"/>
      <c r="BY1411" s="68"/>
      <c r="BZ1411" s="68"/>
      <c r="CA1411" s="68"/>
      <c r="CB1411" s="68"/>
      <c r="CC1411" s="68"/>
      <c r="CD1411" s="68"/>
      <c r="CE1411" s="68"/>
      <c r="CF1411" s="68"/>
      <c r="CG1411" s="68"/>
      <c r="CH1411" s="68"/>
      <c r="CI1411" s="68"/>
      <c r="CJ1411" s="68"/>
      <c r="CK1411" s="68"/>
      <c r="CL1411" s="68"/>
      <c r="CM1411" s="68"/>
      <c r="CN1411" s="68"/>
      <c r="CO1411" s="68"/>
      <c r="CP1411" s="68"/>
    </row>
    <row r="1412" ht="15.75" customHeight="1">
      <c r="A1412" s="245" t="s">
        <v>6607</v>
      </c>
      <c r="B1412" s="17"/>
      <c r="C1412" s="17" t="s">
        <v>513</v>
      </c>
      <c r="D1412" s="385"/>
      <c r="E1412" s="236" t="s">
        <v>6608</v>
      </c>
      <c r="F1412" s="803" t="s">
        <v>6609</v>
      </c>
      <c r="G1412" s="317"/>
      <c r="H1412" s="22" t="s">
        <v>526</v>
      </c>
      <c r="I1412" s="23" t="s">
        <v>65</v>
      </c>
      <c r="J1412" s="237"/>
      <c r="K1412" s="23">
        <v>1.0</v>
      </c>
      <c r="L1412" s="23">
        <v>2019.0</v>
      </c>
      <c r="M1412" s="25">
        <f t="shared" si="789"/>
        <v>6</v>
      </c>
      <c r="N1412" s="26">
        <f t="shared" si="790"/>
        <v>0</v>
      </c>
      <c r="O1412" s="27" t="str">
        <f t="shared" si="3"/>
        <v>#N/A</v>
      </c>
      <c r="P1412" s="28"/>
      <c r="Q1412" s="28"/>
      <c r="R1412" s="28"/>
      <c r="S1412" s="28"/>
      <c r="T1412" s="29">
        <f t="shared" si="791"/>
        <v>0</v>
      </c>
      <c r="U1412" s="28"/>
      <c r="V1412" s="30">
        <f t="shared" si="425"/>
        <v>0</v>
      </c>
      <c r="W1412" s="30"/>
      <c r="X1412" s="33"/>
      <c r="Y1412" s="33" t="str">
        <f t="shared" si="792"/>
        <v>#DIV/0!</v>
      </c>
      <c r="Z1412" s="692"/>
      <c r="AA1412" s="665"/>
      <c r="AB1412" s="36"/>
      <c r="AC1412" s="36"/>
      <c r="AD1412" s="44"/>
      <c r="AE1412" s="46"/>
      <c r="AF1412" s="39"/>
      <c r="AG1412" s="46"/>
      <c r="AH1412" s="36"/>
      <c r="AI1412" s="159"/>
      <c r="AJ1412" s="44"/>
      <c r="AK1412" s="46"/>
      <c r="AL1412" s="44"/>
      <c r="AM1412" s="46"/>
      <c r="AN1412" s="44"/>
      <c r="AO1412" s="46"/>
      <c r="AP1412" s="37"/>
      <c r="AQ1412" s="38"/>
      <c r="AR1412" s="44"/>
      <c r="AS1412" s="44"/>
      <c r="AT1412" s="44"/>
      <c r="AU1412" s="45"/>
      <c r="AV1412" s="44"/>
      <c r="AW1412" s="38"/>
      <c r="AX1412" s="44"/>
      <c r="AY1412" s="38"/>
      <c r="AZ1412" s="44"/>
      <c r="BA1412" s="45"/>
      <c r="BB1412" s="44"/>
      <c r="BC1412" s="45"/>
      <c r="BD1412" s="44"/>
      <c r="BE1412" s="38"/>
      <c r="BF1412" s="36"/>
      <c r="BG1412" s="68"/>
      <c r="BH1412" s="68"/>
      <c r="BI1412" s="68"/>
      <c r="BJ1412" s="68"/>
      <c r="BK1412" s="68"/>
      <c r="BL1412" s="68"/>
      <c r="BM1412" s="68"/>
      <c r="BN1412" s="68"/>
      <c r="BO1412" s="68"/>
      <c r="BP1412" s="68"/>
      <c r="BQ1412" s="68"/>
      <c r="BR1412" s="68"/>
      <c r="BS1412" s="68"/>
      <c r="BT1412" s="68"/>
      <c r="BU1412" s="68"/>
      <c r="BV1412" s="68"/>
      <c r="BW1412" s="68"/>
      <c r="BX1412" s="68"/>
      <c r="BY1412" s="68"/>
      <c r="BZ1412" s="68"/>
      <c r="CA1412" s="68"/>
      <c r="CB1412" s="68"/>
      <c r="CC1412" s="68"/>
      <c r="CD1412" s="68"/>
      <c r="CE1412" s="68"/>
      <c r="CF1412" s="68"/>
      <c r="CG1412" s="68"/>
      <c r="CH1412" s="68"/>
      <c r="CI1412" s="68"/>
      <c r="CJ1412" s="68"/>
      <c r="CK1412" s="68"/>
      <c r="CL1412" s="68"/>
      <c r="CM1412" s="68"/>
      <c r="CN1412" s="68"/>
      <c r="CO1412" s="68"/>
      <c r="CP1412" s="68"/>
    </row>
    <row r="1413" ht="15.75" customHeight="1">
      <c r="A1413" s="1162" t="s">
        <v>6610</v>
      </c>
      <c r="B1413" s="17" t="s">
        <v>2480</v>
      </c>
      <c r="C1413" s="17" t="s">
        <v>123</v>
      </c>
      <c r="D1413" s="385"/>
      <c r="E1413" s="236" t="s">
        <v>6611</v>
      </c>
      <c r="F1413" s="803" t="s">
        <v>6612</v>
      </c>
      <c r="G1413" s="317"/>
      <c r="H1413" s="22" t="s">
        <v>6613</v>
      </c>
      <c r="I1413" s="23" t="s">
        <v>1088</v>
      </c>
      <c r="J1413" s="237"/>
      <c r="K1413" s="36"/>
      <c r="L1413" s="23">
        <v>1971.0</v>
      </c>
      <c r="M1413" s="25">
        <f t="shared" si="789"/>
        <v>54</v>
      </c>
      <c r="N1413" s="26">
        <f t="shared" si="790"/>
        <v>0</v>
      </c>
      <c r="O1413" s="27" t="str">
        <f t="shared" si="3"/>
        <v>#N/A</v>
      </c>
      <c r="P1413" s="28"/>
      <c r="Q1413" s="28"/>
      <c r="R1413" s="28"/>
      <c r="S1413" s="28"/>
      <c r="T1413" s="29">
        <f t="shared" si="791"/>
        <v>0</v>
      </c>
      <c r="U1413" s="28"/>
      <c r="V1413" s="30">
        <f t="shared" si="425"/>
        <v>0</v>
      </c>
      <c r="W1413" s="30"/>
      <c r="X1413" s="847"/>
      <c r="Y1413" s="33" t="str">
        <f t="shared" si="792"/>
        <v>#DIV/0!</v>
      </c>
      <c r="Z1413" s="692"/>
      <c r="AA1413" s="665"/>
      <c r="AB1413" s="36"/>
      <c r="AC1413" s="36"/>
      <c r="AD1413" s="44"/>
      <c r="AE1413" s="46"/>
      <c r="AF1413" s="39"/>
      <c r="AG1413" s="46"/>
      <c r="AH1413" s="36"/>
      <c r="AI1413" s="159"/>
      <c r="AJ1413" s="44"/>
      <c r="AK1413" s="46"/>
      <c r="AL1413" s="44"/>
      <c r="AM1413" s="46"/>
      <c r="AN1413" s="44"/>
      <c r="AO1413" s="46"/>
      <c r="AP1413" s="37"/>
      <c r="AQ1413" s="38"/>
      <c r="AR1413" s="44"/>
      <c r="AS1413" s="44"/>
      <c r="AT1413" s="44"/>
      <c r="AU1413" s="45"/>
      <c r="AV1413" s="44"/>
      <c r="AW1413" s="38"/>
      <c r="AX1413" s="44"/>
      <c r="AY1413" s="38"/>
      <c r="AZ1413" s="44"/>
      <c r="BA1413" s="45"/>
      <c r="BB1413" s="44"/>
      <c r="BC1413" s="45"/>
      <c r="BD1413" s="44"/>
      <c r="BE1413" s="38"/>
      <c r="BF1413" s="36"/>
      <c r="BG1413" s="68"/>
      <c r="BH1413" s="68"/>
      <c r="BI1413" s="68"/>
      <c r="BJ1413" s="68"/>
      <c r="BK1413" s="68"/>
      <c r="BL1413" s="68"/>
      <c r="BM1413" s="68"/>
      <c r="BN1413" s="68"/>
      <c r="BO1413" s="68"/>
      <c r="BP1413" s="68"/>
      <c r="BQ1413" s="68"/>
      <c r="BR1413" s="68"/>
      <c r="BS1413" s="68"/>
      <c r="BT1413" s="68"/>
      <c r="BU1413" s="68"/>
      <c r="BV1413" s="68"/>
      <c r="BW1413" s="68"/>
      <c r="BX1413" s="68"/>
      <c r="BY1413" s="68"/>
      <c r="BZ1413" s="68"/>
      <c r="CA1413" s="68"/>
      <c r="CB1413" s="68"/>
      <c r="CC1413" s="68"/>
      <c r="CD1413" s="68"/>
      <c r="CE1413" s="68"/>
      <c r="CF1413" s="68"/>
      <c r="CG1413" s="68"/>
      <c r="CH1413" s="68"/>
      <c r="CI1413" s="68"/>
      <c r="CJ1413" s="68"/>
      <c r="CK1413" s="68"/>
      <c r="CL1413" s="68"/>
      <c r="CM1413" s="68"/>
      <c r="CN1413" s="68"/>
      <c r="CO1413" s="68"/>
      <c r="CP1413" s="68"/>
    </row>
    <row r="1414" ht="15.75" customHeight="1">
      <c r="A1414" s="21" t="s">
        <v>6614</v>
      </c>
      <c r="B1414" s="17" t="s">
        <v>6615</v>
      </c>
      <c r="C1414" s="17" t="s">
        <v>6616</v>
      </c>
      <c r="D1414" s="138" t="s">
        <v>6617</v>
      </c>
      <c r="E1414" s="138" t="s">
        <v>6618</v>
      </c>
      <c r="F1414" s="173" t="s">
        <v>6619</v>
      </c>
      <c r="G1414" s="1659" t="s">
        <v>6620</v>
      </c>
      <c r="H1414" s="22" t="s">
        <v>6621</v>
      </c>
      <c r="I1414" s="23" t="s">
        <v>792</v>
      </c>
      <c r="J1414" s="24" t="s">
        <v>6622</v>
      </c>
      <c r="K1414" s="23">
        <v>2.0</v>
      </c>
      <c r="L1414" s="23">
        <v>2018.0</v>
      </c>
      <c r="M1414" s="25">
        <f t="shared" si="789"/>
        <v>7</v>
      </c>
      <c r="N1414" s="26">
        <f t="shared" si="790"/>
        <v>0</v>
      </c>
      <c r="O1414" s="27" t="str">
        <f t="shared" si="3"/>
        <v>#N/A</v>
      </c>
      <c r="P1414" s="28"/>
      <c r="Q1414" s="28"/>
      <c r="R1414" s="28"/>
      <c r="S1414" s="28"/>
      <c r="T1414" s="29">
        <f t="shared" si="791"/>
        <v>0</v>
      </c>
      <c r="U1414" s="28"/>
      <c r="V1414" s="30">
        <f t="shared" si="425"/>
        <v>0</v>
      </c>
      <c r="W1414" s="30"/>
      <c r="X1414" s="33"/>
      <c r="Y1414" s="33" t="str">
        <f t="shared" si="792"/>
        <v>#DIV/0!</v>
      </c>
      <c r="Z1414" s="692"/>
      <c r="AA1414" s="665"/>
      <c r="AB1414" s="36"/>
      <c r="AC1414" s="36"/>
      <c r="AD1414" s="44"/>
      <c r="AE1414" s="46"/>
      <c r="AF1414" s="39"/>
      <c r="AG1414" s="46"/>
      <c r="AH1414" s="36"/>
      <c r="AI1414" s="159"/>
      <c r="AJ1414" s="44"/>
      <c r="AK1414" s="46"/>
      <c r="AL1414" s="44"/>
      <c r="AM1414" s="46"/>
      <c r="AN1414" s="44"/>
      <c r="AO1414" s="46"/>
      <c r="AP1414" s="44"/>
      <c r="AQ1414" s="46"/>
      <c r="AR1414" s="44"/>
      <c r="AS1414" s="44"/>
      <c r="AT1414" s="44"/>
      <c r="AU1414" s="45"/>
      <c r="AV1414" s="44"/>
      <c r="AW1414" s="38"/>
      <c r="AX1414" s="44"/>
      <c r="AY1414" s="38"/>
      <c r="AZ1414" s="44"/>
      <c r="BA1414" s="45"/>
      <c r="BB1414" s="44"/>
      <c r="BC1414" s="45"/>
      <c r="BD1414" s="44"/>
      <c r="BE1414" s="38"/>
      <c r="BF1414" s="36"/>
      <c r="BG1414" s="68"/>
      <c r="BH1414" s="68"/>
      <c r="BI1414" s="68"/>
      <c r="BJ1414" s="68"/>
      <c r="BK1414" s="68"/>
      <c r="BL1414" s="68"/>
      <c r="BM1414" s="68"/>
      <c r="BN1414" s="68"/>
      <c r="BO1414" s="68"/>
      <c r="BP1414" s="68"/>
      <c r="BQ1414" s="68"/>
      <c r="BR1414" s="68"/>
      <c r="BS1414" s="68"/>
      <c r="BT1414" s="68"/>
      <c r="BU1414" s="68"/>
      <c r="BV1414" s="68"/>
      <c r="BW1414" s="68"/>
      <c r="BX1414" s="68"/>
      <c r="BY1414" s="68"/>
      <c r="BZ1414" s="68"/>
      <c r="CA1414" s="68"/>
      <c r="CB1414" s="68"/>
      <c r="CC1414" s="68"/>
      <c r="CD1414" s="68"/>
      <c r="CE1414" s="68"/>
      <c r="CF1414" s="68"/>
      <c r="CG1414" s="68"/>
      <c r="CH1414" s="68"/>
      <c r="CI1414" s="68"/>
      <c r="CJ1414" s="68"/>
      <c r="CK1414" s="68"/>
      <c r="CL1414" s="68"/>
      <c r="CM1414" s="68"/>
      <c r="CN1414" s="68"/>
      <c r="CO1414" s="68"/>
      <c r="CP1414" s="68"/>
    </row>
    <row r="1415" ht="15.75" customHeight="1">
      <c r="A1415" s="1162" t="s">
        <v>6623</v>
      </c>
      <c r="B1415" s="17"/>
      <c r="C1415" s="17" t="s">
        <v>123</v>
      </c>
      <c r="D1415" s="236" t="s">
        <v>6624</v>
      </c>
      <c r="E1415" s="236" t="s">
        <v>6625</v>
      </c>
      <c r="F1415" s="20" t="s">
        <v>6626</v>
      </c>
      <c r="G1415" s="1659"/>
      <c r="H1415" s="22" t="s">
        <v>163</v>
      </c>
      <c r="I1415" s="23" t="s">
        <v>164</v>
      </c>
      <c r="J1415" s="24"/>
      <c r="K1415" s="23"/>
      <c r="L1415" s="23">
        <v>1987.0</v>
      </c>
      <c r="M1415" s="25">
        <f t="shared" si="789"/>
        <v>38</v>
      </c>
      <c r="N1415" s="26">
        <f t="shared" si="790"/>
        <v>0</v>
      </c>
      <c r="O1415" s="27" t="str">
        <f t="shared" si="3"/>
        <v>#N/A</v>
      </c>
      <c r="P1415" s="28"/>
      <c r="Q1415" s="28"/>
      <c r="R1415" s="28"/>
      <c r="S1415" s="28"/>
      <c r="T1415" s="29">
        <f t="shared" si="791"/>
        <v>0</v>
      </c>
      <c r="U1415" s="28"/>
      <c r="V1415" s="30">
        <f t="shared" si="425"/>
        <v>0</v>
      </c>
      <c r="W1415" s="30"/>
      <c r="X1415" s="33"/>
      <c r="Y1415" s="33" t="str">
        <f t="shared" si="792"/>
        <v>#DIV/0!</v>
      </c>
      <c r="Z1415" s="692"/>
      <c r="AA1415" s="665"/>
      <c r="AB1415" s="36"/>
      <c r="AC1415" s="36"/>
      <c r="AD1415" s="44"/>
      <c r="AE1415" s="46"/>
      <c r="AF1415" s="39"/>
      <c r="AG1415" s="46"/>
      <c r="AH1415" s="36"/>
      <c r="AI1415" s="159"/>
      <c r="AJ1415" s="44"/>
      <c r="AK1415" s="46"/>
      <c r="AL1415" s="44"/>
      <c r="AM1415" s="46"/>
      <c r="AN1415" s="44"/>
      <c r="AO1415" s="46"/>
      <c r="AP1415" s="44"/>
      <c r="AQ1415" s="46"/>
      <c r="AR1415" s="44"/>
      <c r="AS1415" s="44"/>
      <c r="AT1415" s="44"/>
      <c r="AU1415" s="45"/>
      <c r="AV1415" s="44"/>
      <c r="AW1415" s="38"/>
      <c r="AX1415" s="44"/>
      <c r="AY1415" s="38"/>
      <c r="AZ1415" s="44"/>
      <c r="BA1415" s="45"/>
      <c r="BB1415" s="44"/>
      <c r="BC1415" s="45"/>
      <c r="BD1415" s="44"/>
      <c r="BE1415" s="38"/>
      <c r="BF1415" s="36"/>
      <c r="BG1415" s="115"/>
      <c r="BH1415" s="115"/>
      <c r="BI1415" s="115"/>
      <c r="BJ1415" s="115"/>
      <c r="BK1415" s="115"/>
      <c r="BL1415" s="115"/>
      <c r="BM1415" s="115"/>
      <c r="BN1415" s="115"/>
      <c r="BO1415" s="115"/>
      <c r="BP1415" s="115"/>
      <c r="BQ1415" s="115"/>
      <c r="BR1415" s="115"/>
      <c r="BS1415" s="115"/>
      <c r="BT1415" s="115"/>
      <c r="BU1415" s="115"/>
      <c r="BV1415" s="115"/>
      <c r="BW1415" s="115"/>
      <c r="BX1415" s="115"/>
      <c r="BY1415" s="115"/>
      <c r="BZ1415" s="115"/>
      <c r="CA1415" s="115"/>
      <c r="CB1415" s="115"/>
      <c r="CC1415" s="115"/>
      <c r="CD1415" s="115"/>
      <c r="CE1415" s="115"/>
      <c r="CF1415" s="115"/>
      <c r="CG1415" s="115"/>
      <c r="CH1415" s="115"/>
      <c r="CI1415" s="115"/>
      <c r="CJ1415" s="115"/>
      <c r="CK1415" s="115"/>
      <c r="CL1415" s="115"/>
      <c r="CM1415" s="115"/>
      <c r="CN1415" s="115"/>
      <c r="CO1415" s="115"/>
      <c r="CP1415" s="115"/>
    </row>
    <row r="1416" ht="15.75" customHeight="1">
      <c r="A1416" s="21" t="s">
        <v>6627</v>
      </c>
      <c r="B1416" s="17" t="s">
        <v>4081</v>
      </c>
      <c r="C1416" s="17" t="s">
        <v>84</v>
      </c>
      <c r="D1416" s="192" t="s">
        <v>6628</v>
      </c>
      <c r="E1416" s="138" t="s">
        <v>6629</v>
      </c>
      <c r="F1416" s="173" t="s">
        <v>6630</v>
      </c>
      <c r="G1416" s="317"/>
      <c r="H1416" s="317"/>
      <c r="I1416" s="36"/>
      <c r="J1416" s="237"/>
      <c r="K1416" s="74" t="s">
        <v>723</v>
      </c>
      <c r="L1416" s="44" t="s">
        <v>723</v>
      </c>
      <c r="M1416" s="169" t="str">
        <f t="shared" si="789"/>
        <v>#VALUE!</v>
      </c>
      <c r="N1416" s="26">
        <f t="shared" si="790"/>
        <v>0</v>
      </c>
      <c r="O1416" s="27" t="str">
        <f t="shared" si="3"/>
        <v>#N/A</v>
      </c>
      <c r="P1416" s="28"/>
      <c r="Q1416" s="28"/>
      <c r="R1416" s="28"/>
      <c r="S1416" s="28"/>
      <c r="T1416" s="28" t="str">
        <f t="shared" si="791"/>
        <v>#VALUE!</v>
      </c>
      <c r="U1416" s="28"/>
      <c r="V1416" s="30">
        <f t="shared" si="425"/>
        <v>0</v>
      </c>
      <c r="W1416" s="30"/>
      <c r="X1416" s="32"/>
      <c r="Y1416" s="33" t="str">
        <f t="shared" si="792"/>
        <v>#DIV/0!</v>
      </c>
      <c r="Z1416" s="692"/>
      <c r="AA1416" s="665"/>
      <c r="AB1416" s="36"/>
      <c r="AC1416" s="36"/>
      <c r="AD1416" s="44"/>
      <c r="AE1416" s="46"/>
      <c r="AF1416" s="39"/>
      <c r="AG1416" s="46"/>
      <c r="AH1416" s="36"/>
      <c r="AI1416" s="159"/>
      <c r="AJ1416" s="44"/>
      <c r="AK1416" s="46"/>
      <c r="AL1416" s="44"/>
      <c r="AM1416" s="46"/>
      <c r="AN1416" s="44"/>
      <c r="AO1416" s="46"/>
      <c r="AP1416" s="44"/>
      <c r="AQ1416" s="46"/>
      <c r="AR1416" s="44"/>
      <c r="AS1416" s="44"/>
      <c r="AT1416" s="44"/>
      <c r="AU1416" s="45"/>
      <c r="AV1416" s="44"/>
      <c r="AW1416" s="38"/>
      <c r="AX1416" s="44"/>
      <c r="AY1416" s="38"/>
      <c r="AZ1416" s="44"/>
      <c r="BA1416" s="45"/>
      <c r="BB1416" s="44"/>
      <c r="BC1416" s="45"/>
      <c r="BD1416" s="44"/>
      <c r="BE1416" s="38"/>
      <c r="BF1416" s="36"/>
      <c r="BG1416" s="68"/>
      <c r="BH1416" s="68"/>
      <c r="BI1416" s="68"/>
      <c r="BJ1416" s="68"/>
      <c r="BK1416" s="68"/>
      <c r="BL1416" s="68"/>
      <c r="BM1416" s="68"/>
      <c r="BN1416" s="68"/>
      <c r="BO1416" s="68"/>
      <c r="BP1416" s="68"/>
      <c r="BQ1416" s="68"/>
      <c r="BR1416" s="68"/>
      <c r="BS1416" s="68"/>
      <c r="BT1416" s="68"/>
      <c r="BU1416" s="68"/>
      <c r="BV1416" s="68"/>
      <c r="BW1416" s="68"/>
      <c r="BX1416" s="68"/>
      <c r="BY1416" s="68"/>
      <c r="BZ1416" s="68"/>
      <c r="CA1416" s="68"/>
      <c r="CB1416" s="68"/>
      <c r="CC1416" s="68"/>
      <c r="CD1416" s="68"/>
      <c r="CE1416" s="68"/>
      <c r="CF1416" s="68"/>
      <c r="CG1416" s="68"/>
      <c r="CH1416" s="68"/>
      <c r="CI1416" s="68"/>
      <c r="CJ1416" s="68"/>
      <c r="CK1416" s="68"/>
      <c r="CL1416" s="68"/>
      <c r="CM1416" s="68"/>
      <c r="CN1416" s="68"/>
      <c r="CO1416" s="68"/>
      <c r="CP1416" s="68"/>
    </row>
    <row r="1417" ht="15.75" customHeight="1">
      <c r="A1417" s="400" t="s">
        <v>6631</v>
      </c>
      <c r="B1417" s="534"/>
      <c r="C1417" s="849" t="s">
        <v>123</v>
      </c>
      <c r="D1417" s="731" t="s">
        <v>4781</v>
      </c>
      <c r="E1417" s="731" t="s">
        <v>4781</v>
      </c>
      <c r="F1417" s="163" t="s">
        <v>6632</v>
      </c>
      <c r="G1417" s="850" t="s">
        <v>6633</v>
      </c>
      <c r="H1417" s="850" t="s">
        <v>6634</v>
      </c>
      <c r="I1417" s="222" t="s">
        <v>2016</v>
      </c>
      <c r="J1417" s="953" t="s">
        <v>6635</v>
      </c>
      <c r="K1417" s="123" t="s">
        <v>723</v>
      </c>
      <c r="L1417" s="123" t="s">
        <v>723</v>
      </c>
      <c r="M1417" s="25" t="str">
        <f t="shared" si="789"/>
        <v>#VALUE!</v>
      </c>
      <c r="N1417" s="26">
        <f t="shared" si="790"/>
        <v>0</v>
      </c>
      <c r="O1417" s="27" t="str">
        <f t="shared" si="3"/>
        <v>#N/A</v>
      </c>
      <c r="P1417" s="28"/>
      <c r="Q1417" s="28"/>
      <c r="R1417" s="28"/>
      <c r="S1417" s="28"/>
      <c r="T1417" s="28" t="str">
        <f t="shared" si="791"/>
        <v>#VALUE!</v>
      </c>
      <c r="U1417" s="28"/>
      <c r="V1417" s="30">
        <f t="shared" si="425"/>
        <v>0</v>
      </c>
      <c r="W1417" s="30"/>
      <c r="X1417" s="403"/>
      <c r="Y1417" s="33" t="str">
        <f t="shared" si="792"/>
        <v>#DIV/0!</v>
      </c>
      <c r="Z1417" s="692"/>
      <c r="AA1417" s="665"/>
      <c r="AB1417" s="326"/>
      <c r="AC1417" s="326"/>
      <c r="AD1417" s="322"/>
      <c r="AE1417" s="323"/>
      <c r="AF1417" s="868"/>
      <c r="AG1417" s="323"/>
      <c r="AH1417" s="326"/>
      <c r="AI1417" s="327"/>
      <c r="AJ1417" s="322"/>
      <c r="AK1417" s="323"/>
      <c r="AL1417" s="322"/>
      <c r="AM1417" s="323"/>
      <c r="AN1417" s="322"/>
      <c r="AO1417" s="323"/>
      <c r="AP1417" s="322"/>
      <c r="AQ1417" s="323"/>
      <c r="AR1417" s="322"/>
      <c r="AS1417" s="322"/>
      <c r="AT1417" s="322"/>
      <c r="AU1417" s="335"/>
      <c r="AV1417" s="322"/>
      <c r="AW1417" s="38"/>
      <c r="AX1417" s="322"/>
      <c r="AY1417" s="38"/>
      <c r="AZ1417" s="322"/>
      <c r="BA1417" s="335"/>
      <c r="BB1417" s="322"/>
      <c r="BC1417" s="335"/>
      <c r="BD1417" s="322"/>
      <c r="BE1417" s="38"/>
      <c r="BF1417" s="326"/>
      <c r="BG1417" s="68"/>
      <c r="BH1417" s="68"/>
      <c r="BI1417" s="68"/>
      <c r="BJ1417" s="68"/>
      <c r="BK1417" s="68"/>
      <c r="BL1417" s="68"/>
      <c r="BM1417" s="68"/>
      <c r="BN1417" s="68"/>
      <c r="BO1417" s="68"/>
      <c r="BP1417" s="68"/>
      <c r="BQ1417" s="68"/>
      <c r="BR1417" s="68"/>
      <c r="BS1417" s="68"/>
      <c r="BT1417" s="68"/>
      <c r="BU1417" s="68"/>
      <c r="BV1417" s="68"/>
      <c r="BW1417" s="68"/>
      <c r="BX1417" s="68"/>
      <c r="BY1417" s="68"/>
      <c r="BZ1417" s="68"/>
      <c r="CA1417" s="68"/>
      <c r="CB1417" s="68"/>
      <c r="CC1417" s="68"/>
      <c r="CD1417" s="68"/>
      <c r="CE1417" s="68"/>
      <c r="CF1417" s="68"/>
      <c r="CG1417" s="68"/>
      <c r="CH1417" s="68"/>
      <c r="CI1417" s="68"/>
      <c r="CJ1417" s="68"/>
      <c r="CK1417" s="68"/>
      <c r="CL1417" s="68"/>
      <c r="CM1417" s="68"/>
      <c r="CN1417" s="68"/>
      <c r="CO1417" s="68"/>
      <c r="CP1417" s="68"/>
    </row>
    <row r="1418" ht="15.75" customHeight="1">
      <c r="A1418" s="1162" t="s">
        <v>6636</v>
      </c>
      <c r="B1418" s="17"/>
      <c r="C1418" s="17" t="s">
        <v>123</v>
      </c>
      <c r="D1418" s="337"/>
      <c r="E1418" s="18" t="s">
        <v>6637</v>
      </c>
      <c r="F1418" s="20" t="s">
        <v>6638</v>
      </c>
      <c r="G1418" s="317"/>
      <c r="H1418" s="317"/>
      <c r="I1418" s="36"/>
      <c r="J1418" s="237"/>
      <c r="K1418" s="74"/>
      <c r="L1418" s="23">
        <v>2017.0</v>
      </c>
      <c r="M1418" s="25">
        <f t="shared" si="789"/>
        <v>8</v>
      </c>
      <c r="N1418" s="26">
        <f t="shared" si="790"/>
        <v>0</v>
      </c>
      <c r="O1418" s="27" t="str">
        <f t="shared" si="3"/>
        <v>#N/A</v>
      </c>
      <c r="P1418" s="28"/>
      <c r="Q1418" s="28"/>
      <c r="R1418" s="28"/>
      <c r="S1418" s="28"/>
      <c r="T1418" s="29">
        <f t="shared" si="791"/>
        <v>0</v>
      </c>
      <c r="U1418" s="28"/>
      <c r="V1418" s="30">
        <f t="shared" si="425"/>
        <v>0</v>
      </c>
      <c r="W1418" s="30"/>
      <c r="X1418" s="32"/>
      <c r="Y1418" s="33" t="str">
        <f t="shared" si="792"/>
        <v>#DIV/0!</v>
      </c>
      <c r="Z1418" s="692"/>
      <c r="AA1418" s="665"/>
      <c r="AB1418" s="36"/>
      <c r="AC1418" s="36"/>
      <c r="AD1418" s="44"/>
      <c r="AE1418" s="46"/>
      <c r="AF1418" s="39"/>
      <c r="AG1418" s="46"/>
      <c r="AH1418" s="36"/>
      <c r="AI1418" s="159"/>
      <c r="AJ1418" s="44"/>
      <c r="AK1418" s="46"/>
      <c r="AL1418" s="44"/>
      <c r="AM1418" s="46"/>
      <c r="AN1418" s="44"/>
      <c r="AO1418" s="46"/>
      <c r="AP1418" s="44"/>
      <c r="AQ1418" s="46"/>
      <c r="AR1418" s="44"/>
      <c r="AS1418" s="44"/>
      <c r="AT1418" s="44"/>
      <c r="AU1418" s="45"/>
      <c r="AV1418" s="44"/>
      <c r="AW1418" s="38"/>
      <c r="AX1418" s="44"/>
      <c r="AY1418" s="38"/>
      <c r="AZ1418" s="44"/>
      <c r="BA1418" s="45"/>
      <c r="BB1418" s="44"/>
      <c r="BC1418" s="45"/>
      <c r="BD1418" s="44"/>
      <c r="BE1418" s="38"/>
      <c r="BF1418" s="36"/>
      <c r="BG1418" s="115"/>
      <c r="BH1418" s="115"/>
      <c r="BI1418" s="115"/>
      <c r="BJ1418" s="115"/>
      <c r="BK1418" s="115"/>
      <c r="BL1418" s="115"/>
      <c r="BM1418" s="115"/>
      <c r="BN1418" s="115"/>
      <c r="BO1418" s="115"/>
      <c r="BP1418" s="115"/>
      <c r="BQ1418" s="115"/>
      <c r="BR1418" s="115"/>
      <c r="BS1418" s="115"/>
      <c r="BT1418" s="115"/>
      <c r="BU1418" s="115"/>
      <c r="BV1418" s="115"/>
      <c r="BW1418" s="115"/>
      <c r="BX1418" s="115"/>
      <c r="BY1418" s="115"/>
      <c r="BZ1418" s="115"/>
      <c r="CA1418" s="115"/>
      <c r="CB1418" s="115"/>
      <c r="CC1418" s="115"/>
      <c r="CD1418" s="115"/>
      <c r="CE1418" s="115"/>
      <c r="CF1418" s="115"/>
      <c r="CG1418" s="115"/>
      <c r="CH1418" s="115"/>
      <c r="CI1418" s="115"/>
      <c r="CJ1418" s="115"/>
      <c r="CK1418" s="115"/>
      <c r="CL1418" s="115"/>
      <c r="CM1418" s="115"/>
      <c r="CN1418" s="115"/>
      <c r="CO1418" s="115"/>
      <c r="CP1418" s="115"/>
    </row>
    <row r="1419" ht="15.75" customHeight="1">
      <c r="A1419" s="21" t="s">
        <v>6639</v>
      </c>
      <c r="B1419" s="16"/>
      <c r="C1419" s="16" t="s">
        <v>207</v>
      </c>
      <c r="D1419" s="138" t="s">
        <v>6640</v>
      </c>
      <c r="E1419" s="231" t="s">
        <v>6641</v>
      </c>
      <c r="F1419" s="173" t="s">
        <v>6642</v>
      </c>
      <c r="G1419" s="22" t="s">
        <v>6643</v>
      </c>
      <c r="H1419" s="22" t="s">
        <v>328</v>
      </c>
      <c r="I1419" s="464"/>
      <c r="J1419" s="24" t="s">
        <v>6644</v>
      </c>
      <c r="K1419" s="74" t="s">
        <v>723</v>
      </c>
      <c r="L1419" s="23">
        <v>2009.0</v>
      </c>
      <c r="M1419" s="25">
        <f t="shared" si="789"/>
        <v>16</v>
      </c>
      <c r="N1419" s="26">
        <f t="shared" si="790"/>
        <v>0</v>
      </c>
      <c r="O1419" s="27" t="str">
        <f t="shared" si="3"/>
        <v>#N/A</v>
      </c>
      <c r="P1419" s="28"/>
      <c r="Q1419" s="28"/>
      <c r="R1419" s="28"/>
      <c r="S1419" s="28"/>
      <c r="T1419" s="29">
        <f t="shared" si="791"/>
        <v>0</v>
      </c>
      <c r="U1419" s="28"/>
      <c r="V1419" s="30">
        <f t="shared" si="425"/>
        <v>0</v>
      </c>
      <c r="W1419" s="30"/>
      <c r="X1419" s="32"/>
      <c r="Y1419" s="33" t="str">
        <f t="shared" si="792"/>
        <v>#DIV/0!</v>
      </c>
      <c r="Z1419" s="692"/>
      <c r="AA1419" s="665"/>
      <c r="AB1419" s="36"/>
      <c r="AC1419" s="36"/>
      <c r="AD1419" s="44"/>
      <c r="AE1419" s="46"/>
      <c r="AF1419" s="39"/>
      <c r="AG1419" s="46"/>
      <c r="AH1419" s="36"/>
      <c r="AI1419" s="159"/>
      <c r="AJ1419" s="44"/>
      <c r="AK1419" s="46"/>
      <c r="AL1419" s="44"/>
      <c r="AM1419" s="46"/>
      <c r="AN1419" s="44"/>
      <c r="AO1419" s="46"/>
      <c r="AP1419" s="44"/>
      <c r="AQ1419" s="46"/>
      <c r="AR1419" s="44"/>
      <c r="AS1419" s="44"/>
      <c r="AT1419" s="44"/>
      <c r="AU1419" s="45"/>
      <c r="AV1419" s="44"/>
      <c r="AW1419" s="38"/>
      <c r="AX1419" s="44"/>
      <c r="AY1419" s="38"/>
      <c r="AZ1419" s="44"/>
      <c r="BA1419" s="45"/>
      <c r="BB1419" s="44"/>
      <c r="BC1419" s="45"/>
      <c r="BD1419" s="44"/>
      <c r="BE1419" s="38"/>
      <c r="BF1419" s="36"/>
      <c r="BG1419" s="1407"/>
      <c r="BH1419" s="1407"/>
      <c r="BI1419" s="1407"/>
      <c r="BJ1419" s="1407"/>
      <c r="BK1419" s="1407"/>
      <c r="BL1419" s="1407"/>
      <c r="BM1419" s="1407"/>
      <c r="BN1419" s="1407"/>
      <c r="BO1419" s="1407"/>
      <c r="BP1419" s="1407"/>
      <c r="BQ1419" s="1407"/>
      <c r="BR1419" s="1407"/>
      <c r="BS1419" s="1407"/>
      <c r="BT1419" s="1407"/>
      <c r="BU1419" s="1407"/>
      <c r="BV1419" s="1407"/>
      <c r="BW1419" s="1407"/>
      <c r="BX1419" s="1407"/>
      <c r="BY1419" s="1407"/>
      <c r="BZ1419" s="1407"/>
      <c r="CA1419" s="1407"/>
      <c r="CB1419" s="1407"/>
      <c r="CC1419" s="1407"/>
      <c r="CD1419" s="1407"/>
      <c r="CE1419" s="1407"/>
      <c r="CF1419" s="1407"/>
      <c r="CG1419" s="1407"/>
      <c r="CH1419" s="1407"/>
      <c r="CI1419" s="1407"/>
      <c r="CJ1419" s="1407"/>
      <c r="CK1419" s="1407"/>
      <c r="CL1419" s="1407"/>
      <c r="CM1419" s="1407"/>
      <c r="CN1419" s="1407"/>
      <c r="CO1419" s="1407"/>
      <c r="CP1419" s="1407"/>
    </row>
    <row r="1420" ht="15.75" customHeight="1">
      <c r="A1420" s="21" t="s">
        <v>6645</v>
      </c>
      <c r="B1420" s="69"/>
      <c r="C1420" s="69" t="s">
        <v>123</v>
      </c>
      <c r="D1420" s="1634"/>
      <c r="E1420" s="192" t="s">
        <v>6646</v>
      </c>
      <c r="F1420" s="118" t="s">
        <v>6647</v>
      </c>
      <c r="G1420" s="71"/>
      <c r="H1420" s="71"/>
      <c r="I1420" s="26"/>
      <c r="J1420" s="72"/>
      <c r="K1420" s="74"/>
      <c r="L1420" s="44"/>
      <c r="M1420" s="169">
        <f t="shared" si="789"/>
        <v>2025</v>
      </c>
      <c r="N1420" s="26">
        <f t="shared" si="790"/>
        <v>0</v>
      </c>
      <c r="O1420" s="27" t="str">
        <f t="shared" si="3"/>
        <v>#N/A</v>
      </c>
      <c r="P1420" s="28"/>
      <c r="Q1420" s="28"/>
      <c r="R1420" s="28"/>
      <c r="S1420" s="28"/>
      <c r="T1420" s="28">
        <f t="shared" si="791"/>
        <v>0</v>
      </c>
      <c r="U1420" s="28"/>
      <c r="V1420" s="30">
        <f t="shared" si="425"/>
        <v>0</v>
      </c>
      <c r="W1420" s="30"/>
      <c r="X1420" s="32"/>
      <c r="Y1420" s="33" t="str">
        <f t="shared" si="792"/>
        <v>#DIV/0!</v>
      </c>
      <c r="Z1420" s="692"/>
      <c r="AA1420" s="665"/>
      <c r="AB1420" s="74"/>
      <c r="AC1420" s="74"/>
      <c r="AD1420" s="44"/>
      <c r="AE1420" s="46"/>
      <c r="AF1420" s="39"/>
      <c r="AG1420" s="38"/>
      <c r="AH1420" s="919"/>
      <c r="AI1420" s="159"/>
      <c r="AJ1420" s="44"/>
      <c r="AK1420" s="46"/>
      <c r="AL1420" s="44"/>
      <c r="AM1420" s="46"/>
      <c r="AN1420" s="44"/>
      <c r="AO1420" s="46"/>
      <c r="AP1420" s="44"/>
      <c r="AQ1420" s="46"/>
      <c r="AR1420" s="44"/>
      <c r="AS1420" s="44"/>
      <c r="AT1420" s="44"/>
      <c r="AU1420" s="45"/>
      <c r="AV1420" s="44"/>
      <c r="AW1420" s="38"/>
      <c r="AX1420" s="44"/>
      <c r="AY1420" s="38"/>
      <c r="AZ1420" s="44"/>
      <c r="BA1420" s="45"/>
      <c r="BB1420" s="44"/>
      <c r="BC1420" s="45"/>
      <c r="BD1420" s="44"/>
      <c r="BE1420" s="38"/>
      <c r="BF1420" s="36"/>
      <c r="BG1420" s="115"/>
      <c r="BH1420" s="115"/>
      <c r="BI1420" s="115"/>
      <c r="BJ1420" s="115"/>
      <c r="BK1420" s="115"/>
      <c r="BL1420" s="115"/>
      <c r="BM1420" s="115"/>
      <c r="BN1420" s="115"/>
      <c r="BO1420" s="115"/>
      <c r="BP1420" s="115"/>
      <c r="BQ1420" s="115"/>
      <c r="BR1420" s="115"/>
      <c r="BS1420" s="115"/>
      <c r="BT1420" s="115"/>
      <c r="BU1420" s="115"/>
      <c r="BV1420" s="115"/>
      <c r="BW1420" s="115"/>
      <c r="BX1420" s="115"/>
      <c r="BY1420" s="115"/>
      <c r="BZ1420" s="115"/>
      <c r="CA1420" s="115"/>
      <c r="CB1420" s="115"/>
      <c r="CC1420" s="115"/>
      <c r="CD1420" s="115"/>
      <c r="CE1420" s="115"/>
      <c r="CF1420" s="115"/>
      <c r="CG1420" s="115"/>
      <c r="CH1420" s="115"/>
      <c r="CI1420" s="115"/>
      <c r="CJ1420" s="115"/>
      <c r="CK1420" s="115"/>
      <c r="CL1420" s="115"/>
      <c r="CM1420" s="115"/>
      <c r="CN1420" s="115"/>
      <c r="CO1420" s="115"/>
      <c r="CP1420" s="115"/>
    </row>
    <row r="1421" ht="15.75" customHeight="1">
      <c r="A1421" s="21" t="s">
        <v>6648</v>
      </c>
      <c r="B1421" s="69" t="s">
        <v>944</v>
      </c>
      <c r="C1421" s="68" t="s">
        <v>207</v>
      </c>
      <c r="D1421" s="492" t="s">
        <v>6649</v>
      </c>
      <c r="E1421" s="138" t="s">
        <v>6650</v>
      </c>
      <c r="F1421" s="154" t="s">
        <v>6651</v>
      </c>
      <c r="G1421" s="407" t="s">
        <v>6652</v>
      </c>
      <c r="H1421" s="71" t="s">
        <v>6653</v>
      </c>
      <c r="I1421" s="26" t="s">
        <v>6654</v>
      </c>
      <c r="J1421" s="72" t="s">
        <v>6655</v>
      </c>
      <c r="K1421" s="74" t="s">
        <v>723</v>
      </c>
      <c r="L1421" s="44" t="s">
        <v>723</v>
      </c>
      <c r="M1421" s="169" t="str">
        <f t="shared" si="789"/>
        <v>#VALUE!</v>
      </c>
      <c r="N1421" s="26">
        <f t="shared" si="790"/>
        <v>1</v>
      </c>
      <c r="O1421" s="27" t="str">
        <f t="shared" si="3"/>
        <v>#N/A</v>
      </c>
      <c r="P1421" s="28"/>
      <c r="Q1421" s="28"/>
      <c r="R1421" s="28"/>
      <c r="S1421" s="28"/>
      <c r="T1421" s="28" t="str">
        <f t="shared" si="791"/>
        <v>#VALUE!</v>
      </c>
      <c r="U1421" s="28"/>
      <c r="V1421" s="30">
        <f t="shared" si="425"/>
        <v>0</v>
      </c>
      <c r="W1421" s="30"/>
      <c r="X1421" s="32"/>
      <c r="Y1421" s="33" t="str">
        <f t="shared" si="792"/>
        <v>#DIV/0!</v>
      </c>
      <c r="Z1421" s="692"/>
      <c r="AA1421" s="665"/>
      <c r="AB1421" s="74"/>
      <c r="AC1421" s="74"/>
      <c r="AD1421" s="44"/>
      <c r="AE1421" s="46"/>
      <c r="AF1421" s="158" t="str">
        <f>HYPERLINK("https://www.crunchbase.com/funding_round/cre-collaborative-inc-seed--8e1f0934","Jul 10, 2018")</f>
        <v>Jul 10, 2018</v>
      </c>
      <c r="AG1421" s="38">
        <v>0.0</v>
      </c>
      <c r="AH1421" s="919"/>
      <c r="AI1421" s="159"/>
      <c r="AJ1421" s="44"/>
      <c r="AK1421" s="46"/>
      <c r="AL1421" s="44"/>
      <c r="AM1421" s="46"/>
      <c r="AN1421" s="44"/>
      <c r="AO1421" s="46"/>
      <c r="AP1421" s="44"/>
      <c r="AQ1421" s="46"/>
      <c r="AR1421" s="44"/>
      <c r="AS1421" s="44"/>
      <c r="AT1421" s="44"/>
      <c r="AU1421" s="45"/>
      <c r="AV1421" s="44"/>
      <c r="AW1421" s="38"/>
      <c r="AX1421" s="44"/>
      <c r="AY1421" s="38"/>
      <c r="AZ1421" s="44"/>
      <c r="BA1421" s="45"/>
      <c r="BB1421" s="44"/>
      <c r="BC1421" s="45"/>
      <c r="BD1421" s="44"/>
      <c r="BE1421" s="38"/>
      <c r="BF1421" s="36"/>
      <c r="BG1421" s="115"/>
      <c r="BH1421" s="115"/>
      <c r="BI1421" s="115"/>
      <c r="BJ1421" s="115"/>
      <c r="BK1421" s="115"/>
      <c r="BL1421" s="115"/>
      <c r="BM1421" s="115"/>
      <c r="BN1421" s="115"/>
      <c r="BO1421" s="115"/>
      <c r="BP1421" s="115"/>
      <c r="BQ1421" s="115"/>
      <c r="BR1421" s="115"/>
      <c r="BS1421" s="115"/>
      <c r="BT1421" s="115"/>
      <c r="BU1421" s="115"/>
      <c r="BV1421" s="115"/>
      <c r="BW1421" s="115"/>
      <c r="BX1421" s="115"/>
      <c r="BY1421" s="115"/>
      <c r="BZ1421" s="115"/>
      <c r="CA1421" s="115"/>
      <c r="CB1421" s="115"/>
      <c r="CC1421" s="115"/>
      <c r="CD1421" s="115"/>
      <c r="CE1421" s="115"/>
      <c r="CF1421" s="115"/>
      <c r="CG1421" s="115"/>
      <c r="CH1421" s="115"/>
      <c r="CI1421" s="115"/>
      <c r="CJ1421" s="115"/>
      <c r="CK1421" s="115"/>
      <c r="CL1421" s="115"/>
      <c r="CM1421" s="115"/>
      <c r="CN1421" s="115"/>
      <c r="CO1421" s="115"/>
      <c r="CP1421" s="115"/>
    </row>
    <row r="1422" ht="15.75" customHeight="1">
      <c r="A1422" s="48" t="s">
        <v>6656</v>
      </c>
      <c r="B1422" s="116"/>
      <c r="C1422" s="116" t="s">
        <v>123</v>
      </c>
      <c r="D1422" s="47" t="s">
        <v>4781</v>
      </c>
      <c r="E1422" s="161" t="s">
        <v>4781</v>
      </c>
      <c r="F1422" s="386" t="s">
        <v>6657</v>
      </c>
      <c r="G1422" s="286"/>
      <c r="H1422" s="119"/>
      <c r="I1422" s="25"/>
      <c r="J1422" s="287"/>
      <c r="K1422" s="25">
        <v>1.0</v>
      </c>
      <c r="L1422" s="25">
        <v>2018.0</v>
      </c>
      <c r="M1422" s="25">
        <f t="shared" si="789"/>
        <v>7</v>
      </c>
      <c r="N1422" s="26">
        <f t="shared" si="790"/>
        <v>0</v>
      </c>
      <c r="O1422" s="27" t="str">
        <f t="shared" si="3"/>
        <v>#N/A</v>
      </c>
      <c r="P1422" s="28"/>
      <c r="Q1422" s="28"/>
      <c r="R1422" s="28"/>
      <c r="S1422" s="28"/>
      <c r="T1422" s="29">
        <f t="shared" si="791"/>
        <v>0</v>
      </c>
      <c r="U1422" s="28"/>
      <c r="V1422" s="30">
        <f t="shared" si="425"/>
        <v>0</v>
      </c>
      <c r="W1422" s="30"/>
      <c r="X1422" s="597"/>
      <c r="Y1422" s="33" t="str">
        <f t="shared" si="792"/>
        <v>#DIV/0!</v>
      </c>
      <c r="Z1422" s="692"/>
      <c r="AA1422" s="665"/>
      <c r="AB1422" s="123"/>
      <c r="AC1422" s="123"/>
      <c r="AD1422" s="322"/>
      <c r="AE1422" s="323"/>
      <c r="AF1422" s="868"/>
      <c r="AG1422" s="323"/>
      <c r="AH1422" s="1417"/>
      <c r="AI1422" s="327"/>
      <c r="AJ1422" s="322"/>
      <c r="AK1422" s="323"/>
      <c r="AL1422" s="322"/>
      <c r="AM1422" s="323"/>
      <c r="AN1422" s="322"/>
      <c r="AO1422" s="323"/>
      <c r="AP1422" s="322"/>
      <c r="AQ1422" s="323"/>
      <c r="AR1422" s="322"/>
      <c r="AS1422" s="322"/>
      <c r="AT1422" s="322"/>
      <c r="AU1422" s="335"/>
      <c r="AV1422" s="322"/>
      <c r="AW1422" s="38"/>
      <c r="AX1422" s="322"/>
      <c r="AY1422" s="38"/>
      <c r="AZ1422" s="322"/>
      <c r="BA1422" s="335"/>
      <c r="BB1422" s="322"/>
      <c r="BC1422" s="335"/>
      <c r="BD1422" s="322"/>
      <c r="BE1422" s="38"/>
      <c r="BF1422" s="326"/>
      <c r="BG1422" s="113"/>
      <c r="BH1422" s="113"/>
      <c r="BI1422" s="113"/>
      <c r="BJ1422" s="113"/>
      <c r="BK1422" s="113"/>
      <c r="BL1422" s="113"/>
      <c r="BM1422" s="113"/>
      <c r="BN1422" s="113"/>
      <c r="BO1422" s="113"/>
      <c r="BP1422" s="113"/>
      <c r="BQ1422" s="113"/>
      <c r="BR1422" s="113"/>
      <c r="BS1422" s="113"/>
      <c r="BT1422" s="113"/>
      <c r="BU1422" s="113"/>
      <c r="BV1422" s="113"/>
      <c r="BW1422" s="113"/>
      <c r="BX1422" s="113"/>
      <c r="BY1422" s="113"/>
      <c r="BZ1422" s="113"/>
      <c r="CA1422" s="113"/>
      <c r="CB1422" s="113"/>
      <c r="CC1422" s="113"/>
      <c r="CD1422" s="113"/>
      <c r="CE1422" s="113"/>
      <c r="CF1422" s="113"/>
      <c r="CG1422" s="113"/>
      <c r="CH1422" s="113"/>
      <c r="CI1422" s="113"/>
      <c r="CJ1422" s="113"/>
      <c r="CK1422" s="113"/>
      <c r="CL1422" s="113"/>
      <c r="CM1422" s="113"/>
      <c r="CN1422" s="113"/>
      <c r="CO1422" s="113"/>
      <c r="CP1422" s="113"/>
    </row>
    <row r="1423" ht="15.75" customHeight="1">
      <c r="A1423" s="21" t="s">
        <v>6658</v>
      </c>
      <c r="B1423" s="69" t="s">
        <v>6659</v>
      </c>
      <c r="C1423" s="245" t="s">
        <v>4132</v>
      </c>
      <c r="D1423" s="1660"/>
      <c r="E1423" s="138" t="s">
        <v>6660</v>
      </c>
      <c r="F1423" s="154" t="s">
        <v>6661</v>
      </c>
      <c r="G1423" s="71" t="s">
        <v>6662</v>
      </c>
      <c r="H1423" s="71" t="s">
        <v>6663</v>
      </c>
      <c r="I1423" s="72" t="s">
        <v>6664</v>
      </c>
      <c r="J1423" s="273"/>
      <c r="K1423" s="74" t="s">
        <v>723</v>
      </c>
      <c r="L1423" s="44" t="s">
        <v>723</v>
      </c>
      <c r="M1423" s="169" t="str">
        <f t="shared" si="789"/>
        <v>#VALUE!</v>
      </c>
      <c r="N1423" s="26">
        <f t="shared" si="790"/>
        <v>0</v>
      </c>
      <c r="O1423" s="27" t="str">
        <f t="shared" si="3"/>
        <v>#N/A</v>
      </c>
      <c r="P1423" s="28"/>
      <c r="Q1423" s="28"/>
      <c r="R1423" s="28"/>
      <c r="S1423" s="28"/>
      <c r="T1423" s="28" t="str">
        <f t="shared" si="791"/>
        <v>#VALUE!</v>
      </c>
      <c r="U1423" s="28"/>
      <c r="V1423" s="30">
        <f t="shared" si="425"/>
        <v>0</v>
      </c>
      <c r="W1423" s="30"/>
      <c r="X1423" s="32"/>
      <c r="Y1423" s="33" t="str">
        <f t="shared" si="792"/>
        <v>#DIV/0!</v>
      </c>
      <c r="Z1423" s="692"/>
      <c r="AA1423" s="665"/>
      <c r="AB1423" s="74"/>
      <c r="AC1423" s="74"/>
      <c r="AD1423" s="44"/>
      <c r="AE1423" s="46"/>
      <c r="AF1423" s="39"/>
      <c r="AG1423" s="46"/>
      <c r="AH1423" s="919"/>
      <c r="AI1423" s="159"/>
      <c r="AJ1423" s="44"/>
      <c r="AK1423" s="46"/>
      <c r="AL1423" s="44"/>
      <c r="AM1423" s="46"/>
      <c r="AN1423" s="44"/>
      <c r="AO1423" s="46"/>
      <c r="AP1423" s="44"/>
      <c r="AQ1423" s="46"/>
      <c r="AR1423" s="44"/>
      <c r="AS1423" s="44"/>
      <c r="AT1423" s="44"/>
      <c r="AU1423" s="45"/>
      <c r="AV1423" s="44"/>
      <c r="AW1423" s="38"/>
      <c r="AX1423" s="44"/>
      <c r="AY1423" s="38"/>
      <c r="AZ1423" s="44"/>
      <c r="BA1423" s="45"/>
      <c r="BB1423" s="44"/>
      <c r="BC1423" s="45"/>
      <c r="BD1423" s="44"/>
      <c r="BE1423" s="38"/>
      <c r="BF1423" s="36"/>
      <c r="BG1423" s="115"/>
      <c r="BH1423" s="115"/>
      <c r="BI1423" s="115"/>
      <c r="BJ1423" s="115"/>
      <c r="BK1423" s="115"/>
      <c r="BL1423" s="115"/>
      <c r="BM1423" s="115"/>
      <c r="BN1423" s="115"/>
      <c r="BO1423" s="115"/>
      <c r="BP1423" s="115"/>
      <c r="BQ1423" s="115"/>
      <c r="BR1423" s="115"/>
      <c r="BS1423" s="115"/>
      <c r="BT1423" s="115"/>
      <c r="BU1423" s="115"/>
      <c r="BV1423" s="115"/>
      <c r="BW1423" s="115"/>
      <c r="BX1423" s="115"/>
      <c r="BY1423" s="115"/>
      <c r="BZ1423" s="115"/>
      <c r="CA1423" s="115"/>
      <c r="CB1423" s="115"/>
      <c r="CC1423" s="115"/>
      <c r="CD1423" s="115"/>
      <c r="CE1423" s="115"/>
      <c r="CF1423" s="115"/>
      <c r="CG1423" s="115"/>
      <c r="CH1423" s="115"/>
      <c r="CI1423" s="115"/>
      <c r="CJ1423" s="115"/>
      <c r="CK1423" s="115"/>
      <c r="CL1423" s="115"/>
      <c r="CM1423" s="115"/>
      <c r="CN1423" s="115"/>
      <c r="CO1423" s="115"/>
      <c r="CP1423" s="115"/>
    </row>
    <row r="1424" ht="15.75" customHeight="1">
      <c r="A1424" s="1162" t="s">
        <v>6665</v>
      </c>
      <c r="B1424" s="69"/>
      <c r="C1424" s="69" t="s">
        <v>123</v>
      </c>
      <c r="D1424" s="18" t="s">
        <v>6666</v>
      </c>
      <c r="E1424" s="138"/>
      <c r="F1424" s="20" t="s">
        <v>6667</v>
      </c>
      <c r="G1424" s="186"/>
      <c r="H1424" s="71"/>
      <c r="I1424" s="26"/>
      <c r="J1424" s="155"/>
      <c r="K1424" s="26"/>
      <c r="L1424" s="26"/>
      <c r="M1424" s="25">
        <f t="shared" si="789"/>
        <v>2025</v>
      </c>
      <c r="N1424" s="26">
        <f t="shared" si="790"/>
        <v>0</v>
      </c>
      <c r="O1424" s="27" t="str">
        <f t="shared" si="3"/>
        <v>#N/A</v>
      </c>
      <c r="P1424" s="28"/>
      <c r="Q1424" s="28"/>
      <c r="R1424" s="28"/>
      <c r="S1424" s="28"/>
      <c r="T1424" s="29">
        <f t="shared" si="791"/>
        <v>0</v>
      </c>
      <c r="U1424" s="28"/>
      <c r="V1424" s="30">
        <f t="shared" si="425"/>
        <v>0</v>
      </c>
      <c r="W1424" s="30"/>
      <c r="X1424" s="73"/>
      <c r="Y1424" s="33" t="str">
        <f t="shared" si="792"/>
        <v>#DIV/0!</v>
      </c>
      <c r="Z1424" s="692"/>
      <c r="AA1424" s="665"/>
      <c r="AB1424" s="74"/>
      <c r="AC1424" s="74"/>
      <c r="AD1424" s="44"/>
      <c r="AE1424" s="46"/>
      <c r="AF1424" s="39"/>
      <c r="AG1424" s="46"/>
      <c r="AH1424" s="919"/>
      <c r="AI1424" s="159"/>
      <c r="AJ1424" s="44"/>
      <c r="AK1424" s="46"/>
      <c r="AL1424" s="44"/>
      <c r="AM1424" s="46"/>
      <c r="AN1424" s="44"/>
      <c r="AO1424" s="46"/>
      <c r="AP1424" s="44"/>
      <c r="AQ1424" s="46"/>
      <c r="AR1424" s="44"/>
      <c r="AS1424" s="44"/>
      <c r="AT1424" s="44"/>
      <c r="AU1424" s="45"/>
      <c r="AV1424" s="44"/>
      <c r="AW1424" s="38"/>
      <c r="AX1424" s="44"/>
      <c r="AY1424" s="38"/>
      <c r="AZ1424" s="44"/>
      <c r="BA1424" s="45"/>
      <c r="BB1424" s="44"/>
      <c r="BC1424" s="45"/>
      <c r="BD1424" s="44"/>
      <c r="BE1424" s="38"/>
      <c r="BF1424" s="36"/>
      <c r="BG1424" s="115"/>
      <c r="BH1424" s="115"/>
      <c r="BI1424" s="115"/>
      <c r="BJ1424" s="115"/>
      <c r="BK1424" s="115"/>
      <c r="BL1424" s="115"/>
      <c r="BM1424" s="115"/>
      <c r="BN1424" s="115"/>
      <c r="BO1424" s="115"/>
      <c r="BP1424" s="115"/>
      <c r="BQ1424" s="115"/>
      <c r="BR1424" s="115"/>
      <c r="BS1424" s="115"/>
      <c r="BT1424" s="115"/>
      <c r="BU1424" s="115"/>
      <c r="BV1424" s="115"/>
      <c r="BW1424" s="115"/>
      <c r="BX1424" s="115"/>
      <c r="BY1424" s="115"/>
      <c r="BZ1424" s="115"/>
      <c r="CA1424" s="115"/>
      <c r="CB1424" s="115"/>
      <c r="CC1424" s="115"/>
      <c r="CD1424" s="115"/>
      <c r="CE1424" s="115"/>
      <c r="CF1424" s="115"/>
      <c r="CG1424" s="115"/>
      <c r="CH1424" s="115"/>
      <c r="CI1424" s="115"/>
      <c r="CJ1424" s="115"/>
      <c r="CK1424" s="115"/>
      <c r="CL1424" s="115"/>
      <c r="CM1424" s="115"/>
      <c r="CN1424" s="115"/>
      <c r="CO1424" s="115"/>
      <c r="CP1424" s="115"/>
    </row>
    <row r="1425" ht="15.75" customHeight="1">
      <c r="A1425" s="21" t="s">
        <v>6668</v>
      </c>
      <c r="B1425" s="68"/>
      <c r="C1425" s="69" t="s">
        <v>123</v>
      </c>
      <c r="D1425" s="138" t="s">
        <v>6669</v>
      </c>
      <c r="E1425" s="138" t="s">
        <v>6670</v>
      </c>
      <c r="F1425" s="154" t="s">
        <v>6671</v>
      </c>
      <c r="G1425" s="493" t="s">
        <v>6672</v>
      </c>
      <c r="H1425" s="71" t="s">
        <v>6673</v>
      </c>
      <c r="I1425" s="26" t="s">
        <v>65</v>
      </c>
      <c r="J1425" s="26">
        <v>90623.0</v>
      </c>
      <c r="K1425" s="74" t="s">
        <v>723</v>
      </c>
      <c r="L1425" s="26">
        <v>2007.0</v>
      </c>
      <c r="M1425" s="25">
        <f t="shared" si="789"/>
        <v>18</v>
      </c>
      <c r="N1425" s="26">
        <f t="shared" si="790"/>
        <v>0</v>
      </c>
      <c r="O1425" s="27" t="str">
        <f t="shared" si="3"/>
        <v>#N/A</v>
      </c>
      <c r="P1425" s="28"/>
      <c r="Q1425" s="28"/>
      <c r="R1425" s="28"/>
      <c r="S1425" s="28"/>
      <c r="T1425" s="29">
        <f t="shared" si="791"/>
        <v>0</v>
      </c>
      <c r="U1425" s="28"/>
      <c r="V1425" s="30">
        <f t="shared" si="425"/>
        <v>0</v>
      </c>
      <c r="W1425" s="30"/>
      <c r="X1425" s="32"/>
      <c r="Y1425" s="33" t="str">
        <f t="shared" si="792"/>
        <v>#DIV/0!</v>
      </c>
      <c r="Z1425" s="692"/>
      <c r="AA1425" s="665"/>
      <c r="AB1425" s="74"/>
      <c r="AC1425" s="74"/>
      <c r="AD1425" s="44"/>
      <c r="AE1425" s="46"/>
      <c r="AF1425" s="39"/>
      <c r="AG1425" s="46"/>
      <c r="AH1425" s="919"/>
      <c r="AI1425" s="159"/>
      <c r="AJ1425" s="44"/>
      <c r="AK1425" s="46"/>
      <c r="AL1425" s="44"/>
      <c r="AM1425" s="46"/>
      <c r="AN1425" s="44"/>
      <c r="AO1425" s="46"/>
      <c r="AP1425" s="44"/>
      <c r="AQ1425" s="46"/>
      <c r="AR1425" s="44"/>
      <c r="AS1425" s="44"/>
      <c r="AT1425" s="44"/>
      <c r="AU1425" s="45"/>
      <c r="AV1425" s="44"/>
      <c r="AW1425" s="38"/>
      <c r="AX1425" s="44"/>
      <c r="AY1425" s="38"/>
      <c r="AZ1425" s="44"/>
      <c r="BA1425" s="45"/>
      <c r="BB1425" s="44"/>
      <c r="BC1425" s="45"/>
      <c r="BD1425" s="44"/>
      <c r="BE1425" s="38"/>
      <c r="BF1425" s="36"/>
      <c r="BG1425" s="113"/>
      <c r="BH1425" s="113"/>
      <c r="BI1425" s="113"/>
      <c r="BJ1425" s="113"/>
      <c r="BK1425" s="113"/>
      <c r="BL1425" s="113"/>
      <c r="BM1425" s="113"/>
      <c r="BN1425" s="113"/>
      <c r="BO1425" s="113"/>
      <c r="BP1425" s="113"/>
      <c r="BQ1425" s="113"/>
      <c r="BR1425" s="113"/>
      <c r="BS1425" s="113"/>
      <c r="BT1425" s="113"/>
      <c r="BU1425" s="113"/>
      <c r="BV1425" s="113"/>
      <c r="BW1425" s="113"/>
      <c r="BX1425" s="113"/>
      <c r="BY1425" s="113"/>
      <c r="BZ1425" s="113"/>
      <c r="CA1425" s="113"/>
      <c r="CB1425" s="113"/>
      <c r="CC1425" s="113"/>
      <c r="CD1425" s="113"/>
      <c r="CE1425" s="113"/>
      <c r="CF1425" s="113"/>
      <c r="CG1425" s="113"/>
      <c r="CH1425" s="113"/>
      <c r="CI1425" s="113"/>
      <c r="CJ1425" s="113"/>
      <c r="CK1425" s="113"/>
      <c r="CL1425" s="113"/>
      <c r="CM1425" s="113"/>
      <c r="CN1425" s="113"/>
      <c r="CO1425" s="113"/>
      <c r="CP1425" s="113"/>
    </row>
    <row r="1426" ht="15.75" customHeight="1">
      <c r="A1426" s="892" t="s">
        <v>6674</v>
      </c>
      <c r="B1426" s="116"/>
      <c r="C1426" s="116" t="s">
        <v>123</v>
      </c>
      <c r="D1426" s="47" t="s">
        <v>4781</v>
      </c>
      <c r="E1426" s="161" t="s">
        <v>4781</v>
      </c>
      <c r="F1426" s="118" t="s">
        <v>6675</v>
      </c>
      <c r="G1426" s="54" t="s">
        <v>6676</v>
      </c>
      <c r="H1426" s="119" t="s">
        <v>328</v>
      </c>
      <c r="I1426" s="25" t="s">
        <v>329</v>
      </c>
      <c r="J1426" s="120" t="s">
        <v>6677</v>
      </c>
      <c r="K1426" s="25"/>
      <c r="L1426" s="25"/>
      <c r="M1426" s="25">
        <f t="shared" si="789"/>
        <v>2025</v>
      </c>
      <c r="N1426" s="26">
        <f t="shared" si="790"/>
        <v>0</v>
      </c>
      <c r="O1426" s="27" t="str">
        <f t="shared" si="3"/>
        <v>#N/A</v>
      </c>
      <c r="P1426" s="28"/>
      <c r="Q1426" s="28"/>
      <c r="R1426" s="28"/>
      <c r="S1426" s="28"/>
      <c r="T1426" s="29">
        <f t="shared" si="791"/>
        <v>0</v>
      </c>
      <c r="U1426" s="28"/>
      <c r="V1426" s="30">
        <f t="shared" si="425"/>
        <v>0</v>
      </c>
      <c r="W1426" s="30"/>
      <c r="X1426" s="597"/>
      <c r="Y1426" s="33" t="str">
        <f t="shared" si="792"/>
        <v>#DIV/0!</v>
      </c>
      <c r="Z1426" s="692"/>
      <c r="AA1426" s="665"/>
      <c r="AB1426" s="123"/>
      <c r="AC1426" s="123"/>
      <c r="AD1426" s="322"/>
      <c r="AE1426" s="323"/>
      <c r="AF1426" s="868"/>
      <c r="AG1426" s="323"/>
      <c r="AH1426" s="1417"/>
      <c r="AI1426" s="327"/>
      <c r="AJ1426" s="322"/>
      <c r="AK1426" s="323"/>
      <c r="AL1426" s="322"/>
      <c r="AM1426" s="323"/>
      <c r="AN1426" s="322"/>
      <c r="AO1426" s="323"/>
      <c r="AP1426" s="322"/>
      <c r="AQ1426" s="323"/>
      <c r="AR1426" s="322"/>
      <c r="AS1426" s="322"/>
      <c r="AT1426" s="322"/>
      <c r="AU1426" s="335"/>
      <c r="AV1426" s="322"/>
      <c r="AW1426" s="38"/>
      <c r="AX1426" s="322"/>
      <c r="AY1426" s="38"/>
      <c r="AZ1426" s="322"/>
      <c r="BA1426" s="335"/>
      <c r="BB1426" s="322"/>
      <c r="BC1426" s="335"/>
      <c r="BD1426" s="322"/>
      <c r="BE1426" s="38"/>
      <c r="BF1426" s="326"/>
      <c r="BG1426" s="1661"/>
      <c r="BH1426" s="1661"/>
      <c r="BI1426" s="1661"/>
      <c r="BJ1426" s="1661"/>
      <c r="BK1426" s="1661"/>
      <c r="BL1426" s="1661"/>
      <c r="BM1426" s="1661"/>
      <c r="BN1426" s="1661"/>
      <c r="BO1426" s="1661"/>
      <c r="BP1426" s="1661"/>
      <c r="BQ1426" s="1661"/>
      <c r="BR1426" s="1661"/>
      <c r="BS1426" s="1661"/>
      <c r="BT1426" s="1661"/>
      <c r="BU1426" s="1661"/>
      <c r="BV1426" s="1661"/>
      <c r="BW1426" s="1661"/>
      <c r="BX1426" s="1661"/>
      <c r="BY1426" s="1661"/>
      <c r="BZ1426" s="1661"/>
      <c r="CA1426" s="1661"/>
      <c r="CB1426" s="1661"/>
      <c r="CC1426" s="1661"/>
      <c r="CD1426" s="1661"/>
      <c r="CE1426" s="1661"/>
      <c r="CF1426" s="1661"/>
      <c r="CG1426" s="1661"/>
      <c r="CH1426" s="1661"/>
      <c r="CI1426" s="1661"/>
      <c r="CJ1426" s="1661"/>
      <c r="CK1426" s="1661"/>
      <c r="CL1426" s="1661"/>
      <c r="CM1426" s="1661"/>
      <c r="CN1426" s="1661"/>
      <c r="CO1426" s="1661"/>
      <c r="CP1426" s="1661"/>
    </row>
    <row r="1427" ht="15.75" customHeight="1">
      <c r="A1427" s="21" t="s">
        <v>6678</v>
      </c>
      <c r="B1427" s="69" t="s">
        <v>2289</v>
      </c>
      <c r="C1427" s="69" t="s">
        <v>6679</v>
      </c>
      <c r="D1427" s="138" t="s">
        <v>6680</v>
      </c>
      <c r="E1427" s="138" t="s">
        <v>6681</v>
      </c>
      <c r="F1427" s="20" t="s">
        <v>6682</v>
      </c>
      <c r="G1427" s="186"/>
      <c r="H1427" s="71" t="s">
        <v>6683</v>
      </c>
      <c r="I1427" s="26" t="s">
        <v>1384</v>
      </c>
      <c r="J1427" s="155"/>
      <c r="K1427" s="26">
        <v>1.0</v>
      </c>
      <c r="L1427" s="26">
        <v>2010.0</v>
      </c>
      <c r="M1427" s="25">
        <f t="shared" si="789"/>
        <v>15</v>
      </c>
      <c r="N1427" s="26">
        <f t="shared" si="790"/>
        <v>0</v>
      </c>
      <c r="O1427" s="27" t="str">
        <f t="shared" si="3"/>
        <v>#N/A</v>
      </c>
      <c r="P1427" s="28"/>
      <c r="Q1427" s="28"/>
      <c r="R1427" s="28"/>
      <c r="S1427" s="28"/>
      <c r="T1427" s="29">
        <f t="shared" si="791"/>
        <v>0</v>
      </c>
      <c r="U1427" s="28"/>
      <c r="V1427" s="30">
        <f t="shared" si="425"/>
        <v>0</v>
      </c>
      <c r="W1427" s="30"/>
      <c r="X1427" s="73"/>
      <c r="Y1427" s="33" t="str">
        <f t="shared" si="792"/>
        <v>#DIV/0!</v>
      </c>
      <c r="Z1427" s="692"/>
      <c r="AA1427" s="665"/>
      <c r="AB1427" s="74"/>
      <c r="AC1427" s="74"/>
      <c r="AD1427" s="44"/>
      <c r="AE1427" s="46"/>
      <c r="AF1427" s="39"/>
      <c r="AG1427" s="46"/>
      <c r="AH1427" s="919"/>
      <c r="AI1427" s="159"/>
      <c r="AJ1427" s="44"/>
      <c r="AK1427" s="46"/>
      <c r="AL1427" s="44"/>
      <c r="AM1427" s="46"/>
      <c r="AN1427" s="44"/>
      <c r="AO1427" s="46"/>
      <c r="AP1427" s="44"/>
      <c r="AQ1427" s="46"/>
      <c r="AR1427" s="44"/>
      <c r="AS1427" s="44"/>
      <c r="AT1427" s="44"/>
      <c r="AU1427" s="45"/>
      <c r="AV1427" s="44"/>
      <c r="AW1427" s="38"/>
      <c r="AX1427" s="44"/>
      <c r="AY1427" s="38"/>
      <c r="AZ1427" s="44"/>
      <c r="BA1427" s="45"/>
      <c r="BB1427" s="44"/>
      <c r="BC1427" s="45"/>
      <c r="BD1427" s="44"/>
      <c r="BE1427" s="38"/>
      <c r="BF1427" s="36"/>
      <c r="BG1427" s="113"/>
      <c r="BH1427" s="113"/>
      <c r="BI1427" s="113"/>
      <c r="BJ1427" s="113"/>
      <c r="BK1427" s="113"/>
      <c r="BL1427" s="113"/>
      <c r="BM1427" s="113"/>
      <c r="BN1427" s="113"/>
      <c r="BO1427" s="113"/>
      <c r="BP1427" s="113"/>
      <c r="BQ1427" s="113"/>
      <c r="BR1427" s="113"/>
      <c r="BS1427" s="113"/>
      <c r="BT1427" s="113"/>
      <c r="BU1427" s="113"/>
      <c r="BV1427" s="113"/>
      <c r="BW1427" s="113"/>
      <c r="BX1427" s="113"/>
      <c r="BY1427" s="113"/>
      <c r="BZ1427" s="113"/>
      <c r="CA1427" s="113"/>
      <c r="CB1427" s="113"/>
      <c r="CC1427" s="113"/>
      <c r="CD1427" s="113"/>
      <c r="CE1427" s="113"/>
      <c r="CF1427" s="113"/>
      <c r="CG1427" s="113"/>
      <c r="CH1427" s="113"/>
      <c r="CI1427" s="113"/>
      <c r="CJ1427" s="113"/>
      <c r="CK1427" s="113"/>
      <c r="CL1427" s="113"/>
      <c r="CM1427" s="113"/>
      <c r="CN1427" s="113"/>
      <c r="CO1427" s="113"/>
      <c r="CP1427" s="113"/>
    </row>
    <row r="1428" ht="15.75" customHeight="1">
      <c r="A1428" s="21" t="s">
        <v>6684</v>
      </c>
      <c r="B1428" s="69" t="s">
        <v>4081</v>
      </c>
      <c r="C1428" s="68" t="s">
        <v>207</v>
      </c>
      <c r="D1428" s="138" t="s">
        <v>6685</v>
      </c>
      <c r="E1428" s="138" t="s">
        <v>6686</v>
      </c>
      <c r="F1428" s="154" t="s">
        <v>6687</v>
      </c>
      <c r="G1428" s="71" t="s">
        <v>6688</v>
      </c>
      <c r="H1428" s="71" t="s">
        <v>3056</v>
      </c>
      <c r="I1428" s="26" t="s">
        <v>1384</v>
      </c>
      <c r="J1428" s="155"/>
      <c r="K1428" s="26">
        <v>1.0</v>
      </c>
      <c r="L1428" s="26">
        <v>2010.0</v>
      </c>
      <c r="M1428" s="25">
        <f t="shared" si="789"/>
        <v>15</v>
      </c>
      <c r="N1428" s="26">
        <f t="shared" si="790"/>
        <v>0</v>
      </c>
      <c r="O1428" s="27" t="str">
        <f t="shared" si="3"/>
        <v>#N/A</v>
      </c>
      <c r="P1428" s="28"/>
      <c r="Q1428" s="28"/>
      <c r="R1428" s="28"/>
      <c r="S1428" s="28"/>
      <c r="T1428" s="29">
        <f t="shared" si="791"/>
        <v>0</v>
      </c>
      <c r="U1428" s="28"/>
      <c r="V1428" s="30">
        <f t="shared" si="425"/>
        <v>0</v>
      </c>
      <c r="W1428" s="30"/>
      <c r="X1428" s="73"/>
      <c r="Y1428" s="33" t="str">
        <f t="shared" si="792"/>
        <v>#DIV/0!</v>
      </c>
      <c r="Z1428" s="692"/>
      <c r="AA1428" s="665"/>
      <c r="AB1428" s="74"/>
      <c r="AC1428" s="74"/>
      <c r="AD1428" s="44"/>
      <c r="AE1428" s="46"/>
      <c r="AF1428" s="39"/>
      <c r="AG1428" s="46"/>
      <c r="AH1428" s="919"/>
      <c r="AI1428" s="159"/>
      <c r="AJ1428" s="44"/>
      <c r="AK1428" s="46"/>
      <c r="AL1428" s="44"/>
      <c r="AM1428" s="46"/>
      <c r="AN1428" s="44"/>
      <c r="AO1428" s="46"/>
      <c r="AP1428" s="44"/>
      <c r="AQ1428" s="46"/>
      <c r="AR1428" s="44"/>
      <c r="AS1428" s="44"/>
      <c r="AT1428" s="44"/>
      <c r="AU1428" s="45"/>
      <c r="AV1428" s="44"/>
      <c r="AW1428" s="38"/>
      <c r="AX1428" s="44"/>
      <c r="AY1428" s="38"/>
      <c r="AZ1428" s="44"/>
      <c r="BA1428" s="45"/>
      <c r="BB1428" s="44"/>
      <c r="BC1428" s="45"/>
      <c r="BD1428" s="44"/>
      <c r="BE1428" s="38"/>
      <c r="BF1428" s="36"/>
      <c r="BG1428" s="113"/>
      <c r="BH1428" s="113"/>
      <c r="BI1428" s="113"/>
      <c r="BJ1428" s="113"/>
      <c r="BK1428" s="113"/>
      <c r="BL1428" s="113"/>
      <c r="BM1428" s="113"/>
      <c r="BN1428" s="113"/>
      <c r="BO1428" s="113"/>
      <c r="BP1428" s="113"/>
      <c r="BQ1428" s="113"/>
      <c r="BR1428" s="113"/>
      <c r="BS1428" s="113"/>
      <c r="BT1428" s="113"/>
      <c r="BU1428" s="113"/>
      <c r="BV1428" s="113"/>
      <c r="BW1428" s="113"/>
      <c r="BX1428" s="113"/>
      <c r="BY1428" s="113"/>
      <c r="BZ1428" s="113"/>
      <c r="CA1428" s="113"/>
      <c r="CB1428" s="113"/>
      <c r="CC1428" s="113"/>
      <c r="CD1428" s="113"/>
      <c r="CE1428" s="113"/>
      <c r="CF1428" s="113"/>
      <c r="CG1428" s="113"/>
      <c r="CH1428" s="113"/>
      <c r="CI1428" s="113"/>
      <c r="CJ1428" s="113"/>
      <c r="CK1428" s="113"/>
      <c r="CL1428" s="113"/>
      <c r="CM1428" s="113"/>
      <c r="CN1428" s="113"/>
      <c r="CO1428" s="113"/>
      <c r="CP1428" s="113"/>
    </row>
    <row r="1429" ht="15.75" customHeight="1">
      <c r="A1429" s="1162" t="s">
        <v>6689</v>
      </c>
      <c r="B1429" s="69"/>
      <c r="C1429" s="69" t="s">
        <v>755</v>
      </c>
      <c r="D1429" s="385"/>
      <c r="E1429" s="236" t="s">
        <v>6690</v>
      </c>
      <c r="F1429" s="803" t="s">
        <v>6691</v>
      </c>
      <c r="G1429" s="71"/>
      <c r="H1429" s="71" t="s">
        <v>6692</v>
      </c>
      <c r="I1429" s="26" t="s">
        <v>65</v>
      </c>
      <c r="J1429" s="155"/>
      <c r="K1429" s="26"/>
      <c r="L1429" s="26">
        <v>2008.0</v>
      </c>
      <c r="M1429" s="25">
        <f t="shared" si="789"/>
        <v>17</v>
      </c>
      <c r="N1429" s="26">
        <f t="shared" si="790"/>
        <v>0</v>
      </c>
      <c r="O1429" s="27" t="str">
        <f t="shared" si="3"/>
        <v>#N/A</v>
      </c>
      <c r="P1429" s="28"/>
      <c r="Q1429" s="28"/>
      <c r="R1429" s="28"/>
      <c r="S1429" s="28"/>
      <c r="T1429" s="29">
        <f t="shared" si="791"/>
        <v>0</v>
      </c>
      <c r="U1429" s="28"/>
      <c r="V1429" s="30">
        <f t="shared" si="425"/>
        <v>0</v>
      </c>
      <c r="W1429" s="30"/>
      <c r="X1429" s="73"/>
      <c r="Y1429" s="33" t="str">
        <f t="shared" si="792"/>
        <v>#DIV/0!</v>
      </c>
      <c r="Z1429" s="692"/>
      <c r="AA1429" s="665"/>
      <c r="AB1429" s="74"/>
      <c r="AC1429" s="74"/>
      <c r="AD1429" s="44"/>
      <c r="AE1429" s="46"/>
      <c r="AF1429" s="39"/>
      <c r="AG1429" s="46"/>
      <c r="AH1429" s="919"/>
      <c r="AI1429" s="159"/>
      <c r="AJ1429" s="44"/>
      <c r="AK1429" s="46"/>
      <c r="AL1429" s="44"/>
      <c r="AM1429" s="46"/>
      <c r="AN1429" s="44"/>
      <c r="AO1429" s="46"/>
      <c r="AP1429" s="44"/>
      <c r="AQ1429" s="46"/>
      <c r="AR1429" s="44"/>
      <c r="AS1429" s="44"/>
      <c r="AT1429" s="44"/>
      <c r="AU1429" s="45"/>
      <c r="AV1429" s="44"/>
      <c r="AW1429" s="38"/>
      <c r="AX1429" s="44"/>
      <c r="AY1429" s="38"/>
      <c r="AZ1429" s="44"/>
      <c r="BA1429" s="45"/>
      <c r="BB1429" s="44"/>
      <c r="BC1429" s="45"/>
      <c r="BD1429" s="44"/>
      <c r="BE1429" s="38"/>
      <c r="BF1429" s="36"/>
      <c r="BG1429" s="115"/>
      <c r="BH1429" s="115"/>
      <c r="BI1429" s="115"/>
      <c r="BJ1429" s="115"/>
      <c r="BK1429" s="115"/>
      <c r="BL1429" s="115"/>
      <c r="BM1429" s="115"/>
      <c r="BN1429" s="115"/>
      <c r="BO1429" s="115"/>
      <c r="BP1429" s="115"/>
      <c r="BQ1429" s="115"/>
      <c r="BR1429" s="115"/>
      <c r="BS1429" s="115"/>
      <c r="BT1429" s="115"/>
      <c r="BU1429" s="115"/>
      <c r="BV1429" s="115"/>
      <c r="BW1429" s="115"/>
      <c r="BX1429" s="115"/>
      <c r="BY1429" s="115"/>
      <c r="BZ1429" s="115"/>
      <c r="CA1429" s="115"/>
      <c r="CB1429" s="115"/>
      <c r="CC1429" s="115"/>
      <c r="CD1429" s="115"/>
      <c r="CE1429" s="115"/>
      <c r="CF1429" s="115"/>
      <c r="CG1429" s="115"/>
      <c r="CH1429" s="115"/>
      <c r="CI1429" s="115"/>
      <c r="CJ1429" s="115"/>
      <c r="CK1429" s="115"/>
      <c r="CL1429" s="115"/>
      <c r="CM1429" s="115"/>
      <c r="CN1429" s="115"/>
      <c r="CO1429" s="115"/>
      <c r="CP1429" s="115"/>
    </row>
    <row r="1430" ht="15.75" customHeight="1">
      <c r="A1430" s="892" t="s">
        <v>6693</v>
      </c>
      <c r="B1430" s="116"/>
      <c r="C1430" s="116" t="s">
        <v>123</v>
      </c>
      <c r="D1430" s="731" t="s">
        <v>4781</v>
      </c>
      <c r="E1430" s="161" t="s">
        <v>4781</v>
      </c>
      <c r="F1430" s="118" t="s">
        <v>6694</v>
      </c>
      <c r="G1430" s="54" t="s">
        <v>6695</v>
      </c>
      <c r="H1430" s="119" t="s">
        <v>736</v>
      </c>
      <c r="I1430" s="25" t="s">
        <v>639</v>
      </c>
      <c r="J1430" s="287"/>
      <c r="K1430" s="25"/>
      <c r="L1430" s="25">
        <v>2017.0</v>
      </c>
      <c r="M1430" s="25">
        <f t="shared" si="789"/>
        <v>8</v>
      </c>
      <c r="N1430" s="26">
        <f t="shared" si="790"/>
        <v>0</v>
      </c>
      <c r="O1430" s="27" t="str">
        <f t="shared" si="3"/>
        <v>#N/A</v>
      </c>
      <c r="P1430" s="28"/>
      <c r="Q1430" s="28"/>
      <c r="R1430" s="28"/>
      <c r="S1430" s="28"/>
      <c r="T1430" s="29">
        <f t="shared" si="791"/>
        <v>0</v>
      </c>
      <c r="U1430" s="28"/>
      <c r="V1430" s="30">
        <f t="shared" si="425"/>
        <v>0</v>
      </c>
      <c r="W1430" s="30"/>
      <c r="X1430" s="597"/>
      <c r="Y1430" s="33" t="str">
        <f t="shared" si="792"/>
        <v>#DIV/0!</v>
      </c>
      <c r="Z1430" s="692"/>
      <c r="AA1430" s="665"/>
      <c r="AB1430" s="123"/>
      <c r="AC1430" s="123"/>
      <c r="AD1430" s="322"/>
      <c r="AE1430" s="323"/>
      <c r="AF1430" s="868"/>
      <c r="AG1430" s="323"/>
      <c r="AH1430" s="1417"/>
      <c r="AI1430" s="327"/>
      <c r="AJ1430" s="322"/>
      <c r="AK1430" s="323"/>
      <c r="AL1430" s="322"/>
      <c r="AM1430" s="323"/>
      <c r="AN1430" s="322"/>
      <c r="AO1430" s="323"/>
      <c r="AP1430" s="322"/>
      <c r="AQ1430" s="323"/>
      <c r="AR1430" s="322"/>
      <c r="AS1430" s="322"/>
      <c r="AT1430" s="322"/>
      <c r="AU1430" s="335"/>
      <c r="AV1430" s="322"/>
      <c r="AW1430" s="38"/>
      <c r="AX1430" s="322"/>
      <c r="AY1430" s="38"/>
      <c r="AZ1430" s="322"/>
      <c r="BA1430" s="335"/>
      <c r="BB1430" s="322"/>
      <c r="BC1430" s="335"/>
      <c r="BD1430" s="322"/>
      <c r="BE1430" s="38"/>
      <c r="BF1430" s="326"/>
      <c r="BG1430" s="115"/>
      <c r="BH1430" s="115"/>
      <c r="BI1430" s="115"/>
      <c r="BJ1430" s="115"/>
      <c r="BK1430" s="115"/>
      <c r="BL1430" s="115"/>
      <c r="BM1430" s="115"/>
      <c r="BN1430" s="115"/>
      <c r="BO1430" s="115"/>
      <c r="BP1430" s="115"/>
      <c r="BQ1430" s="115"/>
      <c r="BR1430" s="115"/>
      <c r="BS1430" s="115"/>
      <c r="BT1430" s="115"/>
      <c r="BU1430" s="115"/>
      <c r="BV1430" s="115"/>
      <c r="BW1430" s="115"/>
      <c r="BX1430" s="115"/>
      <c r="BY1430" s="115"/>
      <c r="BZ1430" s="115"/>
      <c r="CA1430" s="115"/>
      <c r="CB1430" s="115"/>
      <c r="CC1430" s="115"/>
      <c r="CD1430" s="115"/>
      <c r="CE1430" s="115"/>
      <c r="CF1430" s="115"/>
      <c r="CG1430" s="115"/>
      <c r="CH1430" s="115"/>
      <c r="CI1430" s="115"/>
      <c r="CJ1430" s="115"/>
      <c r="CK1430" s="115"/>
      <c r="CL1430" s="115"/>
      <c r="CM1430" s="115"/>
      <c r="CN1430" s="115"/>
      <c r="CO1430" s="115"/>
      <c r="CP1430" s="115"/>
    </row>
    <row r="1431" ht="15.75" customHeight="1">
      <c r="A1431" s="1162" t="s">
        <v>6696</v>
      </c>
      <c r="B1431" s="69"/>
      <c r="C1431" s="69" t="s">
        <v>123</v>
      </c>
      <c r="D1431" s="236" t="s">
        <v>6697</v>
      </c>
      <c r="E1431" s="236" t="s">
        <v>6698</v>
      </c>
      <c r="F1431" s="20" t="s">
        <v>6699</v>
      </c>
      <c r="G1431" s="71"/>
      <c r="H1431" s="71" t="s">
        <v>129</v>
      </c>
      <c r="I1431" s="26" t="s">
        <v>129</v>
      </c>
      <c r="J1431" s="155"/>
      <c r="K1431" s="26"/>
      <c r="L1431" s="26">
        <v>2013.0</v>
      </c>
      <c r="M1431" s="25">
        <f t="shared" si="789"/>
        <v>12</v>
      </c>
      <c r="N1431" s="26">
        <f t="shared" si="790"/>
        <v>0</v>
      </c>
      <c r="O1431" s="27" t="str">
        <f t="shared" si="3"/>
        <v>#N/A</v>
      </c>
      <c r="P1431" s="28"/>
      <c r="Q1431" s="28"/>
      <c r="R1431" s="28"/>
      <c r="S1431" s="28"/>
      <c r="T1431" s="29">
        <f t="shared" si="791"/>
        <v>0</v>
      </c>
      <c r="U1431" s="28"/>
      <c r="V1431" s="30">
        <f t="shared" si="425"/>
        <v>0</v>
      </c>
      <c r="W1431" s="30"/>
      <c r="X1431" s="73"/>
      <c r="Y1431" s="33" t="str">
        <f t="shared" si="792"/>
        <v>#DIV/0!</v>
      </c>
      <c r="Z1431" s="692"/>
      <c r="AA1431" s="665"/>
      <c r="AB1431" s="74"/>
      <c r="AC1431" s="74"/>
      <c r="AD1431" s="44"/>
      <c r="AE1431" s="46"/>
      <c r="AF1431" s="39"/>
      <c r="AG1431" s="46"/>
      <c r="AH1431" s="919"/>
      <c r="AI1431" s="159"/>
      <c r="AJ1431" s="44"/>
      <c r="AK1431" s="46"/>
      <c r="AL1431" s="44"/>
      <c r="AM1431" s="46"/>
      <c r="AN1431" s="44"/>
      <c r="AO1431" s="46"/>
      <c r="AP1431" s="44"/>
      <c r="AQ1431" s="46"/>
      <c r="AR1431" s="44"/>
      <c r="AS1431" s="44"/>
      <c r="AT1431" s="44"/>
      <c r="AU1431" s="45"/>
      <c r="AV1431" s="44"/>
      <c r="AW1431" s="38"/>
      <c r="AX1431" s="44"/>
      <c r="AY1431" s="38"/>
      <c r="AZ1431" s="44"/>
      <c r="BA1431" s="45"/>
      <c r="BB1431" s="44"/>
      <c r="BC1431" s="45"/>
      <c r="BD1431" s="44"/>
      <c r="BE1431" s="38"/>
      <c r="BF1431" s="36"/>
      <c r="BG1431" s="115"/>
      <c r="BH1431" s="115"/>
      <c r="BI1431" s="115"/>
      <c r="BJ1431" s="115"/>
      <c r="BK1431" s="115"/>
      <c r="BL1431" s="115"/>
      <c r="BM1431" s="115"/>
      <c r="BN1431" s="115"/>
      <c r="BO1431" s="115"/>
      <c r="BP1431" s="115"/>
      <c r="BQ1431" s="115"/>
      <c r="BR1431" s="115"/>
      <c r="BS1431" s="115"/>
      <c r="BT1431" s="115"/>
      <c r="BU1431" s="115"/>
      <c r="BV1431" s="115"/>
      <c r="BW1431" s="115"/>
      <c r="BX1431" s="115"/>
      <c r="BY1431" s="115"/>
      <c r="BZ1431" s="115"/>
      <c r="CA1431" s="115"/>
      <c r="CB1431" s="115"/>
      <c r="CC1431" s="115"/>
      <c r="CD1431" s="115"/>
      <c r="CE1431" s="115"/>
      <c r="CF1431" s="115"/>
      <c r="CG1431" s="115"/>
      <c r="CH1431" s="115"/>
      <c r="CI1431" s="115"/>
      <c r="CJ1431" s="115"/>
      <c r="CK1431" s="115"/>
      <c r="CL1431" s="115"/>
      <c r="CM1431" s="115"/>
      <c r="CN1431" s="115"/>
      <c r="CO1431" s="115"/>
      <c r="CP1431" s="115"/>
    </row>
    <row r="1432" ht="15.75" customHeight="1">
      <c r="A1432" s="21" t="s">
        <v>6700</v>
      </c>
      <c r="B1432" s="68"/>
      <c r="C1432" s="69" t="s">
        <v>123</v>
      </c>
      <c r="D1432" s="337"/>
      <c r="E1432" s="138" t="s">
        <v>6701</v>
      </c>
      <c r="F1432" s="173" t="s">
        <v>6702</v>
      </c>
      <c r="G1432" s="186"/>
      <c r="H1432" s="71" t="s">
        <v>665</v>
      </c>
      <c r="I1432" s="26" t="s">
        <v>5617</v>
      </c>
      <c r="J1432" s="155"/>
      <c r="K1432" s="26">
        <v>1.0</v>
      </c>
      <c r="L1432" s="26">
        <v>2012.0</v>
      </c>
      <c r="M1432" s="25">
        <f t="shared" si="789"/>
        <v>13</v>
      </c>
      <c r="N1432" s="26">
        <f t="shared" si="790"/>
        <v>0</v>
      </c>
      <c r="O1432" s="27" t="str">
        <f t="shared" si="3"/>
        <v>#N/A</v>
      </c>
      <c r="P1432" s="28"/>
      <c r="Q1432" s="28"/>
      <c r="R1432" s="28"/>
      <c r="S1432" s="28"/>
      <c r="T1432" s="29">
        <f t="shared" si="791"/>
        <v>0</v>
      </c>
      <c r="U1432" s="28"/>
      <c r="V1432" s="30">
        <f t="shared" si="425"/>
        <v>0</v>
      </c>
      <c r="W1432" s="30"/>
      <c r="X1432" s="73"/>
      <c r="Y1432" s="33" t="str">
        <f t="shared" si="792"/>
        <v>#DIV/0!</v>
      </c>
      <c r="Z1432" s="692"/>
      <c r="AA1432" s="665"/>
      <c r="AB1432" s="74"/>
      <c r="AC1432" s="74"/>
      <c r="AD1432" s="44"/>
      <c r="AE1432" s="46"/>
      <c r="AF1432" s="39"/>
      <c r="AG1432" s="46"/>
      <c r="AH1432" s="36"/>
      <c r="AI1432" s="159"/>
      <c r="AJ1432" s="44"/>
      <c r="AK1432" s="46"/>
      <c r="AL1432" s="44"/>
      <c r="AM1432" s="46"/>
      <c r="AN1432" s="44"/>
      <c r="AO1432" s="46"/>
      <c r="AP1432" s="44"/>
      <c r="AQ1432" s="46"/>
      <c r="AR1432" s="44"/>
      <c r="AS1432" s="44"/>
      <c r="AT1432" s="44"/>
      <c r="AU1432" s="45"/>
      <c r="AV1432" s="44"/>
      <c r="AW1432" s="38"/>
      <c r="AX1432" s="44"/>
      <c r="AY1432" s="38"/>
      <c r="AZ1432" s="44"/>
      <c r="BA1432" s="45"/>
      <c r="BB1432" s="44"/>
      <c r="BC1432" s="45"/>
      <c r="BD1432" s="44"/>
      <c r="BE1432" s="38"/>
      <c r="BF1432" s="36"/>
      <c r="BG1432" s="115"/>
      <c r="BH1432" s="115"/>
      <c r="BI1432" s="115"/>
      <c r="BJ1432" s="115"/>
      <c r="BK1432" s="115"/>
      <c r="BL1432" s="115"/>
      <c r="BM1432" s="115"/>
      <c r="BN1432" s="115"/>
      <c r="BO1432" s="115"/>
      <c r="BP1432" s="115"/>
      <c r="BQ1432" s="115"/>
      <c r="BR1432" s="115"/>
      <c r="BS1432" s="115"/>
      <c r="BT1432" s="115"/>
      <c r="BU1432" s="115"/>
      <c r="BV1432" s="115"/>
      <c r="BW1432" s="115"/>
      <c r="BX1432" s="115"/>
      <c r="BY1432" s="115"/>
      <c r="BZ1432" s="115"/>
      <c r="CA1432" s="115"/>
      <c r="CB1432" s="115"/>
      <c r="CC1432" s="115"/>
      <c r="CD1432" s="115"/>
      <c r="CE1432" s="115"/>
      <c r="CF1432" s="115"/>
      <c r="CG1432" s="115"/>
      <c r="CH1432" s="115"/>
      <c r="CI1432" s="115"/>
      <c r="CJ1432" s="115"/>
      <c r="CK1432" s="115"/>
      <c r="CL1432" s="115"/>
      <c r="CM1432" s="115"/>
      <c r="CN1432" s="115"/>
      <c r="CO1432" s="115"/>
      <c r="CP1432" s="115"/>
    </row>
    <row r="1433" ht="15.75" customHeight="1">
      <c r="A1433" s="442" t="s">
        <v>6703</v>
      </c>
      <c r="B1433" s="68" t="s">
        <v>1056</v>
      </c>
      <c r="C1433" s="69" t="s">
        <v>123</v>
      </c>
      <c r="D1433" s="184" t="s">
        <v>6704</v>
      </c>
      <c r="E1433" s="184" t="s">
        <v>6705</v>
      </c>
      <c r="F1433" s="185" t="s">
        <v>6706</v>
      </c>
      <c r="G1433" s="186" t="s">
        <v>6707</v>
      </c>
      <c r="H1433" s="186" t="s">
        <v>1616</v>
      </c>
      <c r="I1433" s="74" t="s">
        <v>660</v>
      </c>
      <c r="J1433" s="155" t="s">
        <v>6708</v>
      </c>
      <c r="K1433" s="74">
        <v>3.0</v>
      </c>
      <c r="L1433" s="26">
        <v>2013.0</v>
      </c>
      <c r="M1433" s="25">
        <f t="shared" si="789"/>
        <v>12</v>
      </c>
      <c r="N1433" s="26">
        <f t="shared" si="790"/>
        <v>0</v>
      </c>
      <c r="O1433" s="27" t="str">
        <f t="shared" si="3"/>
        <v>#N/A</v>
      </c>
      <c r="P1433" s="28"/>
      <c r="Q1433" s="28"/>
      <c r="R1433" s="28"/>
      <c r="S1433" s="28"/>
      <c r="T1433" s="29">
        <f t="shared" si="791"/>
        <v>0</v>
      </c>
      <c r="U1433" s="28"/>
      <c r="V1433" s="30">
        <f t="shared" si="425"/>
        <v>0</v>
      </c>
      <c r="W1433" s="30"/>
      <c r="X1433" s="32"/>
      <c r="Y1433" s="33" t="str">
        <f t="shared" si="792"/>
        <v>#DIV/0!</v>
      </c>
      <c r="Z1433" s="692"/>
      <c r="AA1433" s="665"/>
      <c r="AB1433" s="74"/>
      <c r="AC1433" s="74"/>
      <c r="AD1433" s="37"/>
      <c r="AE1433" s="1041"/>
      <c r="AF1433" s="39"/>
      <c r="AG1433" s="1115"/>
      <c r="AH1433" s="36"/>
      <c r="AI1433" s="159"/>
      <c r="AJ1433" s="44"/>
      <c r="AK1433" s="46"/>
      <c r="AL1433" s="44"/>
      <c r="AM1433" s="46"/>
      <c r="AN1433" s="44"/>
      <c r="AO1433" s="46"/>
      <c r="AP1433" s="44"/>
      <c r="AQ1433" s="46"/>
      <c r="AR1433" s="44"/>
      <c r="AS1433" s="44"/>
      <c r="AT1433" s="44"/>
      <c r="AU1433" s="45"/>
      <c r="AV1433" s="44"/>
      <c r="AW1433" s="38"/>
      <c r="AX1433" s="44"/>
      <c r="AY1433" s="38"/>
      <c r="AZ1433" s="44"/>
      <c r="BA1433" s="45"/>
      <c r="BB1433" s="44"/>
      <c r="BC1433" s="45"/>
      <c r="BD1433" s="44"/>
      <c r="BE1433" s="38"/>
      <c r="BF1433" s="36"/>
      <c r="BG1433" s="115"/>
      <c r="BH1433" s="115"/>
      <c r="BI1433" s="115"/>
      <c r="BJ1433" s="115"/>
      <c r="BK1433" s="115"/>
      <c r="BL1433" s="115"/>
      <c r="BM1433" s="115"/>
      <c r="BN1433" s="115"/>
      <c r="BO1433" s="115"/>
      <c r="BP1433" s="115"/>
      <c r="BQ1433" s="115"/>
      <c r="BR1433" s="115"/>
      <c r="BS1433" s="115"/>
      <c r="BT1433" s="115"/>
      <c r="BU1433" s="115"/>
      <c r="BV1433" s="115"/>
      <c r="BW1433" s="115"/>
      <c r="BX1433" s="115"/>
      <c r="BY1433" s="115"/>
      <c r="BZ1433" s="115"/>
      <c r="CA1433" s="115"/>
      <c r="CB1433" s="115"/>
      <c r="CC1433" s="115"/>
      <c r="CD1433" s="115"/>
      <c r="CE1433" s="115"/>
      <c r="CF1433" s="115"/>
      <c r="CG1433" s="115"/>
      <c r="CH1433" s="115"/>
      <c r="CI1433" s="115"/>
      <c r="CJ1433" s="115"/>
      <c r="CK1433" s="115"/>
      <c r="CL1433" s="115"/>
      <c r="CM1433" s="115"/>
      <c r="CN1433" s="115"/>
      <c r="CO1433" s="115"/>
      <c r="CP1433" s="115"/>
    </row>
    <row r="1434" ht="15.75" customHeight="1">
      <c r="A1434" s="245" t="s">
        <v>6709</v>
      </c>
      <c r="B1434" s="68"/>
      <c r="C1434" s="69" t="s">
        <v>123</v>
      </c>
      <c r="D1434" s="236" t="s">
        <v>6710</v>
      </c>
      <c r="E1434" s="385"/>
      <c r="F1434" s="803" t="s">
        <v>6711</v>
      </c>
      <c r="G1434" s="186"/>
      <c r="H1434" s="71"/>
      <c r="I1434" s="26"/>
      <c r="J1434" s="155"/>
      <c r="K1434" s="26"/>
      <c r="L1434" s="26"/>
      <c r="M1434" s="25">
        <f t="shared" si="789"/>
        <v>2025</v>
      </c>
      <c r="N1434" s="26">
        <f t="shared" si="790"/>
        <v>0</v>
      </c>
      <c r="O1434" s="27" t="str">
        <f t="shared" si="3"/>
        <v>#N/A</v>
      </c>
      <c r="P1434" s="28"/>
      <c r="Q1434" s="28"/>
      <c r="R1434" s="28"/>
      <c r="S1434" s="28"/>
      <c r="T1434" s="29">
        <f t="shared" si="791"/>
        <v>0</v>
      </c>
      <c r="U1434" s="28"/>
      <c r="V1434" s="30">
        <f t="shared" si="425"/>
        <v>0</v>
      </c>
      <c r="W1434" s="30"/>
      <c r="X1434" s="73"/>
      <c r="Y1434" s="33" t="str">
        <f t="shared" si="792"/>
        <v>#DIV/0!</v>
      </c>
      <c r="Z1434" s="692"/>
      <c r="AA1434" s="665"/>
      <c r="AB1434" s="74"/>
      <c r="AC1434" s="74"/>
      <c r="AD1434" s="44"/>
      <c r="AE1434" s="46"/>
      <c r="AF1434" s="39"/>
      <c r="AG1434" s="46"/>
      <c r="AH1434" s="36"/>
      <c r="AI1434" s="159"/>
      <c r="AJ1434" s="44"/>
      <c r="AK1434" s="46"/>
      <c r="AL1434" s="44"/>
      <c r="AM1434" s="46"/>
      <c r="AN1434" s="44"/>
      <c r="AO1434" s="46"/>
      <c r="AP1434" s="44"/>
      <c r="AQ1434" s="46"/>
      <c r="AR1434" s="44"/>
      <c r="AS1434" s="44"/>
      <c r="AT1434" s="44"/>
      <c r="AU1434" s="45"/>
      <c r="AV1434" s="44"/>
      <c r="AW1434" s="38"/>
      <c r="AX1434" s="44"/>
      <c r="AY1434" s="38"/>
      <c r="AZ1434" s="44"/>
      <c r="BA1434" s="45"/>
      <c r="BB1434" s="44"/>
      <c r="BC1434" s="45"/>
      <c r="BD1434" s="44"/>
      <c r="BE1434" s="38"/>
      <c r="BF1434" s="36"/>
      <c r="BG1434" s="68"/>
      <c r="BH1434" s="68"/>
      <c r="BI1434" s="68"/>
      <c r="BJ1434" s="68"/>
      <c r="BK1434" s="68"/>
      <c r="BL1434" s="68"/>
      <c r="BM1434" s="68"/>
      <c r="BN1434" s="68"/>
      <c r="BO1434" s="68"/>
      <c r="BP1434" s="68"/>
      <c r="BQ1434" s="68"/>
      <c r="BR1434" s="68"/>
      <c r="BS1434" s="68"/>
      <c r="BT1434" s="68"/>
      <c r="BU1434" s="68"/>
      <c r="BV1434" s="68"/>
      <c r="BW1434" s="68"/>
      <c r="BX1434" s="68"/>
      <c r="BY1434" s="68"/>
      <c r="BZ1434" s="68"/>
      <c r="CA1434" s="68"/>
      <c r="CB1434" s="68"/>
      <c r="CC1434" s="68"/>
      <c r="CD1434" s="68"/>
      <c r="CE1434" s="68"/>
      <c r="CF1434" s="68"/>
      <c r="CG1434" s="68"/>
      <c r="CH1434" s="68"/>
      <c r="CI1434" s="68"/>
      <c r="CJ1434" s="68"/>
      <c r="CK1434" s="68"/>
      <c r="CL1434" s="68"/>
      <c r="CM1434" s="68"/>
      <c r="CN1434" s="68"/>
      <c r="CO1434" s="68"/>
      <c r="CP1434" s="68"/>
    </row>
    <row r="1435" ht="15.75" customHeight="1">
      <c r="A1435" s="1162" t="s">
        <v>6712</v>
      </c>
      <c r="B1435" s="68"/>
      <c r="C1435" s="69" t="s">
        <v>123</v>
      </c>
      <c r="D1435" s="236" t="s">
        <v>6713</v>
      </c>
      <c r="E1435" s="236" t="s">
        <v>6714</v>
      </c>
      <c r="F1435" s="20" t="s">
        <v>6715</v>
      </c>
      <c r="G1435" s="186"/>
      <c r="H1435" s="186"/>
      <c r="I1435" s="74"/>
      <c r="J1435" s="155"/>
      <c r="K1435" s="74"/>
      <c r="L1435" s="26"/>
      <c r="M1435" s="25">
        <f t="shared" si="789"/>
        <v>2025</v>
      </c>
      <c r="N1435" s="26">
        <f t="shared" si="790"/>
        <v>0</v>
      </c>
      <c r="O1435" s="27" t="str">
        <f t="shared" si="3"/>
        <v>#N/A</v>
      </c>
      <c r="P1435" s="28"/>
      <c r="Q1435" s="28"/>
      <c r="R1435" s="28"/>
      <c r="S1435" s="28"/>
      <c r="T1435" s="29">
        <f t="shared" si="791"/>
        <v>0</v>
      </c>
      <c r="U1435" s="28"/>
      <c r="V1435" s="30">
        <f t="shared" si="425"/>
        <v>0</v>
      </c>
      <c r="W1435" s="30"/>
      <c r="X1435" s="32"/>
      <c r="Y1435" s="33" t="str">
        <f t="shared" si="792"/>
        <v>#DIV/0!</v>
      </c>
      <c r="Z1435" s="692"/>
      <c r="AA1435" s="665"/>
      <c r="AB1435" s="74"/>
      <c r="AC1435" s="74"/>
      <c r="AD1435" s="44"/>
      <c r="AE1435" s="46"/>
      <c r="AF1435" s="39"/>
      <c r="AG1435" s="46"/>
      <c r="AH1435" s="36"/>
      <c r="AI1435" s="159"/>
      <c r="AJ1435" s="44"/>
      <c r="AK1435" s="46"/>
      <c r="AL1435" s="44"/>
      <c r="AM1435" s="46"/>
      <c r="AN1435" s="44"/>
      <c r="AO1435" s="38"/>
      <c r="AP1435" s="44"/>
      <c r="AQ1435" s="46"/>
      <c r="AR1435" s="44"/>
      <c r="AS1435" s="44"/>
      <c r="AT1435" s="44"/>
      <c r="AU1435" s="45"/>
      <c r="AV1435" s="44"/>
      <c r="AW1435" s="38"/>
      <c r="AX1435" s="44"/>
      <c r="AY1435" s="38"/>
      <c r="AZ1435" s="44"/>
      <c r="BA1435" s="45"/>
      <c r="BB1435" s="44"/>
      <c r="BC1435" s="45"/>
      <c r="BD1435" s="44"/>
      <c r="BE1435" s="38"/>
      <c r="BF1435" s="36"/>
      <c r="BG1435" s="1662"/>
      <c r="BH1435" s="1662"/>
      <c r="BI1435" s="1662"/>
      <c r="BJ1435" s="1662"/>
      <c r="BK1435" s="1662"/>
      <c r="BL1435" s="1662"/>
      <c r="BM1435" s="1662"/>
      <c r="BN1435" s="1662"/>
      <c r="BO1435" s="1662"/>
      <c r="BP1435" s="1662"/>
      <c r="BQ1435" s="1662"/>
      <c r="BR1435" s="1662"/>
      <c r="BS1435" s="1662"/>
      <c r="BT1435" s="1662"/>
      <c r="BU1435" s="1662"/>
      <c r="BV1435" s="1662"/>
      <c r="BW1435" s="1662"/>
      <c r="BX1435" s="1662"/>
      <c r="BY1435" s="1662"/>
      <c r="BZ1435" s="1662"/>
      <c r="CA1435" s="1662"/>
      <c r="CB1435" s="1662"/>
      <c r="CC1435" s="1662"/>
      <c r="CD1435" s="1662"/>
      <c r="CE1435" s="1662"/>
      <c r="CF1435" s="1662"/>
      <c r="CG1435" s="1662"/>
      <c r="CH1435" s="1662"/>
      <c r="CI1435" s="1662"/>
      <c r="CJ1435" s="1662"/>
      <c r="CK1435" s="1662"/>
      <c r="CL1435" s="1662"/>
      <c r="CM1435" s="1662"/>
      <c r="CN1435" s="1662"/>
      <c r="CO1435" s="1662"/>
      <c r="CP1435" s="1662"/>
    </row>
    <row r="1436" ht="15.75" customHeight="1">
      <c r="A1436" s="1162" t="s">
        <v>6716</v>
      </c>
      <c r="B1436" s="68"/>
      <c r="C1436" s="69" t="s">
        <v>123</v>
      </c>
      <c r="D1436" s="138"/>
      <c r="E1436" s="236" t="s">
        <v>6717</v>
      </c>
      <c r="F1436" s="20" t="s">
        <v>6718</v>
      </c>
      <c r="G1436" s="861"/>
      <c r="H1436" s="71" t="s">
        <v>6719</v>
      </c>
      <c r="I1436" s="26" t="s">
        <v>257</v>
      </c>
      <c r="J1436" s="72"/>
      <c r="K1436" s="26"/>
      <c r="L1436" s="26">
        <v>2018.0</v>
      </c>
      <c r="M1436" s="25">
        <f t="shared" si="789"/>
        <v>7</v>
      </c>
      <c r="N1436" s="26">
        <f t="shared" si="790"/>
        <v>0</v>
      </c>
      <c r="O1436" s="27" t="str">
        <f t="shared" si="3"/>
        <v>#N/A</v>
      </c>
      <c r="P1436" s="28"/>
      <c r="Q1436" s="28"/>
      <c r="R1436" s="28"/>
      <c r="S1436" s="28"/>
      <c r="T1436" s="29">
        <f t="shared" si="791"/>
        <v>0</v>
      </c>
      <c r="U1436" s="28"/>
      <c r="V1436" s="30">
        <f t="shared" si="425"/>
        <v>0</v>
      </c>
      <c r="W1436" s="30"/>
      <c r="X1436" s="73"/>
      <c r="Y1436" s="33" t="str">
        <f t="shared" si="792"/>
        <v>#DIV/0!</v>
      </c>
      <c r="Z1436" s="692"/>
      <c r="AA1436" s="665"/>
      <c r="AB1436" s="74"/>
      <c r="AC1436" s="74"/>
      <c r="AD1436" s="44"/>
      <c r="AE1436" s="46"/>
      <c r="AF1436" s="39"/>
      <c r="AG1436" s="38"/>
      <c r="AH1436" s="36"/>
      <c r="AI1436" s="159"/>
      <c r="AJ1436" s="898"/>
      <c r="AK1436" s="715"/>
      <c r="AL1436" s="44"/>
      <c r="AM1436" s="46"/>
      <c r="AN1436" s="44"/>
      <c r="AO1436" s="46"/>
      <c r="AP1436" s="44"/>
      <c r="AQ1436" s="46"/>
      <c r="AR1436" s="44"/>
      <c r="AS1436" s="44"/>
      <c r="AT1436" s="44"/>
      <c r="AU1436" s="45"/>
      <c r="AV1436" s="44"/>
      <c r="AW1436" s="38"/>
      <c r="AX1436" s="44"/>
      <c r="AY1436" s="38"/>
      <c r="AZ1436" s="44"/>
      <c r="BA1436" s="45"/>
      <c r="BB1436" s="44"/>
      <c r="BC1436" s="45"/>
      <c r="BD1436" s="44"/>
      <c r="BE1436" s="38"/>
      <c r="BF1436" s="36"/>
      <c r="BG1436" s="68"/>
      <c r="BH1436" s="68"/>
      <c r="BI1436" s="68"/>
      <c r="BJ1436" s="68"/>
      <c r="BK1436" s="68"/>
      <c r="BL1436" s="68"/>
      <c r="BM1436" s="68"/>
      <c r="BN1436" s="68"/>
      <c r="BO1436" s="68"/>
      <c r="BP1436" s="68"/>
      <c r="BQ1436" s="68"/>
      <c r="BR1436" s="68"/>
      <c r="BS1436" s="68"/>
      <c r="BT1436" s="68"/>
      <c r="BU1436" s="68"/>
      <c r="BV1436" s="68"/>
      <c r="BW1436" s="68"/>
      <c r="BX1436" s="68"/>
      <c r="BY1436" s="68"/>
      <c r="BZ1436" s="68"/>
      <c r="CA1436" s="68"/>
      <c r="CB1436" s="68"/>
      <c r="CC1436" s="68"/>
      <c r="CD1436" s="68"/>
      <c r="CE1436" s="68"/>
      <c r="CF1436" s="68"/>
      <c r="CG1436" s="68"/>
      <c r="CH1436" s="68"/>
      <c r="CI1436" s="68"/>
      <c r="CJ1436" s="68"/>
      <c r="CK1436" s="68"/>
      <c r="CL1436" s="68"/>
      <c r="CM1436" s="68"/>
      <c r="CN1436" s="68"/>
      <c r="CO1436" s="68"/>
      <c r="CP1436" s="68"/>
    </row>
    <row r="1437" ht="15.75" customHeight="1">
      <c r="A1437" s="21" t="s">
        <v>6720</v>
      </c>
      <c r="B1437" s="68"/>
      <c r="C1437" s="69" t="s">
        <v>123</v>
      </c>
      <c r="D1437" s="138"/>
      <c r="E1437" s="236" t="s">
        <v>6041</v>
      </c>
      <c r="F1437" s="173" t="s">
        <v>6721</v>
      </c>
      <c r="G1437" s="71" t="s">
        <v>6722</v>
      </c>
      <c r="H1437" s="71" t="s">
        <v>6723</v>
      </c>
      <c r="I1437" s="26" t="s">
        <v>1088</v>
      </c>
      <c r="J1437" s="72" t="s">
        <v>6724</v>
      </c>
      <c r="K1437" s="74" t="s">
        <v>723</v>
      </c>
      <c r="L1437" s="26">
        <v>2017.0</v>
      </c>
      <c r="M1437" s="25">
        <f t="shared" si="789"/>
        <v>8</v>
      </c>
      <c r="N1437" s="26">
        <f t="shared" si="790"/>
        <v>0</v>
      </c>
      <c r="O1437" s="27" t="str">
        <f t="shared" si="3"/>
        <v>#N/A</v>
      </c>
      <c r="P1437" s="28"/>
      <c r="Q1437" s="28"/>
      <c r="R1437" s="28"/>
      <c r="S1437" s="28"/>
      <c r="T1437" s="29">
        <f t="shared" si="791"/>
        <v>0</v>
      </c>
      <c r="U1437" s="28"/>
      <c r="V1437" s="30">
        <f t="shared" si="425"/>
        <v>0</v>
      </c>
      <c r="W1437" s="30"/>
      <c r="X1437" s="32"/>
      <c r="Y1437" s="33" t="str">
        <f t="shared" si="792"/>
        <v>#DIV/0!</v>
      </c>
      <c r="Z1437" s="692"/>
      <c r="AA1437" s="665"/>
      <c r="AB1437" s="74"/>
      <c r="AC1437" s="74"/>
      <c r="AD1437" s="44"/>
      <c r="AE1437" s="46"/>
      <c r="AF1437" s="39"/>
      <c r="AG1437" s="46"/>
      <c r="AH1437" s="36"/>
      <c r="AI1437" s="41"/>
      <c r="AJ1437" s="44"/>
      <c r="AK1437" s="46"/>
      <c r="AL1437" s="44"/>
      <c r="AM1437" s="46"/>
      <c r="AN1437" s="44"/>
      <c r="AO1437" s="46"/>
      <c r="AP1437" s="44"/>
      <c r="AQ1437" s="46"/>
      <c r="AR1437" s="44"/>
      <c r="AS1437" s="44"/>
      <c r="AT1437" s="44"/>
      <c r="AU1437" s="45"/>
      <c r="AV1437" s="44"/>
      <c r="AW1437" s="38"/>
      <c r="AX1437" s="44"/>
      <c r="AY1437" s="38"/>
      <c r="AZ1437" s="44"/>
      <c r="BA1437" s="45"/>
      <c r="BB1437" s="44"/>
      <c r="BC1437" s="45"/>
      <c r="BD1437" s="44"/>
      <c r="BE1437" s="38"/>
      <c r="BF1437" s="36"/>
      <c r="BG1437" s="723"/>
      <c r="BH1437" s="723"/>
      <c r="BI1437" s="723"/>
      <c r="BJ1437" s="723"/>
      <c r="BK1437" s="723"/>
      <c r="BL1437" s="723"/>
      <c r="BM1437" s="723"/>
      <c r="BN1437" s="723"/>
      <c r="BO1437" s="723"/>
      <c r="BP1437" s="723"/>
      <c r="BQ1437" s="723"/>
      <c r="BR1437" s="723"/>
      <c r="BS1437" s="723"/>
      <c r="BT1437" s="723"/>
      <c r="BU1437" s="723"/>
      <c r="BV1437" s="723"/>
      <c r="BW1437" s="723"/>
      <c r="BX1437" s="723"/>
      <c r="BY1437" s="723"/>
      <c r="BZ1437" s="723"/>
      <c r="CA1437" s="723"/>
      <c r="CB1437" s="723"/>
      <c r="CC1437" s="723"/>
      <c r="CD1437" s="723"/>
      <c r="CE1437" s="723"/>
      <c r="CF1437" s="723"/>
      <c r="CG1437" s="723"/>
      <c r="CH1437" s="723"/>
      <c r="CI1437" s="723"/>
      <c r="CJ1437" s="723"/>
      <c r="CK1437" s="723"/>
      <c r="CL1437" s="723"/>
      <c r="CM1437" s="723"/>
      <c r="CN1437" s="723"/>
      <c r="CO1437" s="723"/>
      <c r="CP1437" s="723"/>
    </row>
    <row r="1438" ht="15.75" customHeight="1">
      <c r="A1438" s="21" t="s">
        <v>6725</v>
      </c>
      <c r="B1438" s="69" t="s">
        <v>6726</v>
      </c>
      <c r="C1438" s="69" t="s">
        <v>123</v>
      </c>
      <c r="D1438" s="492" t="s">
        <v>6727</v>
      </c>
      <c r="E1438" s="200" t="s">
        <v>6728</v>
      </c>
      <c r="F1438" s="154" t="s">
        <v>6729</v>
      </c>
      <c r="G1438" s="140" t="s">
        <v>6730</v>
      </c>
      <c r="H1438" s="186"/>
      <c r="I1438" s="74"/>
      <c r="J1438" s="72" t="s">
        <v>6731</v>
      </c>
      <c r="K1438" s="74" t="s">
        <v>723</v>
      </c>
      <c r="L1438" s="26">
        <v>2014.0</v>
      </c>
      <c r="M1438" s="25">
        <f t="shared" si="789"/>
        <v>11</v>
      </c>
      <c r="N1438" s="26">
        <f t="shared" si="790"/>
        <v>0</v>
      </c>
      <c r="O1438" s="27" t="str">
        <f t="shared" si="3"/>
        <v>#N/A</v>
      </c>
      <c r="P1438" s="28"/>
      <c r="Q1438" s="28"/>
      <c r="R1438" s="28"/>
      <c r="S1438" s="28"/>
      <c r="T1438" s="29">
        <f t="shared" si="791"/>
        <v>0</v>
      </c>
      <c r="U1438" s="28"/>
      <c r="V1438" s="30">
        <f t="shared" si="425"/>
        <v>0</v>
      </c>
      <c r="W1438" s="30"/>
      <c r="X1438" s="32"/>
      <c r="Y1438" s="33" t="str">
        <f t="shared" si="792"/>
        <v>#DIV/0!</v>
      </c>
      <c r="Z1438" s="692"/>
      <c r="AA1438" s="665"/>
      <c r="AB1438" s="74"/>
      <c r="AC1438" s="74"/>
      <c r="AD1438" s="44"/>
      <c r="AE1438" s="46"/>
      <c r="AF1438" s="39"/>
      <c r="AG1438" s="46"/>
      <c r="AH1438" s="36"/>
      <c r="AI1438" s="159"/>
      <c r="AJ1438" s="44"/>
      <c r="AK1438" s="46"/>
      <c r="AL1438" s="44"/>
      <c r="AM1438" s="46"/>
      <c r="AN1438" s="44"/>
      <c r="AO1438" s="46"/>
      <c r="AP1438" s="44"/>
      <c r="AQ1438" s="46"/>
      <c r="AR1438" s="44"/>
      <c r="AS1438" s="44"/>
      <c r="AT1438" s="44"/>
      <c r="AU1438" s="45"/>
      <c r="AV1438" s="44"/>
      <c r="AW1438" s="38"/>
      <c r="AX1438" s="44"/>
      <c r="AY1438" s="38"/>
      <c r="AZ1438" s="44"/>
      <c r="BA1438" s="45"/>
      <c r="BB1438" s="44"/>
      <c r="BC1438" s="45"/>
      <c r="BD1438" s="44"/>
      <c r="BE1438" s="38"/>
      <c r="BF1438" s="36"/>
      <c r="BG1438" s="68"/>
      <c r="BH1438" s="68"/>
      <c r="BI1438" s="68"/>
      <c r="BJ1438" s="68"/>
      <c r="BK1438" s="68"/>
      <c r="BL1438" s="68"/>
      <c r="BM1438" s="68"/>
      <c r="BN1438" s="68"/>
      <c r="BO1438" s="68"/>
      <c r="BP1438" s="68"/>
      <c r="BQ1438" s="68"/>
      <c r="BR1438" s="68"/>
      <c r="BS1438" s="68"/>
      <c r="BT1438" s="68"/>
      <c r="BU1438" s="68"/>
      <c r="BV1438" s="68"/>
      <c r="BW1438" s="68"/>
      <c r="BX1438" s="68"/>
      <c r="BY1438" s="68"/>
      <c r="BZ1438" s="68"/>
      <c r="CA1438" s="68"/>
      <c r="CB1438" s="68"/>
      <c r="CC1438" s="68"/>
      <c r="CD1438" s="68"/>
      <c r="CE1438" s="68"/>
      <c r="CF1438" s="68"/>
      <c r="CG1438" s="68"/>
      <c r="CH1438" s="68"/>
      <c r="CI1438" s="68"/>
      <c r="CJ1438" s="68"/>
      <c r="CK1438" s="68"/>
      <c r="CL1438" s="68"/>
      <c r="CM1438" s="68"/>
      <c r="CN1438" s="68"/>
      <c r="CO1438" s="68"/>
      <c r="CP1438" s="68"/>
    </row>
    <row r="1439" ht="15.75" customHeight="1">
      <c r="A1439" s="892" t="s">
        <v>6732</v>
      </c>
      <c r="B1439" s="68"/>
      <c r="C1439" s="69" t="s">
        <v>123</v>
      </c>
      <c r="D1439" s="184"/>
      <c r="E1439" s="957" t="s">
        <v>6733</v>
      </c>
      <c r="F1439" s="386" t="s">
        <v>6734</v>
      </c>
      <c r="G1439" s="186"/>
      <c r="H1439" s="71" t="s">
        <v>6735</v>
      </c>
      <c r="I1439" s="26" t="s">
        <v>4984</v>
      </c>
      <c r="J1439" s="72"/>
      <c r="K1439" s="26"/>
      <c r="L1439" s="26">
        <v>2004.0</v>
      </c>
      <c r="M1439" s="25">
        <f t="shared" si="789"/>
        <v>21</v>
      </c>
      <c r="N1439" s="26">
        <f t="shared" si="790"/>
        <v>0</v>
      </c>
      <c r="O1439" s="27" t="str">
        <f t="shared" si="3"/>
        <v>#N/A</v>
      </c>
      <c r="P1439" s="28"/>
      <c r="Q1439" s="28"/>
      <c r="R1439" s="28"/>
      <c r="S1439" s="28"/>
      <c r="T1439" s="29">
        <f t="shared" si="791"/>
        <v>0</v>
      </c>
      <c r="U1439" s="28"/>
      <c r="V1439" s="30">
        <f t="shared" si="425"/>
        <v>0</v>
      </c>
      <c r="W1439" s="30"/>
      <c r="X1439" s="73"/>
      <c r="Y1439" s="33" t="str">
        <f t="shared" si="792"/>
        <v>#DIV/0!</v>
      </c>
      <c r="Z1439" s="692"/>
      <c r="AA1439" s="665"/>
      <c r="AB1439" s="74"/>
      <c r="AC1439" s="74"/>
      <c r="AD1439" s="1178"/>
      <c r="AE1439" s="46"/>
      <c r="AF1439" s="39"/>
      <c r="AG1439" s="46"/>
      <c r="AH1439" s="36"/>
      <c r="AI1439" s="159"/>
      <c r="AJ1439" s="44"/>
      <c r="AK1439" s="46"/>
      <c r="AL1439" s="44"/>
      <c r="AM1439" s="46"/>
      <c r="AN1439" s="44"/>
      <c r="AO1439" s="46"/>
      <c r="AP1439" s="44"/>
      <c r="AQ1439" s="46"/>
      <c r="AR1439" s="44"/>
      <c r="AS1439" s="44"/>
      <c r="AT1439" s="44"/>
      <c r="AU1439" s="45"/>
      <c r="AV1439" s="44"/>
      <c r="AW1439" s="38"/>
      <c r="AX1439" s="44"/>
      <c r="AY1439" s="38"/>
      <c r="AZ1439" s="44"/>
      <c r="BA1439" s="45"/>
      <c r="BB1439" s="44"/>
      <c r="BC1439" s="45"/>
      <c r="BD1439" s="44"/>
      <c r="BE1439" s="38"/>
      <c r="BF1439" s="36"/>
      <c r="BG1439" s="68"/>
      <c r="BH1439" s="68"/>
      <c r="BI1439" s="68"/>
      <c r="BJ1439" s="68"/>
      <c r="BK1439" s="68"/>
      <c r="BL1439" s="68"/>
      <c r="BM1439" s="68"/>
      <c r="BN1439" s="68"/>
      <c r="BO1439" s="68"/>
      <c r="BP1439" s="68"/>
      <c r="BQ1439" s="68"/>
      <c r="BR1439" s="68"/>
      <c r="BS1439" s="68"/>
      <c r="BT1439" s="68"/>
      <c r="BU1439" s="68"/>
      <c r="BV1439" s="68"/>
      <c r="BW1439" s="68"/>
      <c r="BX1439" s="68"/>
      <c r="BY1439" s="68"/>
      <c r="BZ1439" s="68"/>
      <c r="CA1439" s="68"/>
      <c r="CB1439" s="68"/>
      <c r="CC1439" s="68"/>
      <c r="CD1439" s="68"/>
      <c r="CE1439" s="68"/>
      <c r="CF1439" s="68"/>
      <c r="CG1439" s="68"/>
      <c r="CH1439" s="68"/>
      <c r="CI1439" s="68"/>
      <c r="CJ1439" s="68"/>
      <c r="CK1439" s="68"/>
      <c r="CL1439" s="68"/>
      <c r="CM1439" s="68"/>
      <c r="CN1439" s="68"/>
      <c r="CO1439" s="68"/>
      <c r="CP1439" s="68"/>
    </row>
    <row r="1440" ht="15.75" customHeight="1">
      <c r="A1440" s="892" t="s">
        <v>6736</v>
      </c>
      <c r="B1440" s="68"/>
      <c r="C1440" s="69" t="s">
        <v>123</v>
      </c>
      <c r="D1440" s="192" t="s">
        <v>6737</v>
      </c>
      <c r="E1440" s="192" t="s">
        <v>6738</v>
      </c>
      <c r="F1440" s="118" t="s">
        <v>6739</v>
      </c>
      <c r="G1440" s="174"/>
      <c r="H1440" s="71" t="s">
        <v>6740</v>
      </c>
      <c r="I1440" s="26" t="s">
        <v>5623</v>
      </c>
      <c r="J1440" s="72"/>
      <c r="K1440" s="26"/>
      <c r="L1440" s="26">
        <v>2015.0</v>
      </c>
      <c r="M1440" s="25">
        <f t="shared" si="789"/>
        <v>10</v>
      </c>
      <c r="N1440" s="26">
        <f t="shared" si="790"/>
        <v>0</v>
      </c>
      <c r="O1440" s="27" t="str">
        <f t="shared" si="3"/>
        <v>#N/A</v>
      </c>
      <c r="P1440" s="28"/>
      <c r="Q1440" s="28"/>
      <c r="R1440" s="28"/>
      <c r="S1440" s="28"/>
      <c r="T1440" s="29">
        <f t="shared" si="791"/>
        <v>0</v>
      </c>
      <c r="U1440" s="28"/>
      <c r="V1440" s="30">
        <f t="shared" si="425"/>
        <v>0</v>
      </c>
      <c r="W1440" s="30"/>
      <c r="X1440" s="73"/>
      <c r="Y1440" s="33" t="str">
        <f t="shared" si="792"/>
        <v>#DIV/0!</v>
      </c>
      <c r="Z1440" s="692"/>
      <c r="AA1440" s="665"/>
      <c r="AB1440" s="74"/>
      <c r="AC1440" s="74"/>
      <c r="AD1440" s="1178"/>
      <c r="AE1440" s="46"/>
      <c r="AF1440" s="39"/>
      <c r="AG1440" s="46"/>
      <c r="AH1440" s="36"/>
      <c r="AI1440" s="159"/>
      <c r="AJ1440" s="44"/>
      <c r="AK1440" s="46"/>
      <c r="AL1440" s="44"/>
      <c r="AM1440" s="46"/>
      <c r="AN1440" s="44"/>
      <c r="AO1440" s="46"/>
      <c r="AP1440" s="44"/>
      <c r="AQ1440" s="46"/>
      <c r="AR1440" s="44"/>
      <c r="AS1440" s="44"/>
      <c r="AT1440" s="44"/>
      <c r="AU1440" s="45"/>
      <c r="AV1440" s="44"/>
      <c r="AW1440" s="38"/>
      <c r="AX1440" s="44"/>
      <c r="AY1440" s="38"/>
      <c r="AZ1440" s="44"/>
      <c r="BA1440" s="45"/>
      <c r="BB1440" s="44"/>
      <c r="BC1440" s="45"/>
      <c r="BD1440" s="44"/>
      <c r="BE1440" s="38"/>
      <c r="BF1440" s="36"/>
      <c r="BG1440" s="68"/>
      <c r="BH1440" s="68"/>
      <c r="BI1440" s="68"/>
      <c r="BJ1440" s="68"/>
      <c r="BK1440" s="68"/>
      <c r="BL1440" s="68"/>
      <c r="BM1440" s="68"/>
      <c r="BN1440" s="68"/>
      <c r="BO1440" s="68"/>
      <c r="BP1440" s="68"/>
      <c r="BQ1440" s="68"/>
      <c r="BR1440" s="68"/>
      <c r="BS1440" s="68"/>
      <c r="BT1440" s="68"/>
      <c r="BU1440" s="68"/>
      <c r="BV1440" s="68"/>
      <c r="BW1440" s="68"/>
      <c r="BX1440" s="68"/>
      <c r="BY1440" s="68"/>
      <c r="BZ1440" s="68"/>
      <c r="CA1440" s="68"/>
      <c r="CB1440" s="68"/>
      <c r="CC1440" s="68"/>
      <c r="CD1440" s="68"/>
      <c r="CE1440" s="68"/>
      <c r="CF1440" s="68"/>
      <c r="CG1440" s="68"/>
      <c r="CH1440" s="68"/>
      <c r="CI1440" s="68"/>
      <c r="CJ1440" s="68"/>
      <c r="CK1440" s="68"/>
      <c r="CL1440" s="68"/>
      <c r="CM1440" s="68"/>
      <c r="CN1440" s="68"/>
      <c r="CO1440" s="68"/>
      <c r="CP1440" s="68"/>
    </row>
    <row r="1441" ht="15.75" customHeight="1">
      <c r="A1441" s="21" t="s">
        <v>6741</v>
      </c>
      <c r="B1441" s="68"/>
      <c r="C1441" s="69" t="s">
        <v>123</v>
      </c>
      <c r="D1441" s="184"/>
      <c r="E1441" s="138" t="s">
        <v>6742</v>
      </c>
      <c r="F1441" s="173" t="s">
        <v>6743</v>
      </c>
      <c r="G1441" s="174"/>
      <c r="H1441" s="71" t="s">
        <v>4358</v>
      </c>
      <c r="I1441" s="26" t="s">
        <v>272</v>
      </c>
      <c r="J1441" s="72" t="s">
        <v>6744</v>
      </c>
      <c r="K1441" s="26">
        <v>1.0</v>
      </c>
      <c r="L1441" s="26">
        <v>2005.0</v>
      </c>
      <c r="M1441" s="25">
        <f t="shared" si="789"/>
        <v>20</v>
      </c>
      <c r="N1441" s="26">
        <f t="shared" si="790"/>
        <v>0</v>
      </c>
      <c r="O1441" s="27" t="str">
        <f t="shared" si="3"/>
        <v>#N/A</v>
      </c>
      <c r="P1441" s="28"/>
      <c r="Q1441" s="28"/>
      <c r="R1441" s="28"/>
      <c r="S1441" s="28"/>
      <c r="T1441" s="29">
        <f t="shared" si="791"/>
        <v>0</v>
      </c>
      <c r="U1441" s="28"/>
      <c r="V1441" s="30">
        <f t="shared" si="425"/>
        <v>0</v>
      </c>
      <c r="W1441" s="30"/>
      <c r="X1441" s="73"/>
      <c r="Y1441" s="33" t="str">
        <f t="shared" si="792"/>
        <v>#DIV/0!</v>
      </c>
      <c r="Z1441" s="692"/>
      <c r="AA1441" s="665"/>
      <c r="AB1441" s="74"/>
      <c r="AC1441" s="74"/>
      <c r="AD1441" s="1033" t="str">
        <f>HYPERLINK("https://www.crunchbase.com/organization/datappraise#section-funding-rounds"," Oct 3, 2014")</f>
        <v> Oct 3, 2014</v>
      </c>
      <c r="AE1441" s="46"/>
      <c r="AF1441" s="39"/>
      <c r="AG1441" s="46"/>
      <c r="AH1441" s="36"/>
      <c r="AI1441" s="159"/>
      <c r="AJ1441" s="44"/>
      <c r="AK1441" s="46"/>
      <c r="AL1441" s="44"/>
      <c r="AM1441" s="46"/>
      <c r="AN1441" s="44"/>
      <c r="AO1441" s="46"/>
      <c r="AP1441" s="44"/>
      <c r="AQ1441" s="46"/>
      <c r="AR1441" s="44"/>
      <c r="AS1441" s="44"/>
      <c r="AT1441" s="44"/>
      <c r="AU1441" s="45"/>
      <c r="AV1441" s="44"/>
      <c r="AW1441" s="38"/>
      <c r="AX1441" s="44"/>
      <c r="AY1441" s="38"/>
      <c r="AZ1441" s="44"/>
      <c r="BA1441" s="45"/>
      <c r="BB1441" s="44"/>
      <c r="BC1441" s="45"/>
      <c r="BD1441" s="44"/>
      <c r="BE1441" s="38"/>
      <c r="BF1441" s="36"/>
      <c r="BG1441" s="68"/>
      <c r="BH1441" s="68"/>
      <c r="BI1441" s="68"/>
      <c r="BJ1441" s="68"/>
      <c r="BK1441" s="68"/>
      <c r="BL1441" s="68"/>
      <c r="BM1441" s="68"/>
      <c r="BN1441" s="68"/>
      <c r="BO1441" s="68"/>
      <c r="BP1441" s="68"/>
      <c r="BQ1441" s="68"/>
      <c r="BR1441" s="68"/>
      <c r="BS1441" s="68"/>
      <c r="BT1441" s="68"/>
      <c r="BU1441" s="68"/>
      <c r="BV1441" s="68"/>
      <c r="BW1441" s="68"/>
      <c r="BX1441" s="68"/>
      <c r="BY1441" s="68"/>
      <c r="BZ1441" s="68"/>
      <c r="CA1441" s="68"/>
      <c r="CB1441" s="68"/>
      <c r="CC1441" s="68"/>
      <c r="CD1441" s="68"/>
      <c r="CE1441" s="68"/>
      <c r="CF1441" s="68"/>
      <c r="CG1441" s="68"/>
      <c r="CH1441" s="68"/>
      <c r="CI1441" s="68"/>
      <c r="CJ1441" s="68"/>
      <c r="CK1441" s="68"/>
      <c r="CL1441" s="68"/>
      <c r="CM1441" s="68"/>
      <c r="CN1441" s="68"/>
      <c r="CO1441" s="68"/>
      <c r="CP1441" s="68"/>
    </row>
    <row r="1442" ht="15.75" customHeight="1">
      <c r="A1442" s="21" t="s">
        <v>6745</v>
      </c>
      <c r="B1442" s="68"/>
      <c r="C1442" s="69" t="s">
        <v>123</v>
      </c>
      <c r="D1442" s="138" t="s">
        <v>6746</v>
      </c>
      <c r="E1442" s="138" t="s">
        <v>6747</v>
      </c>
      <c r="F1442" s="173" t="s">
        <v>6748</v>
      </c>
      <c r="G1442" s="71" t="s">
        <v>6749</v>
      </c>
      <c r="H1442" s="71" t="s">
        <v>6750</v>
      </c>
      <c r="I1442" s="26" t="s">
        <v>65</v>
      </c>
      <c r="J1442" s="1164" t="s">
        <v>6751</v>
      </c>
      <c r="K1442" s="74" t="s">
        <v>723</v>
      </c>
      <c r="L1442" s="26">
        <v>2001.0</v>
      </c>
      <c r="M1442" s="25">
        <f t="shared" si="789"/>
        <v>24</v>
      </c>
      <c r="N1442" s="26">
        <f t="shared" si="790"/>
        <v>0</v>
      </c>
      <c r="O1442" s="27" t="str">
        <f t="shared" si="3"/>
        <v>#N/A</v>
      </c>
      <c r="P1442" s="28"/>
      <c r="Q1442" s="28"/>
      <c r="R1442" s="28"/>
      <c r="S1442" s="28"/>
      <c r="T1442" s="29">
        <f t="shared" si="791"/>
        <v>0</v>
      </c>
      <c r="U1442" s="28"/>
      <c r="V1442" s="30">
        <f t="shared" si="425"/>
        <v>0</v>
      </c>
      <c r="W1442" s="30"/>
      <c r="X1442" s="32"/>
      <c r="Y1442" s="33" t="str">
        <f t="shared" si="792"/>
        <v>#DIV/0!</v>
      </c>
      <c r="Z1442" s="692"/>
      <c r="AA1442" s="665"/>
      <c r="AB1442" s="74"/>
      <c r="AC1442" s="74"/>
      <c r="AD1442" s="37"/>
      <c r="AE1442" s="46"/>
      <c r="AF1442" s="39"/>
      <c r="AG1442" s="46"/>
      <c r="AH1442" s="36"/>
      <c r="AI1442" s="159"/>
      <c r="AJ1442" s="44"/>
      <c r="AK1442" s="46"/>
      <c r="AL1442" s="44"/>
      <c r="AM1442" s="46"/>
      <c r="AN1442" s="44"/>
      <c r="AO1442" s="46"/>
      <c r="AP1442" s="44"/>
      <c r="AQ1442" s="46"/>
      <c r="AR1442" s="44"/>
      <c r="AS1442" s="44"/>
      <c r="AT1442" s="44"/>
      <c r="AU1442" s="45"/>
      <c r="AV1442" s="44"/>
      <c r="AW1442" s="38"/>
      <c r="AX1442" s="44"/>
      <c r="AY1442" s="38"/>
      <c r="AZ1442" s="44"/>
      <c r="BA1442" s="45"/>
      <c r="BB1442" s="44"/>
      <c r="BC1442" s="45"/>
      <c r="BD1442" s="44"/>
      <c r="BE1442" s="38"/>
      <c r="BF1442" s="36"/>
      <c r="BG1442" s="115"/>
      <c r="BH1442" s="115"/>
      <c r="BI1442" s="115"/>
      <c r="BJ1442" s="115"/>
      <c r="BK1442" s="115"/>
      <c r="BL1442" s="115"/>
      <c r="BM1442" s="115"/>
      <c r="BN1442" s="115"/>
      <c r="BO1442" s="115"/>
      <c r="BP1442" s="115"/>
      <c r="BQ1442" s="115"/>
      <c r="BR1442" s="115"/>
      <c r="BS1442" s="115"/>
      <c r="BT1442" s="115"/>
      <c r="BU1442" s="115"/>
      <c r="BV1442" s="115"/>
      <c r="BW1442" s="115"/>
      <c r="BX1442" s="115"/>
      <c r="BY1442" s="115"/>
      <c r="BZ1442" s="115"/>
      <c r="CA1442" s="115"/>
      <c r="CB1442" s="115"/>
      <c r="CC1442" s="115"/>
      <c r="CD1442" s="115"/>
      <c r="CE1442" s="115"/>
      <c r="CF1442" s="115"/>
      <c r="CG1442" s="115"/>
      <c r="CH1442" s="115"/>
      <c r="CI1442" s="115"/>
      <c r="CJ1442" s="115"/>
      <c r="CK1442" s="115"/>
      <c r="CL1442" s="115"/>
      <c r="CM1442" s="115"/>
      <c r="CN1442" s="115"/>
      <c r="CO1442" s="115"/>
      <c r="CP1442" s="115"/>
    </row>
    <row r="1443" ht="15.75" customHeight="1">
      <c r="A1443" s="21" t="s">
        <v>6752</v>
      </c>
      <c r="B1443" s="68"/>
      <c r="C1443" s="69" t="s">
        <v>123</v>
      </c>
      <c r="D1443" s="184"/>
      <c r="E1443" s="138" t="s">
        <v>6753</v>
      </c>
      <c r="F1443" s="154" t="s">
        <v>6754</v>
      </c>
      <c r="G1443" s="71" t="s">
        <v>6755</v>
      </c>
      <c r="H1443" s="71" t="s">
        <v>6756</v>
      </c>
      <c r="I1443" s="26" t="s">
        <v>2171</v>
      </c>
      <c r="J1443" s="72" t="s">
        <v>6757</v>
      </c>
      <c r="K1443" s="74" t="s">
        <v>723</v>
      </c>
      <c r="L1443" s="26">
        <v>2013.0</v>
      </c>
      <c r="M1443" s="25">
        <f t="shared" si="789"/>
        <v>12</v>
      </c>
      <c r="N1443" s="26">
        <f t="shared" si="790"/>
        <v>0</v>
      </c>
      <c r="O1443" s="27" t="str">
        <f t="shared" si="3"/>
        <v>#N/A</v>
      </c>
      <c r="P1443" s="28"/>
      <c r="Q1443" s="28"/>
      <c r="R1443" s="28"/>
      <c r="S1443" s="28"/>
      <c r="T1443" s="29">
        <f t="shared" si="791"/>
        <v>0</v>
      </c>
      <c r="U1443" s="28"/>
      <c r="V1443" s="30">
        <f t="shared" si="425"/>
        <v>0</v>
      </c>
      <c r="W1443" s="30"/>
      <c r="X1443" s="32"/>
      <c r="Y1443" s="33" t="str">
        <f t="shared" si="792"/>
        <v>#DIV/0!</v>
      </c>
      <c r="Z1443" s="692"/>
      <c r="AA1443" s="665"/>
      <c r="AB1443" s="74"/>
      <c r="AC1443" s="74"/>
      <c r="AD1443" s="44"/>
      <c r="AE1443" s="46"/>
      <c r="AF1443" s="39"/>
      <c r="AG1443" s="46"/>
      <c r="AH1443" s="36"/>
      <c r="AI1443" s="159"/>
      <c r="AJ1443" s="44"/>
      <c r="AK1443" s="46"/>
      <c r="AL1443" s="44"/>
      <c r="AM1443" s="46"/>
      <c r="AN1443" s="44"/>
      <c r="AO1443" s="46"/>
      <c r="AP1443" s="44"/>
      <c r="AQ1443" s="46"/>
      <c r="AR1443" s="44"/>
      <c r="AS1443" s="44"/>
      <c r="AT1443" s="44"/>
      <c r="AU1443" s="45"/>
      <c r="AV1443" s="44"/>
      <c r="AW1443" s="38"/>
      <c r="AX1443" s="44"/>
      <c r="AY1443" s="38"/>
      <c r="AZ1443" s="44"/>
      <c r="BA1443" s="45"/>
      <c r="BB1443" s="44"/>
      <c r="BC1443" s="45"/>
      <c r="BD1443" s="44"/>
      <c r="BE1443" s="38"/>
      <c r="BF1443" s="36"/>
      <c r="BG1443" s="1407"/>
      <c r="BH1443" s="1407"/>
      <c r="BI1443" s="1407"/>
      <c r="BJ1443" s="1407"/>
      <c r="BK1443" s="1407"/>
      <c r="BL1443" s="1407"/>
      <c r="BM1443" s="1407"/>
      <c r="BN1443" s="1407"/>
      <c r="BO1443" s="1407"/>
      <c r="BP1443" s="1407"/>
      <c r="BQ1443" s="1407"/>
      <c r="BR1443" s="1407"/>
      <c r="BS1443" s="1407"/>
      <c r="BT1443" s="1407"/>
      <c r="BU1443" s="1407"/>
      <c r="BV1443" s="1407"/>
      <c r="BW1443" s="1407"/>
      <c r="BX1443" s="1407"/>
      <c r="BY1443" s="1407"/>
      <c r="BZ1443" s="1407"/>
      <c r="CA1443" s="1407"/>
      <c r="CB1443" s="1407"/>
      <c r="CC1443" s="1407"/>
      <c r="CD1443" s="1407"/>
      <c r="CE1443" s="1407"/>
      <c r="CF1443" s="1407"/>
      <c r="CG1443" s="1407"/>
      <c r="CH1443" s="1407"/>
      <c r="CI1443" s="1407"/>
      <c r="CJ1443" s="1407"/>
      <c r="CK1443" s="1407"/>
      <c r="CL1443" s="1407"/>
      <c r="CM1443" s="1407"/>
      <c r="CN1443" s="1407"/>
      <c r="CO1443" s="1407"/>
      <c r="CP1443" s="1407"/>
    </row>
    <row r="1444" ht="15.75" customHeight="1">
      <c r="A1444" s="892" t="s">
        <v>6758</v>
      </c>
      <c r="B1444" s="68"/>
      <c r="C1444" s="69" t="s">
        <v>6759</v>
      </c>
      <c r="D1444" s="192" t="s">
        <v>6760</v>
      </c>
      <c r="E1444" s="337"/>
      <c r="F1444" s="118" t="s">
        <v>6761</v>
      </c>
      <c r="G1444" s="174"/>
      <c r="H1444" s="186"/>
      <c r="I1444" s="68"/>
      <c r="J1444" s="514"/>
      <c r="K1444" s="74"/>
      <c r="L1444" s="79"/>
      <c r="M1444" s="169">
        <f t="shared" si="789"/>
        <v>2025</v>
      </c>
      <c r="N1444" s="26">
        <f t="shared" si="790"/>
        <v>0</v>
      </c>
      <c r="O1444" s="27" t="str">
        <f t="shared" si="3"/>
        <v>#N/A</v>
      </c>
      <c r="P1444" s="28"/>
      <c r="Q1444" s="28"/>
      <c r="R1444" s="28"/>
      <c r="S1444" s="28"/>
      <c r="T1444" s="28">
        <f t="shared" si="791"/>
        <v>0</v>
      </c>
      <c r="U1444" s="28"/>
      <c r="V1444" s="30">
        <f t="shared" si="425"/>
        <v>0</v>
      </c>
      <c r="W1444" s="30"/>
      <c r="X1444" s="32"/>
      <c r="Y1444" s="33" t="str">
        <f t="shared" si="792"/>
        <v>#DIV/0!</v>
      </c>
      <c r="Z1444" s="692"/>
      <c r="AA1444" s="665"/>
      <c r="AB1444" s="74"/>
      <c r="AC1444" s="74"/>
      <c r="AD1444" s="44"/>
      <c r="AE1444" s="46"/>
      <c r="AF1444" s="39"/>
      <c r="AG1444" s="46"/>
      <c r="AH1444" s="36"/>
      <c r="AI1444" s="159"/>
      <c r="AJ1444" s="44"/>
      <c r="AK1444" s="46"/>
      <c r="AL1444" s="44"/>
      <c r="AM1444" s="46"/>
      <c r="AN1444" s="44"/>
      <c r="AO1444" s="46"/>
      <c r="AP1444" s="44"/>
      <c r="AQ1444" s="46"/>
      <c r="AR1444" s="44"/>
      <c r="AS1444" s="44"/>
      <c r="AT1444" s="44"/>
      <c r="AU1444" s="45"/>
      <c r="AV1444" s="44"/>
      <c r="AW1444" s="38"/>
      <c r="AX1444" s="44"/>
      <c r="AY1444" s="38"/>
      <c r="AZ1444" s="44"/>
      <c r="BA1444" s="45"/>
      <c r="BB1444" s="44"/>
      <c r="BC1444" s="45"/>
      <c r="BD1444" s="44"/>
      <c r="BE1444" s="38"/>
      <c r="BF1444" s="36"/>
      <c r="BG1444" s="68"/>
      <c r="BH1444" s="68"/>
      <c r="BI1444" s="68"/>
      <c r="BJ1444" s="68"/>
      <c r="BK1444" s="68"/>
      <c r="BL1444" s="68"/>
      <c r="BM1444" s="68"/>
      <c r="BN1444" s="68"/>
      <c r="BO1444" s="68"/>
      <c r="BP1444" s="68"/>
      <c r="BQ1444" s="68"/>
      <c r="BR1444" s="68"/>
      <c r="BS1444" s="68"/>
      <c r="BT1444" s="68"/>
      <c r="BU1444" s="68"/>
      <c r="BV1444" s="68"/>
      <c r="BW1444" s="68"/>
      <c r="BX1444" s="68"/>
      <c r="BY1444" s="68"/>
      <c r="BZ1444" s="68"/>
      <c r="CA1444" s="68"/>
      <c r="CB1444" s="68"/>
      <c r="CC1444" s="68"/>
      <c r="CD1444" s="68"/>
      <c r="CE1444" s="68"/>
      <c r="CF1444" s="68"/>
      <c r="CG1444" s="68"/>
      <c r="CH1444" s="68"/>
      <c r="CI1444" s="68"/>
      <c r="CJ1444" s="68"/>
      <c r="CK1444" s="68"/>
      <c r="CL1444" s="68"/>
      <c r="CM1444" s="68"/>
      <c r="CN1444" s="68"/>
      <c r="CO1444" s="68"/>
      <c r="CP1444" s="68"/>
    </row>
    <row r="1445" ht="15.75" customHeight="1">
      <c r="A1445" s="442" t="s">
        <v>6762</v>
      </c>
      <c r="B1445" s="68" t="s">
        <v>2206</v>
      </c>
      <c r="C1445" s="68" t="s">
        <v>207</v>
      </c>
      <c r="D1445" s="337"/>
      <c r="E1445" s="236" t="s">
        <v>6763</v>
      </c>
      <c r="F1445" s="1663" t="s">
        <v>6764</v>
      </c>
      <c r="G1445" s="174"/>
      <c r="H1445" s="71" t="s">
        <v>6765</v>
      </c>
      <c r="I1445" s="26" t="s">
        <v>6766</v>
      </c>
      <c r="J1445" s="514"/>
      <c r="K1445" s="74"/>
      <c r="L1445" s="26">
        <v>2014.0</v>
      </c>
      <c r="M1445" s="25">
        <f t="shared" si="789"/>
        <v>11</v>
      </c>
      <c r="N1445" s="26">
        <f t="shared" si="790"/>
        <v>0</v>
      </c>
      <c r="O1445" s="27" t="str">
        <f t="shared" si="3"/>
        <v>#N/A</v>
      </c>
      <c r="P1445" s="28"/>
      <c r="Q1445" s="28"/>
      <c r="R1445" s="28"/>
      <c r="S1445" s="28"/>
      <c r="T1445" s="29">
        <f t="shared" si="791"/>
        <v>0</v>
      </c>
      <c r="U1445" s="28"/>
      <c r="V1445" s="30">
        <f t="shared" si="425"/>
        <v>0</v>
      </c>
      <c r="W1445" s="30"/>
      <c r="X1445" s="32"/>
      <c r="Y1445" s="33" t="str">
        <f t="shared" si="792"/>
        <v>#DIV/0!</v>
      </c>
      <c r="Z1445" s="692"/>
      <c r="AA1445" s="665"/>
      <c r="AB1445" s="74"/>
      <c r="AC1445" s="74"/>
      <c r="AD1445" s="44"/>
      <c r="AE1445" s="46"/>
      <c r="AF1445" s="39"/>
      <c r="AG1445" s="46"/>
      <c r="AH1445" s="36"/>
      <c r="AI1445" s="159"/>
      <c r="AJ1445" s="44"/>
      <c r="AK1445" s="46"/>
      <c r="AL1445" s="44"/>
      <c r="AM1445" s="46"/>
      <c r="AN1445" s="44"/>
      <c r="AO1445" s="46"/>
      <c r="AP1445" s="44"/>
      <c r="AQ1445" s="46"/>
      <c r="AR1445" s="44"/>
      <c r="AS1445" s="44"/>
      <c r="AT1445" s="44"/>
      <c r="AU1445" s="45"/>
      <c r="AV1445" s="44"/>
      <c r="AW1445" s="38"/>
      <c r="AX1445" s="44"/>
      <c r="AY1445" s="38"/>
      <c r="AZ1445" s="44"/>
      <c r="BA1445" s="45"/>
      <c r="BB1445" s="44"/>
      <c r="BC1445" s="45"/>
      <c r="BD1445" s="44"/>
      <c r="BE1445" s="38"/>
      <c r="BF1445" s="36"/>
      <c r="BG1445" s="1407"/>
      <c r="BH1445" s="1407"/>
      <c r="BI1445" s="1407"/>
      <c r="BJ1445" s="1407"/>
      <c r="BK1445" s="1407"/>
      <c r="BL1445" s="1407"/>
      <c r="BM1445" s="1407"/>
      <c r="BN1445" s="1407"/>
      <c r="BO1445" s="1407"/>
      <c r="BP1445" s="1407"/>
      <c r="BQ1445" s="1407"/>
      <c r="BR1445" s="1407"/>
      <c r="BS1445" s="1407"/>
      <c r="BT1445" s="1407"/>
      <c r="BU1445" s="1407"/>
      <c r="BV1445" s="1407"/>
      <c r="BW1445" s="1407"/>
      <c r="BX1445" s="1407"/>
      <c r="BY1445" s="1407"/>
      <c r="BZ1445" s="1407"/>
      <c r="CA1445" s="1407"/>
      <c r="CB1445" s="1407"/>
      <c r="CC1445" s="1407"/>
      <c r="CD1445" s="1407"/>
      <c r="CE1445" s="1407"/>
      <c r="CF1445" s="1407"/>
      <c r="CG1445" s="1407"/>
      <c r="CH1445" s="1407"/>
      <c r="CI1445" s="1407"/>
      <c r="CJ1445" s="1407"/>
      <c r="CK1445" s="1407"/>
      <c r="CL1445" s="1407"/>
      <c r="CM1445" s="1407"/>
      <c r="CN1445" s="1407"/>
      <c r="CO1445" s="1407"/>
      <c r="CP1445" s="1407"/>
    </row>
    <row r="1446" ht="15.75" customHeight="1">
      <c r="A1446" s="892" t="s">
        <v>6767</v>
      </c>
      <c r="B1446" s="68"/>
      <c r="C1446" s="69" t="s">
        <v>123</v>
      </c>
      <c r="D1446" s="192" t="s">
        <v>6768</v>
      </c>
      <c r="E1446" s="138"/>
      <c r="F1446" s="118" t="s">
        <v>6769</v>
      </c>
      <c r="G1446" s="71"/>
      <c r="H1446" s="71"/>
      <c r="I1446" s="26"/>
      <c r="J1446" s="72"/>
      <c r="K1446" s="123"/>
      <c r="L1446" s="26"/>
      <c r="M1446" s="25">
        <f t="shared" si="789"/>
        <v>2025</v>
      </c>
      <c r="N1446" s="26">
        <f t="shared" si="790"/>
        <v>0</v>
      </c>
      <c r="O1446" s="27" t="str">
        <f t="shared" si="3"/>
        <v>#N/A</v>
      </c>
      <c r="P1446" s="28"/>
      <c r="Q1446" s="28"/>
      <c r="R1446" s="28"/>
      <c r="S1446" s="28"/>
      <c r="T1446" s="29">
        <f t="shared" si="791"/>
        <v>0</v>
      </c>
      <c r="U1446" s="28"/>
      <c r="V1446" s="30">
        <f t="shared" si="425"/>
        <v>0</v>
      </c>
      <c r="W1446" s="30"/>
      <c r="X1446" s="403"/>
      <c r="Y1446" s="33" t="str">
        <f t="shared" si="792"/>
        <v>#DIV/0!</v>
      </c>
      <c r="Z1446" s="692"/>
      <c r="AA1446" s="665"/>
      <c r="AB1446" s="74"/>
      <c r="AC1446" s="74"/>
      <c r="AD1446" s="44"/>
      <c r="AE1446" s="46"/>
      <c r="AF1446" s="39"/>
      <c r="AG1446" s="46"/>
      <c r="AH1446" s="36"/>
      <c r="AI1446" s="159"/>
      <c r="AJ1446" s="44"/>
      <c r="AK1446" s="46"/>
      <c r="AL1446" s="44"/>
      <c r="AM1446" s="46"/>
      <c r="AN1446" s="44"/>
      <c r="AO1446" s="46"/>
      <c r="AP1446" s="44"/>
      <c r="AQ1446" s="46"/>
      <c r="AR1446" s="44"/>
      <c r="AS1446" s="44"/>
      <c r="AT1446" s="44"/>
      <c r="AU1446" s="45"/>
      <c r="AV1446" s="44"/>
      <c r="AW1446" s="38"/>
      <c r="AX1446" s="44"/>
      <c r="AY1446" s="38"/>
      <c r="AZ1446" s="44"/>
      <c r="BA1446" s="45"/>
      <c r="BB1446" s="44"/>
      <c r="BC1446" s="45"/>
      <c r="BD1446" s="44"/>
      <c r="BE1446" s="38"/>
      <c r="BF1446" s="36"/>
      <c r="BG1446" s="68"/>
      <c r="BH1446" s="68"/>
      <c r="BI1446" s="68"/>
      <c r="BJ1446" s="68"/>
      <c r="BK1446" s="68"/>
      <c r="BL1446" s="68"/>
      <c r="BM1446" s="68"/>
      <c r="BN1446" s="68"/>
      <c r="BO1446" s="68"/>
      <c r="BP1446" s="68"/>
      <c r="BQ1446" s="68"/>
      <c r="BR1446" s="68"/>
      <c r="BS1446" s="68"/>
      <c r="BT1446" s="68"/>
      <c r="BU1446" s="68"/>
      <c r="BV1446" s="68"/>
      <c r="BW1446" s="68"/>
      <c r="BX1446" s="68"/>
      <c r="BY1446" s="68"/>
      <c r="BZ1446" s="68"/>
      <c r="CA1446" s="68"/>
      <c r="CB1446" s="68"/>
      <c r="CC1446" s="68"/>
      <c r="CD1446" s="68"/>
      <c r="CE1446" s="68"/>
      <c r="CF1446" s="68"/>
      <c r="CG1446" s="68"/>
      <c r="CH1446" s="68"/>
      <c r="CI1446" s="68"/>
      <c r="CJ1446" s="68"/>
      <c r="CK1446" s="68"/>
      <c r="CL1446" s="68"/>
      <c r="CM1446" s="68"/>
      <c r="CN1446" s="68"/>
      <c r="CO1446" s="68"/>
      <c r="CP1446" s="68"/>
    </row>
    <row r="1447" ht="15.75" customHeight="1">
      <c r="A1447" s="21" t="s">
        <v>6770</v>
      </c>
      <c r="B1447" s="68"/>
      <c r="C1447" s="69" t="s">
        <v>123</v>
      </c>
      <c r="D1447" s="184"/>
      <c r="E1447" s="138" t="s">
        <v>6771</v>
      </c>
      <c r="F1447" s="173" t="s">
        <v>6772</v>
      </c>
      <c r="G1447" s="71" t="s">
        <v>6773</v>
      </c>
      <c r="H1447" s="71" t="s">
        <v>6774</v>
      </c>
      <c r="I1447" s="26" t="s">
        <v>1384</v>
      </c>
      <c r="J1447" s="72" t="s">
        <v>6775</v>
      </c>
      <c r="K1447" s="123" t="s">
        <v>723</v>
      </c>
      <c r="L1447" s="26" t="s">
        <v>723</v>
      </c>
      <c r="M1447" s="25" t="str">
        <f t="shared" si="789"/>
        <v>#VALUE!</v>
      </c>
      <c r="N1447" s="26">
        <f t="shared" si="790"/>
        <v>0</v>
      </c>
      <c r="O1447" s="27" t="str">
        <f t="shared" si="3"/>
        <v>#N/A</v>
      </c>
      <c r="P1447" s="28"/>
      <c r="Q1447" s="28"/>
      <c r="R1447" s="28"/>
      <c r="S1447" s="28"/>
      <c r="T1447" s="28" t="str">
        <f t="shared" si="791"/>
        <v>#VALUE!</v>
      </c>
      <c r="U1447" s="28"/>
      <c r="V1447" s="30">
        <f t="shared" si="425"/>
        <v>0</v>
      </c>
      <c r="W1447" s="30"/>
      <c r="X1447" s="403"/>
      <c r="Y1447" s="33" t="str">
        <f t="shared" si="792"/>
        <v>#DIV/0!</v>
      </c>
      <c r="Z1447" s="692"/>
      <c r="AA1447" s="665"/>
      <c r="AB1447" s="74"/>
      <c r="AC1447" s="74"/>
      <c r="AD1447" s="473"/>
      <c r="AE1447" s="456"/>
      <c r="AF1447" s="39"/>
      <c r="AG1447" s="46"/>
      <c r="AH1447" s="36"/>
      <c r="AI1447" s="159"/>
      <c r="AJ1447" s="44"/>
      <c r="AK1447" s="46"/>
      <c r="AL1447" s="44"/>
      <c r="AM1447" s="46"/>
      <c r="AN1447" s="44"/>
      <c r="AO1447" s="46"/>
      <c r="AP1447" s="44"/>
      <c r="AQ1447" s="46"/>
      <c r="AR1447" s="44"/>
      <c r="AS1447" s="44"/>
      <c r="AT1447" s="44"/>
      <c r="AU1447" s="45"/>
      <c r="AV1447" s="44"/>
      <c r="AW1447" s="38"/>
      <c r="AX1447" s="44"/>
      <c r="AY1447" s="38"/>
      <c r="AZ1447" s="44"/>
      <c r="BA1447" s="45"/>
      <c r="BB1447" s="44"/>
      <c r="BC1447" s="45"/>
      <c r="BD1447" s="44"/>
      <c r="BE1447" s="38"/>
      <c r="BF1447" s="36"/>
      <c r="BG1447" s="68"/>
      <c r="BH1447" s="68"/>
      <c r="BI1447" s="68"/>
      <c r="BJ1447" s="68"/>
      <c r="BK1447" s="68"/>
      <c r="BL1447" s="68"/>
      <c r="BM1447" s="68"/>
      <c r="BN1447" s="68"/>
      <c r="BO1447" s="68"/>
      <c r="BP1447" s="68"/>
      <c r="BQ1447" s="68"/>
      <c r="BR1447" s="68"/>
      <c r="BS1447" s="68"/>
      <c r="BT1447" s="68"/>
      <c r="BU1447" s="68"/>
      <c r="BV1447" s="68"/>
      <c r="BW1447" s="68"/>
      <c r="BX1447" s="68"/>
      <c r="BY1447" s="68"/>
      <c r="BZ1447" s="68"/>
      <c r="CA1447" s="68"/>
      <c r="CB1447" s="68"/>
      <c r="CC1447" s="68"/>
      <c r="CD1447" s="68"/>
      <c r="CE1447" s="68"/>
      <c r="CF1447" s="68"/>
      <c r="CG1447" s="68"/>
      <c r="CH1447" s="68"/>
      <c r="CI1447" s="68"/>
      <c r="CJ1447" s="68"/>
      <c r="CK1447" s="68"/>
      <c r="CL1447" s="68"/>
      <c r="CM1447" s="68"/>
      <c r="CN1447" s="68"/>
      <c r="CO1447" s="68"/>
      <c r="CP1447" s="68"/>
    </row>
    <row r="1448" ht="15.75" customHeight="1">
      <c r="A1448" s="442" t="s">
        <v>6776</v>
      </c>
      <c r="B1448" s="68" t="s">
        <v>4660</v>
      </c>
      <c r="C1448" s="68" t="s">
        <v>59</v>
      </c>
      <c r="D1448" s="184" t="s">
        <v>6777</v>
      </c>
      <c r="E1448" s="184" t="s">
        <v>6778</v>
      </c>
      <c r="F1448" s="185" t="s">
        <v>6779</v>
      </c>
      <c r="G1448" s="186" t="s">
        <v>6780</v>
      </c>
      <c r="H1448" s="186" t="s">
        <v>128</v>
      </c>
      <c r="I1448" s="74" t="s">
        <v>129</v>
      </c>
      <c r="J1448" s="155" t="s">
        <v>3000</v>
      </c>
      <c r="K1448" s="74">
        <v>1.0</v>
      </c>
      <c r="L1448" s="26">
        <v>2016.0</v>
      </c>
      <c r="M1448" s="25">
        <f t="shared" si="789"/>
        <v>9</v>
      </c>
      <c r="N1448" s="26">
        <f t="shared" si="790"/>
        <v>0</v>
      </c>
      <c r="O1448" s="27" t="str">
        <f t="shared" si="3"/>
        <v>#N/A</v>
      </c>
      <c r="P1448" s="28"/>
      <c r="Q1448" s="28"/>
      <c r="R1448" s="28"/>
      <c r="S1448" s="28"/>
      <c r="T1448" s="29">
        <f t="shared" si="791"/>
        <v>0</v>
      </c>
      <c r="U1448" s="28"/>
      <c r="V1448" s="30">
        <f t="shared" si="425"/>
        <v>0</v>
      </c>
      <c r="W1448" s="30"/>
      <c r="X1448" s="32"/>
      <c r="Y1448" s="33" t="str">
        <f t="shared" si="792"/>
        <v>#DIV/0!</v>
      </c>
      <c r="Z1448" s="692"/>
      <c r="AA1448" s="665"/>
      <c r="AB1448" s="74"/>
      <c r="AC1448" s="74"/>
      <c r="AD1448" s="44"/>
      <c r="AE1448" s="46"/>
      <c r="AF1448" s="39"/>
      <c r="AG1448" s="46"/>
      <c r="AH1448" s="36"/>
      <c r="AI1448" s="159"/>
      <c r="AJ1448" s="44"/>
      <c r="AK1448" s="46"/>
      <c r="AL1448" s="44"/>
      <c r="AM1448" s="46"/>
      <c r="AN1448" s="44"/>
      <c r="AO1448" s="46"/>
      <c r="AP1448" s="44"/>
      <c r="AQ1448" s="46"/>
      <c r="AR1448" s="44"/>
      <c r="AS1448" s="44"/>
      <c r="AT1448" s="44"/>
      <c r="AU1448" s="45"/>
      <c r="AV1448" s="44"/>
      <c r="AW1448" s="38"/>
      <c r="AX1448" s="44"/>
      <c r="AY1448" s="38"/>
      <c r="AZ1448" s="44"/>
      <c r="BA1448" s="45"/>
      <c r="BB1448" s="44"/>
      <c r="BC1448" s="45"/>
      <c r="BD1448" s="44"/>
      <c r="BE1448" s="38"/>
      <c r="BF1448" s="36"/>
      <c r="BG1448" s="68"/>
      <c r="BH1448" s="68"/>
      <c r="BI1448" s="68"/>
      <c r="BJ1448" s="68"/>
      <c r="BK1448" s="68"/>
      <c r="BL1448" s="68"/>
      <c r="BM1448" s="68"/>
      <c r="BN1448" s="68"/>
      <c r="BO1448" s="68"/>
      <c r="BP1448" s="68"/>
      <c r="BQ1448" s="68"/>
      <c r="BR1448" s="68"/>
      <c r="BS1448" s="68"/>
      <c r="BT1448" s="68"/>
      <c r="BU1448" s="68"/>
      <c r="BV1448" s="68"/>
      <c r="BW1448" s="68"/>
      <c r="BX1448" s="68"/>
      <c r="BY1448" s="68"/>
      <c r="BZ1448" s="68"/>
      <c r="CA1448" s="68"/>
      <c r="CB1448" s="68"/>
      <c r="CC1448" s="68"/>
      <c r="CD1448" s="68"/>
      <c r="CE1448" s="68"/>
      <c r="CF1448" s="68"/>
      <c r="CG1448" s="68"/>
      <c r="CH1448" s="68"/>
      <c r="CI1448" s="68"/>
      <c r="CJ1448" s="68"/>
      <c r="CK1448" s="68"/>
      <c r="CL1448" s="68"/>
      <c r="CM1448" s="68"/>
      <c r="CN1448" s="68"/>
      <c r="CO1448" s="68"/>
      <c r="CP1448" s="68"/>
    </row>
    <row r="1449" ht="15.75" customHeight="1">
      <c r="A1449" s="21" t="s">
        <v>6781</v>
      </c>
      <c r="B1449" s="69" t="s">
        <v>6782</v>
      </c>
      <c r="C1449" s="69" t="s">
        <v>123</v>
      </c>
      <c r="D1449" s="200" t="s">
        <v>6783</v>
      </c>
      <c r="E1449" s="200" t="s">
        <v>6784</v>
      </c>
      <c r="F1449" s="173" t="s">
        <v>6785</v>
      </c>
      <c r="G1449" s="186"/>
      <c r="H1449" s="71" t="s">
        <v>826</v>
      </c>
      <c r="I1449" s="26" t="s">
        <v>6786</v>
      </c>
      <c r="J1449" s="155"/>
      <c r="K1449" s="26">
        <v>2.0</v>
      </c>
      <c r="L1449" s="26">
        <v>2013.0</v>
      </c>
      <c r="M1449" s="25">
        <f t="shared" si="789"/>
        <v>12</v>
      </c>
      <c r="N1449" s="26">
        <f t="shared" si="790"/>
        <v>0</v>
      </c>
      <c r="O1449" s="27" t="str">
        <f t="shared" si="3"/>
        <v>#N/A</v>
      </c>
      <c r="P1449" s="28"/>
      <c r="Q1449" s="28"/>
      <c r="R1449" s="28"/>
      <c r="S1449" s="28"/>
      <c r="T1449" s="29">
        <f t="shared" si="791"/>
        <v>0</v>
      </c>
      <c r="U1449" s="28"/>
      <c r="V1449" s="30">
        <f t="shared" si="425"/>
        <v>0</v>
      </c>
      <c r="W1449" s="30"/>
      <c r="X1449" s="73"/>
      <c r="Y1449" s="33" t="str">
        <f t="shared" si="792"/>
        <v>#DIV/0!</v>
      </c>
      <c r="Z1449" s="692"/>
      <c r="AA1449" s="665"/>
      <c r="AB1449" s="74"/>
      <c r="AC1449" s="74"/>
      <c r="AD1449" s="44"/>
      <c r="AE1449" s="46"/>
      <c r="AF1449" s="39"/>
      <c r="AG1449" s="46"/>
      <c r="AH1449" s="36"/>
      <c r="AI1449" s="159"/>
      <c r="AJ1449" s="44"/>
      <c r="AK1449" s="46"/>
      <c r="AL1449" s="44"/>
      <c r="AM1449" s="46"/>
      <c r="AN1449" s="44"/>
      <c r="AO1449" s="46"/>
      <c r="AP1449" s="44"/>
      <c r="AQ1449" s="46"/>
      <c r="AR1449" s="44"/>
      <c r="AS1449" s="44"/>
      <c r="AT1449" s="44"/>
      <c r="AU1449" s="45"/>
      <c r="AV1449" s="44"/>
      <c r="AW1449" s="38"/>
      <c r="AX1449" s="44"/>
      <c r="AY1449" s="38"/>
      <c r="AZ1449" s="44"/>
      <c r="BA1449" s="45"/>
      <c r="BB1449" s="44"/>
      <c r="BC1449" s="45"/>
      <c r="BD1449" s="44"/>
      <c r="BE1449" s="38"/>
      <c r="BF1449" s="36"/>
      <c r="BG1449" s="68"/>
      <c r="BH1449" s="68"/>
      <c r="BI1449" s="68"/>
      <c r="BJ1449" s="68"/>
      <c r="BK1449" s="68"/>
      <c r="BL1449" s="68"/>
      <c r="BM1449" s="68"/>
      <c r="BN1449" s="68"/>
      <c r="BO1449" s="68"/>
      <c r="BP1449" s="68"/>
      <c r="BQ1449" s="68"/>
      <c r="BR1449" s="68"/>
      <c r="BS1449" s="68"/>
      <c r="BT1449" s="68"/>
      <c r="BU1449" s="68"/>
      <c r="BV1449" s="68"/>
      <c r="BW1449" s="68"/>
      <c r="BX1449" s="68"/>
      <c r="BY1449" s="68"/>
      <c r="BZ1449" s="68"/>
      <c r="CA1449" s="68"/>
      <c r="CB1449" s="68"/>
      <c r="CC1449" s="68"/>
      <c r="CD1449" s="68"/>
      <c r="CE1449" s="68"/>
      <c r="CF1449" s="68"/>
      <c r="CG1449" s="68"/>
      <c r="CH1449" s="68"/>
      <c r="CI1449" s="68"/>
      <c r="CJ1449" s="68"/>
      <c r="CK1449" s="68"/>
      <c r="CL1449" s="68"/>
      <c r="CM1449" s="68"/>
      <c r="CN1449" s="68"/>
      <c r="CO1449" s="68"/>
      <c r="CP1449" s="68"/>
    </row>
    <row r="1450" ht="15.75" customHeight="1">
      <c r="A1450" s="1209" t="s">
        <v>6787</v>
      </c>
      <c r="B1450" s="582"/>
      <c r="C1450" s="1206" t="s">
        <v>207</v>
      </c>
      <c r="D1450" s="1511" t="s">
        <v>6788</v>
      </c>
      <c r="E1450" s="1511" t="s">
        <v>6789</v>
      </c>
      <c r="F1450" s="1298" t="s">
        <v>6790</v>
      </c>
      <c r="G1450" s="1210"/>
      <c r="H1450" s="1210" t="s">
        <v>187</v>
      </c>
      <c r="I1450" s="1211" t="s">
        <v>188</v>
      </c>
      <c r="J1450" s="1664"/>
      <c r="K1450" s="1211">
        <v>3.0</v>
      </c>
      <c r="L1450" s="1211">
        <v>2011.0</v>
      </c>
      <c r="M1450" s="25">
        <f t="shared" si="789"/>
        <v>14</v>
      </c>
      <c r="N1450" s="26">
        <f t="shared" si="790"/>
        <v>0</v>
      </c>
      <c r="O1450" s="27" t="str">
        <f t="shared" si="3"/>
        <v>#N/A</v>
      </c>
      <c r="P1450" s="28"/>
      <c r="Q1450" s="28"/>
      <c r="R1450" s="28"/>
      <c r="S1450" s="28"/>
      <c r="T1450" s="29">
        <f t="shared" si="791"/>
        <v>0</v>
      </c>
      <c r="U1450" s="28"/>
      <c r="V1450" s="30">
        <f t="shared" si="425"/>
        <v>0</v>
      </c>
      <c r="W1450" s="30"/>
      <c r="X1450" s="1213"/>
      <c r="Y1450" s="33" t="str">
        <f t="shared" si="792"/>
        <v>#DIV/0!</v>
      </c>
      <c r="Z1450" s="692"/>
      <c r="AA1450" s="665"/>
      <c r="AB1450" s="1214"/>
      <c r="AC1450" s="1214"/>
      <c r="AD1450" s="1153"/>
      <c r="AE1450" s="1154"/>
      <c r="AF1450" s="1299" t="str">
        <f>HYPERLINK("https://www.crunchbase.com/funding_round/deskpass-seed--b24f460b","May 1, 2016")</f>
        <v>May 1, 2016</v>
      </c>
      <c r="AG1450" s="1157"/>
      <c r="AH1450" s="1152"/>
      <c r="AI1450" s="1300"/>
      <c r="AJ1450" s="1153"/>
      <c r="AK1450" s="1154"/>
      <c r="AL1450" s="1153"/>
      <c r="AM1450" s="1154"/>
      <c r="AN1450" s="1153"/>
      <c r="AO1450" s="1154"/>
      <c r="AP1450" s="1153"/>
      <c r="AQ1450" s="1154"/>
      <c r="AR1450" s="1153"/>
      <c r="AS1450" s="1153"/>
      <c r="AT1450" s="1153"/>
      <c r="AU1450" s="1578"/>
      <c r="AV1450" s="1153"/>
      <c r="AW1450" s="38"/>
      <c r="AX1450" s="1153"/>
      <c r="AY1450" s="38"/>
      <c r="AZ1450" s="1153"/>
      <c r="BA1450" s="1578"/>
      <c r="BB1450" s="1153"/>
      <c r="BC1450" s="1578"/>
      <c r="BD1450" s="1153"/>
      <c r="BE1450" s="38"/>
      <c r="BF1450" s="1152"/>
      <c r="BG1450" s="1644"/>
      <c r="BH1450" s="1644"/>
      <c r="BI1450" s="1644"/>
      <c r="BJ1450" s="1644"/>
      <c r="BK1450" s="1644"/>
      <c r="BL1450" s="1644"/>
      <c r="BM1450" s="1644"/>
      <c r="BN1450" s="1644"/>
      <c r="BO1450" s="1644"/>
      <c r="BP1450" s="1644"/>
      <c r="BQ1450" s="1644"/>
      <c r="BR1450" s="1644"/>
      <c r="BS1450" s="1644"/>
      <c r="BT1450" s="1644"/>
      <c r="BU1450" s="1644"/>
      <c r="BV1450" s="1644"/>
      <c r="BW1450" s="1644"/>
      <c r="BX1450" s="1644"/>
      <c r="BY1450" s="1644"/>
      <c r="BZ1450" s="1644"/>
      <c r="CA1450" s="1644"/>
      <c r="CB1450" s="1644"/>
      <c r="CC1450" s="1644"/>
      <c r="CD1450" s="1644"/>
      <c r="CE1450" s="1644"/>
      <c r="CF1450" s="1644"/>
      <c r="CG1450" s="1644"/>
      <c r="CH1450" s="1644"/>
      <c r="CI1450" s="1644"/>
      <c r="CJ1450" s="1644"/>
      <c r="CK1450" s="1644"/>
      <c r="CL1450" s="1644"/>
      <c r="CM1450" s="1644"/>
      <c r="CN1450" s="1644"/>
      <c r="CO1450" s="1644"/>
      <c r="CP1450" s="1644"/>
    </row>
    <row r="1451" ht="15.75" customHeight="1">
      <c r="A1451" s="1665" t="s">
        <v>6791</v>
      </c>
      <c r="B1451" s="1666"/>
      <c r="C1451" s="1667" t="s">
        <v>513</v>
      </c>
      <c r="D1451" s="1668" t="s">
        <v>6792</v>
      </c>
      <c r="E1451" s="1668" t="s">
        <v>6793</v>
      </c>
      <c r="F1451" s="1669" t="s">
        <v>6794</v>
      </c>
      <c r="G1451" s="1670"/>
      <c r="H1451" s="1670" t="s">
        <v>3247</v>
      </c>
      <c r="I1451" s="1671" t="s">
        <v>792</v>
      </c>
      <c r="J1451" s="1672"/>
      <c r="K1451" s="1671"/>
      <c r="L1451" s="1671">
        <v>1949.0</v>
      </c>
      <c r="M1451" s="25">
        <f t="shared" si="789"/>
        <v>76</v>
      </c>
      <c r="N1451" s="26">
        <f t="shared" si="790"/>
        <v>0</v>
      </c>
      <c r="O1451" s="27" t="str">
        <f t="shared" si="3"/>
        <v>#N/A</v>
      </c>
      <c r="P1451" s="28"/>
      <c r="Q1451" s="28"/>
      <c r="R1451" s="28"/>
      <c r="S1451" s="28"/>
      <c r="T1451" s="29">
        <f t="shared" si="791"/>
        <v>0</v>
      </c>
      <c r="U1451" s="28"/>
      <c r="V1451" s="30">
        <f t="shared" si="425"/>
        <v>0</v>
      </c>
      <c r="W1451" s="30"/>
      <c r="X1451" s="1673"/>
      <c r="Y1451" s="33" t="str">
        <f t="shared" si="792"/>
        <v>#DIV/0!</v>
      </c>
      <c r="Z1451" s="692"/>
      <c r="AA1451" s="665"/>
      <c r="AB1451" s="1674"/>
      <c r="AC1451" s="1674"/>
      <c r="AD1451" s="1675"/>
      <c r="AE1451" s="1676"/>
      <c r="AF1451" s="1677"/>
      <c r="AG1451" s="1676"/>
      <c r="AH1451" s="1678"/>
      <c r="AI1451" s="1679"/>
      <c r="AJ1451" s="1675"/>
      <c r="AK1451" s="1676"/>
      <c r="AL1451" s="1675"/>
      <c r="AM1451" s="1676"/>
      <c r="AN1451" s="1675"/>
      <c r="AO1451" s="1676"/>
      <c r="AP1451" s="1675"/>
      <c r="AQ1451" s="1676"/>
      <c r="AR1451" s="1675"/>
      <c r="AS1451" s="1675"/>
      <c r="AT1451" s="1675"/>
      <c r="AU1451" s="1680"/>
      <c r="AV1451" s="1675"/>
      <c r="AW1451" s="38"/>
      <c r="AX1451" s="1675"/>
      <c r="AY1451" s="38"/>
      <c r="AZ1451" s="1675"/>
      <c r="BA1451" s="1680"/>
      <c r="BB1451" s="1675"/>
      <c r="BC1451" s="1680"/>
      <c r="BD1451" s="1675"/>
      <c r="BE1451" s="38"/>
      <c r="BF1451" s="1678"/>
      <c r="BG1451" s="68"/>
      <c r="BH1451" s="68"/>
      <c r="BI1451" s="68"/>
      <c r="BJ1451" s="68"/>
      <c r="BK1451" s="68"/>
      <c r="BL1451" s="68"/>
      <c r="BM1451" s="68"/>
      <c r="BN1451" s="68"/>
      <c r="BO1451" s="68"/>
      <c r="BP1451" s="68"/>
      <c r="BQ1451" s="68"/>
      <c r="BR1451" s="68"/>
      <c r="BS1451" s="68"/>
      <c r="BT1451" s="68"/>
      <c r="BU1451" s="68"/>
      <c r="BV1451" s="68"/>
      <c r="BW1451" s="68"/>
      <c r="BX1451" s="68"/>
      <c r="BY1451" s="68"/>
      <c r="BZ1451" s="68"/>
      <c r="CA1451" s="68"/>
      <c r="CB1451" s="68"/>
      <c r="CC1451" s="68"/>
      <c r="CD1451" s="68"/>
      <c r="CE1451" s="68"/>
      <c r="CF1451" s="68"/>
      <c r="CG1451" s="68"/>
      <c r="CH1451" s="68"/>
      <c r="CI1451" s="68"/>
      <c r="CJ1451" s="68"/>
      <c r="CK1451" s="68"/>
      <c r="CL1451" s="68"/>
      <c r="CM1451" s="68"/>
      <c r="CN1451" s="68"/>
      <c r="CO1451" s="68"/>
      <c r="CP1451" s="68"/>
    </row>
    <row r="1452" ht="15.75" customHeight="1">
      <c r="A1452" s="21" t="s">
        <v>6795</v>
      </c>
      <c r="B1452" s="68"/>
      <c r="C1452" s="69" t="s">
        <v>123</v>
      </c>
      <c r="D1452" s="138" t="s">
        <v>6796</v>
      </c>
      <c r="E1452" s="138" t="s">
        <v>6797</v>
      </c>
      <c r="F1452" s="173" t="s">
        <v>6798</v>
      </c>
      <c r="G1452" s="71" t="s">
        <v>3996</v>
      </c>
      <c r="H1452" s="71" t="s">
        <v>6799</v>
      </c>
      <c r="I1452" s="26" t="s">
        <v>257</v>
      </c>
      <c r="J1452" s="155"/>
      <c r="K1452" s="26">
        <v>3.0</v>
      </c>
      <c r="L1452" s="26">
        <v>2014.0</v>
      </c>
      <c r="M1452" s="25">
        <f t="shared" si="789"/>
        <v>11</v>
      </c>
      <c r="N1452" s="26">
        <f t="shared" si="790"/>
        <v>0</v>
      </c>
      <c r="O1452" s="27" t="str">
        <f t="shared" si="3"/>
        <v>#N/A</v>
      </c>
      <c r="P1452" s="28"/>
      <c r="Q1452" s="28"/>
      <c r="R1452" s="28"/>
      <c r="S1452" s="28"/>
      <c r="T1452" s="29">
        <f t="shared" si="791"/>
        <v>0</v>
      </c>
      <c r="U1452" s="28"/>
      <c r="V1452" s="30">
        <f t="shared" si="425"/>
        <v>0</v>
      </c>
      <c r="W1452" s="30"/>
      <c r="X1452" s="73"/>
      <c r="Y1452" s="33" t="str">
        <f t="shared" si="792"/>
        <v>#DIV/0!</v>
      </c>
      <c r="Z1452" s="692"/>
      <c r="AA1452" s="665"/>
      <c r="AB1452" s="74"/>
      <c r="AC1452" s="74"/>
      <c r="AD1452" s="44"/>
      <c r="AE1452" s="46"/>
      <c r="AF1452" s="39"/>
      <c r="AG1452" s="46"/>
      <c r="AH1452" s="36"/>
      <c r="AI1452" s="159"/>
      <c r="AJ1452" s="44"/>
      <c r="AK1452" s="46"/>
      <c r="AL1452" s="44"/>
      <c r="AM1452" s="46"/>
      <c r="AN1452" s="44"/>
      <c r="AO1452" s="46"/>
      <c r="AP1452" s="44"/>
      <c r="AQ1452" s="46"/>
      <c r="AR1452" s="44"/>
      <c r="AS1452" s="44"/>
      <c r="AT1452" s="44"/>
      <c r="AU1452" s="45"/>
      <c r="AV1452" s="44"/>
      <c r="AW1452" s="38"/>
      <c r="AX1452" s="44"/>
      <c r="AY1452" s="38"/>
      <c r="AZ1452" s="44"/>
      <c r="BA1452" s="45"/>
      <c r="BB1452" s="44"/>
      <c r="BC1452" s="45"/>
      <c r="BD1452" s="44"/>
      <c r="BE1452" s="38"/>
      <c r="BF1452" s="36"/>
      <c r="BG1452" s="1644"/>
      <c r="BH1452" s="1644"/>
      <c r="BI1452" s="1644"/>
      <c r="BJ1452" s="1644"/>
      <c r="BK1452" s="1644"/>
      <c r="BL1452" s="1644"/>
      <c r="BM1452" s="1644"/>
      <c r="BN1452" s="1644"/>
      <c r="BO1452" s="1644"/>
      <c r="BP1452" s="1644"/>
      <c r="BQ1452" s="1644"/>
      <c r="BR1452" s="1644"/>
      <c r="BS1452" s="1644"/>
      <c r="BT1452" s="1644"/>
      <c r="BU1452" s="1644"/>
      <c r="BV1452" s="1644"/>
      <c r="BW1452" s="1644"/>
      <c r="BX1452" s="1644"/>
      <c r="BY1452" s="1644"/>
      <c r="BZ1452" s="1644"/>
      <c r="CA1452" s="1644"/>
      <c r="CB1452" s="1644"/>
      <c r="CC1452" s="1644"/>
      <c r="CD1452" s="1644"/>
      <c r="CE1452" s="1644"/>
      <c r="CF1452" s="1644"/>
      <c r="CG1452" s="1644"/>
      <c r="CH1452" s="1644"/>
      <c r="CI1452" s="1644"/>
      <c r="CJ1452" s="1644"/>
      <c r="CK1452" s="1644"/>
      <c r="CL1452" s="1644"/>
      <c r="CM1452" s="1644"/>
      <c r="CN1452" s="1644"/>
      <c r="CO1452" s="1644"/>
      <c r="CP1452" s="1644"/>
    </row>
    <row r="1453" ht="15.75" customHeight="1">
      <c r="A1453" s="21" t="s">
        <v>6800</v>
      </c>
      <c r="B1453" s="68"/>
      <c r="C1453" s="69" t="s">
        <v>123</v>
      </c>
      <c r="D1453" s="192" t="s">
        <v>6801</v>
      </c>
      <c r="E1453" s="192" t="s">
        <v>6802</v>
      </c>
      <c r="F1453" s="173" t="s">
        <v>6803</v>
      </c>
      <c r="G1453" s="186"/>
      <c r="H1453" s="71" t="s">
        <v>937</v>
      </c>
      <c r="I1453" s="26" t="s">
        <v>65</v>
      </c>
      <c r="J1453" s="155"/>
      <c r="K1453" s="26"/>
      <c r="L1453" s="26">
        <v>2013.0</v>
      </c>
      <c r="M1453" s="25">
        <f t="shared" si="789"/>
        <v>12</v>
      </c>
      <c r="N1453" s="26">
        <f t="shared" si="790"/>
        <v>0</v>
      </c>
      <c r="O1453" s="27" t="str">
        <f t="shared" si="3"/>
        <v>#N/A</v>
      </c>
      <c r="P1453" s="28"/>
      <c r="Q1453" s="28"/>
      <c r="R1453" s="28"/>
      <c r="S1453" s="28"/>
      <c r="T1453" s="29">
        <f t="shared" si="791"/>
        <v>0</v>
      </c>
      <c r="U1453" s="28"/>
      <c r="V1453" s="30">
        <f t="shared" si="425"/>
        <v>0</v>
      </c>
      <c r="W1453" s="30"/>
      <c r="X1453" s="73"/>
      <c r="Y1453" s="33" t="str">
        <f t="shared" si="792"/>
        <v>#DIV/0!</v>
      </c>
      <c r="Z1453" s="692"/>
      <c r="AA1453" s="665"/>
      <c r="AB1453" s="74"/>
      <c r="AC1453" s="74"/>
      <c r="AD1453" s="37"/>
      <c r="AE1453" s="38"/>
      <c r="AF1453" s="39"/>
      <c r="AG1453" s="46"/>
      <c r="AH1453" s="36"/>
      <c r="AI1453" s="159"/>
      <c r="AJ1453" s="44"/>
      <c r="AK1453" s="46"/>
      <c r="AL1453" s="44"/>
      <c r="AM1453" s="46"/>
      <c r="AN1453" s="44"/>
      <c r="AO1453" s="46"/>
      <c r="AP1453" s="44"/>
      <c r="AQ1453" s="46"/>
      <c r="AR1453" s="44"/>
      <c r="AS1453" s="44"/>
      <c r="AT1453" s="44"/>
      <c r="AU1453" s="45"/>
      <c r="AV1453" s="44"/>
      <c r="AW1453" s="38"/>
      <c r="AX1453" s="44"/>
      <c r="AY1453" s="38"/>
      <c r="AZ1453" s="44"/>
      <c r="BA1453" s="45"/>
      <c r="BB1453" s="44"/>
      <c r="BC1453" s="45"/>
      <c r="BD1453" s="44"/>
      <c r="BE1453" s="38"/>
      <c r="BF1453" s="36"/>
      <c r="BG1453" s="68"/>
      <c r="BH1453" s="68"/>
      <c r="BI1453" s="68"/>
      <c r="BJ1453" s="68"/>
      <c r="BK1453" s="68"/>
      <c r="BL1453" s="68"/>
      <c r="BM1453" s="68"/>
      <c r="BN1453" s="68"/>
      <c r="BO1453" s="68"/>
      <c r="BP1453" s="68"/>
      <c r="BQ1453" s="68"/>
      <c r="BR1453" s="68"/>
      <c r="BS1453" s="68"/>
      <c r="BT1453" s="68"/>
      <c r="BU1453" s="68"/>
      <c r="BV1453" s="68"/>
      <c r="BW1453" s="68"/>
      <c r="BX1453" s="68"/>
      <c r="BY1453" s="68"/>
      <c r="BZ1453" s="68"/>
      <c r="CA1453" s="68"/>
      <c r="CB1453" s="68"/>
      <c r="CC1453" s="68"/>
      <c r="CD1453" s="68"/>
      <c r="CE1453" s="68"/>
      <c r="CF1453" s="68"/>
      <c r="CG1453" s="68"/>
      <c r="CH1453" s="68"/>
      <c r="CI1453" s="68"/>
      <c r="CJ1453" s="68"/>
      <c r="CK1453" s="68"/>
      <c r="CL1453" s="68"/>
      <c r="CM1453" s="68"/>
      <c r="CN1453" s="68"/>
      <c r="CO1453" s="68"/>
      <c r="CP1453" s="68"/>
    </row>
    <row r="1454" ht="15.75" customHeight="1">
      <c r="A1454" s="21" t="s">
        <v>6804</v>
      </c>
      <c r="B1454" s="68"/>
      <c r="C1454" s="69" t="s">
        <v>6805</v>
      </c>
      <c r="D1454" s="184"/>
      <c r="E1454" s="200" t="s">
        <v>6806</v>
      </c>
      <c r="F1454" s="154" t="s">
        <v>6807</v>
      </c>
      <c r="G1454" s="186"/>
      <c r="H1454" s="186"/>
      <c r="I1454" s="74"/>
      <c r="J1454" s="155"/>
      <c r="K1454" s="26">
        <v>1.0</v>
      </c>
      <c r="L1454" s="142">
        <v>2014.0</v>
      </c>
      <c r="M1454" s="25">
        <f t="shared" si="789"/>
        <v>11</v>
      </c>
      <c r="N1454" s="26">
        <f t="shared" si="790"/>
        <v>0</v>
      </c>
      <c r="O1454" s="27" t="str">
        <f t="shared" si="3"/>
        <v>#N/A</v>
      </c>
      <c r="P1454" s="28"/>
      <c r="Q1454" s="28"/>
      <c r="R1454" s="28"/>
      <c r="S1454" s="28"/>
      <c r="T1454" s="29">
        <f t="shared" si="791"/>
        <v>0</v>
      </c>
      <c r="U1454" s="28"/>
      <c r="V1454" s="30">
        <f t="shared" si="425"/>
        <v>0</v>
      </c>
      <c r="W1454" s="30"/>
      <c r="X1454" s="73"/>
      <c r="Y1454" s="33" t="str">
        <f t="shared" si="792"/>
        <v>#DIV/0!</v>
      </c>
      <c r="Z1454" s="692"/>
      <c r="AA1454" s="665"/>
      <c r="AB1454" s="74"/>
      <c r="AC1454" s="74"/>
      <c r="AD1454" s="44"/>
      <c r="AE1454" s="46"/>
      <c r="AF1454" s="39"/>
      <c r="AG1454" s="46"/>
      <c r="AH1454" s="36"/>
      <c r="AI1454" s="159"/>
      <c r="AJ1454" s="44"/>
      <c r="AK1454" s="46"/>
      <c r="AL1454" s="44"/>
      <c r="AM1454" s="46"/>
      <c r="AN1454" s="44"/>
      <c r="AO1454" s="46"/>
      <c r="AP1454" s="44"/>
      <c r="AQ1454" s="46"/>
      <c r="AR1454" s="44"/>
      <c r="AS1454" s="44"/>
      <c r="AT1454" s="44"/>
      <c r="AU1454" s="45"/>
      <c r="AV1454" s="44"/>
      <c r="AW1454" s="38"/>
      <c r="AX1454" s="44"/>
      <c r="AY1454" s="38"/>
      <c r="AZ1454" s="44"/>
      <c r="BA1454" s="45"/>
      <c r="BB1454" s="44"/>
      <c r="BC1454" s="45"/>
      <c r="BD1454" s="44"/>
      <c r="BE1454" s="38"/>
      <c r="BF1454" s="36"/>
      <c r="BG1454" s="68"/>
      <c r="BH1454" s="68"/>
      <c r="BI1454" s="68"/>
      <c r="BJ1454" s="68"/>
      <c r="BK1454" s="68"/>
      <c r="BL1454" s="68"/>
      <c r="BM1454" s="68"/>
      <c r="BN1454" s="68"/>
      <c r="BO1454" s="68"/>
      <c r="BP1454" s="68"/>
      <c r="BQ1454" s="68"/>
      <c r="BR1454" s="68"/>
      <c r="BS1454" s="68"/>
      <c r="BT1454" s="68"/>
      <c r="BU1454" s="68"/>
      <c r="BV1454" s="68"/>
      <c r="BW1454" s="68"/>
      <c r="BX1454" s="68"/>
      <c r="BY1454" s="68"/>
      <c r="BZ1454" s="68"/>
      <c r="CA1454" s="68"/>
      <c r="CB1454" s="68"/>
      <c r="CC1454" s="68"/>
      <c r="CD1454" s="68"/>
      <c r="CE1454" s="68"/>
      <c r="CF1454" s="68"/>
      <c r="CG1454" s="68"/>
      <c r="CH1454" s="68"/>
      <c r="CI1454" s="68"/>
      <c r="CJ1454" s="68"/>
      <c r="CK1454" s="68"/>
      <c r="CL1454" s="68"/>
      <c r="CM1454" s="68"/>
      <c r="CN1454" s="68"/>
      <c r="CO1454" s="68"/>
      <c r="CP1454" s="68"/>
    </row>
    <row r="1455" ht="15.75" customHeight="1">
      <c r="A1455" s="21" t="s">
        <v>6808</v>
      </c>
      <c r="B1455" s="68"/>
      <c r="C1455" s="69" t="s">
        <v>207</v>
      </c>
      <c r="D1455" s="184"/>
      <c r="E1455" s="138" t="s">
        <v>6809</v>
      </c>
      <c r="F1455" s="173" t="s">
        <v>6810</v>
      </c>
      <c r="G1455" s="71" t="s">
        <v>6811</v>
      </c>
      <c r="H1455" s="71" t="s">
        <v>328</v>
      </c>
      <c r="I1455" s="1401" t="s">
        <v>328</v>
      </c>
      <c r="J1455" s="155"/>
      <c r="K1455" s="26">
        <v>1.0</v>
      </c>
      <c r="L1455" s="26">
        <v>2017.0</v>
      </c>
      <c r="M1455" s="25">
        <f t="shared" si="789"/>
        <v>8</v>
      </c>
      <c r="N1455" s="26">
        <f t="shared" si="790"/>
        <v>0</v>
      </c>
      <c r="O1455" s="27" t="str">
        <f t="shared" si="3"/>
        <v>#N/A</v>
      </c>
      <c r="P1455" s="28"/>
      <c r="Q1455" s="28"/>
      <c r="R1455" s="28"/>
      <c r="S1455" s="28"/>
      <c r="T1455" s="29">
        <f t="shared" si="791"/>
        <v>0</v>
      </c>
      <c r="U1455" s="28"/>
      <c r="V1455" s="30">
        <f t="shared" si="425"/>
        <v>0</v>
      </c>
      <c r="W1455" s="30"/>
      <c r="X1455" s="73"/>
      <c r="Y1455" s="33" t="str">
        <f t="shared" si="792"/>
        <v>#DIV/0!</v>
      </c>
      <c r="Z1455" s="692"/>
      <c r="AA1455" s="665"/>
      <c r="AB1455" s="74"/>
      <c r="AC1455" s="74"/>
      <c r="AD1455" s="44"/>
      <c r="AE1455" s="46"/>
      <c r="AF1455" s="158" t="str">
        <f>HYPERLINK("https://www.crunchbase.com/organization/district-technologies#section-lists-featuring-this-company"," Jan 1, 2018")</f>
        <v> Jan 1, 2018</v>
      </c>
      <c r="AG1455" s="38"/>
      <c r="AH1455" s="36"/>
      <c r="AI1455" s="159"/>
      <c r="AJ1455" s="44"/>
      <c r="AK1455" s="46"/>
      <c r="AL1455" s="44"/>
      <c r="AM1455" s="46"/>
      <c r="AN1455" s="44"/>
      <c r="AO1455" s="46"/>
      <c r="AP1455" s="44"/>
      <c r="AQ1455" s="46"/>
      <c r="AR1455" s="44"/>
      <c r="AS1455" s="44"/>
      <c r="AT1455" s="44"/>
      <c r="AU1455" s="45"/>
      <c r="AV1455" s="44"/>
      <c r="AW1455" s="38"/>
      <c r="AX1455" s="44"/>
      <c r="AY1455" s="38"/>
      <c r="AZ1455" s="44"/>
      <c r="BA1455" s="45"/>
      <c r="BB1455" s="44"/>
      <c r="BC1455" s="45"/>
      <c r="BD1455" s="44"/>
      <c r="BE1455" s="38"/>
      <c r="BF1455" s="36"/>
      <c r="BG1455" s="68"/>
      <c r="BH1455" s="68"/>
      <c r="BI1455" s="68"/>
      <c r="BJ1455" s="68"/>
      <c r="BK1455" s="68"/>
      <c r="BL1455" s="68"/>
      <c r="BM1455" s="68"/>
      <c r="BN1455" s="68"/>
      <c r="BO1455" s="68"/>
      <c r="BP1455" s="68"/>
      <c r="BQ1455" s="68"/>
      <c r="BR1455" s="68"/>
      <c r="BS1455" s="68"/>
      <c r="BT1455" s="68"/>
      <c r="BU1455" s="68"/>
      <c r="BV1455" s="68"/>
      <c r="BW1455" s="68"/>
      <c r="BX1455" s="68"/>
      <c r="BY1455" s="68"/>
      <c r="BZ1455" s="68"/>
      <c r="CA1455" s="68"/>
      <c r="CB1455" s="68"/>
      <c r="CC1455" s="68"/>
      <c r="CD1455" s="68"/>
      <c r="CE1455" s="68"/>
      <c r="CF1455" s="68"/>
      <c r="CG1455" s="68"/>
      <c r="CH1455" s="68"/>
      <c r="CI1455" s="68"/>
      <c r="CJ1455" s="68"/>
      <c r="CK1455" s="68"/>
      <c r="CL1455" s="68"/>
      <c r="CM1455" s="68"/>
      <c r="CN1455" s="68"/>
      <c r="CO1455" s="68"/>
      <c r="CP1455" s="68"/>
    </row>
    <row r="1456" ht="15.75" customHeight="1">
      <c r="A1456" s="892" t="s">
        <v>6812</v>
      </c>
      <c r="B1456" s="69"/>
      <c r="C1456" s="69" t="s">
        <v>123</v>
      </c>
      <c r="D1456" s="192" t="s">
        <v>6813</v>
      </c>
      <c r="E1456" s="184"/>
      <c r="F1456" s="118" t="s">
        <v>6814</v>
      </c>
      <c r="G1456" s="140"/>
      <c r="H1456" s="71"/>
      <c r="I1456" s="26"/>
      <c r="J1456" s="155"/>
      <c r="K1456" s="123"/>
      <c r="L1456" s="74"/>
      <c r="M1456" s="25">
        <f t="shared" si="789"/>
        <v>2025</v>
      </c>
      <c r="N1456" s="26">
        <f t="shared" si="790"/>
        <v>0</v>
      </c>
      <c r="O1456" s="27" t="str">
        <f t="shared" si="3"/>
        <v>#N/A</v>
      </c>
      <c r="P1456" s="28"/>
      <c r="Q1456" s="28"/>
      <c r="R1456" s="28"/>
      <c r="S1456" s="28"/>
      <c r="T1456" s="29">
        <f t="shared" si="791"/>
        <v>0</v>
      </c>
      <c r="U1456" s="28"/>
      <c r="V1456" s="30">
        <f t="shared" si="425"/>
        <v>0</v>
      </c>
      <c r="W1456" s="30"/>
      <c r="X1456" s="403"/>
      <c r="Y1456" s="33" t="str">
        <f t="shared" si="792"/>
        <v>#DIV/0!</v>
      </c>
      <c r="Z1456" s="692"/>
      <c r="AA1456" s="665"/>
      <c r="AB1456" s="74"/>
      <c r="AC1456" s="74"/>
      <c r="AD1456" s="44"/>
      <c r="AE1456" s="46"/>
      <c r="AF1456" s="39"/>
      <c r="AG1456" s="46"/>
      <c r="AH1456" s="36"/>
      <c r="AI1456" s="159"/>
      <c r="AJ1456" s="44"/>
      <c r="AK1456" s="46"/>
      <c r="AL1456" s="44"/>
      <c r="AM1456" s="46"/>
      <c r="AN1456" s="44"/>
      <c r="AO1456" s="46"/>
      <c r="AP1456" s="44"/>
      <c r="AQ1456" s="46"/>
      <c r="AR1456" s="44"/>
      <c r="AS1456" s="44"/>
      <c r="AT1456" s="44"/>
      <c r="AU1456" s="45"/>
      <c r="AV1456" s="44"/>
      <c r="AW1456" s="38"/>
      <c r="AX1456" s="44"/>
      <c r="AY1456" s="38"/>
      <c r="AZ1456" s="44"/>
      <c r="BA1456" s="45"/>
      <c r="BB1456" s="44"/>
      <c r="BC1456" s="45"/>
      <c r="BD1456" s="44"/>
      <c r="BE1456" s="38"/>
      <c r="BF1456" s="36"/>
      <c r="BG1456" s="68"/>
      <c r="BH1456" s="68"/>
      <c r="BI1456" s="68"/>
      <c r="BJ1456" s="68"/>
      <c r="BK1456" s="68"/>
      <c r="BL1456" s="68"/>
      <c r="BM1456" s="68"/>
      <c r="BN1456" s="68"/>
      <c r="BO1456" s="68"/>
      <c r="BP1456" s="68"/>
      <c r="BQ1456" s="68"/>
      <c r="BR1456" s="68"/>
      <c r="BS1456" s="68"/>
      <c r="BT1456" s="68"/>
      <c r="BU1456" s="68"/>
      <c r="BV1456" s="68"/>
      <c r="BW1456" s="68"/>
      <c r="BX1456" s="68"/>
      <c r="BY1456" s="68"/>
      <c r="BZ1456" s="68"/>
      <c r="CA1456" s="68"/>
      <c r="CB1456" s="68"/>
      <c r="CC1456" s="68"/>
      <c r="CD1456" s="68"/>
      <c r="CE1456" s="68"/>
      <c r="CF1456" s="68"/>
      <c r="CG1456" s="68"/>
      <c r="CH1456" s="68"/>
      <c r="CI1456" s="68"/>
      <c r="CJ1456" s="68"/>
      <c r="CK1456" s="68"/>
      <c r="CL1456" s="68"/>
      <c r="CM1456" s="68"/>
      <c r="CN1456" s="68"/>
      <c r="CO1456" s="68"/>
      <c r="CP1456" s="68"/>
    </row>
    <row r="1457" ht="15.75" customHeight="1">
      <c r="A1457" s="21" t="s">
        <v>6815</v>
      </c>
      <c r="B1457" s="69" t="s">
        <v>6816</v>
      </c>
      <c r="C1457" s="69" t="s">
        <v>132</v>
      </c>
      <c r="D1457" s="138" t="s">
        <v>6817</v>
      </c>
      <c r="E1457" s="184"/>
      <c r="F1457" s="154" t="s">
        <v>6818</v>
      </c>
      <c r="G1457" s="140" t="s">
        <v>6819</v>
      </c>
      <c r="H1457" s="71" t="s">
        <v>6820</v>
      </c>
      <c r="I1457" s="26" t="s">
        <v>601</v>
      </c>
      <c r="J1457" s="155"/>
      <c r="K1457" s="123" t="s">
        <v>723</v>
      </c>
      <c r="L1457" s="74" t="s">
        <v>723</v>
      </c>
      <c r="M1457" s="25" t="str">
        <f t="shared" si="789"/>
        <v>#VALUE!</v>
      </c>
      <c r="N1457" s="26">
        <f t="shared" si="790"/>
        <v>0</v>
      </c>
      <c r="O1457" s="27" t="str">
        <f t="shared" si="3"/>
        <v>#N/A</v>
      </c>
      <c r="P1457" s="28"/>
      <c r="Q1457" s="28"/>
      <c r="R1457" s="28"/>
      <c r="S1457" s="28"/>
      <c r="T1457" s="28" t="str">
        <f t="shared" si="791"/>
        <v>#VALUE!</v>
      </c>
      <c r="U1457" s="28"/>
      <c r="V1457" s="30">
        <f t="shared" si="425"/>
        <v>0</v>
      </c>
      <c r="W1457" s="30"/>
      <c r="X1457" s="403"/>
      <c r="Y1457" s="33" t="str">
        <f t="shared" si="792"/>
        <v>#DIV/0!</v>
      </c>
      <c r="Z1457" s="692"/>
      <c r="AA1457" s="665"/>
      <c r="AB1457" s="74"/>
      <c r="AC1457" s="74"/>
      <c r="AD1457" s="44"/>
      <c r="AE1457" s="46"/>
      <c r="AF1457" s="39"/>
      <c r="AG1457" s="46"/>
      <c r="AH1457" s="36"/>
      <c r="AI1457" s="159"/>
      <c r="AJ1457" s="44"/>
      <c r="AK1457" s="46"/>
      <c r="AL1457" s="44"/>
      <c r="AM1457" s="46"/>
      <c r="AN1457" s="44"/>
      <c r="AO1457" s="46"/>
      <c r="AP1457" s="44"/>
      <c r="AQ1457" s="46"/>
      <c r="AR1457" s="44"/>
      <c r="AS1457" s="44"/>
      <c r="AT1457" s="44"/>
      <c r="AU1457" s="45"/>
      <c r="AV1457" s="44"/>
      <c r="AW1457" s="38"/>
      <c r="AX1457" s="44"/>
      <c r="AY1457" s="38"/>
      <c r="AZ1457" s="44"/>
      <c r="BA1457" s="45"/>
      <c r="BB1457" s="44"/>
      <c r="BC1457" s="45"/>
      <c r="BD1457" s="44"/>
      <c r="BE1457" s="38"/>
      <c r="BF1457" s="36"/>
      <c r="BG1457" s="68"/>
      <c r="BH1457" s="68"/>
      <c r="BI1457" s="68"/>
      <c r="BJ1457" s="68"/>
      <c r="BK1457" s="68"/>
      <c r="BL1457" s="68"/>
      <c r="BM1457" s="68"/>
      <c r="BN1457" s="68"/>
      <c r="BO1457" s="68"/>
      <c r="BP1457" s="68"/>
      <c r="BQ1457" s="68"/>
      <c r="BR1457" s="68"/>
      <c r="BS1457" s="68"/>
      <c r="BT1457" s="68"/>
      <c r="BU1457" s="68"/>
      <c r="BV1457" s="68"/>
      <c r="BW1457" s="68"/>
      <c r="BX1457" s="68"/>
      <c r="BY1457" s="68"/>
      <c r="BZ1457" s="68"/>
      <c r="CA1457" s="68"/>
      <c r="CB1457" s="68"/>
      <c r="CC1457" s="68"/>
      <c r="CD1457" s="68"/>
      <c r="CE1457" s="68"/>
      <c r="CF1457" s="68"/>
      <c r="CG1457" s="68"/>
      <c r="CH1457" s="68"/>
      <c r="CI1457" s="68"/>
      <c r="CJ1457" s="68"/>
      <c r="CK1457" s="68"/>
      <c r="CL1457" s="68"/>
      <c r="CM1457" s="68"/>
      <c r="CN1457" s="68"/>
      <c r="CO1457" s="68"/>
      <c r="CP1457" s="68"/>
    </row>
    <row r="1458" ht="15.75" customHeight="1">
      <c r="A1458" s="21" t="s">
        <v>6821</v>
      </c>
      <c r="B1458" s="68"/>
      <c r="C1458" s="68"/>
      <c r="D1458" s="138" t="s">
        <v>6822</v>
      </c>
      <c r="E1458" s="184"/>
      <c r="F1458" s="185"/>
      <c r="G1458" s="186"/>
      <c r="H1458" s="186"/>
      <c r="I1458" s="74"/>
      <c r="J1458" s="155"/>
      <c r="K1458" s="74" t="s">
        <v>723</v>
      </c>
      <c r="L1458" s="74" t="s">
        <v>723</v>
      </c>
      <c r="M1458" s="25" t="str">
        <f t="shared" si="789"/>
        <v>#VALUE!</v>
      </c>
      <c r="N1458" s="26">
        <f t="shared" si="790"/>
        <v>0</v>
      </c>
      <c r="O1458" s="27" t="str">
        <f t="shared" si="3"/>
        <v>#N/A</v>
      </c>
      <c r="P1458" s="28"/>
      <c r="Q1458" s="28"/>
      <c r="R1458" s="28"/>
      <c r="S1458" s="28"/>
      <c r="T1458" s="28" t="str">
        <f t="shared" si="791"/>
        <v>#VALUE!</v>
      </c>
      <c r="U1458" s="28"/>
      <c r="V1458" s="30">
        <f t="shared" si="425"/>
        <v>0</v>
      </c>
      <c r="W1458" s="30"/>
      <c r="X1458" s="32"/>
      <c r="Y1458" s="33" t="str">
        <f t="shared" si="792"/>
        <v>#DIV/0!</v>
      </c>
      <c r="Z1458" s="692"/>
      <c r="AA1458" s="665"/>
      <c r="AB1458" s="74"/>
      <c r="AC1458" s="74"/>
      <c r="AD1458" s="44"/>
      <c r="AE1458" s="46"/>
      <c r="AF1458" s="39"/>
      <c r="AG1458" s="46"/>
      <c r="AH1458" s="36"/>
      <c r="AI1458" s="159"/>
      <c r="AJ1458" s="44"/>
      <c r="AK1458" s="46"/>
      <c r="AL1458" s="44"/>
      <c r="AM1458" s="46"/>
      <c r="AN1458" s="44"/>
      <c r="AO1458" s="46"/>
      <c r="AP1458" s="44"/>
      <c r="AQ1458" s="46"/>
      <c r="AR1458" s="44"/>
      <c r="AS1458" s="44"/>
      <c r="AT1458" s="44"/>
      <c r="AU1458" s="45"/>
      <c r="AV1458" s="44"/>
      <c r="AW1458" s="38"/>
      <c r="AX1458" s="44"/>
      <c r="AY1458" s="38"/>
      <c r="AZ1458" s="44"/>
      <c r="BA1458" s="45"/>
      <c r="BB1458" s="44"/>
      <c r="BC1458" s="45"/>
      <c r="BD1458" s="44"/>
      <c r="BE1458" s="38"/>
      <c r="BF1458" s="36"/>
      <c r="BG1458" s="68"/>
      <c r="BH1458" s="68"/>
      <c r="BI1458" s="68"/>
      <c r="BJ1458" s="68"/>
      <c r="BK1458" s="68"/>
      <c r="BL1458" s="68"/>
      <c r="BM1458" s="68"/>
      <c r="BN1458" s="68"/>
      <c r="BO1458" s="68"/>
      <c r="BP1458" s="68"/>
      <c r="BQ1458" s="68"/>
      <c r="BR1458" s="68"/>
      <c r="BS1458" s="68"/>
      <c r="BT1458" s="68"/>
      <c r="BU1458" s="68"/>
      <c r="BV1458" s="68"/>
      <c r="BW1458" s="68"/>
      <c r="BX1458" s="68"/>
      <c r="BY1458" s="68"/>
      <c r="BZ1458" s="68"/>
      <c r="CA1458" s="68"/>
      <c r="CB1458" s="68"/>
      <c r="CC1458" s="68"/>
      <c r="CD1458" s="68"/>
      <c r="CE1458" s="68"/>
      <c r="CF1458" s="68"/>
      <c r="CG1458" s="68"/>
      <c r="CH1458" s="68"/>
      <c r="CI1458" s="68"/>
      <c r="CJ1458" s="68"/>
      <c r="CK1458" s="68"/>
      <c r="CL1458" s="68"/>
      <c r="CM1458" s="68"/>
      <c r="CN1458" s="68"/>
      <c r="CO1458" s="68"/>
      <c r="CP1458" s="68"/>
    </row>
    <row r="1459" ht="15.75" customHeight="1">
      <c r="A1459" s="892" t="s">
        <v>6823</v>
      </c>
      <c r="B1459" s="115"/>
      <c r="C1459" s="116" t="s">
        <v>427</v>
      </c>
      <c r="D1459" s="731" t="s">
        <v>4781</v>
      </c>
      <c r="E1459" s="1199" t="s">
        <v>4781</v>
      </c>
      <c r="F1459" s="118" t="s">
        <v>6824</v>
      </c>
      <c r="G1459" s="543"/>
      <c r="H1459" s="47" t="s">
        <v>1109</v>
      </c>
      <c r="I1459" s="25" t="s">
        <v>959</v>
      </c>
      <c r="J1459" s="178"/>
      <c r="K1459" s="25"/>
      <c r="L1459" s="25">
        <v>2019.0</v>
      </c>
      <c r="M1459" s="25">
        <f t="shared" si="789"/>
        <v>6</v>
      </c>
      <c r="N1459" s="26">
        <f t="shared" si="790"/>
        <v>0</v>
      </c>
      <c r="O1459" s="27" t="str">
        <f t="shared" si="3"/>
        <v>#N/A</v>
      </c>
      <c r="P1459" s="28"/>
      <c r="Q1459" s="28"/>
      <c r="R1459" s="28"/>
      <c r="S1459" s="28"/>
      <c r="T1459" s="29">
        <f t="shared" si="791"/>
        <v>0</v>
      </c>
      <c r="U1459" s="28"/>
      <c r="V1459" s="30">
        <f t="shared" si="425"/>
        <v>0</v>
      </c>
      <c r="W1459" s="30"/>
      <c r="X1459" s="597"/>
      <c r="Y1459" s="33" t="str">
        <f t="shared" si="792"/>
        <v>#DIV/0!</v>
      </c>
      <c r="Z1459" s="692"/>
      <c r="AA1459" s="665"/>
      <c r="AB1459" s="123"/>
      <c r="AC1459" s="123"/>
      <c r="AD1459" s="322"/>
      <c r="AE1459" s="323"/>
      <c r="AF1459" s="1595"/>
      <c r="AG1459" s="1681"/>
      <c r="AH1459" s="326"/>
      <c r="AI1459" s="327"/>
      <c r="AJ1459" s="322"/>
      <c r="AK1459" s="323"/>
      <c r="AL1459" s="322"/>
      <c r="AM1459" s="325"/>
      <c r="AN1459" s="322"/>
      <c r="AO1459" s="323"/>
      <c r="AP1459" s="322"/>
      <c r="AQ1459" s="323"/>
      <c r="AR1459" s="322"/>
      <c r="AS1459" s="322"/>
      <c r="AT1459" s="322"/>
      <c r="AU1459" s="335"/>
      <c r="AV1459" s="322"/>
      <c r="AW1459" s="38"/>
      <c r="AX1459" s="322"/>
      <c r="AY1459" s="38"/>
      <c r="AZ1459" s="322"/>
      <c r="BA1459" s="335"/>
      <c r="BB1459" s="322"/>
      <c r="BC1459" s="335"/>
      <c r="BD1459" s="322"/>
      <c r="BE1459" s="38"/>
      <c r="BF1459" s="326"/>
      <c r="BG1459" s="723"/>
      <c r="BH1459" s="723"/>
      <c r="BI1459" s="723"/>
      <c r="BJ1459" s="723"/>
      <c r="BK1459" s="723"/>
      <c r="BL1459" s="723"/>
      <c r="BM1459" s="723"/>
      <c r="BN1459" s="723"/>
      <c r="BO1459" s="723"/>
      <c r="BP1459" s="723"/>
      <c r="BQ1459" s="723"/>
      <c r="BR1459" s="723"/>
      <c r="BS1459" s="723"/>
      <c r="BT1459" s="723"/>
      <c r="BU1459" s="723"/>
      <c r="BV1459" s="723"/>
      <c r="BW1459" s="723"/>
      <c r="BX1459" s="723"/>
      <c r="BY1459" s="723"/>
      <c r="BZ1459" s="723"/>
      <c r="CA1459" s="723"/>
      <c r="CB1459" s="723"/>
      <c r="CC1459" s="723"/>
      <c r="CD1459" s="723"/>
      <c r="CE1459" s="723"/>
      <c r="CF1459" s="723"/>
      <c r="CG1459" s="723"/>
      <c r="CH1459" s="723"/>
      <c r="CI1459" s="723"/>
      <c r="CJ1459" s="723"/>
      <c r="CK1459" s="723"/>
      <c r="CL1459" s="723"/>
      <c r="CM1459" s="723"/>
      <c r="CN1459" s="723"/>
      <c r="CO1459" s="723"/>
      <c r="CP1459" s="723"/>
    </row>
    <row r="1460" ht="15.75" customHeight="1">
      <c r="A1460" s="21" t="s">
        <v>6825</v>
      </c>
      <c r="B1460" s="68"/>
      <c r="C1460" s="116" t="s">
        <v>132</v>
      </c>
      <c r="D1460" s="192" t="s">
        <v>6826</v>
      </c>
      <c r="E1460" s="192" t="s">
        <v>6827</v>
      </c>
      <c r="F1460" s="428" t="s">
        <v>6828</v>
      </c>
      <c r="G1460" s="71" t="s">
        <v>6829</v>
      </c>
      <c r="H1460" s="493" t="s">
        <v>357</v>
      </c>
      <c r="I1460" s="26" t="s">
        <v>358</v>
      </c>
      <c r="J1460" s="494" t="s">
        <v>851</v>
      </c>
      <c r="K1460" s="26">
        <v>1.0</v>
      </c>
      <c r="L1460" s="26">
        <v>2016.0</v>
      </c>
      <c r="M1460" s="25">
        <f t="shared" si="789"/>
        <v>9</v>
      </c>
      <c r="N1460" s="26">
        <f t="shared" si="790"/>
        <v>0</v>
      </c>
      <c r="O1460" s="27" t="str">
        <f t="shared" si="3"/>
        <v>#N/A</v>
      </c>
      <c r="P1460" s="28"/>
      <c r="Q1460" s="28"/>
      <c r="R1460" s="28"/>
      <c r="S1460" s="28"/>
      <c r="T1460" s="29">
        <f t="shared" si="791"/>
        <v>0</v>
      </c>
      <c r="U1460" s="28"/>
      <c r="V1460" s="30">
        <f t="shared" si="425"/>
        <v>0</v>
      </c>
      <c r="W1460" s="30"/>
      <c r="X1460" s="73"/>
      <c r="Y1460" s="33" t="str">
        <f t="shared" si="792"/>
        <v>#DIV/0!</v>
      </c>
      <c r="Z1460" s="692"/>
      <c r="AA1460" s="665"/>
      <c r="AB1460" s="74"/>
      <c r="AC1460" s="74"/>
      <c r="AD1460" s="44"/>
      <c r="AE1460" s="46"/>
      <c r="AF1460" s="1502"/>
      <c r="AG1460" s="1141"/>
      <c r="AH1460" s="36"/>
      <c r="AI1460" s="159"/>
      <c r="AJ1460" s="44"/>
      <c r="AK1460" s="46"/>
      <c r="AL1460" s="44"/>
      <c r="AM1460" s="38"/>
      <c r="AN1460" s="44"/>
      <c r="AO1460" s="46"/>
      <c r="AP1460" s="44"/>
      <c r="AQ1460" s="46"/>
      <c r="AR1460" s="44"/>
      <c r="AS1460" s="44"/>
      <c r="AT1460" s="44"/>
      <c r="AU1460" s="45"/>
      <c r="AV1460" s="44"/>
      <c r="AW1460" s="38"/>
      <c r="AX1460" s="44"/>
      <c r="AY1460" s="38"/>
      <c r="AZ1460" s="44"/>
      <c r="BA1460" s="45"/>
      <c r="BB1460" s="44"/>
      <c r="BC1460" s="45"/>
      <c r="BD1460" s="44"/>
      <c r="BE1460" s="38"/>
      <c r="BF1460" s="36"/>
      <c r="BG1460" s="68"/>
      <c r="BH1460" s="68"/>
      <c r="BI1460" s="68"/>
      <c r="BJ1460" s="68"/>
      <c r="BK1460" s="68"/>
      <c r="BL1460" s="68"/>
      <c r="BM1460" s="68"/>
      <c r="BN1460" s="68"/>
      <c r="BO1460" s="68"/>
      <c r="BP1460" s="68"/>
      <c r="BQ1460" s="68"/>
      <c r="BR1460" s="68"/>
      <c r="BS1460" s="68"/>
      <c r="BT1460" s="68"/>
      <c r="BU1460" s="68"/>
      <c r="BV1460" s="68"/>
      <c r="BW1460" s="68"/>
      <c r="BX1460" s="68"/>
      <c r="BY1460" s="68"/>
      <c r="BZ1460" s="68"/>
      <c r="CA1460" s="68"/>
      <c r="CB1460" s="68"/>
      <c r="CC1460" s="68"/>
      <c r="CD1460" s="68"/>
      <c r="CE1460" s="68"/>
      <c r="CF1460" s="68"/>
      <c r="CG1460" s="68"/>
      <c r="CH1460" s="68"/>
      <c r="CI1460" s="68"/>
      <c r="CJ1460" s="68"/>
      <c r="CK1460" s="68"/>
      <c r="CL1460" s="68"/>
      <c r="CM1460" s="68"/>
      <c r="CN1460" s="68"/>
      <c r="CO1460" s="68"/>
      <c r="CP1460" s="68"/>
    </row>
    <row r="1461" ht="15.75" customHeight="1">
      <c r="A1461" s="892" t="s">
        <v>6830</v>
      </c>
      <c r="B1461" s="69"/>
      <c r="C1461" s="69" t="s">
        <v>5790</v>
      </c>
      <c r="D1461" s="192" t="s">
        <v>6831</v>
      </c>
      <c r="E1461" s="192" t="s">
        <v>6832</v>
      </c>
      <c r="F1461" s="118" t="s">
        <v>6833</v>
      </c>
      <c r="G1461" s="71"/>
      <c r="H1461" s="119" t="s">
        <v>4063</v>
      </c>
      <c r="I1461" s="25" t="s">
        <v>1788</v>
      </c>
      <c r="J1461" s="155"/>
      <c r="K1461" s="26"/>
      <c r="L1461" s="26">
        <v>2015.0</v>
      </c>
      <c r="M1461" s="25">
        <f t="shared" si="789"/>
        <v>10</v>
      </c>
      <c r="N1461" s="26">
        <f t="shared" si="790"/>
        <v>0</v>
      </c>
      <c r="O1461" s="27" t="str">
        <f t="shared" si="3"/>
        <v>#N/A</v>
      </c>
      <c r="P1461" s="28"/>
      <c r="Q1461" s="28"/>
      <c r="R1461" s="28"/>
      <c r="S1461" s="28"/>
      <c r="T1461" s="29">
        <f t="shared" si="791"/>
        <v>0</v>
      </c>
      <c r="U1461" s="28"/>
      <c r="V1461" s="30">
        <f t="shared" si="425"/>
        <v>0</v>
      </c>
      <c r="W1461" s="30"/>
      <c r="X1461" s="73"/>
      <c r="Y1461" s="33" t="str">
        <f t="shared" si="792"/>
        <v>#DIV/0!</v>
      </c>
      <c r="Z1461" s="692"/>
      <c r="AA1461" s="665"/>
      <c r="AB1461" s="74"/>
      <c r="AC1461" s="74"/>
      <c r="AD1461" s="37"/>
      <c r="AE1461" s="38"/>
      <c r="AF1461" s="1502"/>
      <c r="AG1461" s="1002"/>
      <c r="AH1461" s="36"/>
      <c r="AI1461" s="159"/>
      <c r="AJ1461" s="44"/>
      <c r="AK1461" s="46"/>
      <c r="AL1461" s="44"/>
      <c r="AM1461" s="46"/>
      <c r="AN1461" s="44"/>
      <c r="AO1461" s="46"/>
      <c r="AP1461" s="44"/>
      <c r="AQ1461" s="46"/>
      <c r="AR1461" s="44"/>
      <c r="AS1461" s="44"/>
      <c r="AT1461" s="44"/>
      <c r="AU1461" s="45"/>
      <c r="AV1461" s="44"/>
      <c r="AW1461" s="38"/>
      <c r="AX1461" s="44"/>
      <c r="AY1461" s="38"/>
      <c r="AZ1461" s="44"/>
      <c r="BA1461" s="45"/>
      <c r="BB1461" s="44"/>
      <c r="BC1461" s="45"/>
      <c r="BD1461" s="44"/>
      <c r="BE1461" s="38"/>
      <c r="BF1461" s="36"/>
      <c r="BG1461" s="68"/>
      <c r="BH1461" s="68"/>
      <c r="BI1461" s="68"/>
      <c r="BJ1461" s="68"/>
      <c r="BK1461" s="68"/>
      <c r="BL1461" s="68"/>
      <c r="BM1461" s="68"/>
      <c r="BN1461" s="68"/>
      <c r="BO1461" s="68"/>
      <c r="BP1461" s="68"/>
      <c r="BQ1461" s="68"/>
      <c r="BR1461" s="68"/>
      <c r="BS1461" s="68"/>
      <c r="BT1461" s="68"/>
      <c r="BU1461" s="68"/>
      <c r="BV1461" s="68"/>
      <c r="BW1461" s="68"/>
      <c r="BX1461" s="68"/>
      <c r="BY1461" s="68"/>
      <c r="BZ1461" s="68"/>
      <c r="CA1461" s="68"/>
      <c r="CB1461" s="68"/>
      <c r="CC1461" s="68"/>
      <c r="CD1461" s="68"/>
      <c r="CE1461" s="68"/>
      <c r="CF1461" s="68"/>
      <c r="CG1461" s="68"/>
      <c r="CH1461" s="68"/>
      <c r="CI1461" s="68"/>
      <c r="CJ1461" s="68"/>
      <c r="CK1461" s="68"/>
      <c r="CL1461" s="68"/>
      <c r="CM1461" s="68"/>
      <c r="CN1461" s="68"/>
      <c r="CO1461" s="68"/>
      <c r="CP1461" s="68"/>
    </row>
    <row r="1462" ht="15.75" customHeight="1">
      <c r="A1462" s="892" t="s">
        <v>6834</v>
      </c>
      <c r="B1462" s="69"/>
      <c r="C1462" s="69" t="s">
        <v>123</v>
      </c>
      <c r="D1462" s="192" t="s">
        <v>6835</v>
      </c>
      <c r="E1462" s="192" t="s">
        <v>6836</v>
      </c>
      <c r="F1462" s="118" t="s">
        <v>6837</v>
      </c>
      <c r="G1462" s="71"/>
      <c r="H1462" s="71" t="s">
        <v>4453</v>
      </c>
      <c r="I1462" s="26" t="s">
        <v>257</v>
      </c>
      <c r="J1462" s="155"/>
      <c r="K1462" s="26"/>
      <c r="L1462" s="26">
        <v>2015.0</v>
      </c>
      <c r="M1462" s="25">
        <f t="shared" si="789"/>
        <v>10</v>
      </c>
      <c r="N1462" s="26">
        <f t="shared" si="790"/>
        <v>0</v>
      </c>
      <c r="O1462" s="27" t="str">
        <f t="shared" si="3"/>
        <v>#N/A</v>
      </c>
      <c r="P1462" s="28"/>
      <c r="Q1462" s="28"/>
      <c r="R1462" s="28"/>
      <c r="S1462" s="28"/>
      <c r="T1462" s="29">
        <f t="shared" si="791"/>
        <v>0</v>
      </c>
      <c r="U1462" s="28"/>
      <c r="V1462" s="30">
        <f t="shared" si="425"/>
        <v>0</v>
      </c>
      <c r="W1462" s="30"/>
      <c r="X1462" s="73"/>
      <c r="Y1462" s="33" t="str">
        <f t="shared" si="792"/>
        <v>#DIV/0!</v>
      </c>
      <c r="Z1462" s="692"/>
      <c r="AA1462" s="665"/>
      <c r="AB1462" s="74"/>
      <c r="AC1462" s="74"/>
      <c r="AD1462" s="37"/>
      <c r="AE1462" s="38"/>
      <c r="AF1462" s="39"/>
      <c r="AG1462" s="38"/>
      <c r="AH1462" s="36"/>
      <c r="AI1462" s="159"/>
      <c r="AJ1462" s="44"/>
      <c r="AK1462" s="46"/>
      <c r="AL1462" s="44"/>
      <c r="AM1462" s="46"/>
      <c r="AN1462" s="44"/>
      <c r="AO1462" s="46"/>
      <c r="AP1462" s="44"/>
      <c r="AQ1462" s="46"/>
      <c r="AR1462" s="44"/>
      <c r="AS1462" s="44"/>
      <c r="AT1462" s="44"/>
      <c r="AU1462" s="45"/>
      <c r="AV1462" s="44"/>
      <c r="AW1462" s="38"/>
      <c r="AX1462" s="44"/>
      <c r="AY1462" s="38"/>
      <c r="AZ1462" s="44"/>
      <c r="BA1462" s="45"/>
      <c r="BB1462" s="44"/>
      <c r="BC1462" s="45"/>
      <c r="BD1462" s="44"/>
      <c r="BE1462" s="38"/>
      <c r="BF1462" s="36"/>
      <c r="BG1462" s="115"/>
      <c r="BH1462" s="115"/>
      <c r="BI1462" s="115"/>
      <c r="BJ1462" s="115"/>
      <c r="BK1462" s="115"/>
      <c r="BL1462" s="115"/>
      <c r="BM1462" s="115"/>
      <c r="BN1462" s="115"/>
      <c r="BO1462" s="115"/>
      <c r="BP1462" s="115"/>
      <c r="BQ1462" s="115"/>
      <c r="BR1462" s="115"/>
      <c r="BS1462" s="115"/>
      <c r="BT1462" s="115"/>
      <c r="BU1462" s="115"/>
      <c r="BV1462" s="115"/>
      <c r="BW1462" s="115"/>
      <c r="BX1462" s="115"/>
      <c r="BY1462" s="115"/>
      <c r="BZ1462" s="115"/>
      <c r="CA1462" s="115"/>
      <c r="CB1462" s="115"/>
      <c r="CC1462" s="115"/>
      <c r="CD1462" s="115"/>
      <c r="CE1462" s="115"/>
      <c r="CF1462" s="115"/>
      <c r="CG1462" s="115"/>
      <c r="CH1462" s="115"/>
      <c r="CI1462" s="115"/>
      <c r="CJ1462" s="115"/>
      <c r="CK1462" s="115"/>
      <c r="CL1462" s="115"/>
      <c r="CM1462" s="115"/>
      <c r="CN1462" s="115"/>
      <c r="CO1462" s="115"/>
      <c r="CP1462" s="115"/>
    </row>
    <row r="1463" ht="15.75" customHeight="1">
      <c r="A1463" s="892" t="s">
        <v>6838</v>
      </c>
      <c r="B1463" s="69"/>
      <c r="C1463" s="69" t="s">
        <v>123</v>
      </c>
      <c r="D1463" s="385"/>
      <c r="E1463" s="192" t="s">
        <v>6839</v>
      </c>
      <c r="F1463" s="118" t="s">
        <v>6840</v>
      </c>
      <c r="G1463" s="71"/>
      <c r="H1463" s="186"/>
      <c r="I1463" s="74"/>
      <c r="J1463" s="155"/>
      <c r="K1463" s="26"/>
      <c r="L1463" s="26">
        <v>2016.0</v>
      </c>
      <c r="M1463" s="25">
        <f t="shared" si="789"/>
        <v>9</v>
      </c>
      <c r="N1463" s="26">
        <f t="shared" si="790"/>
        <v>0</v>
      </c>
      <c r="O1463" s="27" t="str">
        <f t="shared" si="3"/>
        <v>#N/A</v>
      </c>
      <c r="P1463" s="28"/>
      <c r="Q1463" s="28"/>
      <c r="R1463" s="28"/>
      <c r="S1463" s="28"/>
      <c r="T1463" s="29">
        <f t="shared" si="791"/>
        <v>0</v>
      </c>
      <c r="U1463" s="28"/>
      <c r="V1463" s="30">
        <f t="shared" si="425"/>
        <v>0</v>
      </c>
      <c r="W1463" s="30"/>
      <c r="X1463" s="73"/>
      <c r="Y1463" s="33" t="str">
        <f t="shared" si="792"/>
        <v>#DIV/0!</v>
      </c>
      <c r="Z1463" s="692"/>
      <c r="AA1463" s="665"/>
      <c r="AB1463" s="74"/>
      <c r="AC1463" s="74"/>
      <c r="AD1463" s="37"/>
      <c r="AE1463" s="38"/>
      <c r="AF1463" s="39"/>
      <c r="AG1463" s="38"/>
      <c r="AH1463" s="36"/>
      <c r="AI1463" s="159"/>
      <c r="AJ1463" s="44"/>
      <c r="AK1463" s="46"/>
      <c r="AL1463" s="44"/>
      <c r="AM1463" s="46"/>
      <c r="AN1463" s="44"/>
      <c r="AO1463" s="46"/>
      <c r="AP1463" s="44"/>
      <c r="AQ1463" s="46"/>
      <c r="AR1463" s="44"/>
      <c r="AS1463" s="44"/>
      <c r="AT1463" s="44"/>
      <c r="AU1463" s="45"/>
      <c r="AV1463" s="44"/>
      <c r="AW1463" s="38"/>
      <c r="AX1463" s="44"/>
      <c r="AY1463" s="38"/>
      <c r="AZ1463" s="44"/>
      <c r="BA1463" s="45"/>
      <c r="BB1463" s="44"/>
      <c r="BC1463" s="45"/>
      <c r="BD1463" s="44"/>
      <c r="BE1463" s="38"/>
      <c r="BF1463" s="36"/>
      <c r="BG1463" s="68"/>
      <c r="BH1463" s="68"/>
      <c r="BI1463" s="68"/>
      <c r="BJ1463" s="68"/>
      <c r="BK1463" s="68"/>
      <c r="BL1463" s="68"/>
      <c r="BM1463" s="68"/>
      <c r="BN1463" s="68"/>
      <c r="BO1463" s="68"/>
      <c r="BP1463" s="68"/>
      <c r="BQ1463" s="68"/>
      <c r="BR1463" s="68"/>
      <c r="BS1463" s="68"/>
      <c r="BT1463" s="68"/>
      <c r="BU1463" s="68"/>
      <c r="BV1463" s="68"/>
      <c r="BW1463" s="68"/>
      <c r="BX1463" s="68"/>
      <c r="BY1463" s="68"/>
      <c r="BZ1463" s="68"/>
      <c r="CA1463" s="68"/>
      <c r="CB1463" s="68"/>
      <c r="CC1463" s="68"/>
      <c r="CD1463" s="68"/>
      <c r="CE1463" s="68"/>
      <c r="CF1463" s="68"/>
      <c r="CG1463" s="68"/>
      <c r="CH1463" s="68"/>
      <c r="CI1463" s="68"/>
      <c r="CJ1463" s="68"/>
      <c r="CK1463" s="68"/>
      <c r="CL1463" s="68"/>
      <c r="CM1463" s="68"/>
      <c r="CN1463" s="68"/>
      <c r="CO1463" s="68"/>
      <c r="CP1463" s="68"/>
    </row>
    <row r="1464" ht="15.75" customHeight="1">
      <c r="A1464" s="21" t="s">
        <v>6841</v>
      </c>
      <c r="B1464" s="69"/>
      <c r="C1464" s="69" t="s">
        <v>123</v>
      </c>
      <c r="D1464" s="385"/>
      <c r="E1464" s="192" t="s">
        <v>6842</v>
      </c>
      <c r="F1464" s="118" t="s">
        <v>6843</v>
      </c>
      <c r="G1464" s="71"/>
      <c r="H1464" s="186"/>
      <c r="I1464" s="74"/>
      <c r="J1464" s="155"/>
      <c r="K1464" s="26"/>
      <c r="L1464" s="26">
        <v>2016.0</v>
      </c>
      <c r="M1464" s="25">
        <f t="shared" si="789"/>
        <v>9</v>
      </c>
      <c r="N1464" s="26">
        <f t="shared" si="790"/>
        <v>0</v>
      </c>
      <c r="O1464" s="27" t="str">
        <f t="shared" si="3"/>
        <v>#N/A</v>
      </c>
      <c r="P1464" s="28"/>
      <c r="Q1464" s="28"/>
      <c r="R1464" s="28"/>
      <c r="S1464" s="28"/>
      <c r="T1464" s="29">
        <f t="shared" si="791"/>
        <v>0</v>
      </c>
      <c r="U1464" s="28"/>
      <c r="V1464" s="30">
        <f t="shared" si="425"/>
        <v>0</v>
      </c>
      <c r="W1464" s="30"/>
      <c r="X1464" s="73"/>
      <c r="Y1464" s="33" t="str">
        <f t="shared" si="792"/>
        <v>#DIV/0!</v>
      </c>
      <c r="Z1464" s="692"/>
      <c r="AA1464" s="665"/>
      <c r="AB1464" s="74"/>
      <c r="AC1464" s="74"/>
      <c r="AD1464" s="37"/>
      <c r="AE1464" s="38"/>
      <c r="AF1464" s="39"/>
      <c r="AG1464" s="38"/>
      <c r="AH1464" s="36"/>
      <c r="AI1464" s="159"/>
      <c r="AJ1464" s="44"/>
      <c r="AK1464" s="46"/>
      <c r="AL1464" s="44"/>
      <c r="AM1464" s="46"/>
      <c r="AN1464" s="44"/>
      <c r="AO1464" s="46"/>
      <c r="AP1464" s="44"/>
      <c r="AQ1464" s="46"/>
      <c r="AR1464" s="44"/>
      <c r="AS1464" s="44"/>
      <c r="AT1464" s="44"/>
      <c r="AU1464" s="45"/>
      <c r="AV1464" s="44"/>
      <c r="AW1464" s="38"/>
      <c r="AX1464" s="44"/>
      <c r="AY1464" s="38"/>
      <c r="AZ1464" s="44"/>
      <c r="BA1464" s="45"/>
      <c r="BB1464" s="44"/>
      <c r="BC1464" s="45"/>
      <c r="BD1464" s="44"/>
      <c r="BE1464" s="38"/>
      <c r="BF1464" s="36"/>
      <c r="BG1464" s="1644"/>
      <c r="BH1464" s="1644"/>
      <c r="BI1464" s="1644"/>
      <c r="BJ1464" s="1644"/>
      <c r="BK1464" s="1644"/>
      <c r="BL1464" s="1644"/>
      <c r="BM1464" s="1644"/>
      <c r="BN1464" s="1644"/>
      <c r="BO1464" s="1644"/>
      <c r="BP1464" s="1644"/>
      <c r="BQ1464" s="1644"/>
      <c r="BR1464" s="1644"/>
      <c r="BS1464" s="1644"/>
      <c r="BT1464" s="1644"/>
      <c r="BU1464" s="1644"/>
      <c r="BV1464" s="1644"/>
      <c r="BW1464" s="1644"/>
      <c r="BX1464" s="1644"/>
      <c r="BY1464" s="1644"/>
      <c r="BZ1464" s="1644"/>
      <c r="CA1464" s="1644"/>
      <c r="CB1464" s="1644"/>
      <c r="CC1464" s="1644"/>
      <c r="CD1464" s="1644"/>
      <c r="CE1464" s="1644"/>
      <c r="CF1464" s="1644"/>
      <c r="CG1464" s="1644"/>
      <c r="CH1464" s="1644"/>
      <c r="CI1464" s="1644"/>
      <c r="CJ1464" s="1644"/>
      <c r="CK1464" s="1644"/>
      <c r="CL1464" s="1644"/>
      <c r="CM1464" s="1644"/>
      <c r="CN1464" s="1644"/>
      <c r="CO1464" s="1644"/>
      <c r="CP1464" s="1644"/>
    </row>
    <row r="1465" ht="15.75" customHeight="1">
      <c r="A1465" s="21" t="s">
        <v>6844</v>
      </c>
      <c r="B1465" s="69" t="s">
        <v>6845</v>
      </c>
      <c r="C1465" s="69" t="s">
        <v>84</v>
      </c>
      <c r="D1465" s="138" t="s">
        <v>6846</v>
      </c>
      <c r="E1465" s="138" t="s">
        <v>6847</v>
      </c>
      <c r="F1465" s="173" t="s">
        <v>6848</v>
      </c>
      <c r="G1465" s="71" t="s">
        <v>6849</v>
      </c>
      <c r="H1465" s="186"/>
      <c r="I1465" s="74"/>
      <c r="J1465" s="155"/>
      <c r="K1465" s="26">
        <v>3.0</v>
      </c>
      <c r="L1465" s="26">
        <v>2014.0</v>
      </c>
      <c r="M1465" s="25">
        <f t="shared" si="789"/>
        <v>11</v>
      </c>
      <c r="N1465" s="26">
        <f t="shared" si="790"/>
        <v>0</v>
      </c>
      <c r="O1465" s="27" t="str">
        <f t="shared" si="3"/>
        <v>#N/A</v>
      </c>
      <c r="P1465" s="28"/>
      <c r="Q1465" s="28"/>
      <c r="R1465" s="28"/>
      <c r="S1465" s="28"/>
      <c r="T1465" s="29">
        <f t="shared" si="791"/>
        <v>0</v>
      </c>
      <c r="U1465" s="28"/>
      <c r="V1465" s="30">
        <f t="shared" si="425"/>
        <v>0</v>
      </c>
      <c r="W1465" s="30"/>
      <c r="X1465" s="73"/>
      <c r="Y1465" s="33" t="str">
        <f t="shared" si="792"/>
        <v>#DIV/0!</v>
      </c>
      <c r="Z1465" s="692"/>
      <c r="AA1465" s="665"/>
      <c r="AB1465" s="74"/>
      <c r="AC1465" s="74"/>
      <c r="AD1465" s="37"/>
      <c r="AE1465" s="38"/>
      <c r="AF1465" s="39"/>
      <c r="AG1465" s="38"/>
      <c r="AH1465" s="36"/>
      <c r="AI1465" s="159"/>
      <c r="AJ1465" s="44"/>
      <c r="AK1465" s="46"/>
      <c r="AL1465" s="44"/>
      <c r="AM1465" s="46"/>
      <c r="AN1465" s="44"/>
      <c r="AO1465" s="46"/>
      <c r="AP1465" s="44"/>
      <c r="AQ1465" s="46"/>
      <c r="AR1465" s="44"/>
      <c r="AS1465" s="44"/>
      <c r="AT1465" s="44"/>
      <c r="AU1465" s="45"/>
      <c r="AV1465" s="44"/>
      <c r="AW1465" s="38"/>
      <c r="AX1465" s="44"/>
      <c r="AY1465" s="38"/>
      <c r="AZ1465" s="44"/>
      <c r="BA1465" s="45"/>
      <c r="BB1465" s="44"/>
      <c r="BC1465" s="45"/>
      <c r="BD1465" s="44"/>
      <c r="BE1465" s="38"/>
      <c r="BF1465" s="36"/>
      <c r="BG1465" s="68"/>
      <c r="BH1465" s="68"/>
      <c r="BI1465" s="68"/>
      <c r="BJ1465" s="68"/>
      <c r="BK1465" s="68"/>
      <c r="BL1465" s="68"/>
      <c r="BM1465" s="68"/>
      <c r="BN1465" s="68"/>
      <c r="BO1465" s="68"/>
      <c r="BP1465" s="68"/>
      <c r="BQ1465" s="68"/>
      <c r="BR1465" s="68"/>
      <c r="BS1465" s="68"/>
      <c r="BT1465" s="68"/>
      <c r="BU1465" s="68"/>
      <c r="BV1465" s="68"/>
      <c r="BW1465" s="68"/>
      <c r="BX1465" s="68"/>
      <c r="BY1465" s="68"/>
      <c r="BZ1465" s="68"/>
      <c r="CA1465" s="68"/>
      <c r="CB1465" s="68"/>
      <c r="CC1465" s="68"/>
      <c r="CD1465" s="68"/>
      <c r="CE1465" s="68"/>
      <c r="CF1465" s="68"/>
      <c r="CG1465" s="68"/>
      <c r="CH1465" s="68"/>
      <c r="CI1465" s="68"/>
      <c r="CJ1465" s="68"/>
      <c r="CK1465" s="68"/>
      <c r="CL1465" s="68"/>
      <c r="CM1465" s="68"/>
      <c r="CN1465" s="68"/>
      <c r="CO1465" s="68"/>
      <c r="CP1465" s="68"/>
    </row>
    <row r="1466" ht="15.75" customHeight="1">
      <c r="A1466" s="892" t="s">
        <v>6850</v>
      </c>
      <c r="B1466" s="68"/>
      <c r="C1466" s="69" t="s">
        <v>427</v>
      </c>
      <c r="D1466" s="1634"/>
      <c r="E1466" s="192" t="s">
        <v>6851</v>
      </c>
      <c r="F1466" s="118" t="s">
        <v>6852</v>
      </c>
      <c r="G1466" s="71"/>
      <c r="H1466" s="71" t="s">
        <v>834</v>
      </c>
      <c r="I1466" s="26" t="s">
        <v>65</v>
      </c>
      <c r="J1466" s="72"/>
      <c r="K1466" s="26"/>
      <c r="L1466" s="26">
        <v>2019.0</v>
      </c>
      <c r="M1466" s="25">
        <f t="shared" si="789"/>
        <v>6</v>
      </c>
      <c r="N1466" s="26">
        <f t="shared" si="790"/>
        <v>0</v>
      </c>
      <c r="O1466" s="27" t="str">
        <f t="shared" si="3"/>
        <v>#N/A</v>
      </c>
      <c r="P1466" s="28"/>
      <c r="Q1466" s="28"/>
      <c r="R1466" s="28"/>
      <c r="S1466" s="28"/>
      <c r="T1466" s="29">
        <f t="shared" si="791"/>
        <v>0</v>
      </c>
      <c r="U1466" s="28"/>
      <c r="V1466" s="30">
        <f t="shared" si="425"/>
        <v>0</v>
      </c>
      <c r="W1466" s="30"/>
      <c r="X1466" s="73"/>
      <c r="Y1466" s="33" t="str">
        <f t="shared" si="792"/>
        <v>#DIV/0!</v>
      </c>
      <c r="Z1466" s="692"/>
      <c r="AA1466" s="665"/>
      <c r="AB1466" s="74"/>
      <c r="AC1466" s="74"/>
      <c r="AD1466" s="37"/>
      <c r="AE1466" s="46"/>
      <c r="AF1466" s="39"/>
      <c r="AG1466" s="46"/>
      <c r="AH1466" s="36"/>
      <c r="AI1466" s="159"/>
      <c r="AJ1466" s="44"/>
      <c r="AK1466" s="46"/>
      <c r="AL1466" s="44"/>
      <c r="AM1466" s="46"/>
      <c r="AN1466" s="44"/>
      <c r="AO1466" s="46"/>
      <c r="AP1466" s="44"/>
      <c r="AQ1466" s="46"/>
      <c r="AR1466" s="44"/>
      <c r="AS1466" s="44"/>
      <c r="AT1466" s="44"/>
      <c r="AU1466" s="45"/>
      <c r="AV1466" s="44"/>
      <c r="AW1466" s="38"/>
      <c r="AX1466" s="44"/>
      <c r="AY1466" s="38"/>
      <c r="AZ1466" s="44"/>
      <c r="BA1466" s="45"/>
      <c r="BB1466" s="44"/>
      <c r="BC1466" s="45"/>
      <c r="BD1466" s="44"/>
      <c r="BE1466" s="38"/>
      <c r="BF1466" s="36"/>
      <c r="BG1466" s="723"/>
      <c r="BH1466" s="723"/>
      <c r="BI1466" s="723"/>
      <c r="BJ1466" s="723"/>
      <c r="BK1466" s="723"/>
      <c r="BL1466" s="723"/>
      <c r="BM1466" s="723"/>
      <c r="BN1466" s="723"/>
      <c r="BO1466" s="723"/>
      <c r="BP1466" s="723"/>
      <c r="BQ1466" s="723"/>
      <c r="BR1466" s="723"/>
      <c r="BS1466" s="723"/>
      <c r="BT1466" s="723"/>
      <c r="BU1466" s="723"/>
      <c r="BV1466" s="723"/>
      <c r="BW1466" s="723"/>
      <c r="BX1466" s="723"/>
      <c r="BY1466" s="723"/>
      <c r="BZ1466" s="723"/>
      <c r="CA1466" s="723"/>
      <c r="CB1466" s="723"/>
      <c r="CC1466" s="723"/>
      <c r="CD1466" s="723"/>
      <c r="CE1466" s="723"/>
      <c r="CF1466" s="723"/>
      <c r="CG1466" s="723"/>
      <c r="CH1466" s="723"/>
      <c r="CI1466" s="723"/>
      <c r="CJ1466" s="723"/>
      <c r="CK1466" s="723"/>
      <c r="CL1466" s="723"/>
      <c r="CM1466" s="723"/>
      <c r="CN1466" s="723"/>
      <c r="CO1466" s="723"/>
      <c r="CP1466" s="723"/>
    </row>
    <row r="1467" ht="15.75" customHeight="1">
      <c r="A1467" s="21" t="s">
        <v>6853</v>
      </c>
      <c r="B1467" s="68"/>
      <c r="C1467" s="69" t="s">
        <v>123</v>
      </c>
      <c r="D1467" s="138" t="s">
        <v>6854</v>
      </c>
      <c r="E1467" s="337"/>
      <c r="F1467" s="173" t="s">
        <v>6855</v>
      </c>
      <c r="G1467" s="140" t="s">
        <v>6856</v>
      </c>
      <c r="H1467" s="140" t="s">
        <v>6857</v>
      </c>
      <c r="I1467" s="26" t="s">
        <v>1029</v>
      </c>
      <c r="J1467" s="24" t="s">
        <v>6858</v>
      </c>
      <c r="K1467" s="26">
        <v>1.0</v>
      </c>
      <c r="L1467" s="74" t="s">
        <v>723</v>
      </c>
      <c r="M1467" s="25" t="str">
        <f t="shared" si="789"/>
        <v>#VALUE!</v>
      </c>
      <c r="N1467" s="26">
        <f t="shared" si="790"/>
        <v>0</v>
      </c>
      <c r="O1467" s="27" t="str">
        <f t="shared" si="3"/>
        <v>#N/A</v>
      </c>
      <c r="P1467" s="28"/>
      <c r="Q1467" s="28"/>
      <c r="R1467" s="28"/>
      <c r="S1467" s="28"/>
      <c r="T1467" s="28" t="str">
        <f t="shared" si="791"/>
        <v>#VALUE!</v>
      </c>
      <c r="U1467" s="28"/>
      <c r="V1467" s="30">
        <f t="shared" si="425"/>
        <v>0</v>
      </c>
      <c r="W1467" s="30"/>
      <c r="X1467" s="73"/>
      <c r="Y1467" s="33" t="str">
        <f t="shared" si="792"/>
        <v>#DIV/0!</v>
      </c>
      <c r="Z1467" s="692"/>
      <c r="AA1467" s="665"/>
      <c r="AB1467" s="74"/>
      <c r="AC1467" s="74"/>
      <c r="AD1467" s="44"/>
      <c r="AE1467" s="46"/>
      <c r="AF1467" s="39"/>
      <c r="AG1467" s="46"/>
      <c r="AH1467" s="36"/>
      <c r="AI1467" s="159"/>
      <c r="AJ1467" s="44"/>
      <c r="AK1467" s="46"/>
      <c r="AL1467" s="44"/>
      <c r="AM1467" s="46"/>
      <c r="AN1467" s="44"/>
      <c r="AO1467" s="46"/>
      <c r="AP1467" s="44"/>
      <c r="AQ1467" s="46"/>
      <c r="AR1467" s="44"/>
      <c r="AS1467" s="44"/>
      <c r="AT1467" s="44"/>
      <c r="AU1467" s="45"/>
      <c r="AV1467" s="44"/>
      <c r="AW1467" s="38"/>
      <c r="AX1467" s="44"/>
      <c r="AY1467" s="38"/>
      <c r="AZ1467" s="44"/>
      <c r="BA1467" s="45"/>
      <c r="BB1467" s="44"/>
      <c r="BC1467" s="45"/>
      <c r="BD1467" s="44"/>
      <c r="BE1467" s="38"/>
      <c r="BF1467" s="36"/>
      <c r="BG1467" s="723"/>
      <c r="BH1467" s="723"/>
      <c r="BI1467" s="723"/>
      <c r="BJ1467" s="723"/>
      <c r="BK1467" s="723"/>
      <c r="BL1467" s="723"/>
      <c r="BM1467" s="723"/>
      <c r="BN1467" s="723"/>
      <c r="BO1467" s="723"/>
      <c r="BP1467" s="723"/>
      <c r="BQ1467" s="723"/>
      <c r="BR1467" s="723"/>
      <c r="BS1467" s="723"/>
      <c r="BT1467" s="723"/>
      <c r="BU1467" s="723"/>
      <c r="BV1467" s="723"/>
      <c r="BW1467" s="723"/>
      <c r="BX1467" s="723"/>
      <c r="BY1467" s="723"/>
      <c r="BZ1467" s="723"/>
      <c r="CA1467" s="723"/>
      <c r="CB1467" s="723"/>
      <c r="CC1467" s="723"/>
      <c r="CD1467" s="723"/>
      <c r="CE1467" s="723"/>
      <c r="CF1467" s="723"/>
      <c r="CG1467" s="723"/>
      <c r="CH1467" s="723"/>
      <c r="CI1467" s="723"/>
      <c r="CJ1467" s="723"/>
      <c r="CK1467" s="723"/>
      <c r="CL1467" s="723"/>
      <c r="CM1467" s="723"/>
      <c r="CN1467" s="723"/>
      <c r="CO1467" s="723"/>
      <c r="CP1467" s="723"/>
    </row>
    <row r="1468" ht="15.75" customHeight="1">
      <c r="A1468" s="21" t="s">
        <v>6859</v>
      </c>
      <c r="B1468" s="68"/>
      <c r="C1468" s="69" t="s">
        <v>123</v>
      </c>
      <c r="D1468" s="416" t="s">
        <v>6860</v>
      </c>
      <c r="E1468" s="138" t="s">
        <v>6861</v>
      </c>
      <c r="F1468" s="177" t="s">
        <v>6862</v>
      </c>
      <c r="G1468" s="71" t="s">
        <v>6863</v>
      </c>
      <c r="H1468" s="71" t="s">
        <v>1606</v>
      </c>
      <c r="I1468" s="26" t="s">
        <v>272</v>
      </c>
      <c r="J1468" s="72" t="s">
        <v>6864</v>
      </c>
      <c r="K1468" s="26">
        <v>2.0</v>
      </c>
      <c r="L1468" s="26">
        <v>2008.0</v>
      </c>
      <c r="M1468" s="25">
        <f t="shared" si="789"/>
        <v>17</v>
      </c>
      <c r="N1468" s="26">
        <f t="shared" si="790"/>
        <v>0</v>
      </c>
      <c r="O1468" s="27" t="str">
        <f t="shared" si="3"/>
        <v>#N/A</v>
      </c>
      <c r="P1468" s="28"/>
      <c r="Q1468" s="28"/>
      <c r="R1468" s="28"/>
      <c r="S1468" s="28"/>
      <c r="T1468" s="29">
        <f t="shared" si="791"/>
        <v>0</v>
      </c>
      <c r="U1468" s="28"/>
      <c r="V1468" s="30">
        <f t="shared" si="425"/>
        <v>0</v>
      </c>
      <c r="W1468" s="30"/>
      <c r="X1468" s="73"/>
      <c r="Y1468" s="33" t="str">
        <f t="shared" si="792"/>
        <v>#DIV/0!</v>
      </c>
      <c r="Z1468" s="692"/>
      <c r="AA1468" s="665"/>
      <c r="AB1468" s="74"/>
      <c r="AC1468" s="74"/>
      <c r="AD1468" s="228" t="str">
        <f>HYPERLINK("https://www.crunchbase.com/organization/eagleview-technologies#section-funding-rounds"," Jun 27, 2018")</f>
        <v> Jun 27, 2018</v>
      </c>
      <c r="AE1468" s="46"/>
      <c r="AF1468" s="39"/>
      <c r="AG1468" s="46"/>
      <c r="AH1468" s="36"/>
      <c r="AI1468" s="159"/>
      <c r="AJ1468" s="44"/>
      <c r="AK1468" s="46"/>
      <c r="AL1468" s="44"/>
      <c r="AM1468" s="46"/>
      <c r="AN1468" s="44"/>
      <c r="AO1468" s="46"/>
      <c r="AP1468" s="44"/>
      <c r="AQ1468" s="46"/>
      <c r="AR1468" s="44"/>
      <c r="AS1468" s="44"/>
      <c r="AT1468" s="44"/>
      <c r="AU1468" s="45"/>
      <c r="AV1468" s="44"/>
      <c r="AW1468" s="38"/>
      <c r="AX1468" s="44"/>
      <c r="AY1468" s="38"/>
      <c r="AZ1468" s="44"/>
      <c r="BA1468" s="45"/>
      <c r="BB1468" s="44"/>
      <c r="BC1468" s="45"/>
      <c r="BD1468" s="44"/>
      <c r="BE1468" s="38"/>
      <c r="BF1468" s="36"/>
      <c r="BG1468" s="68"/>
      <c r="BH1468" s="68"/>
      <c r="BI1468" s="68"/>
      <c r="BJ1468" s="68"/>
      <c r="BK1468" s="68"/>
      <c r="BL1468" s="68"/>
      <c r="BM1468" s="68"/>
      <c r="BN1468" s="68"/>
      <c r="BO1468" s="68"/>
      <c r="BP1468" s="68"/>
      <c r="BQ1468" s="68"/>
      <c r="BR1468" s="68"/>
      <c r="BS1468" s="68"/>
      <c r="BT1468" s="68"/>
      <c r="BU1468" s="68"/>
      <c r="BV1468" s="68"/>
      <c r="BW1468" s="68"/>
      <c r="BX1468" s="68"/>
      <c r="BY1468" s="68"/>
      <c r="BZ1468" s="68"/>
      <c r="CA1468" s="68"/>
      <c r="CB1468" s="68"/>
      <c r="CC1468" s="68"/>
      <c r="CD1468" s="68"/>
      <c r="CE1468" s="68"/>
      <c r="CF1468" s="68"/>
      <c r="CG1468" s="68"/>
      <c r="CH1468" s="68"/>
      <c r="CI1468" s="68"/>
      <c r="CJ1468" s="68"/>
      <c r="CK1468" s="68"/>
      <c r="CL1468" s="68"/>
      <c r="CM1468" s="68"/>
      <c r="CN1468" s="68"/>
      <c r="CO1468" s="68"/>
      <c r="CP1468" s="68"/>
    </row>
    <row r="1469" ht="15.75" customHeight="1">
      <c r="A1469" s="1162" t="s">
        <v>6865</v>
      </c>
      <c r="B1469" s="68"/>
      <c r="C1469" s="69" t="s">
        <v>123</v>
      </c>
      <c r="D1469" s="385"/>
      <c r="E1469" s="138" t="s">
        <v>6866</v>
      </c>
      <c r="F1469" s="803" t="s">
        <v>6867</v>
      </c>
      <c r="G1469" s="810" t="s">
        <v>6868</v>
      </c>
      <c r="H1469" s="71" t="s">
        <v>6869</v>
      </c>
      <c r="I1469" s="26" t="s">
        <v>65</v>
      </c>
      <c r="J1469" s="72" t="s">
        <v>6870</v>
      </c>
      <c r="K1469" s="26">
        <v>3.0</v>
      </c>
      <c r="L1469" s="26">
        <v>2010.0</v>
      </c>
      <c r="M1469" s="25">
        <f t="shared" si="789"/>
        <v>15</v>
      </c>
      <c r="N1469" s="26">
        <f t="shared" si="790"/>
        <v>0</v>
      </c>
      <c r="O1469" s="27" t="str">
        <f t="shared" si="3"/>
        <v>#N/A</v>
      </c>
      <c r="P1469" s="28"/>
      <c r="Q1469" s="28"/>
      <c r="R1469" s="28"/>
      <c r="S1469" s="28"/>
      <c r="T1469" s="29">
        <f t="shared" si="791"/>
        <v>0</v>
      </c>
      <c r="U1469" s="28"/>
      <c r="V1469" s="30">
        <f t="shared" si="425"/>
        <v>0</v>
      </c>
      <c r="W1469" s="30"/>
      <c r="X1469" s="73"/>
      <c r="Y1469" s="33" t="str">
        <f t="shared" si="792"/>
        <v>#DIV/0!</v>
      </c>
      <c r="Z1469" s="692"/>
      <c r="AA1469" s="665"/>
      <c r="AB1469" s="74"/>
      <c r="AC1469" s="74"/>
      <c r="AD1469" s="44"/>
      <c r="AE1469" s="46"/>
      <c r="AF1469" s="39"/>
      <c r="AG1469" s="38"/>
      <c r="AH1469" s="36"/>
      <c r="AI1469" s="159"/>
      <c r="AJ1469" s="44"/>
      <c r="AK1469" s="46"/>
      <c r="AL1469" s="44"/>
      <c r="AM1469" s="46"/>
      <c r="AN1469" s="44"/>
      <c r="AO1469" s="46"/>
      <c r="AP1469" s="44"/>
      <c r="AQ1469" s="46"/>
      <c r="AR1469" s="44"/>
      <c r="AS1469" s="44"/>
      <c r="AT1469" s="44"/>
      <c r="AU1469" s="45"/>
      <c r="AV1469" s="44"/>
      <c r="AW1469" s="38"/>
      <c r="AX1469" s="44"/>
      <c r="AY1469" s="38"/>
      <c r="AZ1469" s="44"/>
      <c r="BA1469" s="45"/>
      <c r="BB1469" s="44"/>
      <c r="BC1469" s="45"/>
      <c r="BD1469" s="44"/>
      <c r="BE1469" s="38"/>
      <c r="BF1469" s="36"/>
      <c r="BG1469" s="68"/>
      <c r="BH1469" s="68"/>
      <c r="BI1469" s="68"/>
      <c r="BJ1469" s="68"/>
      <c r="BK1469" s="68"/>
      <c r="BL1469" s="68"/>
      <c r="BM1469" s="68"/>
      <c r="BN1469" s="68"/>
      <c r="BO1469" s="68"/>
      <c r="BP1469" s="68"/>
      <c r="BQ1469" s="68"/>
      <c r="BR1469" s="68"/>
      <c r="BS1469" s="68"/>
      <c r="BT1469" s="68"/>
      <c r="BU1469" s="68"/>
      <c r="BV1469" s="68"/>
      <c r="BW1469" s="68"/>
      <c r="BX1469" s="68"/>
      <c r="BY1469" s="68"/>
      <c r="BZ1469" s="68"/>
      <c r="CA1469" s="68"/>
      <c r="CB1469" s="68"/>
      <c r="CC1469" s="68"/>
      <c r="CD1469" s="68"/>
      <c r="CE1469" s="68"/>
      <c r="CF1469" s="68"/>
      <c r="CG1469" s="68"/>
      <c r="CH1469" s="68"/>
      <c r="CI1469" s="68"/>
      <c r="CJ1469" s="68"/>
      <c r="CK1469" s="68"/>
      <c r="CL1469" s="68"/>
      <c r="CM1469" s="68"/>
      <c r="CN1469" s="68"/>
      <c r="CO1469" s="68"/>
      <c r="CP1469" s="68"/>
    </row>
    <row r="1470" ht="15.75" customHeight="1">
      <c r="A1470" s="892" t="s">
        <v>6871</v>
      </c>
      <c r="B1470" s="68"/>
      <c r="C1470" s="69" t="s">
        <v>6872</v>
      </c>
      <c r="D1470" s="1634"/>
      <c r="E1470" s="192" t="s">
        <v>6873</v>
      </c>
      <c r="F1470" s="118" t="s">
        <v>6874</v>
      </c>
      <c r="G1470" s="140"/>
      <c r="H1470" s="71" t="s">
        <v>1065</v>
      </c>
      <c r="I1470" s="26" t="s">
        <v>639</v>
      </c>
      <c r="J1470" s="72"/>
      <c r="K1470" s="74"/>
      <c r="L1470" s="26">
        <v>2015.0</v>
      </c>
      <c r="M1470" s="25">
        <f t="shared" si="789"/>
        <v>10</v>
      </c>
      <c r="N1470" s="26">
        <f t="shared" si="790"/>
        <v>0</v>
      </c>
      <c r="O1470" s="27" t="str">
        <f t="shared" si="3"/>
        <v>#N/A</v>
      </c>
      <c r="P1470" s="28"/>
      <c r="Q1470" s="28"/>
      <c r="R1470" s="28"/>
      <c r="S1470" s="28"/>
      <c r="T1470" s="29">
        <f t="shared" si="791"/>
        <v>0</v>
      </c>
      <c r="U1470" s="28"/>
      <c r="V1470" s="30">
        <f t="shared" si="425"/>
        <v>0</v>
      </c>
      <c r="W1470" s="30"/>
      <c r="X1470" s="32"/>
      <c r="Y1470" s="33" t="str">
        <f t="shared" si="792"/>
        <v>#DIV/0!</v>
      </c>
      <c r="Z1470" s="692"/>
      <c r="AA1470" s="665"/>
      <c r="AB1470" s="74"/>
      <c r="AC1470" s="74"/>
      <c r="AD1470" s="44"/>
      <c r="AE1470" s="46"/>
      <c r="AF1470" s="932"/>
      <c r="AG1470" s="46"/>
      <c r="AH1470" s="36"/>
      <c r="AI1470" s="159"/>
      <c r="AJ1470" s="1516"/>
      <c r="AK1470" s="46"/>
      <c r="AL1470" s="1516"/>
      <c r="AM1470" s="46"/>
      <c r="AN1470" s="44"/>
      <c r="AO1470" s="46"/>
      <c r="AP1470" s="44"/>
      <c r="AQ1470" s="46"/>
      <c r="AR1470" s="44"/>
      <c r="AS1470" s="44"/>
      <c r="AT1470" s="44"/>
      <c r="AU1470" s="45"/>
      <c r="AV1470" s="44"/>
      <c r="AW1470" s="38"/>
      <c r="AX1470" s="44"/>
      <c r="AY1470" s="38"/>
      <c r="AZ1470" s="44"/>
      <c r="BA1470" s="45"/>
      <c r="BB1470" s="44"/>
      <c r="BC1470" s="45"/>
      <c r="BD1470" s="44"/>
      <c r="BE1470" s="38"/>
      <c r="BF1470" s="36"/>
      <c r="BG1470" s="723"/>
      <c r="BH1470" s="723"/>
      <c r="BI1470" s="723"/>
      <c r="BJ1470" s="723"/>
      <c r="BK1470" s="723"/>
      <c r="BL1470" s="723"/>
      <c r="BM1470" s="723"/>
      <c r="BN1470" s="723"/>
      <c r="BO1470" s="723"/>
      <c r="BP1470" s="723"/>
      <c r="BQ1470" s="723"/>
      <c r="BR1470" s="723"/>
      <c r="BS1470" s="723"/>
      <c r="BT1470" s="723"/>
      <c r="BU1470" s="723"/>
      <c r="BV1470" s="723"/>
      <c r="BW1470" s="723"/>
      <c r="BX1470" s="723"/>
      <c r="BY1470" s="723"/>
      <c r="BZ1470" s="723"/>
      <c r="CA1470" s="723"/>
      <c r="CB1470" s="723"/>
      <c r="CC1470" s="723"/>
      <c r="CD1470" s="723"/>
      <c r="CE1470" s="723"/>
      <c r="CF1470" s="723"/>
      <c r="CG1470" s="723"/>
      <c r="CH1470" s="723"/>
      <c r="CI1470" s="723"/>
      <c r="CJ1470" s="723"/>
      <c r="CK1470" s="723"/>
      <c r="CL1470" s="723"/>
      <c r="CM1470" s="723"/>
      <c r="CN1470" s="723"/>
      <c r="CO1470" s="723"/>
      <c r="CP1470" s="723"/>
    </row>
    <row r="1471" ht="15.75" customHeight="1">
      <c r="A1471" s="48" t="s">
        <v>6875</v>
      </c>
      <c r="B1471" s="68"/>
      <c r="C1471" s="69" t="s">
        <v>123</v>
      </c>
      <c r="D1471" s="192" t="s">
        <v>6876</v>
      </c>
      <c r="E1471" s="192" t="s">
        <v>6877</v>
      </c>
      <c r="F1471" s="1682" t="s">
        <v>6878</v>
      </c>
      <c r="G1471" s="186"/>
      <c r="H1471" s="71" t="s">
        <v>6879</v>
      </c>
      <c r="I1471" s="26" t="s">
        <v>257</v>
      </c>
      <c r="J1471" s="155"/>
      <c r="K1471" s="74"/>
      <c r="L1471" s="26">
        <v>2014.0</v>
      </c>
      <c r="M1471" s="25">
        <f t="shared" si="789"/>
        <v>11</v>
      </c>
      <c r="N1471" s="26">
        <f t="shared" si="790"/>
        <v>0</v>
      </c>
      <c r="O1471" s="27" t="str">
        <f t="shared" si="3"/>
        <v>#N/A</v>
      </c>
      <c r="P1471" s="28"/>
      <c r="Q1471" s="28"/>
      <c r="R1471" s="28"/>
      <c r="S1471" s="28"/>
      <c r="T1471" s="29">
        <f t="shared" si="791"/>
        <v>0</v>
      </c>
      <c r="U1471" s="28"/>
      <c r="V1471" s="30">
        <f t="shared" si="425"/>
        <v>0</v>
      </c>
      <c r="W1471" s="30"/>
      <c r="X1471" s="32"/>
      <c r="Y1471" s="33" t="str">
        <f t="shared" si="792"/>
        <v>#DIV/0!</v>
      </c>
      <c r="Z1471" s="692"/>
      <c r="AA1471" s="665"/>
      <c r="AB1471" s="74"/>
      <c r="AC1471" s="74"/>
      <c r="AD1471" s="44"/>
      <c r="AE1471" s="46"/>
      <c r="AF1471" s="39"/>
      <c r="AG1471" s="46"/>
      <c r="AH1471" s="36"/>
      <c r="AI1471" s="159"/>
      <c r="AJ1471" s="44"/>
      <c r="AK1471" s="46"/>
      <c r="AL1471" s="44"/>
      <c r="AM1471" s="46"/>
      <c r="AN1471" s="44"/>
      <c r="AO1471" s="46"/>
      <c r="AP1471" s="44"/>
      <c r="AQ1471" s="46"/>
      <c r="AR1471" s="44"/>
      <c r="AS1471" s="44"/>
      <c r="AT1471" s="44"/>
      <c r="AU1471" s="45"/>
      <c r="AV1471" s="44"/>
      <c r="AW1471" s="38"/>
      <c r="AX1471" s="44"/>
      <c r="AY1471" s="38"/>
      <c r="AZ1471" s="44"/>
      <c r="BA1471" s="45"/>
      <c r="BB1471" s="44"/>
      <c r="BC1471" s="45"/>
      <c r="BD1471" s="44"/>
      <c r="BE1471" s="38"/>
      <c r="BF1471" s="36"/>
      <c r="BG1471" s="68"/>
      <c r="BH1471" s="68"/>
      <c r="BI1471" s="68"/>
      <c r="BJ1471" s="68"/>
      <c r="BK1471" s="68"/>
      <c r="BL1471" s="68"/>
      <c r="BM1471" s="68"/>
      <c r="BN1471" s="68"/>
      <c r="BO1471" s="68"/>
      <c r="BP1471" s="68"/>
      <c r="BQ1471" s="68"/>
      <c r="BR1471" s="68"/>
      <c r="BS1471" s="68"/>
      <c r="BT1471" s="68"/>
      <c r="BU1471" s="68"/>
      <c r="BV1471" s="68"/>
      <c r="BW1471" s="68"/>
      <c r="BX1471" s="68"/>
      <c r="BY1471" s="68"/>
      <c r="BZ1471" s="68"/>
      <c r="CA1471" s="68"/>
      <c r="CB1471" s="68"/>
      <c r="CC1471" s="68"/>
      <c r="CD1471" s="68"/>
      <c r="CE1471" s="68"/>
      <c r="CF1471" s="68"/>
      <c r="CG1471" s="68"/>
      <c r="CH1471" s="68"/>
      <c r="CI1471" s="68"/>
      <c r="CJ1471" s="68"/>
      <c r="CK1471" s="68"/>
      <c r="CL1471" s="68"/>
      <c r="CM1471" s="68"/>
      <c r="CN1471" s="68"/>
      <c r="CO1471" s="68"/>
      <c r="CP1471" s="68"/>
    </row>
    <row r="1472" ht="15.75" customHeight="1">
      <c r="A1472" s="400" t="s">
        <v>6880</v>
      </c>
      <c r="B1472" s="115"/>
      <c r="C1472" s="116" t="s">
        <v>123</v>
      </c>
      <c r="D1472" s="161" t="s">
        <v>6881</v>
      </c>
      <c r="E1472" s="161" t="s">
        <v>6882</v>
      </c>
      <c r="F1472" s="163" t="s">
        <v>6883</v>
      </c>
      <c r="G1472" s="54" t="s">
        <v>6884</v>
      </c>
      <c r="H1472" s="119" t="s">
        <v>6885</v>
      </c>
      <c r="I1472" s="25" t="s">
        <v>1080</v>
      </c>
      <c r="J1472" s="120" t="s">
        <v>6886</v>
      </c>
      <c r="K1472" s="25">
        <v>1.0</v>
      </c>
      <c r="L1472" s="25">
        <v>1990.0</v>
      </c>
      <c r="M1472" s="25">
        <f t="shared" si="789"/>
        <v>35</v>
      </c>
      <c r="N1472" s="26">
        <f t="shared" si="790"/>
        <v>0</v>
      </c>
      <c r="O1472" s="27" t="str">
        <f t="shared" si="3"/>
        <v>#N/A</v>
      </c>
      <c r="P1472" s="28"/>
      <c r="Q1472" s="28"/>
      <c r="R1472" s="28"/>
      <c r="S1472" s="28"/>
      <c r="T1472" s="29">
        <f t="shared" si="791"/>
        <v>0</v>
      </c>
      <c r="U1472" s="28"/>
      <c r="V1472" s="30">
        <f t="shared" si="425"/>
        <v>0</v>
      </c>
      <c r="W1472" s="30"/>
      <c r="X1472" s="597"/>
      <c r="Y1472" s="33" t="str">
        <f t="shared" si="792"/>
        <v>#DIV/0!</v>
      </c>
      <c r="Z1472" s="692"/>
      <c r="AA1472" s="665"/>
      <c r="AB1472" s="123"/>
      <c r="AC1472" s="123"/>
      <c r="AD1472" s="322"/>
      <c r="AE1472" s="323"/>
      <c r="AF1472" s="868"/>
      <c r="AG1472" s="323"/>
      <c r="AH1472" s="326"/>
      <c r="AI1472" s="327"/>
      <c r="AJ1472" s="322"/>
      <c r="AK1472" s="323"/>
      <c r="AL1472" s="322"/>
      <c r="AM1472" s="323"/>
      <c r="AN1472" s="322"/>
      <c r="AO1472" s="323"/>
      <c r="AP1472" s="322"/>
      <c r="AQ1472" s="323"/>
      <c r="AR1472" s="322"/>
      <c r="AS1472" s="322"/>
      <c r="AT1472" s="322"/>
      <c r="AU1472" s="335"/>
      <c r="AV1472" s="322"/>
      <c r="AW1472" s="38"/>
      <c r="AX1472" s="322"/>
      <c r="AY1472" s="38"/>
      <c r="AZ1472" s="322"/>
      <c r="BA1472" s="335"/>
      <c r="BB1472" s="322"/>
      <c r="BC1472" s="335"/>
      <c r="BD1472" s="322"/>
      <c r="BE1472" s="38"/>
      <c r="BF1472" s="326"/>
      <c r="BG1472" s="68"/>
      <c r="BH1472" s="68"/>
      <c r="BI1472" s="68"/>
      <c r="BJ1472" s="68"/>
      <c r="BK1472" s="68"/>
      <c r="BL1472" s="68"/>
      <c r="BM1472" s="68"/>
      <c r="BN1472" s="68"/>
      <c r="BO1472" s="68"/>
      <c r="BP1472" s="68"/>
      <c r="BQ1472" s="68"/>
      <c r="BR1472" s="68"/>
      <c r="BS1472" s="68"/>
      <c r="BT1472" s="68"/>
      <c r="BU1472" s="68"/>
      <c r="BV1472" s="68"/>
      <c r="BW1472" s="68"/>
      <c r="BX1472" s="68"/>
      <c r="BY1472" s="68"/>
      <c r="BZ1472" s="68"/>
      <c r="CA1472" s="68"/>
      <c r="CB1472" s="68"/>
      <c r="CC1472" s="68"/>
      <c r="CD1472" s="68"/>
      <c r="CE1472" s="68"/>
      <c r="CF1472" s="68"/>
      <c r="CG1472" s="68"/>
      <c r="CH1472" s="68"/>
      <c r="CI1472" s="68"/>
      <c r="CJ1472" s="68"/>
      <c r="CK1472" s="68"/>
      <c r="CL1472" s="68"/>
      <c r="CM1472" s="68"/>
      <c r="CN1472" s="68"/>
      <c r="CO1472" s="68"/>
      <c r="CP1472" s="68"/>
    </row>
    <row r="1473" ht="15.75" customHeight="1">
      <c r="A1473" s="400" t="s">
        <v>6887</v>
      </c>
      <c r="B1473" s="115"/>
      <c r="C1473" s="116" t="s">
        <v>427</v>
      </c>
      <c r="D1473" s="731"/>
      <c r="E1473" s="731"/>
      <c r="F1473" s="163" t="s">
        <v>6888</v>
      </c>
      <c r="G1473" s="54"/>
      <c r="H1473" s="119" t="s">
        <v>357</v>
      </c>
      <c r="I1473" s="25" t="s">
        <v>358</v>
      </c>
      <c r="J1473" s="120"/>
      <c r="K1473" s="25"/>
      <c r="L1473" s="25"/>
      <c r="M1473" s="25">
        <f t="shared" si="789"/>
        <v>2025</v>
      </c>
      <c r="N1473" s="26">
        <f t="shared" si="790"/>
        <v>0</v>
      </c>
      <c r="O1473" s="27" t="str">
        <f t="shared" si="3"/>
        <v>#N/A</v>
      </c>
      <c r="P1473" s="28"/>
      <c r="Q1473" s="28"/>
      <c r="R1473" s="28"/>
      <c r="S1473" s="28"/>
      <c r="T1473" s="29">
        <f t="shared" si="791"/>
        <v>0</v>
      </c>
      <c r="U1473" s="28"/>
      <c r="V1473" s="30">
        <f t="shared" si="425"/>
        <v>0</v>
      </c>
      <c r="W1473" s="30"/>
      <c r="X1473" s="597"/>
      <c r="Y1473" s="33" t="str">
        <f t="shared" si="792"/>
        <v>#DIV/0!</v>
      </c>
      <c r="Z1473" s="692"/>
      <c r="AA1473" s="665"/>
      <c r="AB1473" s="123"/>
      <c r="AC1473" s="123"/>
      <c r="AD1473" s="322"/>
      <c r="AE1473" s="323"/>
      <c r="AF1473" s="868"/>
      <c r="AG1473" s="323"/>
      <c r="AH1473" s="326"/>
      <c r="AI1473" s="327"/>
      <c r="AJ1473" s="322"/>
      <c r="AK1473" s="323"/>
      <c r="AL1473" s="322"/>
      <c r="AM1473" s="323"/>
      <c r="AN1473" s="322"/>
      <c r="AO1473" s="323"/>
      <c r="AP1473" s="322"/>
      <c r="AQ1473" s="323"/>
      <c r="AR1473" s="322"/>
      <c r="AS1473" s="322"/>
      <c r="AT1473" s="322"/>
      <c r="AU1473" s="335"/>
      <c r="AV1473" s="322"/>
      <c r="AW1473" s="38"/>
      <c r="AX1473" s="322"/>
      <c r="AY1473" s="38"/>
      <c r="AZ1473" s="322"/>
      <c r="BA1473" s="335"/>
      <c r="BB1473" s="322"/>
      <c r="BC1473" s="335"/>
      <c r="BD1473" s="322"/>
      <c r="BE1473" s="38"/>
      <c r="BF1473" s="326"/>
      <c r="BG1473" s="68"/>
      <c r="BH1473" s="68"/>
      <c r="BI1473" s="68"/>
      <c r="BJ1473" s="68"/>
      <c r="BK1473" s="68"/>
      <c r="BL1473" s="68"/>
      <c r="BM1473" s="68"/>
      <c r="BN1473" s="68"/>
      <c r="BO1473" s="68"/>
      <c r="BP1473" s="68"/>
      <c r="BQ1473" s="68"/>
      <c r="BR1473" s="68"/>
      <c r="BS1473" s="68"/>
      <c r="BT1473" s="68"/>
      <c r="BU1473" s="68"/>
      <c r="BV1473" s="68"/>
      <c r="BW1473" s="68"/>
      <c r="BX1473" s="68"/>
      <c r="BY1473" s="68"/>
      <c r="BZ1473" s="68"/>
      <c r="CA1473" s="68"/>
      <c r="CB1473" s="68"/>
      <c r="CC1473" s="68"/>
      <c r="CD1473" s="68"/>
      <c r="CE1473" s="68"/>
      <c r="CF1473" s="68"/>
      <c r="CG1473" s="68"/>
      <c r="CH1473" s="68"/>
      <c r="CI1473" s="68"/>
      <c r="CJ1473" s="68"/>
      <c r="CK1473" s="68"/>
      <c r="CL1473" s="68"/>
      <c r="CM1473" s="68"/>
      <c r="CN1473" s="68"/>
      <c r="CO1473" s="68"/>
      <c r="CP1473" s="68"/>
    </row>
    <row r="1474" ht="15.75" customHeight="1">
      <c r="A1474" s="21" t="s">
        <v>6889</v>
      </c>
      <c r="B1474" s="68"/>
      <c r="C1474" s="858" t="s">
        <v>123</v>
      </c>
      <c r="D1474" s="492" t="s">
        <v>6890</v>
      </c>
      <c r="E1474" s="192" t="s">
        <v>6891</v>
      </c>
      <c r="F1474" s="173" t="s">
        <v>6892</v>
      </c>
      <c r="G1474" s="140" t="s">
        <v>6893</v>
      </c>
      <c r="H1474" s="407" t="s">
        <v>64</v>
      </c>
      <c r="I1474" s="26" t="s">
        <v>6894</v>
      </c>
      <c r="J1474" s="72" t="s">
        <v>142</v>
      </c>
      <c r="K1474" s="74" t="s">
        <v>723</v>
      </c>
      <c r="L1474" s="74" t="s">
        <v>723</v>
      </c>
      <c r="M1474" s="25" t="str">
        <f t="shared" si="789"/>
        <v>#VALUE!</v>
      </c>
      <c r="N1474" s="26">
        <f t="shared" si="790"/>
        <v>0</v>
      </c>
      <c r="O1474" s="27" t="str">
        <f t="shared" si="3"/>
        <v>#N/A</v>
      </c>
      <c r="P1474" s="28"/>
      <c r="Q1474" s="28"/>
      <c r="R1474" s="28"/>
      <c r="S1474" s="28"/>
      <c r="T1474" s="28" t="str">
        <f t="shared" si="791"/>
        <v>#VALUE!</v>
      </c>
      <c r="U1474" s="28"/>
      <c r="V1474" s="30">
        <f t="shared" si="425"/>
        <v>0</v>
      </c>
      <c r="W1474" s="30"/>
      <c r="X1474" s="32"/>
      <c r="Y1474" s="33" t="str">
        <f t="shared" si="792"/>
        <v>#DIV/0!</v>
      </c>
      <c r="Z1474" s="692"/>
      <c r="AA1474" s="665"/>
      <c r="AB1474" s="74"/>
      <c r="AC1474" s="74"/>
      <c r="AD1474" s="44"/>
      <c r="AE1474" s="46"/>
      <c r="AF1474" s="932"/>
      <c r="AG1474" s="46"/>
      <c r="AH1474" s="36"/>
      <c r="AI1474" s="159"/>
      <c r="AJ1474" s="1516"/>
      <c r="AK1474" s="46"/>
      <c r="AL1474" s="1516"/>
      <c r="AM1474" s="46"/>
      <c r="AN1474" s="44"/>
      <c r="AO1474" s="46"/>
      <c r="AP1474" s="44"/>
      <c r="AQ1474" s="46"/>
      <c r="AR1474" s="44"/>
      <c r="AS1474" s="44"/>
      <c r="AT1474" s="44"/>
      <c r="AU1474" s="45"/>
      <c r="AV1474" s="44"/>
      <c r="AW1474" s="38"/>
      <c r="AX1474" s="44"/>
      <c r="AY1474" s="38"/>
      <c r="AZ1474" s="44"/>
      <c r="BA1474" s="45"/>
      <c r="BB1474" s="44"/>
      <c r="BC1474" s="45"/>
      <c r="BD1474" s="44"/>
      <c r="BE1474" s="38"/>
      <c r="BF1474" s="36"/>
      <c r="BG1474" s="68"/>
      <c r="BH1474" s="68"/>
      <c r="BI1474" s="68"/>
      <c r="BJ1474" s="68"/>
      <c r="BK1474" s="68"/>
      <c r="BL1474" s="68"/>
      <c r="BM1474" s="68"/>
      <c r="BN1474" s="68"/>
      <c r="BO1474" s="68"/>
      <c r="BP1474" s="68"/>
      <c r="BQ1474" s="68"/>
      <c r="BR1474" s="68"/>
      <c r="BS1474" s="68"/>
      <c r="BT1474" s="68"/>
      <c r="BU1474" s="68"/>
      <c r="BV1474" s="68"/>
      <c r="BW1474" s="68"/>
      <c r="BX1474" s="68"/>
      <c r="BY1474" s="68"/>
      <c r="BZ1474" s="68"/>
      <c r="CA1474" s="68"/>
      <c r="CB1474" s="68"/>
      <c r="CC1474" s="68"/>
      <c r="CD1474" s="68"/>
      <c r="CE1474" s="68"/>
      <c r="CF1474" s="68"/>
      <c r="CG1474" s="68"/>
      <c r="CH1474" s="68"/>
      <c r="CI1474" s="68"/>
      <c r="CJ1474" s="68"/>
      <c r="CK1474" s="68"/>
      <c r="CL1474" s="68"/>
      <c r="CM1474" s="68"/>
      <c r="CN1474" s="68"/>
      <c r="CO1474" s="68"/>
      <c r="CP1474" s="68"/>
    </row>
    <row r="1475" ht="15.75" customHeight="1">
      <c r="A1475" s="860" t="s">
        <v>6895</v>
      </c>
      <c r="B1475" s="68"/>
      <c r="C1475" s="858" t="s">
        <v>123</v>
      </c>
      <c r="D1475" s="337"/>
      <c r="E1475" s="192" t="s">
        <v>6896</v>
      </c>
      <c r="F1475" s="118" t="s">
        <v>6897</v>
      </c>
      <c r="G1475" s="186"/>
      <c r="H1475" s="71" t="s">
        <v>450</v>
      </c>
      <c r="I1475" s="71" t="s">
        <v>450</v>
      </c>
      <c r="J1475" s="155"/>
      <c r="K1475" s="74"/>
      <c r="L1475" s="26">
        <v>2004.0</v>
      </c>
      <c r="M1475" s="25">
        <f t="shared" si="789"/>
        <v>21</v>
      </c>
      <c r="N1475" s="26">
        <f t="shared" si="790"/>
        <v>0</v>
      </c>
      <c r="O1475" s="27" t="str">
        <f t="shared" si="3"/>
        <v>#N/A</v>
      </c>
      <c r="P1475" s="28"/>
      <c r="Q1475" s="28"/>
      <c r="R1475" s="28"/>
      <c r="S1475" s="28"/>
      <c r="T1475" s="29">
        <f t="shared" si="791"/>
        <v>0</v>
      </c>
      <c r="U1475" s="28"/>
      <c r="V1475" s="30">
        <f t="shared" si="425"/>
        <v>0</v>
      </c>
      <c r="W1475" s="30"/>
      <c r="X1475" s="32"/>
      <c r="Y1475" s="33" t="str">
        <f t="shared" si="792"/>
        <v>#DIV/0!</v>
      </c>
      <c r="Z1475" s="692"/>
      <c r="AA1475" s="665"/>
      <c r="AB1475" s="74"/>
      <c r="AC1475" s="74"/>
      <c r="AD1475" s="44"/>
      <c r="AE1475" s="46"/>
      <c r="AF1475" s="39"/>
      <c r="AG1475" s="1052"/>
      <c r="AH1475" s="36"/>
      <c r="AI1475" s="159"/>
      <c r="AJ1475" s="44"/>
      <c r="AK1475" s="46"/>
      <c r="AL1475" s="44"/>
      <c r="AM1475" s="1052"/>
      <c r="AN1475" s="44"/>
      <c r="AO1475" s="46"/>
      <c r="AP1475" s="44"/>
      <c r="AQ1475" s="46"/>
      <c r="AR1475" s="44"/>
      <c r="AS1475" s="44"/>
      <c r="AT1475" s="44"/>
      <c r="AU1475" s="45"/>
      <c r="AV1475" s="44"/>
      <c r="AW1475" s="38"/>
      <c r="AX1475" s="44"/>
      <c r="AY1475" s="38"/>
      <c r="AZ1475" s="44"/>
      <c r="BA1475" s="45"/>
      <c r="BB1475" s="44"/>
      <c r="BC1475" s="45"/>
      <c r="BD1475" s="44"/>
      <c r="BE1475" s="38"/>
      <c r="BF1475" s="36"/>
      <c r="BG1475" s="1644"/>
      <c r="BH1475" s="1644"/>
      <c r="BI1475" s="1644"/>
      <c r="BJ1475" s="1644"/>
      <c r="BK1475" s="1644"/>
      <c r="BL1475" s="1644"/>
      <c r="BM1475" s="1644"/>
      <c r="BN1475" s="1644"/>
      <c r="BO1475" s="1644"/>
      <c r="BP1475" s="1644"/>
      <c r="BQ1475" s="1644"/>
      <c r="BR1475" s="1644"/>
      <c r="BS1475" s="1644"/>
      <c r="BT1475" s="1644"/>
      <c r="BU1475" s="1644"/>
      <c r="BV1475" s="1644"/>
      <c r="BW1475" s="1644"/>
      <c r="BX1475" s="1644"/>
      <c r="BY1475" s="1644"/>
      <c r="BZ1475" s="1644"/>
      <c r="CA1475" s="1644"/>
      <c r="CB1475" s="1644"/>
      <c r="CC1475" s="1644"/>
      <c r="CD1475" s="1644"/>
      <c r="CE1475" s="1644"/>
      <c r="CF1475" s="1644"/>
      <c r="CG1475" s="1644"/>
      <c r="CH1475" s="1644"/>
      <c r="CI1475" s="1644"/>
      <c r="CJ1475" s="1644"/>
      <c r="CK1475" s="1644"/>
      <c r="CL1475" s="1644"/>
      <c r="CM1475" s="1644"/>
      <c r="CN1475" s="1644"/>
      <c r="CO1475" s="1644"/>
      <c r="CP1475" s="1644"/>
    </row>
    <row r="1476" ht="15.75" customHeight="1">
      <c r="A1476" s="892" t="s">
        <v>6898</v>
      </c>
      <c r="B1476" s="68"/>
      <c r="C1476" s="69" t="s">
        <v>1007</v>
      </c>
      <c r="D1476" s="192" t="s">
        <v>6899</v>
      </c>
      <c r="E1476" s="192" t="s">
        <v>6900</v>
      </c>
      <c r="F1476" s="118" t="s">
        <v>6901</v>
      </c>
      <c r="G1476" s="186"/>
      <c r="H1476" s="71" t="s">
        <v>6902</v>
      </c>
      <c r="I1476" s="26" t="s">
        <v>218</v>
      </c>
      <c r="J1476" s="155"/>
      <c r="K1476" s="74"/>
      <c r="L1476" s="26">
        <v>2003.0</v>
      </c>
      <c r="M1476" s="25">
        <f t="shared" si="789"/>
        <v>22</v>
      </c>
      <c r="N1476" s="26">
        <f t="shared" si="790"/>
        <v>0</v>
      </c>
      <c r="O1476" s="27" t="str">
        <f t="shared" si="3"/>
        <v>#N/A</v>
      </c>
      <c r="P1476" s="28"/>
      <c r="Q1476" s="28"/>
      <c r="R1476" s="28"/>
      <c r="S1476" s="28"/>
      <c r="T1476" s="29">
        <f t="shared" si="791"/>
        <v>0</v>
      </c>
      <c r="U1476" s="28"/>
      <c r="V1476" s="30">
        <f t="shared" si="425"/>
        <v>0</v>
      </c>
      <c r="W1476" s="30"/>
      <c r="X1476" s="32"/>
      <c r="Y1476" s="33" t="str">
        <f t="shared" si="792"/>
        <v>#DIV/0!</v>
      </c>
      <c r="Z1476" s="692"/>
      <c r="AA1476" s="665"/>
      <c r="AB1476" s="74"/>
      <c r="AC1476" s="74"/>
      <c r="AD1476" s="44"/>
      <c r="AE1476" s="46"/>
      <c r="AF1476" s="39"/>
      <c r="AG1476" s="1052"/>
      <c r="AH1476" s="36"/>
      <c r="AI1476" s="159"/>
      <c r="AJ1476" s="44"/>
      <c r="AK1476" s="46"/>
      <c r="AL1476" s="44"/>
      <c r="AM1476" s="1052"/>
      <c r="AN1476" s="44"/>
      <c r="AO1476" s="46"/>
      <c r="AP1476" s="44"/>
      <c r="AQ1476" s="46"/>
      <c r="AR1476" s="44"/>
      <c r="AS1476" s="44"/>
      <c r="AT1476" s="44"/>
      <c r="AU1476" s="45"/>
      <c r="AV1476" s="44"/>
      <c r="AW1476" s="38"/>
      <c r="AX1476" s="44"/>
      <c r="AY1476" s="38"/>
      <c r="AZ1476" s="44"/>
      <c r="BA1476" s="45"/>
      <c r="BB1476" s="44"/>
      <c r="BC1476" s="45"/>
      <c r="BD1476" s="44"/>
      <c r="BE1476" s="38"/>
      <c r="BF1476" s="36"/>
      <c r="BG1476" s="68"/>
      <c r="BH1476" s="68"/>
      <c r="BI1476" s="68"/>
      <c r="BJ1476" s="68"/>
      <c r="BK1476" s="68"/>
      <c r="BL1476" s="68"/>
      <c r="BM1476" s="68"/>
      <c r="BN1476" s="68"/>
      <c r="BO1476" s="68"/>
      <c r="BP1476" s="68"/>
      <c r="BQ1476" s="68"/>
      <c r="BR1476" s="68"/>
      <c r="BS1476" s="68"/>
      <c r="BT1476" s="68"/>
      <c r="BU1476" s="68"/>
      <c r="BV1476" s="68"/>
      <c r="BW1476" s="68"/>
      <c r="BX1476" s="68"/>
      <c r="BY1476" s="68"/>
      <c r="BZ1476" s="68"/>
      <c r="CA1476" s="68"/>
      <c r="CB1476" s="68"/>
      <c r="CC1476" s="68"/>
      <c r="CD1476" s="68"/>
      <c r="CE1476" s="68"/>
      <c r="CF1476" s="68"/>
      <c r="CG1476" s="68"/>
      <c r="CH1476" s="68"/>
      <c r="CI1476" s="68"/>
      <c r="CJ1476" s="68"/>
      <c r="CK1476" s="68"/>
      <c r="CL1476" s="68"/>
      <c r="CM1476" s="68"/>
      <c r="CN1476" s="68"/>
      <c r="CO1476" s="68"/>
      <c r="CP1476" s="68"/>
    </row>
    <row r="1477" ht="15.75" customHeight="1">
      <c r="A1477" s="892" t="s">
        <v>6903</v>
      </c>
      <c r="B1477" s="68"/>
      <c r="C1477" s="69" t="s">
        <v>123</v>
      </c>
      <c r="D1477" s="192" t="s">
        <v>6904</v>
      </c>
      <c r="E1477" s="192" t="s">
        <v>6905</v>
      </c>
      <c r="F1477" s="118" t="s">
        <v>6906</v>
      </c>
      <c r="G1477" s="186"/>
      <c r="H1477" s="186"/>
      <c r="I1477" s="74"/>
      <c r="J1477" s="155"/>
      <c r="K1477" s="74"/>
      <c r="L1477" s="26">
        <v>2016.0</v>
      </c>
      <c r="M1477" s="25">
        <f t="shared" si="789"/>
        <v>9</v>
      </c>
      <c r="N1477" s="26">
        <f t="shared" si="790"/>
        <v>0</v>
      </c>
      <c r="O1477" s="27" t="str">
        <f t="shared" si="3"/>
        <v>#N/A</v>
      </c>
      <c r="P1477" s="28"/>
      <c r="Q1477" s="28"/>
      <c r="R1477" s="28"/>
      <c r="S1477" s="28"/>
      <c r="T1477" s="29">
        <f t="shared" si="791"/>
        <v>0</v>
      </c>
      <c r="U1477" s="28"/>
      <c r="V1477" s="30">
        <f t="shared" si="425"/>
        <v>0</v>
      </c>
      <c r="W1477" s="30"/>
      <c r="X1477" s="32"/>
      <c r="Y1477" s="33" t="str">
        <f t="shared" si="792"/>
        <v>#DIV/0!</v>
      </c>
      <c r="Z1477" s="692"/>
      <c r="AA1477" s="665"/>
      <c r="AB1477" s="74"/>
      <c r="AC1477" s="74"/>
      <c r="AD1477" s="44"/>
      <c r="AE1477" s="46"/>
      <c r="AF1477" s="39"/>
      <c r="AG1477" s="1052"/>
      <c r="AH1477" s="36"/>
      <c r="AI1477" s="159"/>
      <c r="AJ1477" s="44"/>
      <c r="AK1477" s="46"/>
      <c r="AL1477" s="44"/>
      <c r="AM1477" s="1052"/>
      <c r="AN1477" s="44"/>
      <c r="AO1477" s="46"/>
      <c r="AP1477" s="44"/>
      <c r="AQ1477" s="46"/>
      <c r="AR1477" s="44"/>
      <c r="AS1477" s="44"/>
      <c r="AT1477" s="44"/>
      <c r="AU1477" s="45"/>
      <c r="AV1477" s="44"/>
      <c r="AW1477" s="38"/>
      <c r="AX1477" s="44"/>
      <c r="AY1477" s="38"/>
      <c r="AZ1477" s="44"/>
      <c r="BA1477" s="45"/>
      <c r="BB1477" s="44"/>
      <c r="BC1477" s="45"/>
      <c r="BD1477" s="44"/>
      <c r="BE1477" s="38"/>
      <c r="BF1477" s="36"/>
      <c r="BG1477" s="68"/>
      <c r="BH1477" s="68"/>
      <c r="BI1477" s="68"/>
      <c r="BJ1477" s="68"/>
      <c r="BK1477" s="68"/>
      <c r="BL1477" s="68"/>
      <c r="BM1477" s="68"/>
      <c r="BN1477" s="68"/>
      <c r="BO1477" s="68"/>
      <c r="BP1477" s="68"/>
      <c r="BQ1477" s="68"/>
      <c r="BR1477" s="68"/>
      <c r="BS1477" s="68"/>
      <c r="BT1477" s="68"/>
      <c r="BU1477" s="68"/>
      <c r="BV1477" s="68"/>
      <c r="BW1477" s="68"/>
      <c r="BX1477" s="68"/>
      <c r="BY1477" s="68"/>
      <c r="BZ1477" s="68"/>
      <c r="CA1477" s="68"/>
      <c r="CB1477" s="68"/>
      <c r="CC1477" s="68"/>
      <c r="CD1477" s="68"/>
      <c r="CE1477" s="68"/>
      <c r="CF1477" s="68"/>
      <c r="CG1477" s="68"/>
      <c r="CH1477" s="68"/>
      <c r="CI1477" s="68"/>
      <c r="CJ1477" s="68"/>
      <c r="CK1477" s="68"/>
      <c r="CL1477" s="68"/>
      <c r="CM1477" s="68"/>
      <c r="CN1477" s="68"/>
      <c r="CO1477" s="68"/>
      <c r="CP1477" s="68"/>
    </row>
    <row r="1478" ht="15.75" customHeight="1">
      <c r="A1478" s="21" t="s">
        <v>6907</v>
      </c>
      <c r="B1478" s="68"/>
      <c r="C1478" s="69" t="s">
        <v>123</v>
      </c>
      <c r="D1478" s="337"/>
      <c r="E1478" s="192" t="s">
        <v>6908</v>
      </c>
      <c r="F1478" s="118" t="s">
        <v>6909</v>
      </c>
      <c r="G1478" s="186"/>
      <c r="H1478" s="71" t="s">
        <v>5560</v>
      </c>
      <c r="I1478" s="26" t="s">
        <v>6910</v>
      </c>
      <c r="J1478" s="155"/>
      <c r="K1478" s="74"/>
      <c r="L1478" s="26">
        <v>1993.0</v>
      </c>
      <c r="M1478" s="25">
        <f t="shared" si="789"/>
        <v>32</v>
      </c>
      <c r="N1478" s="26">
        <f t="shared" si="790"/>
        <v>0</v>
      </c>
      <c r="O1478" s="27" t="str">
        <f t="shared" si="3"/>
        <v>#N/A</v>
      </c>
      <c r="P1478" s="28"/>
      <c r="Q1478" s="28"/>
      <c r="R1478" s="28"/>
      <c r="S1478" s="28"/>
      <c r="T1478" s="29">
        <f t="shared" si="791"/>
        <v>0</v>
      </c>
      <c r="U1478" s="28"/>
      <c r="V1478" s="30">
        <f t="shared" si="425"/>
        <v>0</v>
      </c>
      <c r="W1478" s="30"/>
      <c r="X1478" s="32"/>
      <c r="Y1478" s="33" t="str">
        <f t="shared" si="792"/>
        <v>#DIV/0!</v>
      </c>
      <c r="Z1478" s="692"/>
      <c r="AA1478" s="665"/>
      <c r="AB1478" s="74"/>
      <c r="AC1478" s="74"/>
      <c r="AD1478" s="44"/>
      <c r="AE1478" s="46"/>
      <c r="AF1478" s="39"/>
      <c r="AG1478" s="1052"/>
      <c r="AH1478" s="36"/>
      <c r="AI1478" s="159"/>
      <c r="AJ1478" s="44"/>
      <c r="AK1478" s="46"/>
      <c r="AL1478" s="44"/>
      <c r="AM1478" s="1052"/>
      <c r="AN1478" s="44"/>
      <c r="AO1478" s="46"/>
      <c r="AP1478" s="44"/>
      <c r="AQ1478" s="46"/>
      <c r="AR1478" s="44"/>
      <c r="AS1478" s="44"/>
      <c r="AT1478" s="44"/>
      <c r="AU1478" s="45"/>
      <c r="AV1478" s="44"/>
      <c r="AW1478" s="38"/>
      <c r="AX1478" s="44"/>
      <c r="AY1478" s="38"/>
      <c r="AZ1478" s="44"/>
      <c r="BA1478" s="45"/>
      <c r="BB1478" s="44"/>
      <c r="BC1478" s="45"/>
      <c r="BD1478" s="44"/>
      <c r="BE1478" s="38"/>
      <c r="BF1478" s="36"/>
      <c r="BG1478" s="68"/>
      <c r="BH1478" s="68"/>
      <c r="BI1478" s="68"/>
      <c r="BJ1478" s="68"/>
      <c r="BK1478" s="68"/>
      <c r="BL1478" s="68"/>
      <c r="BM1478" s="68"/>
      <c r="BN1478" s="68"/>
      <c r="BO1478" s="68"/>
      <c r="BP1478" s="68"/>
      <c r="BQ1478" s="68"/>
      <c r="BR1478" s="68"/>
      <c r="BS1478" s="68"/>
      <c r="BT1478" s="68"/>
      <c r="BU1478" s="68"/>
      <c r="BV1478" s="68"/>
      <c r="BW1478" s="68"/>
      <c r="BX1478" s="68"/>
      <c r="BY1478" s="68"/>
      <c r="BZ1478" s="68"/>
      <c r="CA1478" s="68"/>
      <c r="CB1478" s="68"/>
      <c r="CC1478" s="68"/>
      <c r="CD1478" s="68"/>
      <c r="CE1478" s="68"/>
      <c r="CF1478" s="68"/>
      <c r="CG1478" s="68"/>
      <c r="CH1478" s="68"/>
      <c r="CI1478" s="68"/>
      <c r="CJ1478" s="68"/>
      <c r="CK1478" s="68"/>
      <c r="CL1478" s="68"/>
      <c r="CM1478" s="68"/>
      <c r="CN1478" s="68"/>
      <c r="CO1478" s="68"/>
      <c r="CP1478" s="68"/>
    </row>
    <row r="1479" ht="15.75" customHeight="1">
      <c r="A1479" s="400" t="s">
        <v>6911</v>
      </c>
      <c r="B1479" s="115"/>
      <c r="C1479" s="694" t="s">
        <v>123</v>
      </c>
      <c r="D1479" s="161" t="s">
        <v>6912</v>
      </c>
      <c r="E1479" s="161" t="s">
        <v>6913</v>
      </c>
      <c r="F1479" s="386" t="s">
        <v>6914</v>
      </c>
      <c r="G1479" s="54" t="s">
        <v>6915</v>
      </c>
      <c r="H1479" s="119" t="s">
        <v>533</v>
      </c>
      <c r="I1479" s="25" t="s">
        <v>65</v>
      </c>
      <c r="J1479" s="120" t="s">
        <v>534</v>
      </c>
      <c r="K1479" s="25">
        <v>1.0</v>
      </c>
      <c r="L1479" s="25">
        <v>2004.0</v>
      </c>
      <c r="M1479" s="25">
        <f t="shared" si="789"/>
        <v>21</v>
      </c>
      <c r="N1479" s="26">
        <f t="shared" si="790"/>
        <v>0</v>
      </c>
      <c r="O1479" s="27" t="str">
        <f t="shared" si="3"/>
        <v>#N/A</v>
      </c>
      <c r="P1479" s="28"/>
      <c r="Q1479" s="28"/>
      <c r="R1479" s="28"/>
      <c r="S1479" s="28"/>
      <c r="T1479" s="29">
        <f t="shared" si="791"/>
        <v>0</v>
      </c>
      <c r="U1479" s="28"/>
      <c r="V1479" s="30">
        <f t="shared" si="425"/>
        <v>0</v>
      </c>
      <c r="W1479" s="30"/>
      <c r="X1479" s="597"/>
      <c r="Y1479" s="33" t="str">
        <f t="shared" si="792"/>
        <v>#DIV/0!</v>
      </c>
      <c r="Z1479" s="692"/>
      <c r="AA1479" s="665"/>
      <c r="AB1479" s="123"/>
      <c r="AC1479" s="123"/>
      <c r="AD1479" s="322"/>
      <c r="AE1479" s="323"/>
      <c r="AF1479" s="868"/>
      <c r="AG1479" s="323"/>
      <c r="AH1479" s="326"/>
      <c r="AI1479" s="327"/>
      <c r="AJ1479" s="322"/>
      <c r="AK1479" s="323"/>
      <c r="AL1479" s="322"/>
      <c r="AM1479" s="323"/>
      <c r="AN1479" s="322"/>
      <c r="AO1479" s="323"/>
      <c r="AP1479" s="322"/>
      <c r="AQ1479" s="323"/>
      <c r="AR1479" s="322"/>
      <c r="AS1479" s="322"/>
      <c r="AT1479" s="322"/>
      <c r="AU1479" s="335"/>
      <c r="AV1479" s="322"/>
      <c r="AW1479" s="38"/>
      <c r="AX1479" s="322"/>
      <c r="AY1479" s="38"/>
      <c r="AZ1479" s="322"/>
      <c r="BA1479" s="335"/>
      <c r="BB1479" s="322"/>
      <c r="BC1479" s="335"/>
      <c r="BD1479" s="322"/>
      <c r="BE1479" s="38"/>
      <c r="BF1479" s="326"/>
      <c r="BG1479" s="115"/>
      <c r="BH1479" s="115"/>
      <c r="BI1479" s="115"/>
      <c r="BJ1479" s="115"/>
      <c r="BK1479" s="115"/>
      <c r="BL1479" s="115"/>
      <c r="BM1479" s="115"/>
      <c r="BN1479" s="115"/>
      <c r="BO1479" s="115"/>
      <c r="BP1479" s="115"/>
      <c r="BQ1479" s="115"/>
      <c r="BR1479" s="115"/>
      <c r="BS1479" s="115"/>
      <c r="BT1479" s="115"/>
      <c r="BU1479" s="115"/>
      <c r="BV1479" s="115"/>
      <c r="BW1479" s="115"/>
      <c r="BX1479" s="115"/>
      <c r="BY1479" s="115"/>
      <c r="BZ1479" s="115"/>
      <c r="CA1479" s="115"/>
      <c r="CB1479" s="115"/>
      <c r="CC1479" s="115"/>
      <c r="CD1479" s="115"/>
      <c r="CE1479" s="115"/>
      <c r="CF1479" s="115"/>
      <c r="CG1479" s="115"/>
      <c r="CH1479" s="115"/>
      <c r="CI1479" s="115"/>
      <c r="CJ1479" s="115"/>
      <c r="CK1479" s="115"/>
      <c r="CL1479" s="115"/>
      <c r="CM1479" s="115"/>
      <c r="CN1479" s="115"/>
      <c r="CO1479" s="115"/>
      <c r="CP1479" s="115"/>
    </row>
    <row r="1480" ht="15.75" customHeight="1">
      <c r="A1480" s="442" t="s">
        <v>6916</v>
      </c>
      <c r="B1480" s="68" t="s">
        <v>1056</v>
      </c>
      <c r="C1480" s="68" t="s">
        <v>207</v>
      </c>
      <c r="D1480" s="184"/>
      <c r="E1480" s="184" t="s">
        <v>6917</v>
      </c>
      <c r="F1480" s="185" t="s">
        <v>6918</v>
      </c>
      <c r="G1480" s="186"/>
      <c r="H1480" s="186" t="s">
        <v>771</v>
      </c>
      <c r="I1480" s="74" t="s">
        <v>772</v>
      </c>
      <c r="J1480" s="155"/>
      <c r="K1480" s="74" t="s">
        <v>723</v>
      </c>
      <c r="L1480" s="26">
        <v>1986.0</v>
      </c>
      <c r="M1480" s="25">
        <f t="shared" si="789"/>
        <v>39</v>
      </c>
      <c r="N1480" s="26">
        <f t="shared" si="790"/>
        <v>0</v>
      </c>
      <c r="O1480" s="27" t="str">
        <f t="shared" si="3"/>
        <v>#N/A</v>
      </c>
      <c r="P1480" s="28"/>
      <c r="Q1480" s="28"/>
      <c r="R1480" s="28"/>
      <c r="S1480" s="28"/>
      <c r="T1480" s="29">
        <f t="shared" si="791"/>
        <v>0</v>
      </c>
      <c r="U1480" s="28"/>
      <c r="V1480" s="30">
        <f t="shared" si="425"/>
        <v>0</v>
      </c>
      <c r="W1480" s="30"/>
      <c r="X1480" s="32"/>
      <c r="Y1480" s="33" t="str">
        <f t="shared" si="792"/>
        <v>#DIV/0!</v>
      </c>
      <c r="Z1480" s="692"/>
      <c r="AA1480" s="665"/>
      <c r="AB1480" s="74"/>
      <c r="AC1480" s="74"/>
      <c r="AD1480" s="44"/>
      <c r="AE1480" s="46"/>
      <c r="AF1480" s="39"/>
      <c r="AG1480" s="46"/>
      <c r="AH1480" s="36"/>
      <c r="AI1480" s="159"/>
      <c r="AJ1480" s="44"/>
      <c r="AK1480" s="46"/>
      <c r="AL1480" s="44"/>
      <c r="AM1480" s="46"/>
      <c r="AN1480" s="44"/>
      <c r="AO1480" s="46"/>
      <c r="AP1480" s="44"/>
      <c r="AQ1480" s="46"/>
      <c r="AR1480" s="44"/>
      <c r="AS1480" s="44"/>
      <c r="AT1480" s="44"/>
      <c r="AU1480" s="45"/>
      <c r="AV1480" s="44"/>
      <c r="AW1480" s="38"/>
      <c r="AX1480" s="44"/>
      <c r="AY1480" s="38"/>
      <c r="AZ1480" s="44"/>
      <c r="BA1480" s="45"/>
      <c r="BB1480" s="44"/>
      <c r="BC1480" s="45"/>
      <c r="BD1480" s="44">
        <v>43255.0</v>
      </c>
      <c r="BE1480" s="38"/>
      <c r="BF1480" s="36" t="s">
        <v>6919</v>
      </c>
      <c r="BG1480" s="115"/>
      <c r="BH1480" s="115"/>
      <c r="BI1480" s="115"/>
      <c r="BJ1480" s="115"/>
      <c r="BK1480" s="115"/>
      <c r="BL1480" s="115"/>
      <c r="BM1480" s="115"/>
      <c r="BN1480" s="115"/>
      <c r="BO1480" s="115"/>
      <c r="BP1480" s="115"/>
      <c r="BQ1480" s="115"/>
      <c r="BR1480" s="115"/>
      <c r="BS1480" s="115"/>
      <c r="BT1480" s="115"/>
      <c r="BU1480" s="115"/>
      <c r="BV1480" s="115"/>
      <c r="BW1480" s="115"/>
      <c r="BX1480" s="115"/>
      <c r="BY1480" s="115"/>
      <c r="BZ1480" s="115"/>
      <c r="CA1480" s="115"/>
      <c r="CB1480" s="115"/>
      <c r="CC1480" s="115"/>
      <c r="CD1480" s="115"/>
      <c r="CE1480" s="115"/>
      <c r="CF1480" s="115"/>
      <c r="CG1480" s="115"/>
      <c r="CH1480" s="115"/>
      <c r="CI1480" s="115"/>
      <c r="CJ1480" s="115"/>
      <c r="CK1480" s="115"/>
      <c r="CL1480" s="115"/>
      <c r="CM1480" s="115"/>
      <c r="CN1480" s="115"/>
      <c r="CO1480" s="115"/>
      <c r="CP1480" s="115"/>
    </row>
    <row r="1481" ht="15.75" customHeight="1">
      <c r="A1481" s="892" t="s">
        <v>6920</v>
      </c>
      <c r="B1481" s="68"/>
      <c r="C1481" s="858" t="s">
        <v>1007</v>
      </c>
      <c r="D1481" s="184"/>
      <c r="E1481" s="192" t="s">
        <v>6921</v>
      </c>
      <c r="F1481" s="118" t="s">
        <v>6922</v>
      </c>
      <c r="G1481" s="140"/>
      <c r="H1481" s="71" t="s">
        <v>6923</v>
      </c>
      <c r="I1481" s="26" t="s">
        <v>2500</v>
      </c>
      <c r="J1481" s="72"/>
      <c r="K1481" s="26"/>
      <c r="L1481" s="26">
        <v>2013.0</v>
      </c>
      <c r="M1481" s="25">
        <f t="shared" si="789"/>
        <v>12</v>
      </c>
      <c r="N1481" s="26">
        <f t="shared" si="790"/>
        <v>0</v>
      </c>
      <c r="O1481" s="27" t="str">
        <f t="shared" si="3"/>
        <v>#N/A</v>
      </c>
      <c r="P1481" s="28"/>
      <c r="Q1481" s="28"/>
      <c r="R1481" s="28"/>
      <c r="S1481" s="28"/>
      <c r="T1481" s="29">
        <f t="shared" si="791"/>
        <v>0</v>
      </c>
      <c r="U1481" s="28"/>
      <c r="V1481" s="30">
        <f t="shared" si="425"/>
        <v>0</v>
      </c>
      <c r="W1481" s="30"/>
      <c r="X1481" s="73"/>
      <c r="Y1481" s="33" t="str">
        <f t="shared" si="792"/>
        <v>#DIV/0!</v>
      </c>
      <c r="Z1481" s="692"/>
      <c r="AA1481" s="665"/>
      <c r="AB1481" s="74"/>
      <c r="AC1481" s="74"/>
      <c r="AD1481" s="37"/>
      <c r="AE1481" s="23"/>
      <c r="AF1481" s="39"/>
      <c r="AG1481" s="1230"/>
      <c r="AH1481" s="886"/>
      <c r="AI1481" s="886"/>
      <c r="AJ1481" s="37"/>
      <c r="AK1481" s="38"/>
      <c r="AL1481" s="37"/>
      <c r="AM1481" s="38"/>
      <c r="AN1481" s="37"/>
      <c r="AO1481" s="38"/>
      <c r="AP1481" s="37"/>
      <c r="AQ1481" s="38"/>
      <c r="AR1481" s="44"/>
      <c r="AS1481" s="44"/>
      <c r="AT1481" s="44"/>
      <c r="AU1481" s="45"/>
      <c r="AV1481" s="44"/>
      <c r="AW1481" s="38"/>
      <c r="AX1481" s="44"/>
      <c r="AY1481" s="38"/>
      <c r="AZ1481" s="44"/>
      <c r="BA1481" s="45"/>
      <c r="BB1481" s="44"/>
      <c r="BC1481" s="45"/>
      <c r="BD1481" s="44"/>
      <c r="BE1481" s="38"/>
      <c r="BF1481" s="36"/>
      <c r="BG1481" s="115"/>
      <c r="BH1481" s="115"/>
      <c r="BI1481" s="115"/>
      <c r="BJ1481" s="115"/>
      <c r="BK1481" s="115"/>
      <c r="BL1481" s="115"/>
      <c r="BM1481" s="115"/>
      <c r="BN1481" s="115"/>
      <c r="BO1481" s="115"/>
      <c r="BP1481" s="115"/>
      <c r="BQ1481" s="115"/>
      <c r="BR1481" s="115"/>
      <c r="BS1481" s="115"/>
      <c r="BT1481" s="115"/>
      <c r="BU1481" s="115"/>
      <c r="BV1481" s="115"/>
      <c r="BW1481" s="115"/>
      <c r="BX1481" s="115"/>
      <c r="BY1481" s="115"/>
      <c r="BZ1481" s="115"/>
      <c r="CA1481" s="115"/>
      <c r="CB1481" s="115"/>
      <c r="CC1481" s="115"/>
      <c r="CD1481" s="115"/>
      <c r="CE1481" s="115"/>
      <c r="CF1481" s="115"/>
      <c r="CG1481" s="115"/>
      <c r="CH1481" s="115"/>
      <c r="CI1481" s="115"/>
      <c r="CJ1481" s="115"/>
      <c r="CK1481" s="115"/>
      <c r="CL1481" s="115"/>
      <c r="CM1481" s="115"/>
      <c r="CN1481" s="115"/>
      <c r="CO1481" s="115"/>
      <c r="CP1481" s="115"/>
    </row>
    <row r="1482" ht="15.75" customHeight="1">
      <c r="A1482" s="892" t="s">
        <v>6924</v>
      </c>
      <c r="B1482" s="68"/>
      <c r="C1482" s="69" t="s">
        <v>513</v>
      </c>
      <c r="D1482" s="192" t="s">
        <v>6925</v>
      </c>
      <c r="E1482" s="192" t="s">
        <v>6926</v>
      </c>
      <c r="F1482" s="1657" t="s">
        <v>6927</v>
      </c>
      <c r="G1482" s="174"/>
      <c r="H1482" s="407" t="s">
        <v>6928</v>
      </c>
      <c r="I1482" s="69" t="s">
        <v>257</v>
      </c>
      <c r="J1482" s="155"/>
      <c r="K1482" s="74"/>
      <c r="L1482" s="26">
        <v>2008.0</v>
      </c>
      <c r="M1482" s="25">
        <f t="shared" si="789"/>
        <v>17</v>
      </c>
      <c r="N1482" s="26">
        <f t="shared" si="790"/>
        <v>0</v>
      </c>
      <c r="O1482" s="27" t="str">
        <f t="shared" si="3"/>
        <v>#N/A</v>
      </c>
      <c r="P1482" s="28"/>
      <c r="Q1482" s="28"/>
      <c r="R1482" s="28"/>
      <c r="S1482" s="28"/>
      <c r="T1482" s="29">
        <f t="shared" si="791"/>
        <v>0</v>
      </c>
      <c r="U1482" s="28"/>
      <c r="V1482" s="30">
        <f t="shared" si="425"/>
        <v>0</v>
      </c>
      <c r="W1482" s="30"/>
      <c r="X1482" s="32"/>
      <c r="Y1482" s="33" t="str">
        <f t="shared" si="792"/>
        <v>#DIV/0!</v>
      </c>
      <c r="Z1482" s="692"/>
      <c r="AA1482" s="665"/>
      <c r="AB1482" s="74"/>
      <c r="AC1482" s="74"/>
      <c r="AD1482" s="44"/>
      <c r="AE1482" s="46"/>
      <c r="AF1482" s="39"/>
      <c r="AG1482" s="46"/>
      <c r="AH1482" s="36"/>
      <c r="AI1482" s="159"/>
      <c r="AJ1482" s="44"/>
      <c r="AK1482" s="46"/>
      <c r="AL1482" s="44"/>
      <c r="AM1482" s="46"/>
      <c r="AN1482" s="44"/>
      <c r="AO1482" s="46"/>
      <c r="AP1482" s="44"/>
      <c r="AQ1482" s="46"/>
      <c r="AR1482" s="44"/>
      <c r="AS1482" s="44"/>
      <c r="AT1482" s="44"/>
      <c r="AU1482" s="45"/>
      <c r="AV1482" s="44"/>
      <c r="AW1482" s="38"/>
      <c r="AX1482" s="44"/>
      <c r="AY1482" s="38"/>
      <c r="AZ1482" s="44"/>
      <c r="BA1482" s="45"/>
      <c r="BB1482" s="44"/>
      <c r="BC1482" s="45"/>
      <c r="BD1482" s="44"/>
      <c r="BE1482" s="38"/>
      <c r="BF1482" s="36"/>
      <c r="BG1482" s="68"/>
      <c r="BH1482" s="68"/>
      <c r="BI1482" s="68"/>
      <c r="BJ1482" s="68"/>
      <c r="BK1482" s="68"/>
      <c r="BL1482" s="68"/>
      <c r="BM1482" s="68"/>
      <c r="BN1482" s="68"/>
      <c r="BO1482" s="68"/>
      <c r="BP1482" s="68"/>
      <c r="BQ1482" s="68"/>
      <c r="BR1482" s="68"/>
      <c r="BS1482" s="68"/>
      <c r="BT1482" s="68"/>
      <c r="BU1482" s="68"/>
      <c r="BV1482" s="68"/>
      <c r="BW1482" s="68"/>
      <c r="BX1482" s="68"/>
      <c r="BY1482" s="68"/>
      <c r="BZ1482" s="68"/>
      <c r="CA1482" s="68"/>
      <c r="CB1482" s="68"/>
      <c r="CC1482" s="68"/>
      <c r="CD1482" s="68"/>
      <c r="CE1482" s="68"/>
      <c r="CF1482" s="68"/>
      <c r="CG1482" s="68"/>
      <c r="CH1482" s="68"/>
      <c r="CI1482" s="68"/>
      <c r="CJ1482" s="68"/>
      <c r="CK1482" s="68"/>
      <c r="CL1482" s="68"/>
      <c r="CM1482" s="68"/>
      <c r="CN1482" s="68"/>
      <c r="CO1482" s="68"/>
      <c r="CP1482" s="68"/>
    </row>
    <row r="1483" ht="15.75" customHeight="1">
      <c r="A1483" s="21" t="s">
        <v>6929</v>
      </c>
      <c r="B1483" s="68"/>
      <c r="C1483" s="69" t="s">
        <v>123</v>
      </c>
      <c r="D1483" s="200" t="s">
        <v>6930</v>
      </c>
      <c r="E1483" s="492" t="s">
        <v>6931</v>
      </c>
      <c r="F1483" s="138" t="s">
        <v>6932</v>
      </c>
      <c r="G1483" s="407" t="s">
        <v>3273</v>
      </c>
      <c r="H1483" s="407" t="s">
        <v>3430</v>
      </c>
      <c r="I1483" s="69" t="s">
        <v>3431</v>
      </c>
      <c r="J1483" s="155"/>
      <c r="K1483" s="26">
        <v>2.0</v>
      </c>
      <c r="L1483" s="26">
        <v>2000.0</v>
      </c>
      <c r="M1483" s="25">
        <f t="shared" si="789"/>
        <v>25</v>
      </c>
      <c r="N1483" s="26">
        <f t="shared" si="790"/>
        <v>0</v>
      </c>
      <c r="O1483" s="27" t="str">
        <f t="shared" si="3"/>
        <v>#N/A</v>
      </c>
      <c r="P1483" s="28"/>
      <c r="Q1483" s="28"/>
      <c r="R1483" s="28"/>
      <c r="S1483" s="28"/>
      <c r="T1483" s="29">
        <f t="shared" si="791"/>
        <v>0</v>
      </c>
      <c r="U1483" s="28"/>
      <c r="V1483" s="30">
        <f t="shared" si="425"/>
        <v>0</v>
      </c>
      <c r="W1483" s="30"/>
      <c r="X1483" s="73"/>
      <c r="Y1483" s="33" t="str">
        <f t="shared" si="792"/>
        <v>#DIV/0!</v>
      </c>
      <c r="Z1483" s="692"/>
      <c r="AA1483" s="665"/>
      <c r="AB1483" s="74"/>
      <c r="AC1483" s="74"/>
      <c r="AD1483" s="44"/>
      <c r="AE1483" s="46"/>
      <c r="AF1483" s="39"/>
      <c r="AG1483" s="46"/>
      <c r="AH1483" s="36"/>
      <c r="AI1483" s="159"/>
      <c r="AJ1483" s="43" t="str">
        <f>HYPERLINK("https://www.crunchbase.com/organization/energy-watch#section-funding-rounds"," Jul 31, 2018        
")</f>
        <v> Jul 31, 2018        
</v>
      </c>
      <c r="AK1483" s="46"/>
      <c r="AL1483" s="44"/>
      <c r="AM1483" s="46"/>
      <c r="AN1483" s="44"/>
      <c r="AO1483" s="46"/>
      <c r="AP1483" s="44"/>
      <c r="AQ1483" s="46"/>
      <c r="AR1483" s="44"/>
      <c r="AS1483" s="44"/>
      <c r="AT1483" s="44"/>
      <c r="AU1483" s="45"/>
      <c r="AV1483" s="44"/>
      <c r="AW1483" s="38"/>
      <c r="AX1483" s="44"/>
      <c r="AY1483" s="38"/>
      <c r="AZ1483" s="44"/>
      <c r="BA1483" s="45"/>
      <c r="BB1483" s="44"/>
      <c r="BC1483" s="45"/>
      <c r="BD1483" s="44"/>
      <c r="BE1483" s="38"/>
      <c r="BF1483" s="36"/>
      <c r="BG1483" s="68"/>
      <c r="BH1483" s="68"/>
      <c r="BI1483" s="68"/>
      <c r="BJ1483" s="68"/>
      <c r="BK1483" s="68"/>
      <c r="BL1483" s="68"/>
      <c r="BM1483" s="68"/>
      <c r="BN1483" s="68"/>
      <c r="BO1483" s="68"/>
      <c r="BP1483" s="68"/>
      <c r="BQ1483" s="68"/>
      <c r="BR1483" s="68"/>
      <c r="BS1483" s="68"/>
      <c r="BT1483" s="68"/>
      <c r="BU1483" s="68"/>
      <c r="BV1483" s="68"/>
      <c r="BW1483" s="68"/>
      <c r="BX1483" s="68"/>
      <c r="BY1483" s="68"/>
      <c r="BZ1483" s="68"/>
      <c r="CA1483" s="68"/>
      <c r="CB1483" s="68"/>
      <c r="CC1483" s="68"/>
      <c r="CD1483" s="68"/>
      <c r="CE1483" s="68"/>
      <c r="CF1483" s="68"/>
      <c r="CG1483" s="68"/>
      <c r="CH1483" s="68"/>
      <c r="CI1483" s="68"/>
      <c r="CJ1483" s="68"/>
      <c r="CK1483" s="68"/>
      <c r="CL1483" s="68"/>
      <c r="CM1483" s="68"/>
      <c r="CN1483" s="68"/>
      <c r="CO1483" s="68"/>
      <c r="CP1483" s="68"/>
    </row>
    <row r="1484" ht="15.75" customHeight="1">
      <c r="A1484" s="860" t="s">
        <v>6933</v>
      </c>
      <c r="B1484" s="68"/>
      <c r="C1484" s="858" t="s">
        <v>513</v>
      </c>
      <c r="D1484" s="192" t="s">
        <v>6934</v>
      </c>
      <c r="E1484" s="192" t="s">
        <v>6935</v>
      </c>
      <c r="F1484" s="192" t="s">
        <v>6936</v>
      </c>
      <c r="G1484" s="186"/>
      <c r="H1484" s="71" t="s">
        <v>6937</v>
      </c>
      <c r="I1484" s="26" t="s">
        <v>257</v>
      </c>
      <c r="J1484" s="155"/>
      <c r="K1484" s="74"/>
      <c r="L1484" s="26">
        <v>2012.0</v>
      </c>
      <c r="M1484" s="25">
        <f t="shared" si="789"/>
        <v>13</v>
      </c>
      <c r="N1484" s="26">
        <f t="shared" si="790"/>
        <v>0</v>
      </c>
      <c r="O1484" s="27" t="str">
        <f t="shared" si="3"/>
        <v>#N/A</v>
      </c>
      <c r="P1484" s="28"/>
      <c r="Q1484" s="28"/>
      <c r="R1484" s="28"/>
      <c r="S1484" s="28"/>
      <c r="T1484" s="29">
        <f t="shared" si="791"/>
        <v>0</v>
      </c>
      <c r="U1484" s="28"/>
      <c r="V1484" s="30">
        <f t="shared" si="425"/>
        <v>0</v>
      </c>
      <c r="W1484" s="30"/>
      <c r="X1484" s="32"/>
      <c r="Y1484" s="33" t="str">
        <f t="shared" si="792"/>
        <v>#DIV/0!</v>
      </c>
      <c r="Z1484" s="692"/>
      <c r="AA1484" s="665"/>
      <c r="AB1484" s="74"/>
      <c r="AC1484" s="74"/>
      <c r="AD1484" s="44"/>
      <c r="AE1484" s="46"/>
      <c r="AF1484" s="39"/>
      <c r="AG1484" s="38"/>
      <c r="AH1484" s="886"/>
      <c r="AI1484" s="41"/>
      <c r="AJ1484" s="37"/>
      <c r="AK1484" s="41"/>
      <c r="AL1484" s="37"/>
      <c r="AM1484" s="38"/>
      <c r="AN1484" s="37"/>
      <c r="AO1484" s="38"/>
      <c r="AP1484" s="37"/>
      <c r="AQ1484" s="887"/>
      <c r="AR1484" s="44"/>
      <c r="AS1484" s="44"/>
      <c r="AT1484" s="44"/>
      <c r="AU1484" s="45"/>
      <c r="AV1484" s="44"/>
      <c r="AW1484" s="38"/>
      <c r="AX1484" s="44"/>
      <c r="AY1484" s="38"/>
      <c r="AZ1484" s="44"/>
      <c r="BA1484" s="45"/>
      <c r="BB1484" s="44"/>
      <c r="BC1484" s="45"/>
      <c r="BD1484" s="44"/>
      <c r="BE1484" s="38"/>
      <c r="BF1484" s="36"/>
      <c r="BG1484" s="115"/>
      <c r="BH1484" s="115"/>
      <c r="BI1484" s="115"/>
      <c r="BJ1484" s="115"/>
      <c r="BK1484" s="115"/>
      <c r="BL1484" s="115"/>
      <c r="BM1484" s="115"/>
      <c r="BN1484" s="115"/>
      <c r="BO1484" s="115"/>
      <c r="BP1484" s="115"/>
      <c r="BQ1484" s="115"/>
      <c r="BR1484" s="115"/>
      <c r="BS1484" s="115"/>
      <c r="BT1484" s="115"/>
      <c r="BU1484" s="115"/>
      <c r="BV1484" s="115"/>
      <c r="BW1484" s="115"/>
      <c r="BX1484" s="115"/>
      <c r="BY1484" s="115"/>
      <c r="BZ1484" s="115"/>
      <c r="CA1484" s="115"/>
      <c r="CB1484" s="115"/>
      <c r="CC1484" s="115"/>
      <c r="CD1484" s="115"/>
      <c r="CE1484" s="115"/>
      <c r="CF1484" s="115"/>
      <c r="CG1484" s="115"/>
      <c r="CH1484" s="115"/>
      <c r="CI1484" s="115"/>
      <c r="CJ1484" s="115"/>
      <c r="CK1484" s="115"/>
      <c r="CL1484" s="115"/>
      <c r="CM1484" s="115"/>
      <c r="CN1484" s="115"/>
      <c r="CO1484" s="115"/>
      <c r="CP1484" s="115"/>
    </row>
    <row r="1485" ht="15.75" customHeight="1">
      <c r="A1485" s="892" t="s">
        <v>6938</v>
      </c>
      <c r="B1485" s="68"/>
      <c r="C1485" s="69" t="s">
        <v>123</v>
      </c>
      <c r="D1485" s="337"/>
      <c r="E1485" s="192" t="s">
        <v>6939</v>
      </c>
      <c r="F1485" s="118" t="s">
        <v>6940</v>
      </c>
      <c r="G1485" s="1110"/>
      <c r="H1485" s="71" t="s">
        <v>128</v>
      </c>
      <c r="I1485" s="26" t="s">
        <v>329</v>
      </c>
      <c r="J1485" s="1683"/>
      <c r="K1485" s="26"/>
      <c r="L1485" s="142">
        <v>2007.0</v>
      </c>
      <c r="M1485" s="25">
        <f t="shared" si="789"/>
        <v>18</v>
      </c>
      <c r="N1485" s="26">
        <f t="shared" si="790"/>
        <v>0</v>
      </c>
      <c r="O1485" s="27" t="str">
        <f t="shared" si="3"/>
        <v>#N/A</v>
      </c>
      <c r="P1485" s="28"/>
      <c r="Q1485" s="28"/>
      <c r="R1485" s="28"/>
      <c r="S1485" s="28"/>
      <c r="T1485" s="29">
        <f t="shared" si="791"/>
        <v>0</v>
      </c>
      <c r="U1485" s="28"/>
      <c r="V1485" s="30">
        <f t="shared" si="425"/>
        <v>0</v>
      </c>
      <c r="W1485" s="30"/>
      <c r="X1485" s="73"/>
      <c r="Y1485" s="33" t="str">
        <f t="shared" si="792"/>
        <v>#DIV/0!</v>
      </c>
      <c r="Z1485" s="692"/>
      <c r="AA1485" s="665"/>
      <c r="AB1485" s="74"/>
      <c r="AC1485" s="74"/>
      <c r="AD1485" s="44"/>
      <c r="AE1485" s="46"/>
      <c r="AF1485" s="39"/>
      <c r="AG1485" s="38"/>
      <c r="AH1485" s="36"/>
      <c r="AI1485" s="159"/>
      <c r="AJ1485" s="37"/>
      <c r="AK1485" s="38"/>
      <c r="AL1485" s="44"/>
      <c r="AM1485" s="46"/>
      <c r="AN1485" s="44"/>
      <c r="AO1485" s="46"/>
      <c r="AP1485" s="44"/>
      <c r="AQ1485" s="46"/>
      <c r="AR1485" s="44"/>
      <c r="AS1485" s="44"/>
      <c r="AT1485" s="44"/>
      <c r="AU1485" s="45"/>
      <c r="AV1485" s="44"/>
      <c r="AW1485" s="38"/>
      <c r="AX1485" s="44"/>
      <c r="AY1485" s="38"/>
      <c r="AZ1485" s="44"/>
      <c r="BA1485" s="45"/>
      <c r="BB1485" s="44"/>
      <c r="BC1485" s="45"/>
      <c r="BD1485" s="44"/>
      <c r="BE1485" s="38"/>
      <c r="BF1485" s="36"/>
      <c r="BG1485" s="68"/>
      <c r="BH1485" s="68"/>
      <c r="BI1485" s="68"/>
      <c r="BJ1485" s="68"/>
      <c r="BK1485" s="68"/>
      <c r="BL1485" s="68"/>
      <c r="BM1485" s="68"/>
      <c r="BN1485" s="68"/>
      <c r="BO1485" s="68"/>
      <c r="BP1485" s="68"/>
      <c r="BQ1485" s="68"/>
      <c r="BR1485" s="68"/>
      <c r="BS1485" s="68"/>
      <c r="BT1485" s="68"/>
      <c r="BU1485" s="68"/>
      <c r="BV1485" s="68"/>
      <c r="BW1485" s="68"/>
      <c r="BX1485" s="68"/>
      <c r="BY1485" s="68"/>
      <c r="BZ1485" s="68"/>
      <c r="CA1485" s="68"/>
      <c r="CB1485" s="68"/>
      <c r="CC1485" s="68"/>
      <c r="CD1485" s="68"/>
      <c r="CE1485" s="68"/>
      <c r="CF1485" s="68"/>
      <c r="CG1485" s="68"/>
      <c r="CH1485" s="68"/>
      <c r="CI1485" s="68"/>
      <c r="CJ1485" s="68"/>
      <c r="CK1485" s="68"/>
      <c r="CL1485" s="68"/>
      <c r="CM1485" s="68"/>
      <c r="CN1485" s="68"/>
      <c r="CO1485" s="68"/>
      <c r="CP1485" s="68"/>
    </row>
    <row r="1486" ht="15.75" customHeight="1">
      <c r="A1486" s="21" t="s">
        <v>6941</v>
      </c>
      <c r="B1486" s="68"/>
      <c r="C1486" s="69" t="s">
        <v>123</v>
      </c>
      <c r="D1486" s="337"/>
      <c r="E1486" s="138" t="s">
        <v>6942</v>
      </c>
      <c r="F1486" s="173" t="s">
        <v>6943</v>
      </c>
      <c r="G1486" s="407" t="s">
        <v>6944</v>
      </c>
      <c r="H1486" s="71" t="s">
        <v>6945</v>
      </c>
      <c r="I1486" s="74"/>
      <c r="J1486" s="514"/>
      <c r="K1486" s="26">
        <v>1.0</v>
      </c>
      <c r="L1486" s="142">
        <v>2013.0</v>
      </c>
      <c r="M1486" s="25">
        <f t="shared" si="789"/>
        <v>12</v>
      </c>
      <c r="N1486" s="26">
        <f t="shared" si="790"/>
        <v>0</v>
      </c>
      <c r="O1486" s="27" t="str">
        <f t="shared" si="3"/>
        <v>#N/A</v>
      </c>
      <c r="P1486" s="28"/>
      <c r="Q1486" s="28"/>
      <c r="R1486" s="28"/>
      <c r="S1486" s="28"/>
      <c r="T1486" s="29">
        <f t="shared" si="791"/>
        <v>0</v>
      </c>
      <c r="U1486" s="28"/>
      <c r="V1486" s="30">
        <f t="shared" si="425"/>
        <v>0</v>
      </c>
      <c r="W1486" s="30"/>
      <c r="X1486" s="73"/>
      <c r="Y1486" s="33" t="str">
        <f t="shared" si="792"/>
        <v>#DIV/0!</v>
      </c>
      <c r="Z1486" s="692"/>
      <c r="AA1486" s="665"/>
      <c r="AB1486" s="74"/>
      <c r="AC1486" s="74"/>
      <c r="AD1486" s="44"/>
      <c r="AE1486" s="46"/>
      <c r="AF1486" s="39"/>
      <c r="AG1486" s="46"/>
      <c r="AH1486" s="36"/>
      <c r="AI1486" s="159"/>
      <c r="AJ1486" s="44"/>
      <c r="AK1486" s="46"/>
      <c r="AL1486" s="44"/>
      <c r="AM1486" s="46"/>
      <c r="AN1486" s="44"/>
      <c r="AO1486" s="46"/>
      <c r="AP1486" s="44"/>
      <c r="AQ1486" s="46"/>
      <c r="AR1486" s="44"/>
      <c r="AS1486" s="44"/>
      <c r="AT1486" s="44"/>
      <c r="AU1486" s="45"/>
      <c r="AV1486" s="44"/>
      <c r="AW1486" s="38"/>
      <c r="AX1486" s="44"/>
      <c r="AY1486" s="38"/>
      <c r="AZ1486" s="44"/>
      <c r="BA1486" s="45"/>
      <c r="BB1486" s="44"/>
      <c r="BC1486" s="45"/>
      <c r="BD1486" s="44"/>
      <c r="BE1486" s="38"/>
      <c r="BF1486" s="36"/>
      <c r="BG1486" s="1407"/>
      <c r="BH1486" s="1407"/>
      <c r="BI1486" s="1407"/>
      <c r="BJ1486" s="1407"/>
      <c r="BK1486" s="1407"/>
      <c r="BL1486" s="1407"/>
      <c r="BM1486" s="1407"/>
      <c r="BN1486" s="1407"/>
      <c r="BO1486" s="1407"/>
      <c r="BP1486" s="1407"/>
      <c r="BQ1486" s="1407"/>
      <c r="BR1486" s="1407"/>
      <c r="BS1486" s="1407"/>
      <c r="BT1486" s="1407"/>
      <c r="BU1486" s="1407"/>
      <c r="BV1486" s="1407"/>
      <c r="BW1486" s="1407"/>
      <c r="BX1486" s="1407"/>
      <c r="BY1486" s="1407"/>
      <c r="BZ1486" s="1407"/>
      <c r="CA1486" s="1407"/>
      <c r="CB1486" s="1407"/>
      <c r="CC1486" s="1407"/>
      <c r="CD1486" s="1407"/>
      <c r="CE1486" s="1407"/>
      <c r="CF1486" s="1407"/>
      <c r="CG1486" s="1407"/>
      <c r="CH1486" s="1407"/>
      <c r="CI1486" s="1407"/>
      <c r="CJ1486" s="1407"/>
      <c r="CK1486" s="1407"/>
      <c r="CL1486" s="1407"/>
      <c r="CM1486" s="1407"/>
      <c r="CN1486" s="1407"/>
      <c r="CO1486" s="1407"/>
      <c r="CP1486" s="1407"/>
    </row>
    <row r="1487" ht="15.75" customHeight="1">
      <c r="A1487" s="892" t="s">
        <v>6946</v>
      </c>
      <c r="B1487" s="116"/>
      <c r="C1487" s="116" t="s">
        <v>6947</v>
      </c>
      <c r="D1487" s="192" t="s">
        <v>6948</v>
      </c>
      <c r="E1487" s="192" t="s">
        <v>6949</v>
      </c>
      <c r="F1487" s="118" t="s">
        <v>6950</v>
      </c>
      <c r="G1487" s="543"/>
      <c r="H1487" s="119" t="s">
        <v>1344</v>
      </c>
      <c r="I1487" s="54" t="s">
        <v>115</v>
      </c>
      <c r="J1487" s="1523"/>
      <c r="K1487" s="25"/>
      <c r="L1487" s="25">
        <v>2009.0</v>
      </c>
      <c r="M1487" s="25">
        <f t="shared" si="789"/>
        <v>16</v>
      </c>
      <c r="N1487" s="26">
        <f t="shared" si="790"/>
        <v>0</v>
      </c>
      <c r="O1487" s="27" t="str">
        <f t="shared" si="3"/>
        <v>#N/A</v>
      </c>
      <c r="P1487" s="28"/>
      <c r="Q1487" s="28"/>
      <c r="R1487" s="28"/>
      <c r="S1487" s="28"/>
      <c r="T1487" s="29">
        <f t="shared" si="791"/>
        <v>0</v>
      </c>
      <c r="U1487" s="28"/>
      <c r="V1487" s="30">
        <f t="shared" si="425"/>
        <v>0</v>
      </c>
      <c r="W1487" s="30"/>
      <c r="X1487" s="597"/>
      <c r="Y1487" s="33" t="str">
        <f t="shared" si="792"/>
        <v>#DIV/0!</v>
      </c>
      <c r="Z1487" s="692"/>
      <c r="AA1487" s="665"/>
      <c r="AB1487" s="123"/>
      <c r="AC1487" s="123"/>
      <c r="AD1487" s="322"/>
      <c r="AE1487" s="323"/>
      <c r="AF1487" s="868"/>
      <c r="AG1487" s="805"/>
      <c r="AH1487" s="326"/>
      <c r="AI1487" s="327"/>
      <c r="AJ1487" s="322"/>
      <c r="AK1487" s="323"/>
      <c r="AL1487" s="322"/>
      <c r="AM1487" s="323"/>
      <c r="AN1487" s="322"/>
      <c r="AO1487" s="323"/>
      <c r="AP1487" s="322"/>
      <c r="AQ1487" s="323"/>
      <c r="AR1487" s="322"/>
      <c r="AS1487" s="322"/>
      <c r="AT1487" s="322"/>
      <c r="AU1487" s="335"/>
      <c r="AV1487" s="322"/>
      <c r="AW1487" s="38"/>
      <c r="AX1487" s="322"/>
      <c r="AY1487" s="38"/>
      <c r="AZ1487" s="322"/>
      <c r="BA1487" s="335"/>
      <c r="BB1487" s="322"/>
      <c r="BC1487" s="335"/>
      <c r="BD1487" s="322"/>
      <c r="BE1487" s="38"/>
      <c r="BF1487" s="326"/>
      <c r="BG1487" s="68"/>
      <c r="BH1487" s="68"/>
      <c r="BI1487" s="68"/>
      <c r="BJ1487" s="68"/>
      <c r="BK1487" s="68"/>
      <c r="BL1487" s="68"/>
      <c r="BM1487" s="68"/>
      <c r="BN1487" s="68"/>
      <c r="BO1487" s="68"/>
      <c r="BP1487" s="68"/>
      <c r="BQ1487" s="68"/>
      <c r="BR1487" s="68"/>
      <c r="BS1487" s="68"/>
      <c r="BT1487" s="68"/>
      <c r="BU1487" s="68"/>
      <c r="BV1487" s="68"/>
      <c r="BW1487" s="68"/>
      <c r="BX1487" s="68"/>
      <c r="BY1487" s="68"/>
      <c r="BZ1487" s="68"/>
      <c r="CA1487" s="68"/>
      <c r="CB1487" s="68"/>
      <c r="CC1487" s="68"/>
      <c r="CD1487" s="68"/>
      <c r="CE1487" s="68"/>
      <c r="CF1487" s="68"/>
      <c r="CG1487" s="68"/>
      <c r="CH1487" s="68"/>
      <c r="CI1487" s="68"/>
      <c r="CJ1487" s="68"/>
      <c r="CK1487" s="68"/>
      <c r="CL1487" s="68"/>
      <c r="CM1487" s="68"/>
      <c r="CN1487" s="68"/>
      <c r="CO1487" s="68"/>
      <c r="CP1487" s="68"/>
    </row>
    <row r="1488" ht="15.75" customHeight="1">
      <c r="A1488" s="400" t="s">
        <v>6951</v>
      </c>
      <c r="B1488" s="116"/>
      <c r="C1488" s="116" t="s">
        <v>132</v>
      </c>
      <c r="D1488" s="161" t="s">
        <v>6952</v>
      </c>
      <c r="E1488" s="161" t="s">
        <v>6952</v>
      </c>
      <c r="F1488" s="402" t="s">
        <v>6953</v>
      </c>
      <c r="G1488" s="543" t="s">
        <v>6954</v>
      </c>
      <c r="H1488" s="119" t="s">
        <v>1125</v>
      </c>
      <c r="I1488" s="54" t="s">
        <v>666</v>
      </c>
      <c r="J1488" s="1523" t="s">
        <v>1126</v>
      </c>
      <c r="K1488" s="25">
        <v>2.0</v>
      </c>
      <c r="L1488" s="25">
        <v>2003.0</v>
      </c>
      <c r="M1488" s="25">
        <f t="shared" si="789"/>
        <v>22</v>
      </c>
      <c r="N1488" s="26">
        <f t="shared" si="790"/>
        <v>0</v>
      </c>
      <c r="O1488" s="27" t="str">
        <f t="shared" si="3"/>
        <v>#N/A</v>
      </c>
      <c r="P1488" s="28"/>
      <c r="Q1488" s="28"/>
      <c r="R1488" s="28"/>
      <c r="S1488" s="28"/>
      <c r="T1488" s="29">
        <f t="shared" si="791"/>
        <v>0</v>
      </c>
      <c r="U1488" s="28"/>
      <c r="V1488" s="30">
        <f t="shared" si="425"/>
        <v>0</v>
      </c>
      <c r="W1488" s="30"/>
      <c r="X1488" s="597"/>
      <c r="Y1488" s="33" t="str">
        <f t="shared" si="792"/>
        <v>#DIV/0!</v>
      </c>
      <c r="Z1488" s="692"/>
      <c r="AA1488" s="665"/>
      <c r="AB1488" s="123"/>
      <c r="AC1488" s="123"/>
      <c r="AD1488" s="322"/>
      <c r="AE1488" s="323"/>
      <c r="AF1488" s="868"/>
      <c r="AG1488" s="805"/>
      <c r="AH1488" s="326"/>
      <c r="AI1488" s="327"/>
      <c r="AJ1488" s="917"/>
      <c r="AK1488" s="325"/>
      <c r="AL1488" s="917"/>
      <c r="AM1488" s="325"/>
      <c r="AN1488" s="917"/>
      <c r="AO1488" s="325"/>
      <c r="AP1488" s="322"/>
      <c r="AQ1488" s="323"/>
      <c r="AR1488" s="322"/>
      <c r="AS1488" s="322"/>
      <c r="AT1488" s="322"/>
      <c r="AU1488" s="335"/>
      <c r="AV1488" s="322"/>
      <c r="AW1488" s="38"/>
      <c r="AX1488" s="322"/>
      <c r="AY1488" s="38"/>
      <c r="AZ1488" s="322"/>
      <c r="BA1488" s="335"/>
      <c r="BB1488" s="322"/>
      <c r="BC1488" s="335"/>
      <c r="BD1488" s="322"/>
      <c r="BE1488" s="38"/>
      <c r="BF1488" s="326"/>
      <c r="BG1488" s="68"/>
      <c r="BH1488" s="68"/>
      <c r="BI1488" s="68"/>
      <c r="BJ1488" s="68"/>
      <c r="BK1488" s="68"/>
      <c r="BL1488" s="68"/>
      <c r="BM1488" s="68"/>
      <c r="BN1488" s="68"/>
      <c r="BO1488" s="68"/>
      <c r="BP1488" s="68"/>
      <c r="BQ1488" s="68"/>
      <c r="BR1488" s="68"/>
      <c r="BS1488" s="68"/>
      <c r="BT1488" s="68"/>
      <c r="BU1488" s="68"/>
      <c r="BV1488" s="68"/>
      <c r="BW1488" s="68"/>
      <c r="BX1488" s="68"/>
      <c r="BY1488" s="68"/>
      <c r="BZ1488" s="68"/>
      <c r="CA1488" s="68"/>
      <c r="CB1488" s="68"/>
      <c r="CC1488" s="68"/>
      <c r="CD1488" s="68"/>
      <c r="CE1488" s="68"/>
      <c r="CF1488" s="68"/>
      <c r="CG1488" s="68"/>
      <c r="CH1488" s="68"/>
      <c r="CI1488" s="68"/>
      <c r="CJ1488" s="68"/>
      <c r="CK1488" s="68"/>
      <c r="CL1488" s="68"/>
      <c r="CM1488" s="68"/>
      <c r="CN1488" s="68"/>
      <c r="CO1488" s="68"/>
      <c r="CP1488" s="68"/>
    </row>
    <row r="1489" ht="15.75" customHeight="1">
      <c r="A1489" s="21" t="s">
        <v>6955</v>
      </c>
      <c r="B1489" s="68"/>
      <c r="C1489" s="69" t="s">
        <v>513</v>
      </c>
      <c r="D1489" s="200" t="s">
        <v>6956</v>
      </c>
      <c r="E1489" s="200" t="s">
        <v>6957</v>
      </c>
      <c r="F1489" s="173" t="s">
        <v>6958</v>
      </c>
      <c r="G1489" s="140" t="s">
        <v>6959</v>
      </c>
      <c r="H1489" s="140" t="s">
        <v>6100</v>
      </c>
      <c r="I1489" s="26" t="s">
        <v>2489</v>
      </c>
      <c r="J1489" s="72" t="s">
        <v>6960</v>
      </c>
      <c r="K1489" s="74" t="s">
        <v>723</v>
      </c>
      <c r="L1489" s="142">
        <v>2010.0</v>
      </c>
      <c r="M1489" s="25">
        <f t="shared" si="789"/>
        <v>15</v>
      </c>
      <c r="N1489" s="26">
        <f t="shared" si="790"/>
        <v>0</v>
      </c>
      <c r="O1489" s="27" t="str">
        <f t="shared" si="3"/>
        <v>#N/A</v>
      </c>
      <c r="P1489" s="28"/>
      <c r="Q1489" s="28"/>
      <c r="R1489" s="28"/>
      <c r="S1489" s="28"/>
      <c r="T1489" s="29">
        <f t="shared" si="791"/>
        <v>0</v>
      </c>
      <c r="U1489" s="28"/>
      <c r="V1489" s="30">
        <f t="shared" si="425"/>
        <v>0</v>
      </c>
      <c r="W1489" s="30"/>
      <c r="X1489" s="32"/>
      <c r="Y1489" s="33" t="str">
        <f t="shared" si="792"/>
        <v>#DIV/0!</v>
      </c>
      <c r="Z1489" s="692"/>
      <c r="AA1489" s="665"/>
      <c r="AB1489" s="74"/>
      <c r="AC1489" s="74"/>
      <c r="AD1489" s="44"/>
      <c r="AE1489" s="46"/>
      <c r="AF1489" s="39"/>
      <c r="AG1489" s="46"/>
      <c r="AH1489" s="36"/>
      <c r="AI1489" s="159"/>
      <c r="AJ1489" s="44"/>
      <c r="AK1489" s="46"/>
      <c r="AL1489" s="37"/>
      <c r="AM1489" s="46"/>
      <c r="AN1489" s="44"/>
      <c r="AO1489" s="46"/>
      <c r="AP1489" s="44"/>
      <c r="AQ1489" s="46"/>
      <c r="AR1489" s="44"/>
      <c r="AS1489" s="44"/>
      <c r="AT1489" s="44"/>
      <c r="AU1489" s="45"/>
      <c r="AV1489" s="44"/>
      <c r="AW1489" s="38"/>
      <c r="AX1489" s="44"/>
      <c r="AY1489" s="38"/>
      <c r="AZ1489" s="44"/>
      <c r="BA1489" s="45"/>
      <c r="BB1489" s="44"/>
      <c r="BC1489" s="45"/>
      <c r="BD1489" s="44"/>
      <c r="BE1489" s="38"/>
      <c r="BF1489" s="36"/>
      <c r="BG1489" s="115"/>
      <c r="BH1489" s="115"/>
      <c r="BI1489" s="115"/>
      <c r="BJ1489" s="115"/>
      <c r="BK1489" s="115"/>
      <c r="BL1489" s="115"/>
      <c r="BM1489" s="115"/>
      <c r="BN1489" s="115"/>
      <c r="BO1489" s="115"/>
      <c r="BP1489" s="115"/>
      <c r="BQ1489" s="115"/>
      <c r="BR1489" s="115"/>
      <c r="BS1489" s="115"/>
      <c r="BT1489" s="115"/>
      <c r="BU1489" s="115"/>
      <c r="BV1489" s="115"/>
      <c r="BW1489" s="115"/>
      <c r="BX1489" s="115"/>
      <c r="BY1489" s="115"/>
      <c r="BZ1489" s="115"/>
      <c r="CA1489" s="115"/>
      <c r="CB1489" s="115"/>
      <c r="CC1489" s="115"/>
      <c r="CD1489" s="115"/>
      <c r="CE1489" s="115"/>
      <c r="CF1489" s="115"/>
      <c r="CG1489" s="115"/>
      <c r="CH1489" s="115"/>
      <c r="CI1489" s="115"/>
      <c r="CJ1489" s="115"/>
      <c r="CK1489" s="115"/>
      <c r="CL1489" s="115"/>
      <c r="CM1489" s="115"/>
      <c r="CN1489" s="115"/>
      <c r="CO1489" s="115"/>
      <c r="CP1489" s="115"/>
    </row>
    <row r="1490" ht="15.75" customHeight="1">
      <c r="A1490" s="442" t="s">
        <v>6961</v>
      </c>
      <c r="B1490" s="68" t="s">
        <v>944</v>
      </c>
      <c r="C1490" s="69" t="s">
        <v>123</v>
      </c>
      <c r="D1490" s="184" t="s">
        <v>6962</v>
      </c>
      <c r="E1490" s="184" t="s">
        <v>6963</v>
      </c>
      <c r="F1490" s="185" t="s">
        <v>6964</v>
      </c>
      <c r="G1490" s="186" t="s">
        <v>6965</v>
      </c>
      <c r="H1490" s="186" t="s">
        <v>3019</v>
      </c>
      <c r="I1490" s="74" t="s">
        <v>3307</v>
      </c>
      <c r="J1490" s="155" t="s">
        <v>6966</v>
      </c>
      <c r="K1490" s="74">
        <v>2.0</v>
      </c>
      <c r="L1490" s="26">
        <v>2011.0</v>
      </c>
      <c r="M1490" s="25">
        <f t="shared" si="789"/>
        <v>14</v>
      </c>
      <c r="N1490" s="26">
        <f t="shared" si="790"/>
        <v>0</v>
      </c>
      <c r="O1490" s="27" t="str">
        <f t="shared" si="3"/>
        <v>#N/A</v>
      </c>
      <c r="P1490" s="28"/>
      <c r="Q1490" s="28"/>
      <c r="R1490" s="28"/>
      <c r="S1490" s="28"/>
      <c r="T1490" s="29">
        <f t="shared" si="791"/>
        <v>0</v>
      </c>
      <c r="U1490" s="28"/>
      <c r="V1490" s="30">
        <f t="shared" si="425"/>
        <v>0</v>
      </c>
      <c r="W1490" s="30"/>
      <c r="X1490" s="32"/>
      <c r="Y1490" s="33" t="str">
        <f t="shared" si="792"/>
        <v>#DIV/0!</v>
      </c>
      <c r="Z1490" s="692"/>
      <c r="AA1490" s="665"/>
      <c r="AB1490" s="74"/>
      <c r="AC1490" s="74"/>
      <c r="AD1490" s="37"/>
      <c r="AE1490" s="715"/>
      <c r="AF1490" s="39"/>
      <c r="AG1490" s="46"/>
      <c r="AH1490" s="36"/>
      <c r="AI1490" s="159"/>
      <c r="AJ1490" s="44"/>
      <c r="AK1490" s="46"/>
      <c r="AL1490" s="44"/>
      <c r="AM1490" s="46"/>
      <c r="AN1490" s="44"/>
      <c r="AO1490" s="46"/>
      <c r="AP1490" s="44"/>
      <c r="AQ1490" s="46"/>
      <c r="AR1490" s="44"/>
      <c r="AS1490" s="44"/>
      <c r="AT1490" s="44"/>
      <c r="AU1490" s="45"/>
      <c r="AV1490" s="44"/>
      <c r="AW1490" s="38"/>
      <c r="AX1490" s="44"/>
      <c r="AY1490" s="38"/>
      <c r="AZ1490" s="44"/>
      <c r="BA1490" s="45"/>
      <c r="BB1490" s="44"/>
      <c r="BC1490" s="45"/>
      <c r="BD1490" s="44"/>
      <c r="BE1490" s="38"/>
      <c r="BF1490" s="36"/>
      <c r="BG1490" s="115"/>
      <c r="BH1490" s="115"/>
      <c r="BI1490" s="115"/>
      <c r="BJ1490" s="115"/>
      <c r="BK1490" s="115"/>
      <c r="BL1490" s="115"/>
      <c r="BM1490" s="115"/>
      <c r="BN1490" s="115"/>
      <c r="BO1490" s="115"/>
      <c r="BP1490" s="115"/>
      <c r="BQ1490" s="115"/>
      <c r="BR1490" s="115"/>
      <c r="BS1490" s="115"/>
      <c r="BT1490" s="115"/>
      <c r="BU1490" s="115"/>
      <c r="BV1490" s="115"/>
      <c r="BW1490" s="115"/>
      <c r="BX1490" s="115"/>
      <c r="BY1490" s="115"/>
      <c r="BZ1490" s="115"/>
      <c r="CA1490" s="115"/>
      <c r="CB1490" s="115"/>
      <c r="CC1490" s="115"/>
      <c r="CD1490" s="115"/>
      <c r="CE1490" s="115"/>
      <c r="CF1490" s="115"/>
      <c r="CG1490" s="115"/>
      <c r="CH1490" s="115"/>
      <c r="CI1490" s="115"/>
      <c r="CJ1490" s="115"/>
      <c r="CK1490" s="115"/>
      <c r="CL1490" s="115"/>
      <c r="CM1490" s="115"/>
      <c r="CN1490" s="115"/>
      <c r="CO1490" s="115"/>
      <c r="CP1490" s="115"/>
    </row>
    <row r="1491" ht="15.75" customHeight="1">
      <c r="A1491" s="48" t="s">
        <v>6967</v>
      </c>
      <c r="B1491" s="68"/>
      <c r="C1491" s="69" t="s">
        <v>132</v>
      </c>
      <c r="D1491" s="192" t="s">
        <v>6968</v>
      </c>
      <c r="E1491" s="192" t="s">
        <v>6969</v>
      </c>
      <c r="F1491" s="389" t="s">
        <v>6970</v>
      </c>
      <c r="G1491" s="71" t="s">
        <v>6971</v>
      </c>
      <c r="H1491" s="71" t="s">
        <v>128</v>
      </c>
      <c r="I1491" s="26" t="s">
        <v>129</v>
      </c>
      <c r="J1491" s="72" t="s">
        <v>689</v>
      </c>
      <c r="K1491" s="26">
        <v>2.0</v>
      </c>
      <c r="L1491" s="26">
        <v>2015.0</v>
      </c>
      <c r="M1491" s="25">
        <f t="shared" si="789"/>
        <v>10</v>
      </c>
      <c r="N1491" s="26">
        <f t="shared" si="790"/>
        <v>0</v>
      </c>
      <c r="O1491" s="27" t="str">
        <f t="shared" si="3"/>
        <v>#N/A</v>
      </c>
      <c r="P1491" s="28"/>
      <c r="Q1491" s="28"/>
      <c r="R1491" s="28"/>
      <c r="S1491" s="28"/>
      <c r="T1491" s="29">
        <f t="shared" si="791"/>
        <v>0</v>
      </c>
      <c r="U1491" s="28"/>
      <c r="V1491" s="30">
        <f t="shared" si="425"/>
        <v>0</v>
      </c>
      <c r="W1491" s="30"/>
      <c r="X1491" s="73"/>
      <c r="Y1491" s="33" t="str">
        <f t="shared" si="792"/>
        <v>#DIV/0!</v>
      </c>
      <c r="Z1491" s="692"/>
      <c r="AA1491" s="665"/>
      <c r="AB1491" s="74"/>
      <c r="AC1491" s="74"/>
      <c r="AD1491" s="44"/>
      <c r="AE1491" s="46"/>
      <c r="AF1491" s="39"/>
      <c r="AG1491" s="46"/>
      <c r="AH1491" s="36"/>
      <c r="AI1491" s="159"/>
      <c r="AJ1491" s="44"/>
      <c r="AK1491" s="46"/>
      <c r="AL1491" s="44"/>
      <c r="AM1491" s="46"/>
      <c r="AN1491" s="44"/>
      <c r="AO1491" s="46"/>
      <c r="AP1491" s="44"/>
      <c r="AQ1491" s="46"/>
      <c r="AR1491" s="44"/>
      <c r="AS1491" s="44"/>
      <c r="AT1491" s="44"/>
      <c r="AU1491" s="45"/>
      <c r="AV1491" s="44"/>
      <c r="AW1491" s="38"/>
      <c r="AX1491" s="44"/>
      <c r="AY1491" s="38"/>
      <c r="AZ1491" s="44"/>
      <c r="BA1491" s="45"/>
      <c r="BB1491" s="44"/>
      <c r="BC1491" s="45"/>
      <c r="BD1491" s="44"/>
      <c r="BE1491" s="38"/>
      <c r="BF1491" s="36"/>
      <c r="BG1491" s="115"/>
      <c r="BH1491" s="115"/>
      <c r="BI1491" s="115"/>
      <c r="BJ1491" s="115"/>
      <c r="BK1491" s="115"/>
      <c r="BL1491" s="115"/>
      <c r="BM1491" s="115"/>
      <c r="BN1491" s="115"/>
      <c r="BO1491" s="115"/>
      <c r="BP1491" s="115"/>
      <c r="BQ1491" s="115"/>
      <c r="BR1491" s="115"/>
      <c r="BS1491" s="115"/>
      <c r="BT1491" s="115"/>
      <c r="BU1491" s="115"/>
      <c r="BV1491" s="115"/>
      <c r="BW1491" s="115"/>
      <c r="BX1491" s="115"/>
      <c r="BY1491" s="115"/>
      <c r="BZ1491" s="115"/>
      <c r="CA1491" s="115"/>
      <c r="CB1491" s="115"/>
      <c r="CC1491" s="115"/>
      <c r="CD1491" s="115"/>
      <c r="CE1491" s="115"/>
      <c r="CF1491" s="115"/>
      <c r="CG1491" s="115"/>
      <c r="CH1491" s="115"/>
      <c r="CI1491" s="115"/>
      <c r="CJ1491" s="115"/>
      <c r="CK1491" s="115"/>
      <c r="CL1491" s="115"/>
      <c r="CM1491" s="115"/>
      <c r="CN1491" s="115"/>
      <c r="CO1491" s="115"/>
      <c r="CP1491" s="115"/>
    </row>
    <row r="1492" ht="15.75" customHeight="1">
      <c r="A1492" s="892" t="s">
        <v>6972</v>
      </c>
      <c r="B1492" s="68"/>
      <c r="C1492" s="69" t="s">
        <v>123</v>
      </c>
      <c r="D1492" s="192" t="s">
        <v>6973</v>
      </c>
      <c r="E1492" s="192" t="s">
        <v>6974</v>
      </c>
      <c r="F1492" s="389" t="s">
        <v>6975</v>
      </c>
      <c r="G1492" s="186"/>
      <c r="H1492" s="71" t="s">
        <v>575</v>
      </c>
      <c r="I1492" s="26" t="s">
        <v>65</v>
      </c>
      <c r="J1492" s="155"/>
      <c r="K1492" s="74"/>
      <c r="L1492" s="26">
        <v>2014.0</v>
      </c>
      <c r="M1492" s="25">
        <f t="shared" si="789"/>
        <v>11</v>
      </c>
      <c r="N1492" s="26">
        <f t="shared" si="790"/>
        <v>0</v>
      </c>
      <c r="O1492" s="27" t="str">
        <f t="shared" si="3"/>
        <v>#N/A</v>
      </c>
      <c r="P1492" s="28"/>
      <c r="Q1492" s="28"/>
      <c r="R1492" s="28"/>
      <c r="S1492" s="28"/>
      <c r="T1492" s="29">
        <f t="shared" si="791"/>
        <v>0</v>
      </c>
      <c r="U1492" s="28"/>
      <c r="V1492" s="30">
        <f t="shared" si="425"/>
        <v>0</v>
      </c>
      <c r="W1492" s="30"/>
      <c r="X1492" s="32"/>
      <c r="Y1492" s="33" t="str">
        <f t="shared" si="792"/>
        <v>#DIV/0!</v>
      </c>
      <c r="Z1492" s="692"/>
      <c r="AA1492" s="665"/>
      <c r="AB1492" s="74"/>
      <c r="AC1492" s="74"/>
      <c r="AD1492" s="44"/>
      <c r="AE1492" s="46"/>
      <c r="AF1492" s="39"/>
      <c r="AG1492" s="46"/>
      <c r="AH1492" s="36"/>
      <c r="AI1492" s="159"/>
      <c r="AJ1492" s="44"/>
      <c r="AK1492" s="46"/>
      <c r="AL1492" s="44"/>
      <c r="AM1492" s="46"/>
      <c r="AN1492" s="44"/>
      <c r="AO1492" s="46"/>
      <c r="AP1492" s="44"/>
      <c r="AQ1492" s="46"/>
      <c r="AR1492" s="44"/>
      <c r="AS1492" s="44"/>
      <c r="AT1492" s="44"/>
      <c r="AU1492" s="45"/>
      <c r="AV1492" s="44"/>
      <c r="AW1492" s="38"/>
      <c r="AX1492" s="44"/>
      <c r="AY1492" s="38"/>
      <c r="AZ1492" s="44"/>
      <c r="BA1492" s="45"/>
      <c r="BB1492" s="44"/>
      <c r="BC1492" s="45"/>
      <c r="BD1492" s="44"/>
      <c r="BE1492" s="38"/>
      <c r="BF1492" s="36"/>
      <c r="BG1492" s="68"/>
      <c r="BH1492" s="68"/>
      <c r="BI1492" s="68"/>
      <c r="BJ1492" s="68"/>
      <c r="BK1492" s="68"/>
      <c r="BL1492" s="68"/>
      <c r="BM1492" s="68"/>
      <c r="BN1492" s="68"/>
      <c r="BO1492" s="68"/>
      <c r="BP1492" s="68"/>
      <c r="BQ1492" s="68"/>
      <c r="BR1492" s="68"/>
      <c r="BS1492" s="68"/>
      <c r="BT1492" s="68"/>
      <c r="BU1492" s="68"/>
      <c r="BV1492" s="68"/>
      <c r="BW1492" s="68"/>
      <c r="BX1492" s="68"/>
      <c r="BY1492" s="68"/>
      <c r="BZ1492" s="68"/>
      <c r="CA1492" s="68"/>
      <c r="CB1492" s="68"/>
      <c r="CC1492" s="68"/>
      <c r="CD1492" s="68"/>
      <c r="CE1492" s="68"/>
      <c r="CF1492" s="68"/>
      <c r="CG1492" s="68"/>
      <c r="CH1492" s="68"/>
      <c r="CI1492" s="68"/>
      <c r="CJ1492" s="68"/>
      <c r="CK1492" s="68"/>
      <c r="CL1492" s="68"/>
      <c r="CM1492" s="68"/>
      <c r="CN1492" s="68"/>
      <c r="CO1492" s="68"/>
      <c r="CP1492" s="68"/>
    </row>
    <row r="1493" ht="15.75" customHeight="1">
      <c r="A1493" s="442" t="s">
        <v>6976</v>
      </c>
      <c r="B1493" s="68"/>
      <c r="C1493" s="69" t="s">
        <v>513</v>
      </c>
      <c r="D1493" s="337"/>
      <c r="E1493" s="184" t="s">
        <v>6977</v>
      </c>
      <c r="F1493" s="185" t="s">
        <v>6978</v>
      </c>
      <c r="G1493" s="186" t="s">
        <v>6979</v>
      </c>
      <c r="H1493" s="186" t="s">
        <v>6980</v>
      </c>
      <c r="I1493" s="74" t="s">
        <v>149</v>
      </c>
      <c r="J1493" s="155" t="s">
        <v>6981</v>
      </c>
      <c r="K1493" s="74" t="s">
        <v>723</v>
      </c>
      <c r="L1493" s="26">
        <v>1990.0</v>
      </c>
      <c r="M1493" s="25">
        <f t="shared" si="789"/>
        <v>35</v>
      </c>
      <c r="N1493" s="26">
        <f t="shared" si="790"/>
        <v>0</v>
      </c>
      <c r="O1493" s="27" t="str">
        <f t="shared" si="3"/>
        <v>#N/A</v>
      </c>
      <c r="P1493" s="28"/>
      <c r="Q1493" s="28"/>
      <c r="R1493" s="28"/>
      <c r="S1493" s="28"/>
      <c r="T1493" s="29">
        <f t="shared" si="791"/>
        <v>0</v>
      </c>
      <c r="U1493" s="28"/>
      <c r="V1493" s="30">
        <f t="shared" si="425"/>
        <v>0</v>
      </c>
      <c r="W1493" s="30"/>
      <c r="X1493" s="32"/>
      <c r="Y1493" s="33" t="str">
        <f t="shared" si="792"/>
        <v>#DIV/0!</v>
      </c>
      <c r="Z1493" s="692"/>
      <c r="AA1493" s="665"/>
      <c r="AB1493" s="74"/>
      <c r="AC1493" s="74"/>
      <c r="AD1493" s="44"/>
      <c r="AE1493" s="46"/>
      <c r="AF1493" s="39"/>
      <c r="AG1493" s="46"/>
      <c r="AH1493" s="36"/>
      <c r="AI1493" s="159"/>
      <c r="AJ1493" s="44"/>
      <c r="AK1493" s="46"/>
      <c r="AL1493" s="44"/>
      <c r="AM1493" s="46"/>
      <c r="AN1493" s="44"/>
      <c r="AO1493" s="46"/>
      <c r="AP1493" s="44"/>
      <c r="AQ1493" s="46"/>
      <c r="AR1493" s="44"/>
      <c r="AS1493" s="44"/>
      <c r="AT1493" s="44"/>
      <c r="AU1493" s="45"/>
      <c r="AV1493" s="44"/>
      <c r="AW1493" s="38"/>
      <c r="AX1493" s="44"/>
      <c r="AY1493" s="38"/>
      <c r="AZ1493" s="44"/>
      <c r="BA1493" s="45"/>
      <c r="BB1493" s="44"/>
      <c r="BC1493" s="45"/>
      <c r="BD1493" s="44"/>
      <c r="BE1493" s="38"/>
      <c r="BF1493" s="36"/>
      <c r="BG1493" s="68"/>
      <c r="BH1493" s="68"/>
      <c r="BI1493" s="68"/>
      <c r="BJ1493" s="68"/>
      <c r="BK1493" s="68"/>
      <c r="BL1493" s="68"/>
      <c r="BM1493" s="68"/>
      <c r="BN1493" s="68"/>
      <c r="BO1493" s="68"/>
      <c r="BP1493" s="68"/>
      <c r="BQ1493" s="68"/>
      <c r="BR1493" s="68"/>
      <c r="BS1493" s="68"/>
      <c r="BT1493" s="68"/>
      <c r="BU1493" s="68"/>
      <c r="BV1493" s="68"/>
      <c r="BW1493" s="68"/>
      <c r="BX1493" s="68"/>
      <c r="BY1493" s="68"/>
      <c r="BZ1493" s="68"/>
      <c r="CA1493" s="68"/>
      <c r="CB1493" s="68"/>
      <c r="CC1493" s="68"/>
      <c r="CD1493" s="68"/>
      <c r="CE1493" s="68"/>
      <c r="CF1493" s="68"/>
      <c r="CG1493" s="68"/>
      <c r="CH1493" s="68"/>
      <c r="CI1493" s="68"/>
      <c r="CJ1493" s="68"/>
      <c r="CK1493" s="68"/>
      <c r="CL1493" s="68"/>
      <c r="CM1493" s="68"/>
      <c r="CN1493" s="68"/>
      <c r="CO1493" s="68"/>
      <c r="CP1493" s="68"/>
    </row>
    <row r="1494" ht="15.75" customHeight="1">
      <c r="A1494" s="860" t="s">
        <v>6982</v>
      </c>
      <c r="B1494" s="68"/>
      <c r="C1494" s="69" t="s">
        <v>1186</v>
      </c>
      <c r="D1494" s="337"/>
      <c r="E1494" s="192" t="s">
        <v>6983</v>
      </c>
      <c r="F1494" s="118" t="s">
        <v>6984</v>
      </c>
      <c r="G1494" s="71"/>
      <c r="H1494" s="1684" t="s">
        <v>771</v>
      </c>
      <c r="I1494" s="1684" t="s">
        <v>772</v>
      </c>
      <c r="J1494" s="155"/>
      <c r="K1494" s="26"/>
      <c r="L1494" s="142">
        <v>2006.0</v>
      </c>
      <c r="M1494" s="25">
        <f t="shared" si="789"/>
        <v>19</v>
      </c>
      <c r="N1494" s="26">
        <f t="shared" si="790"/>
        <v>0</v>
      </c>
      <c r="O1494" s="27" t="str">
        <f t="shared" si="3"/>
        <v>#N/A</v>
      </c>
      <c r="P1494" s="28"/>
      <c r="Q1494" s="28"/>
      <c r="R1494" s="28"/>
      <c r="S1494" s="28"/>
      <c r="T1494" s="29">
        <f t="shared" si="791"/>
        <v>0</v>
      </c>
      <c r="U1494" s="28"/>
      <c r="V1494" s="30">
        <f t="shared" si="425"/>
        <v>0</v>
      </c>
      <c r="W1494" s="30"/>
      <c r="X1494" s="73"/>
      <c r="Y1494" s="33" t="str">
        <f t="shared" si="792"/>
        <v>#DIV/0!</v>
      </c>
      <c r="Z1494" s="692"/>
      <c r="AA1494" s="665"/>
      <c r="AB1494" s="74"/>
      <c r="AC1494" s="74"/>
      <c r="AD1494" s="44"/>
      <c r="AE1494" s="46"/>
      <c r="AF1494" s="39"/>
      <c r="AG1494" s="46"/>
      <c r="AH1494" s="36"/>
      <c r="AI1494" s="159"/>
      <c r="AJ1494" s="44"/>
      <c r="AK1494" s="46"/>
      <c r="AL1494" s="44"/>
      <c r="AM1494" s="46"/>
      <c r="AN1494" s="44"/>
      <c r="AO1494" s="46"/>
      <c r="AP1494" s="44"/>
      <c r="AQ1494" s="46"/>
      <c r="AR1494" s="44"/>
      <c r="AS1494" s="44"/>
      <c r="AT1494" s="44"/>
      <c r="AU1494" s="45"/>
      <c r="AV1494" s="44"/>
      <c r="AW1494" s="38"/>
      <c r="AX1494" s="44"/>
      <c r="AY1494" s="38"/>
      <c r="AZ1494" s="44"/>
      <c r="BA1494" s="45"/>
      <c r="BB1494" s="44"/>
      <c r="BC1494" s="45"/>
      <c r="BD1494" s="44"/>
      <c r="BE1494" s="38"/>
      <c r="BF1494" s="36"/>
      <c r="BG1494" s="68"/>
      <c r="BH1494" s="68"/>
      <c r="BI1494" s="68"/>
      <c r="BJ1494" s="68"/>
      <c r="BK1494" s="68"/>
      <c r="BL1494" s="68"/>
      <c r="BM1494" s="68"/>
      <c r="BN1494" s="68"/>
      <c r="BO1494" s="68"/>
      <c r="BP1494" s="68"/>
      <c r="BQ1494" s="68"/>
      <c r="BR1494" s="68"/>
      <c r="BS1494" s="68"/>
      <c r="BT1494" s="68"/>
      <c r="BU1494" s="68"/>
      <c r="BV1494" s="68"/>
      <c r="BW1494" s="68"/>
      <c r="BX1494" s="68"/>
      <c r="BY1494" s="68"/>
      <c r="BZ1494" s="68"/>
      <c r="CA1494" s="68"/>
      <c r="CB1494" s="68"/>
      <c r="CC1494" s="68"/>
      <c r="CD1494" s="68"/>
      <c r="CE1494" s="68"/>
      <c r="CF1494" s="68"/>
      <c r="CG1494" s="68"/>
      <c r="CH1494" s="68"/>
      <c r="CI1494" s="68"/>
      <c r="CJ1494" s="68"/>
      <c r="CK1494" s="68"/>
      <c r="CL1494" s="68"/>
      <c r="CM1494" s="68"/>
      <c r="CN1494" s="68"/>
      <c r="CO1494" s="68"/>
      <c r="CP1494" s="68"/>
    </row>
    <row r="1495" ht="15.75" customHeight="1">
      <c r="A1495" s="21" t="s">
        <v>6985</v>
      </c>
      <c r="B1495" s="68"/>
      <c r="C1495" s="69" t="s">
        <v>1186</v>
      </c>
      <c r="D1495" s="337"/>
      <c r="E1495" s="200" t="s">
        <v>6986</v>
      </c>
      <c r="F1495" s="864" t="s">
        <v>6987</v>
      </c>
      <c r="G1495" s="71" t="s">
        <v>6988</v>
      </c>
      <c r="H1495" s="1684" t="s">
        <v>328</v>
      </c>
      <c r="I1495" s="1684" t="s">
        <v>328</v>
      </c>
      <c r="J1495" s="155"/>
      <c r="K1495" s="26">
        <v>1.0</v>
      </c>
      <c r="L1495" s="142">
        <v>2006.0</v>
      </c>
      <c r="M1495" s="25">
        <f t="shared" si="789"/>
        <v>19</v>
      </c>
      <c r="N1495" s="26">
        <f t="shared" si="790"/>
        <v>0</v>
      </c>
      <c r="O1495" s="27" t="str">
        <f t="shared" si="3"/>
        <v>#N/A</v>
      </c>
      <c r="P1495" s="28"/>
      <c r="Q1495" s="28"/>
      <c r="R1495" s="28"/>
      <c r="S1495" s="28"/>
      <c r="T1495" s="29">
        <f t="shared" si="791"/>
        <v>0</v>
      </c>
      <c r="U1495" s="28"/>
      <c r="V1495" s="30">
        <f t="shared" si="425"/>
        <v>0</v>
      </c>
      <c r="W1495" s="30"/>
      <c r="X1495" s="73"/>
      <c r="Y1495" s="33" t="str">
        <f t="shared" si="792"/>
        <v>#DIV/0!</v>
      </c>
      <c r="Z1495" s="692"/>
      <c r="AA1495" s="665"/>
      <c r="AB1495" s="74"/>
      <c r="AC1495" s="74"/>
      <c r="AD1495" s="44"/>
      <c r="AE1495" s="46"/>
      <c r="AF1495" s="39"/>
      <c r="AG1495" s="46"/>
      <c r="AH1495" s="36"/>
      <c r="AI1495" s="159"/>
      <c r="AJ1495" s="44"/>
      <c r="AK1495" s="46"/>
      <c r="AL1495" s="44"/>
      <c r="AM1495" s="46"/>
      <c r="AN1495" s="44"/>
      <c r="AO1495" s="46"/>
      <c r="AP1495" s="44"/>
      <c r="AQ1495" s="46"/>
      <c r="AR1495" s="44"/>
      <c r="AS1495" s="44"/>
      <c r="AT1495" s="44"/>
      <c r="AU1495" s="45"/>
      <c r="AV1495" s="44"/>
      <c r="AW1495" s="38"/>
      <c r="AX1495" s="44"/>
      <c r="AY1495" s="38"/>
      <c r="AZ1495" s="44"/>
      <c r="BA1495" s="45"/>
      <c r="BB1495" s="44"/>
      <c r="BC1495" s="45"/>
      <c r="BD1495" s="44"/>
      <c r="BE1495" s="38"/>
      <c r="BF1495" s="36"/>
      <c r="BG1495" s="115"/>
      <c r="BH1495" s="115"/>
      <c r="BI1495" s="115"/>
      <c r="BJ1495" s="115"/>
      <c r="BK1495" s="115"/>
      <c r="BL1495" s="115"/>
      <c r="BM1495" s="115"/>
      <c r="BN1495" s="115"/>
      <c r="BO1495" s="115"/>
      <c r="BP1495" s="115"/>
      <c r="BQ1495" s="115"/>
      <c r="BR1495" s="115"/>
      <c r="BS1495" s="115"/>
      <c r="BT1495" s="115"/>
      <c r="BU1495" s="115"/>
      <c r="BV1495" s="115"/>
      <c r="BW1495" s="115"/>
      <c r="BX1495" s="115"/>
      <c r="BY1495" s="115"/>
      <c r="BZ1495" s="115"/>
      <c r="CA1495" s="115"/>
      <c r="CB1495" s="115"/>
      <c r="CC1495" s="115"/>
      <c r="CD1495" s="115"/>
      <c r="CE1495" s="115"/>
      <c r="CF1495" s="115"/>
      <c r="CG1495" s="115"/>
      <c r="CH1495" s="115"/>
      <c r="CI1495" s="115"/>
      <c r="CJ1495" s="115"/>
      <c r="CK1495" s="115"/>
      <c r="CL1495" s="115"/>
      <c r="CM1495" s="115"/>
      <c r="CN1495" s="115"/>
      <c r="CO1495" s="115"/>
      <c r="CP1495" s="115"/>
    </row>
    <row r="1496" ht="15.75" customHeight="1">
      <c r="A1496" s="892" t="s">
        <v>6989</v>
      </c>
      <c r="B1496" s="68"/>
      <c r="C1496" s="69" t="s">
        <v>123</v>
      </c>
      <c r="D1496" s="192" t="s">
        <v>6990</v>
      </c>
      <c r="E1496" s="192" t="s">
        <v>6991</v>
      </c>
      <c r="F1496" s="118" t="s">
        <v>6992</v>
      </c>
      <c r="G1496" s="186"/>
      <c r="H1496" s="71" t="s">
        <v>4453</v>
      </c>
      <c r="I1496" s="26" t="s">
        <v>257</v>
      </c>
      <c r="J1496" s="155"/>
      <c r="K1496" s="74"/>
      <c r="L1496" s="142">
        <v>2008.0</v>
      </c>
      <c r="M1496" s="25">
        <f t="shared" si="789"/>
        <v>17</v>
      </c>
      <c r="N1496" s="26">
        <f t="shared" si="790"/>
        <v>0</v>
      </c>
      <c r="O1496" s="27" t="str">
        <f t="shared" si="3"/>
        <v>#N/A</v>
      </c>
      <c r="P1496" s="28"/>
      <c r="Q1496" s="28"/>
      <c r="R1496" s="28"/>
      <c r="S1496" s="28"/>
      <c r="T1496" s="29">
        <f t="shared" si="791"/>
        <v>0</v>
      </c>
      <c r="U1496" s="28"/>
      <c r="V1496" s="30">
        <f t="shared" si="425"/>
        <v>0</v>
      </c>
      <c r="W1496" s="30"/>
      <c r="X1496" s="32"/>
      <c r="Y1496" s="33" t="str">
        <f t="shared" si="792"/>
        <v>#DIV/0!</v>
      </c>
      <c r="Z1496" s="692"/>
      <c r="AA1496" s="665"/>
      <c r="AB1496" s="74"/>
      <c r="AC1496" s="74"/>
      <c r="AD1496" s="44"/>
      <c r="AE1496" s="46"/>
      <c r="AF1496" s="39"/>
      <c r="AG1496" s="46"/>
      <c r="AH1496" s="36"/>
      <c r="AI1496" s="159"/>
      <c r="AJ1496" s="44"/>
      <c r="AK1496" s="46"/>
      <c r="AL1496" s="44"/>
      <c r="AM1496" s="46"/>
      <c r="AN1496" s="44"/>
      <c r="AO1496" s="46"/>
      <c r="AP1496" s="44"/>
      <c r="AQ1496" s="46"/>
      <c r="AR1496" s="44"/>
      <c r="AS1496" s="44"/>
      <c r="AT1496" s="44"/>
      <c r="AU1496" s="45"/>
      <c r="AV1496" s="44"/>
      <c r="AW1496" s="38"/>
      <c r="AX1496" s="44"/>
      <c r="AY1496" s="38"/>
      <c r="AZ1496" s="44"/>
      <c r="BA1496" s="45"/>
      <c r="BB1496" s="44"/>
      <c r="BC1496" s="45"/>
      <c r="BD1496" s="44"/>
      <c r="BE1496" s="38"/>
      <c r="BF1496" s="36"/>
      <c r="BG1496" s="115"/>
      <c r="BH1496" s="115"/>
      <c r="BI1496" s="115"/>
      <c r="BJ1496" s="115"/>
      <c r="BK1496" s="115"/>
      <c r="BL1496" s="115"/>
      <c r="BM1496" s="115"/>
      <c r="BN1496" s="115"/>
      <c r="BO1496" s="115"/>
      <c r="BP1496" s="115"/>
      <c r="BQ1496" s="115"/>
      <c r="BR1496" s="115"/>
      <c r="BS1496" s="115"/>
      <c r="BT1496" s="115"/>
      <c r="BU1496" s="115"/>
      <c r="BV1496" s="115"/>
      <c r="BW1496" s="115"/>
      <c r="BX1496" s="115"/>
      <c r="BY1496" s="115"/>
      <c r="BZ1496" s="115"/>
      <c r="CA1496" s="115"/>
      <c r="CB1496" s="115"/>
      <c r="CC1496" s="115"/>
      <c r="CD1496" s="115"/>
      <c r="CE1496" s="115"/>
      <c r="CF1496" s="115"/>
      <c r="CG1496" s="115"/>
      <c r="CH1496" s="115"/>
      <c r="CI1496" s="115"/>
      <c r="CJ1496" s="115"/>
      <c r="CK1496" s="115"/>
      <c r="CL1496" s="115"/>
      <c r="CM1496" s="115"/>
      <c r="CN1496" s="115"/>
      <c r="CO1496" s="115"/>
      <c r="CP1496" s="115"/>
    </row>
    <row r="1497" ht="15.75" customHeight="1">
      <c r="A1497" s="21" t="s">
        <v>6993</v>
      </c>
      <c r="B1497" s="68"/>
      <c r="C1497" s="69" t="s">
        <v>123</v>
      </c>
      <c r="D1497" s="200" t="s">
        <v>6994</v>
      </c>
      <c r="E1497" s="200" t="s">
        <v>6995</v>
      </c>
      <c r="F1497" s="154" t="s">
        <v>6996</v>
      </c>
      <c r="G1497" s="186"/>
      <c r="H1497" s="186"/>
      <c r="I1497" s="74"/>
      <c r="J1497" s="155"/>
      <c r="K1497" s="74" t="s">
        <v>723</v>
      </c>
      <c r="L1497" s="142">
        <v>2000.0</v>
      </c>
      <c r="M1497" s="25">
        <f t="shared" si="789"/>
        <v>25</v>
      </c>
      <c r="N1497" s="26">
        <f t="shared" si="790"/>
        <v>0</v>
      </c>
      <c r="O1497" s="27" t="str">
        <f t="shared" si="3"/>
        <v>#N/A</v>
      </c>
      <c r="P1497" s="28"/>
      <c r="Q1497" s="28"/>
      <c r="R1497" s="28"/>
      <c r="S1497" s="28"/>
      <c r="T1497" s="29">
        <f t="shared" si="791"/>
        <v>0</v>
      </c>
      <c r="U1497" s="28"/>
      <c r="V1497" s="30">
        <f t="shared" si="425"/>
        <v>0</v>
      </c>
      <c r="W1497" s="30"/>
      <c r="X1497" s="32"/>
      <c r="Y1497" s="33" t="str">
        <f t="shared" si="792"/>
        <v>#DIV/0!</v>
      </c>
      <c r="Z1497" s="692"/>
      <c r="AA1497" s="665"/>
      <c r="AB1497" s="74"/>
      <c r="AC1497" s="74"/>
      <c r="AD1497" s="44"/>
      <c r="AE1497" s="46"/>
      <c r="AF1497" s="39"/>
      <c r="AG1497" s="46"/>
      <c r="AH1497" s="36"/>
      <c r="AI1497" s="159"/>
      <c r="AJ1497" s="44"/>
      <c r="AK1497" s="46"/>
      <c r="AL1497" s="44"/>
      <c r="AM1497" s="46"/>
      <c r="AN1497" s="44"/>
      <c r="AO1497" s="46"/>
      <c r="AP1497" s="44"/>
      <c r="AQ1497" s="46"/>
      <c r="AR1497" s="44"/>
      <c r="AS1497" s="44"/>
      <c r="AT1497" s="44"/>
      <c r="AU1497" s="45"/>
      <c r="AV1497" s="44"/>
      <c r="AW1497" s="38"/>
      <c r="AX1497" s="44"/>
      <c r="AY1497" s="38"/>
      <c r="AZ1497" s="44"/>
      <c r="BA1497" s="45"/>
      <c r="BB1497" s="44"/>
      <c r="BC1497" s="45"/>
      <c r="BD1497" s="44"/>
      <c r="BE1497" s="38"/>
      <c r="BF1497" s="36"/>
      <c r="BG1497" s="1407"/>
      <c r="BH1497" s="1407"/>
      <c r="BI1497" s="1407"/>
      <c r="BJ1497" s="1407"/>
      <c r="BK1497" s="1407"/>
      <c r="BL1497" s="1407"/>
      <c r="BM1497" s="1407"/>
      <c r="BN1497" s="1407"/>
      <c r="BO1497" s="1407"/>
      <c r="BP1497" s="1407"/>
      <c r="BQ1497" s="1407"/>
      <c r="BR1497" s="1407"/>
      <c r="BS1497" s="1407"/>
      <c r="BT1497" s="1407"/>
      <c r="BU1497" s="1407"/>
      <c r="BV1497" s="1407"/>
      <c r="BW1497" s="1407"/>
      <c r="BX1497" s="1407"/>
      <c r="BY1497" s="1407"/>
      <c r="BZ1497" s="1407"/>
      <c r="CA1497" s="1407"/>
      <c r="CB1497" s="1407"/>
      <c r="CC1497" s="1407"/>
      <c r="CD1497" s="1407"/>
      <c r="CE1497" s="1407"/>
      <c r="CF1497" s="1407"/>
      <c r="CG1497" s="1407"/>
      <c r="CH1497" s="1407"/>
      <c r="CI1497" s="1407"/>
      <c r="CJ1497" s="1407"/>
      <c r="CK1497" s="1407"/>
      <c r="CL1497" s="1407"/>
      <c r="CM1497" s="1407"/>
      <c r="CN1497" s="1407"/>
      <c r="CO1497" s="1407"/>
      <c r="CP1497" s="1407"/>
    </row>
    <row r="1498" ht="15.75" customHeight="1">
      <c r="A1498" s="666" t="s">
        <v>6997</v>
      </c>
      <c r="B1498" s="115" t="s">
        <v>5092</v>
      </c>
      <c r="C1498" s="69" t="s">
        <v>123</v>
      </c>
      <c r="D1498" s="667" t="s">
        <v>6998</v>
      </c>
      <c r="E1498" s="667" t="s">
        <v>6999</v>
      </c>
      <c r="F1498" s="668" t="s">
        <v>7000</v>
      </c>
      <c r="G1498" s="286" t="s">
        <v>7001</v>
      </c>
      <c r="H1498" s="286" t="s">
        <v>5870</v>
      </c>
      <c r="I1498" s="123" t="s">
        <v>287</v>
      </c>
      <c r="J1498" s="287" t="s">
        <v>930</v>
      </c>
      <c r="K1498" s="123">
        <v>4.0</v>
      </c>
      <c r="L1498" s="25">
        <v>2016.0</v>
      </c>
      <c r="M1498" s="25">
        <f t="shared" si="789"/>
        <v>9</v>
      </c>
      <c r="N1498" s="26">
        <f t="shared" si="790"/>
        <v>0</v>
      </c>
      <c r="O1498" s="27" t="str">
        <f t="shared" si="3"/>
        <v>#N/A</v>
      </c>
      <c r="P1498" s="28"/>
      <c r="Q1498" s="28"/>
      <c r="R1498" s="28"/>
      <c r="S1498" s="28"/>
      <c r="T1498" s="29">
        <f t="shared" si="791"/>
        <v>0</v>
      </c>
      <c r="U1498" s="28"/>
      <c r="V1498" s="30">
        <f t="shared" si="425"/>
        <v>0</v>
      </c>
      <c r="W1498" s="30"/>
      <c r="X1498" s="403"/>
      <c r="Y1498" s="33" t="str">
        <f t="shared" si="792"/>
        <v>#DIV/0!</v>
      </c>
      <c r="Z1498" s="692"/>
      <c r="AA1498" s="665"/>
      <c r="AB1498" s="123"/>
      <c r="AC1498" s="123"/>
      <c r="AD1498" s="322"/>
      <c r="AE1498" s="323"/>
      <c r="AF1498" s="868"/>
      <c r="AG1498" s="323"/>
      <c r="AH1498" s="326"/>
      <c r="AI1498" s="327"/>
      <c r="AJ1498" s="322"/>
      <c r="AK1498" s="323"/>
      <c r="AL1498" s="322"/>
      <c r="AM1498" s="323"/>
      <c r="AN1498" s="322"/>
      <c r="AO1498" s="323"/>
      <c r="AP1498" s="322"/>
      <c r="AQ1498" s="323"/>
      <c r="AR1498" s="322"/>
      <c r="AS1498" s="322"/>
      <c r="AT1498" s="322"/>
      <c r="AU1498" s="335"/>
      <c r="AV1498" s="322"/>
      <c r="AW1498" s="38"/>
      <c r="AX1498" s="322"/>
      <c r="AY1498" s="38"/>
      <c r="AZ1498" s="322"/>
      <c r="BA1498" s="335"/>
      <c r="BB1498" s="322"/>
      <c r="BC1498" s="335"/>
      <c r="BD1498" s="322"/>
      <c r="BE1498" s="38"/>
      <c r="BF1498" s="326"/>
      <c r="BG1498" s="115"/>
      <c r="BH1498" s="115"/>
      <c r="BI1498" s="115"/>
      <c r="BJ1498" s="115"/>
      <c r="BK1498" s="115"/>
      <c r="BL1498" s="115"/>
      <c r="BM1498" s="115"/>
      <c r="BN1498" s="115"/>
      <c r="BO1498" s="115"/>
      <c r="BP1498" s="115"/>
      <c r="BQ1498" s="115"/>
      <c r="BR1498" s="115"/>
      <c r="BS1498" s="115"/>
      <c r="BT1498" s="115"/>
      <c r="BU1498" s="115"/>
      <c r="BV1498" s="115"/>
      <c r="BW1498" s="115"/>
      <c r="BX1498" s="115"/>
      <c r="BY1498" s="115"/>
      <c r="BZ1498" s="115"/>
      <c r="CA1498" s="115"/>
      <c r="CB1498" s="115"/>
      <c r="CC1498" s="115"/>
      <c r="CD1498" s="115"/>
      <c r="CE1498" s="115"/>
      <c r="CF1498" s="115"/>
      <c r="CG1498" s="115"/>
      <c r="CH1498" s="115"/>
      <c r="CI1498" s="115"/>
      <c r="CJ1498" s="115"/>
      <c r="CK1498" s="115"/>
      <c r="CL1498" s="115"/>
      <c r="CM1498" s="115"/>
      <c r="CN1498" s="115"/>
      <c r="CO1498" s="115"/>
      <c r="CP1498" s="115"/>
    </row>
    <row r="1499" ht="15.75" customHeight="1">
      <c r="A1499" s="400" t="s">
        <v>7002</v>
      </c>
      <c r="B1499" s="115"/>
      <c r="C1499" s="116" t="s">
        <v>7003</v>
      </c>
      <c r="D1499" s="731" t="s">
        <v>4781</v>
      </c>
      <c r="E1499" s="731" t="s">
        <v>4781</v>
      </c>
      <c r="F1499" s="744" t="s">
        <v>7004</v>
      </c>
      <c r="G1499" s="119" t="s">
        <v>7005</v>
      </c>
      <c r="H1499" s="119" t="s">
        <v>128</v>
      </c>
      <c r="I1499" s="25" t="s">
        <v>129</v>
      </c>
      <c r="J1499" s="120" t="s">
        <v>7006</v>
      </c>
      <c r="K1499" s="123" t="s">
        <v>723</v>
      </c>
      <c r="L1499" s="123" t="s">
        <v>723</v>
      </c>
      <c r="M1499" s="25" t="str">
        <f t="shared" si="789"/>
        <v>#VALUE!</v>
      </c>
      <c r="N1499" s="26">
        <f t="shared" si="790"/>
        <v>0</v>
      </c>
      <c r="O1499" s="27" t="str">
        <f t="shared" si="3"/>
        <v>#N/A</v>
      </c>
      <c r="P1499" s="28"/>
      <c r="Q1499" s="28"/>
      <c r="R1499" s="28"/>
      <c r="S1499" s="28"/>
      <c r="T1499" s="28" t="str">
        <f t="shared" si="791"/>
        <v>#VALUE!</v>
      </c>
      <c r="U1499" s="28"/>
      <c r="V1499" s="30">
        <f t="shared" si="425"/>
        <v>0</v>
      </c>
      <c r="W1499" s="30"/>
      <c r="X1499" s="403"/>
      <c r="Y1499" s="33" t="str">
        <f t="shared" si="792"/>
        <v>#DIV/0!</v>
      </c>
      <c r="Z1499" s="692"/>
      <c r="AA1499" s="665"/>
      <c r="AB1499" s="123"/>
      <c r="AC1499" s="123"/>
      <c r="AD1499" s="322"/>
      <c r="AE1499" s="323"/>
      <c r="AF1499" s="868"/>
      <c r="AG1499" s="323"/>
      <c r="AH1499" s="326"/>
      <c r="AI1499" s="327"/>
      <c r="AJ1499" s="322"/>
      <c r="AK1499" s="323"/>
      <c r="AL1499" s="322"/>
      <c r="AM1499" s="323"/>
      <c r="AN1499" s="322"/>
      <c r="AO1499" s="323"/>
      <c r="AP1499" s="322"/>
      <c r="AQ1499" s="323"/>
      <c r="AR1499" s="322"/>
      <c r="AS1499" s="322"/>
      <c r="AT1499" s="322"/>
      <c r="AU1499" s="335"/>
      <c r="AV1499" s="322"/>
      <c r="AW1499" s="38"/>
      <c r="AX1499" s="322"/>
      <c r="AY1499" s="38"/>
      <c r="AZ1499" s="322"/>
      <c r="BA1499" s="335"/>
      <c r="BB1499" s="322"/>
      <c r="BC1499" s="335"/>
      <c r="BD1499" s="322"/>
      <c r="BE1499" s="38"/>
      <c r="BF1499" s="326"/>
      <c r="BG1499" s="68"/>
      <c r="BH1499" s="68"/>
      <c r="BI1499" s="68"/>
      <c r="BJ1499" s="68"/>
      <c r="BK1499" s="68"/>
      <c r="BL1499" s="68"/>
      <c r="BM1499" s="68"/>
      <c r="BN1499" s="68"/>
      <c r="BO1499" s="68"/>
      <c r="BP1499" s="68"/>
      <c r="BQ1499" s="68"/>
      <c r="BR1499" s="68"/>
      <c r="BS1499" s="68"/>
      <c r="BT1499" s="68"/>
      <c r="BU1499" s="68"/>
      <c r="BV1499" s="68"/>
      <c r="BW1499" s="68"/>
      <c r="BX1499" s="68"/>
      <c r="BY1499" s="68"/>
      <c r="BZ1499" s="68"/>
      <c r="CA1499" s="68"/>
      <c r="CB1499" s="68"/>
      <c r="CC1499" s="68"/>
      <c r="CD1499" s="68"/>
      <c r="CE1499" s="68"/>
      <c r="CF1499" s="68"/>
      <c r="CG1499" s="68"/>
      <c r="CH1499" s="68"/>
      <c r="CI1499" s="68"/>
      <c r="CJ1499" s="68"/>
      <c r="CK1499" s="68"/>
      <c r="CL1499" s="68"/>
      <c r="CM1499" s="68"/>
      <c r="CN1499" s="68"/>
      <c r="CO1499" s="68"/>
      <c r="CP1499" s="68"/>
    </row>
    <row r="1500" ht="15.75" customHeight="1">
      <c r="A1500" s="892" t="s">
        <v>7007</v>
      </c>
      <c r="B1500" s="115"/>
      <c r="C1500" s="116" t="s">
        <v>84</v>
      </c>
      <c r="D1500" s="161" t="s">
        <v>7008</v>
      </c>
      <c r="E1500" s="161" t="s">
        <v>7009</v>
      </c>
      <c r="F1500" s="163" t="s">
        <v>7010</v>
      </c>
      <c r="G1500" s="54" t="s">
        <v>7011</v>
      </c>
      <c r="H1500" s="119" t="s">
        <v>5417</v>
      </c>
      <c r="I1500" s="25" t="s">
        <v>329</v>
      </c>
      <c r="J1500" s="287"/>
      <c r="K1500" s="25">
        <v>1.0</v>
      </c>
      <c r="L1500" s="25">
        <v>2015.0</v>
      </c>
      <c r="M1500" s="25">
        <f t="shared" si="789"/>
        <v>10</v>
      </c>
      <c r="N1500" s="26">
        <f t="shared" si="790"/>
        <v>0</v>
      </c>
      <c r="O1500" s="27" t="str">
        <f t="shared" si="3"/>
        <v>#N/A</v>
      </c>
      <c r="P1500" s="28"/>
      <c r="Q1500" s="28"/>
      <c r="R1500" s="28"/>
      <c r="S1500" s="28"/>
      <c r="T1500" s="29">
        <f t="shared" si="791"/>
        <v>0</v>
      </c>
      <c r="U1500" s="28"/>
      <c r="V1500" s="30">
        <f t="shared" si="425"/>
        <v>0</v>
      </c>
      <c r="W1500" s="30"/>
      <c r="X1500" s="597"/>
      <c r="Y1500" s="33" t="str">
        <f t="shared" si="792"/>
        <v>#DIV/0!</v>
      </c>
      <c r="Z1500" s="692"/>
      <c r="AA1500" s="665"/>
      <c r="AB1500" s="123"/>
      <c r="AC1500" s="123"/>
      <c r="AD1500" s="322"/>
      <c r="AE1500" s="323"/>
      <c r="AF1500" s="868"/>
      <c r="AG1500" s="323"/>
      <c r="AH1500" s="326"/>
      <c r="AI1500" s="327"/>
      <c r="AJ1500" s="1134"/>
      <c r="AK1500" s="325"/>
      <c r="AL1500" s="1134"/>
      <c r="AM1500" s="325"/>
      <c r="AN1500" s="1134"/>
      <c r="AO1500" s="325"/>
      <c r="AP1500" s="322"/>
      <c r="AQ1500" s="323"/>
      <c r="AR1500" s="322"/>
      <c r="AS1500" s="322"/>
      <c r="AT1500" s="322"/>
      <c r="AU1500" s="335"/>
      <c r="AV1500" s="322"/>
      <c r="AW1500" s="38"/>
      <c r="AX1500" s="322"/>
      <c r="AY1500" s="38"/>
      <c r="AZ1500" s="322"/>
      <c r="BA1500" s="335"/>
      <c r="BB1500" s="322"/>
      <c r="BC1500" s="335"/>
      <c r="BD1500" s="322"/>
      <c r="BE1500" s="38"/>
      <c r="BF1500" s="326"/>
      <c r="BG1500" s="68"/>
      <c r="BH1500" s="68"/>
      <c r="BI1500" s="68"/>
      <c r="BJ1500" s="68"/>
      <c r="BK1500" s="68"/>
      <c r="BL1500" s="68"/>
      <c r="BM1500" s="68"/>
      <c r="BN1500" s="68"/>
      <c r="BO1500" s="68"/>
      <c r="BP1500" s="68"/>
      <c r="BQ1500" s="68"/>
      <c r="BR1500" s="68"/>
      <c r="BS1500" s="68"/>
      <c r="BT1500" s="68"/>
      <c r="BU1500" s="68"/>
      <c r="BV1500" s="68"/>
      <c r="BW1500" s="68"/>
      <c r="BX1500" s="68"/>
      <c r="BY1500" s="68"/>
      <c r="BZ1500" s="68"/>
      <c r="CA1500" s="68"/>
      <c r="CB1500" s="68"/>
      <c r="CC1500" s="68"/>
      <c r="CD1500" s="68"/>
      <c r="CE1500" s="68"/>
      <c r="CF1500" s="68"/>
      <c r="CG1500" s="68"/>
      <c r="CH1500" s="68"/>
      <c r="CI1500" s="68"/>
      <c r="CJ1500" s="68"/>
      <c r="CK1500" s="68"/>
      <c r="CL1500" s="68"/>
      <c r="CM1500" s="68"/>
      <c r="CN1500" s="68"/>
      <c r="CO1500" s="68"/>
      <c r="CP1500" s="68"/>
    </row>
    <row r="1501" ht="15.75" customHeight="1">
      <c r="A1501" s="892" t="s">
        <v>7012</v>
      </c>
      <c r="B1501" s="68"/>
      <c r="C1501" s="69" t="s">
        <v>123</v>
      </c>
      <c r="D1501" s="184"/>
      <c r="E1501" s="192" t="s">
        <v>7013</v>
      </c>
      <c r="F1501" s="118" t="s">
        <v>7014</v>
      </c>
      <c r="G1501" s="71"/>
      <c r="H1501" s="71" t="s">
        <v>6937</v>
      </c>
      <c r="I1501" s="26" t="s">
        <v>257</v>
      </c>
      <c r="J1501" s="155"/>
      <c r="K1501" s="26"/>
      <c r="L1501" s="26">
        <v>2017.0</v>
      </c>
      <c r="M1501" s="25">
        <f t="shared" si="789"/>
        <v>8</v>
      </c>
      <c r="N1501" s="26">
        <f t="shared" si="790"/>
        <v>0</v>
      </c>
      <c r="O1501" s="27" t="str">
        <f t="shared" si="3"/>
        <v>#N/A</v>
      </c>
      <c r="P1501" s="28"/>
      <c r="Q1501" s="28"/>
      <c r="R1501" s="28"/>
      <c r="S1501" s="28"/>
      <c r="T1501" s="29">
        <f t="shared" si="791"/>
        <v>0</v>
      </c>
      <c r="U1501" s="28"/>
      <c r="V1501" s="30">
        <f t="shared" si="425"/>
        <v>0</v>
      </c>
      <c r="W1501" s="30"/>
      <c r="X1501" s="73"/>
      <c r="Y1501" s="33" t="str">
        <f t="shared" si="792"/>
        <v>#DIV/0!</v>
      </c>
      <c r="Z1501" s="692"/>
      <c r="AA1501" s="665"/>
      <c r="AB1501" s="74"/>
      <c r="AC1501" s="74"/>
      <c r="AD1501" s="44"/>
      <c r="AE1501" s="46"/>
      <c r="AF1501" s="39"/>
      <c r="AG1501" s="46"/>
      <c r="AH1501" s="36"/>
      <c r="AI1501" s="159"/>
      <c r="AJ1501" s="37"/>
      <c r="AK1501" s="38"/>
      <c r="AL1501" s="37"/>
      <c r="AM1501" s="38"/>
      <c r="AN1501" s="37"/>
      <c r="AO1501" s="38"/>
      <c r="AP1501" s="44"/>
      <c r="AQ1501" s="46"/>
      <c r="AR1501" s="44"/>
      <c r="AS1501" s="44"/>
      <c r="AT1501" s="44"/>
      <c r="AU1501" s="45"/>
      <c r="AV1501" s="44"/>
      <c r="AW1501" s="38"/>
      <c r="AX1501" s="44"/>
      <c r="AY1501" s="38"/>
      <c r="AZ1501" s="44"/>
      <c r="BA1501" s="45"/>
      <c r="BB1501" s="44"/>
      <c r="BC1501" s="45"/>
      <c r="BD1501" s="44"/>
      <c r="BE1501" s="38"/>
      <c r="BF1501" s="36"/>
      <c r="BG1501" s="68"/>
      <c r="BH1501" s="68"/>
      <c r="BI1501" s="68"/>
      <c r="BJ1501" s="68"/>
      <c r="BK1501" s="68"/>
      <c r="BL1501" s="68"/>
      <c r="BM1501" s="68"/>
      <c r="BN1501" s="68"/>
      <c r="BO1501" s="68"/>
      <c r="BP1501" s="68"/>
      <c r="BQ1501" s="68"/>
      <c r="BR1501" s="68"/>
      <c r="BS1501" s="68"/>
      <c r="BT1501" s="68"/>
      <c r="BU1501" s="68"/>
      <c r="BV1501" s="68"/>
      <c r="BW1501" s="68"/>
      <c r="BX1501" s="68"/>
      <c r="BY1501" s="68"/>
      <c r="BZ1501" s="68"/>
      <c r="CA1501" s="68"/>
      <c r="CB1501" s="68"/>
      <c r="CC1501" s="68"/>
      <c r="CD1501" s="68"/>
      <c r="CE1501" s="68"/>
      <c r="CF1501" s="68"/>
      <c r="CG1501" s="68"/>
      <c r="CH1501" s="68"/>
      <c r="CI1501" s="68"/>
      <c r="CJ1501" s="68"/>
      <c r="CK1501" s="68"/>
      <c r="CL1501" s="68"/>
      <c r="CM1501" s="68"/>
      <c r="CN1501" s="68"/>
      <c r="CO1501" s="68"/>
      <c r="CP1501" s="68"/>
    </row>
    <row r="1502" ht="15.75" customHeight="1">
      <c r="A1502" s="892" t="s">
        <v>7015</v>
      </c>
      <c r="B1502" s="68"/>
      <c r="C1502" s="69" t="s">
        <v>123</v>
      </c>
      <c r="D1502" s="337"/>
      <c r="E1502" s="192" t="s">
        <v>7016</v>
      </c>
      <c r="F1502" s="118" t="s">
        <v>7017</v>
      </c>
      <c r="G1502" s="186"/>
      <c r="H1502" s="71" t="s">
        <v>6512</v>
      </c>
      <c r="I1502" s="26" t="s">
        <v>257</v>
      </c>
      <c r="J1502" s="155"/>
      <c r="K1502" s="74"/>
      <c r="L1502" s="26">
        <v>2017.0</v>
      </c>
      <c r="M1502" s="25">
        <f t="shared" si="789"/>
        <v>8</v>
      </c>
      <c r="N1502" s="26">
        <f t="shared" si="790"/>
        <v>0</v>
      </c>
      <c r="O1502" s="27" t="str">
        <f t="shared" si="3"/>
        <v>#N/A</v>
      </c>
      <c r="P1502" s="28"/>
      <c r="Q1502" s="28"/>
      <c r="R1502" s="28"/>
      <c r="S1502" s="28"/>
      <c r="T1502" s="29">
        <f t="shared" si="791"/>
        <v>0</v>
      </c>
      <c r="U1502" s="28"/>
      <c r="V1502" s="30">
        <f t="shared" si="425"/>
        <v>0</v>
      </c>
      <c r="W1502" s="30"/>
      <c r="X1502" s="32"/>
      <c r="Y1502" s="33" t="str">
        <f t="shared" si="792"/>
        <v>#DIV/0!</v>
      </c>
      <c r="Z1502" s="692"/>
      <c r="AA1502" s="665"/>
      <c r="AB1502" s="74"/>
      <c r="AC1502" s="74"/>
      <c r="AD1502" s="44"/>
      <c r="AE1502" s="46"/>
      <c r="AF1502" s="39"/>
      <c r="AG1502" s="46"/>
      <c r="AH1502" s="36"/>
      <c r="AI1502" s="159"/>
      <c r="AJ1502" s="44"/>
      <c r="AK1502" s="46"/>
      <c r="AL1502" s="44"/>
      <c r="AM1502" s="46"/>
      <c r="AN1502" s="44"/>
      <c r="AO1502" s="46"/>
      <c r="AP1502" s="44"/>
      <c r="AQ1502" s="46"/>
      <c r="AR1502" s="44"/>
      <c r="AS1502" s="44"/>
      <c r="AT1502" s="44"/>
      <c r="AU1502" s="45"/>
      <c r="AV1502" s="44"/>
      <c r="AW1502" s="38"/>
      <c r="AX1502" s="44"/>
      <c r="AY1502" s="38"/>
      <c r="AZ1502" s="44"/>
      <c r="BA1502" s="45"/>
      <c r="BB1502" s="44"/>
      <c r="BC1502" s="45"/>
      <c r="BD1502" s="44"/>
      <c r="BE1502" s="38"/>
      <c r="BF1502" s="36"/>
      <c r="BG1502" s="68"/>
      <c r="BH1502" s="68"/>
      <c r="BI1502" s="68"/>
      <c r="BJ1502" s="68"/>
      <c r="BK1502" s="68"/>
      <c r="BL1502" s="68"/>
      <c r="BM1502" s="68"/>
      <c r="BN1502" s="68"/>
      <c r="BO1502" s="68"/>
      <c r="BP1502" s="68"/>
      <c r="BQ1502" s="68"/>
      <c r="BR1502" s="68"/>
      <c r="BS1502" s="68"/>
      <c r="BT1502" s="68"/>
      <c r="BU1502" s="68"/>
      <c r="BV1502" s="68"/>
      <c r="BW1502" s="68"/>
      <c r="BX1502" s="68"/>
      <c r="BY1502" s="68"/>
      <c r="BZ1502" s="68"/>
      <c r="CA1502" s="68"/>
      <c r="CB1502" s="68"/>
      <c r="CC1502" s="68"/>
      <c r="CD1502" s="68"/>
      <c r="CE1502" s="68"/>
      <c r="CF1502" s="68"/>
      <c r="CG1502" s="68"/>
      <c r="CH1502" s="68"/>
      <c r="CI1502" s="68"/>
      <c r="CJ1502" s="68"/>
      <c r="CK1502" s="68"/>
      <c r="CL1502" s="68"/>
      <c r="CM1502" s="68"/>
      <c r="CN1502" s="68"/>
      <c r="CO1502" s="68"/>
      <c r="CP1502" s="68"/>
    </row>
    <row r="1503" ht="15.75" customHeight="1">
      <c r="A1503" s="1372" t="s">
        <v>7018</v>
      </c>
      <c r="B1503" s="68"/>
      <c r="C1503" s="69" t="s">
        <v>7019</v>
      </c>
      <c r="D1503" s="337"/>
      <c r="E1503" s="192" t="s">
        <v>7020</v>
      </c>
      <c r="F1503" s="118" t="s">
        <v>7021</v>
      </c>
      <c r="G1503" s="140" t="s">
        <v>7022</v>
      </c>
      <c r="H1503" s="140" t="s">
        <v>187</v>
      </c>
      <c r="I1503" s="26" t="s">
        <v>188</v>
      </c>
      <c r="J1503" s="155"/>
      <c r="K1503" s="74"/>
      <c r="L1503" s="26">
        <v>2007.0</v>
      </c>
      <c r="M1503" s="25">
        <f t="shared" si="789"/>
        <v>18</v>
      </c>
      <c r="N1503" s="26">
        <f t="shared" si="790"/>
        <v>0</v>
      </c>
      <c r="O1503" s="27" t="str">
        <f t="shared" si="3"/>
        <v>#N/A</v>
      </c>
      <c r="P1503" s="28"/>
      <c r="Q1503" s="28"/>
      <c r="R1503" s="28"/>
      <c r="S1503" s="28"/>
      <c r="T1503" s="29">
        <f t="shared" si="791"/>
        <v>0</v>
      </c>
      <c r="U1503" s="28"/>
      <c r="V1503" s="30">
        <f t="shared" si="425"/>
        <v>0</v>
      </c>
      <c r="W1503" s="30"/>
      <c r="X1503" s="32"/>
      <c r="Y1503" s="33" t="str">
        <f t="shared" si="792"/>
        <v>#DIV/0!</v>
      </c>
      <c r="Z1503" s="692"/>
      <c r="AA1503" s="665"/>
      <c r="AB1503" s="74"/>
      <c r="AC1503" s="74"/>
      <c r="AD1503" s="44"/>
      <c r="AE1503" s="46"/>
      <c r="AF1503" s="39"/>
      <c r="AG1503" s="46"/>
      <c r="AH1503" s="36"/>
      <c r="AI1503" s="159"/>
      <c r="AJ1503" s="44"/>
      <c r="AK1503" s="46"/>
      <c r="AL1503" s="44"/>
      <c r="AM1503" s="46"/>
      <c r="AN1503" s="44"/>
      <c r="AO1503" s="46"/>
      <c r="AP1503" s="44"/>
      <c r="AQ1503" s="46"/>
      <c r="AR1503" s="44"/>
      <c r="AS1503" s="44"/>
      <c r="AT1503" s="44"/>
      <c r="AU1503" s="45"/>
      <c r="AV1503" s="44"/>
      <c r="AW1503" s="38"/>
      <c r="AX1503" s="44"/>
      <c r="AY1503" s="38"/>
      <c r="AZ1503" s="44"/>
      <c r="BA1503" s="45"/>
      <c r="BB1503" s="44"/>
      <c r="BC1503" s="45"/>
      <c r="BD1503" s="44"/>
      <c r="BE1503" s="38"/>
      <c r="BF1503" s="36"/>
      <c r="BG1503" s="68"/>
      <c r="BH1503" s="68"/>
      <c r="BI1503" s="68"/>
      <c r="BJ1503" s="68"/>
      <c r="BK1503" s="68"/>
      <c r="BL1503" s="68"/>
      <c r="BM1503" s="68"/>
      <c r="BN1503" s="68"/>
      <c r="BO1503" s="68"/>
      <c r="BP1503" s="68"/>
      <c r="BQ1503" s="68"/>
      <c r="BR1503" s="68"/>
      <c r="BS1503" s="68"/>
      <c r="BT1503" s="68"/>
      <c r="BU1503" s="68"/>
      <c r="BV1503" s="68"/>
      <c r="BW1503" s="68"/>
      <c r="BX1503" s="68"/>
      <c r="BY1503" s="68"/>
      <c r="BZ1503" s="68"/>
      <c r="CA1503" s="68"/>
      <c r="CB1503" s="68"/>
      <c r="CC1503" s="68"/>
      <c r="CD1503" s="68"/>
      <c r="CE1503" s="68"/>
      <c r="CF1503" s="68"/>
      <c r="CG1503" s="68"/>
      <c r="CH1503" s="68"/>
      <c r="CI1503" s="68"/>
      <c r="CJ1503" s="68"/>
      <c r="CK1503" s="68"/>
      <c r="CL1503" s="68"/>
      <c r="CM1503" s="68"/>
      <c r="CN1503" s="68"/>
      <c r="CO1503" s="68"/>
      <c r="CP1503" s="68"/>
    </row>
    <row r="1504" ht="15.75" customHeight="1">
      <c r="A1504" s="442" t="s">
        <v>7023</v>
      </c>
      <c r="B1504" s="68" t="s">
        <v>7024</v>
      </c>
      <c r="C1504" s="69" t="s">
        <v>7019</v>
      </c>
      <c r="D1504" s="337"/>
      <c r="E1504" s="184" t="s">
        <v>7025</v>
      </c>
      <c r="F1504" s="185" t="s">
        <v>7026</v>
      </c>
      <c r="G1504" s="174" t="s">
        <v>7027</v>
      </c>
      <c r="H1504" s="186" t="s">
        <v>7028</v>
      </c>
      <c r="I1504" s="74" t="s">
        <v>287</v>
      </c>
      <c r="J1504" s="155" t="s">
        <v>7029</v>
      </c>
      <c r="K1504" s="74" t="s">
        <v>723</v>
      </c>
      <c r="L1504" s="26">
        <v>2000.0</v>
      </c>
      <c r="M1504" s="25">
        <f t="shared" si="789"/>
        <v>25</v>
      </c>
      <c r="N1504" s="26">
        <f t="shared" si="790"/>
        <v>0</v>
      </c>
      <c r="O1504" s="27" t="str">
        <f t="shared" si="3"/>
        <v>#N/A</v>
      </c>
      <c r="P1504" s="28"/>
      <c r="Q1504" s="28"/>
      <c r="R1504" s="28"/>
      <c r="S1504" s="28"/>
      <c r="T1504" s="29">
        <f t="shared" si="791"/>
        <v>0</v>
      </c>
      <c r="U1504" s="28"/>
      <c r="V1504" s="30">
        <f t="shared" si="425"/>
        <v>0</v>
      </c>
      <c r="W1504" s="30"/>
      <c r="X1504" s="32"/>
      <c r="Y1504" s="33" t="str">
        <f t="shared" si="792"/>
        <v>#DIV/0!</v>
      </c>
      <c r="Z1504" s="692"/>
      <c r="AA1504" s="665"/>
      <c r="AB1504" s="74"/>
      <c r="AC1504" s="74"/>
      <c r="AD1504" s="44"/>
      <c r="AE1504" s="46"/>
      <c r="AF1504" s="39"/>
      <c r="AG1504" s="46"/>
      <c r="AH1504" s="36"/>
      <c r="AI1504" s="159"/>
      <c r="AJ1504" s="44"/>
      <c r="AK1504" s="46"/>
      <c r="AL1504" s="44"/>
      <c r="AM1504" s="46"/>
      <c r="AN1504" s="44"/>
      <c r="AO1504" s="46"/>
      <c r="AP1504" s="44"/>
      <c r="AQ1504" s="46"/>
      <c r="AR1504" s="44"/>
      <c r="AS1504" s="44"/>
      <c r="AT1504" s="44"/>
      <c r="AU1504" s="45"/>
      <c r="AV1504" s="44"/>
      <c r="AW1504" s="38"/>
      <c r="AX1504" s="44"/>
      <c r="AY1504" s="38"/>
      <c r="AZ1504" s="44"/>
      <c r="BA1504" s="45"/>
      <c r="BB1504" s="44"/>
      <c r="BC1504" s="45"/>
      <c r="BD1504" s="44"/>
      <c r="BE1504" s="38"/>
      <c r="BF1504" s="36"/>
      <c r="BG1504" s="68"/>
      <c r="BH1504" s="68"/>
      <c r="BI1504" s="68"/>
      <c r="BJ1504" s="68"/>
      <c r="BK1504" s="68"/>
      <c r="BL1504" s="68"/>
      <c r="BM1504" s="68"/>
      <c r="BN1504" s="68"/>
      <c r="BO1504" s="68"/>
      <c r="BP1504" s="68"/>
      <c r="BQ1504" s="68"/>
      <c r="BR1504" s="68"/>
      <c r="BS1504" s="68"/>
      <c r="BT1504" s="68"/>
      <c r="BU1504" s="68"/>
      <c r="BV1504" s="68"/>
      <c r="BW1504" s="68"/>
      <c r="BX1504" s="68"/>
      <c r="BY1504" s="68"/>
      <c r="BZ1504" s="68"/>
      <c r="CA1504" s="68"/>
      <c r="CB1504" s="68"/>
      <c r="CC1504" s="68"/>
      <c r="CD1504" s="68"/>
      <c r="CE1504" s="68"/>
      <c r="CF1504" s="68"/>
      <c r="CG1504" s="68"/>
      <c r="CH1504" s="68"/>
      <c r="CI1504" s="68"/>
      <c r="CJ1504" s="68"/>
      <c r="CK1504" s="68"/>
      <c r="CL1504" s="68"/>
      <c r="CM1504" s="68"/>
      <c r="CN1504" s="68"/>
      <c r="CO1504" s="68"/>
      <c r="CP1504" s="68"/>
    </row>
    <row r="1505" ht="15.75" customHeight="1">
      <c r="A1505" s="892" t="s">
        <v>7030</v>
      </c>
      <c r="B1505" s="68"/>
      <c r="C1505" s="69" t="s">
        <v>123</v>
      </c>
      <c r="D1505" s="192" t="s">
        <v>7031</v>
      </c>
      <c r="E1505" s="385"/>
      <c r="F1505" s="118" t="s">
        <v>7032</v>
      </c>
      <c r="G1505" s="71"/>
      <c r="H1505" s="186"/>
      <c r="I1505" s="74"/>
      <c r="J1505" s="155"/>
      <c r="K1505" s="74"/>
      <c r="L1505" s="74"/>
      <c r="M1505" s="25">
        <f t="shared" si="789"/>
        <v>2025</v>
      </c>
      <c r="N1505" s="26">
        <f t="shared" si="790"/>
        <v>0</v>
      </c>
      <c r="O1505" s="27" t="str">
        <f t="shared" si="3"/>
        <v>#N/A</v>
      </c>
      <c r="P1505" s="28"/>
      <c r="Q1505" s="28"/>
      <c r="R1505" s="28"/>
      <c r="S1505" s="28"/>
      <c r="T1505" s="29">
        <f t="shared" si="791"/>
        <v>0</v>
      </c>
      <c r="U1505" s="28"/>
      <c r="V1505" s="30">
        <f t="shared" si="425"/>
        <v>0</v>
      </c>
      <c r="W1505" s="30"/>
      <c r="X1505" s="32"/>
      <c r="Y1505" s="33" t="str">
        <f t="shared" si="792"/>
        <v>#DIV/0!</v>
      </c>
      <c r="Z1505" s="692"/>
      <c r="AA1505" s="665"/>
      <c r="AB1505" s="74"/>
      <c r="AC1505" s="74"/>
      <c r="AD1505" s="44"/>
      <c r="AE1505" s="46"/>
      <c r="AF1505" s="39"/>
      <c r="AG1505" s="46"/>
      <c r="AH1505" s="36"/>
      <c r="AI1505" s="159"/>
      <c r="AJ1505" s="44"/>
      <c r="AK1505" s="46"/>
      <c r="AL1505" s="44"/>
      <c r="AM1505" s="46"/>
      <c r="AN1505" s="44"/>
      <c r="AO1505" s="46"/>
      <c r="AP1505" s="44"/>
      <c r="AQ1505" s="46"/>
      <c r="AR1505" s="44"/>
      <c r="AS1505" s="44"/>
      <c r="AT1505" s="44"/>
      <c r="AU1505" s="45"/>
      <c r="AV1505" s="44"/>
      <c r="AW1505" s="38"/>
      <c r="AX1505" s="44"/>
      <c r="AY1505" s="38"/>
      <c r="AZ1505" s="44"/>
      <c r="BA1505" s="45"/>
      <c r="BB1505" s="44"/>
      <c r="BC1505" s="45"/>
      <c r="BD1505" s="44"/>
      <c r="BE1505" s="38"/>
      <c r="BF1505" s="36"/>
      <c r="BG1505" s="68"/>
      <c r="BH1505" s="68"/>
      <c r="BI1505" s="68"/>
      <c r="BJ1505" s="68"/>
      <c r="BK1505" s="68"/>
      <c r="BL1505" s="68"/>
      <c r="BM1505" s="68"/>
      <c r="BN1505" s="68"/>
      <c r="BO1505" s="68"/>
      <c r="BP1505" s="68"/>
      <c r="BQ1505" s="68"/>
      <c r="BR1505" s="68"/>
      <c r="BS1505" s="68"/>
      <c r="BT1505" s="68"/>
      <c r="BU1505" s="68"/>
      <c r="BV1505" s="68"/>
      <c r="BW1505" s="68"/>
      <c r="BX1505" s="68"/>
      <c r="BY1505" s="68"/>
      <c r="BZ1505" s="68"/>
      <c r="CA1505" s="68"/>
      <c r="CB1505" s="68"/>
      <c r="CC1505" s="68"/>
      <c r="CD1505" s="68"/>
      <c r="CE1505" s="68"/>
      <c r="CF1505" s="68"/>
      <c r="CG1505" s="68"/>
      <c r="CH1505" s="68"/>
      <c r="CI1505" s="68"/>
      <c r="CJ1505" s="68"/>
      <c r="CK1505" s="68"/>
      <c r="CL1505" s="68"/>
      <c r="CM1505" s="68"/>
      <c r="CN1505" s="68"/>
      <c r="CO1505" s="68"/>
      <c r="CP1505" s="68"/>
    </row>
    <row r="1506" ht="15.75" customHeight="1">
      <c r="A1506" s="892" t="s">
        <v>7033</v>
      </c>
      <c r="B1506" s="68"/>
      <c r="C1506" s="69" t="s">
        <v>84</v>
      </c>
      <c r="D1506" s="192" t="s">
        <v>7034</v>
      </c>
      <c r="E1506" s="385"/>
      <c r="F1506" s="118" t="s">
        <v>7035</v>
      </c>
      <c r="G1506" s="71"/>
      <c r="H1506" s="186"/>
      <c r="I1506" s="74"/>
      <c r="J1506" s="155"/>
      <c r="K1506" s="74"/>
      <c r="L1506" s="74"/>
      <c r="M1506" s="25">
        <f t="shared" si="789"/>
        <v>2025</v>
      </c>
      <c r="N1506" s="26">
        <f t="shared" si="790"/>
        <v>0</v>
      </c>
      <c r="O1506" s="27" t="str">
        <f t="shared" si="3"/>
        <v>#N/A</v>
      </c>
      <c r="P1506" s="28"/>
      <c r="Q1506" s="28"/>
      <c r="R1506" s="28"/>
      <c r="S1506" s="28"/>
      <c r="T1506" s="29">
        <f t="shared" si="791"/>
        <v>0</v>
      </c>
      <c r="U1506" s="28"/>
      <c r="V1506" s="30">
        <f t="shared" si="425"/>
        <v>0</v>
      </c>
      <c r="W1506" s="30"/>
      <c r="X1506" s="32"/>
      <c r="Y1506" s="33" t="str">
        <f t="shared" si="792"/>
        <v>#DIV/0!</v>
      </c>
      <c r="Z1506" s="692"/>
      <c r="AA1506" s="665"/>
      <c r="AB1506" s="74"/>
      <c r="AC1506" s="74"/>
      <c r="AD1506" s="44"/>
      <c r="AE1506" s="46"/>
      <c r="AF1506" s="39"/>
      <c r="AG1506" s="46"/>
      <c r="AH1506" s="36"/>
      <c r="AI1506" s="159"/>
      <c r="AJ1506" s="44"/>
      <c r="AK1506" s="46"/>
      <c r="AL1506" s="44"/>
      <c r="AM1506" s="46"/>
      <c r="AN1506" s="44"/>
      <c r="AO1506" s="46"/>
      <c r="AP1506" s="44"/>
      <c r="AQ1506" s="46"/>
      <c r="AR1506" s="44"/>
      <c r="AS1506" s="44"/>
      <c r="AT1506" s="44"/>
      <c r="AU1506" s="45"/>
      <c r="AV1506" s="44"/>
      <c r="AW1506" s="38"/>
      <c r="AX1506" s="44"/>
      <c r="AY1506" s="38"/>
      <c r="AZ1506" s="44"/>
      <c r="BA1506" s="45"/>
      <c r="BB1506" s="44"/>
      <c r="BC1506" s="45"/>
      <c r="BD1506" s="44"/>
      <c r="BE1506" s="38"/>
      <c r="BF1506" s="36"/>
      <c r="BG1506" s="68"/>
      <c r="BH1506" s="68"/>
      <c r="BI1506" s="68"/>
      <c r="BJ1506" s="68"/>
      <c r="BK1506" s="68"/>
      <c r="BL1506" s="68"/>
      <c r="BM1506" s="68"/>
      <c r="BN1506" s="68"/>
      <c r="BO1506" s="68"/>
      <c r="BP1506" s="68"/>
      <c r="BQ1506" s="68"/>
      <c r="BR1506" s="68"/>
      <c r="BS1506" s="68"/>
      <c r="BT1506" s="68"/>
      <c r="BU1506" s="68"/>
      <c r="BV1506" s="68"/>
      <c r="BW1506" s="68"/>
      <c r="BX1506" s="68"/>
      <c r="BY1506" s="68"/>
      <c r="BZ1506" s="68"/>
      <c r="CA1506" s="68"/>
      <c r="CB1506" s="68"/>
      <c r="CC1506" s="68"/>
      <c r="CD1506" s="68"/>
      <c r="CE1506" s="68"/>
      <c r="CF1506" s="68"/>
      <c r="CG1506" s="68"/>
      <c r="CH1506" s="68"/>
      <c r="CI1506" s="68"/>
      <c r="CJ1506" s="68"/>
      <c r="CK1506" s="68"/>
      <c r="CL1506" s="68"/>
      <c r="CM1506" s="68"/>
      <c r="CN1506" s="68"/>
      <c r="CO1506" s="68"/>
      <c r="CP1506" s="68"/>
    </row>
    <row r="1507" ht="15.75" customHeight="1">
      <c r="A1507" s="823" t="s">
        <v>7036</v>
      </c>
      <c r="B1507" s="824" t="s">
        <v>7037</v>
      </c>
      <c r="C1507" s="760"/>
      <c r="D1507" s="1685"/>
      <c r="E1507" s="1272" t="s">
        <v>7038</v>
      </c>
      <c r="F1507" s="1535" t="s">
        <v>7039</v>
      </c>
      <c r="G1507" s="827" t="s">
        <v>3229</v>
      </c>
      <c r="H1507" s="1245"/>
      <c r="I1507" s="831"/>
      <c r="J1507" s="829"/>
      <c r="K1507" s="831" t="s">
        <v>723</v>
      </c>
      <c r="L1507" s="831" t="s">
        <v>723</v>
      </c>
      <c r="M1507" s="25" t="str">
        <f t="shared" si="789"/>
        <v>#VALUE!</v>
      </c>
      <c r="N1507" s="26">
        <f t="shared" si="790"/>
        <v>0</v>
      </c>
      <c r="O1507" s="27" t="str">
        <f t="shared" si="3"/>
        <v>#N/A</v>
      </c>
      <c r="P1507" s="28"/>
      <c r="Q1507" s="28"/>
      <c r="R1507" s="28"/>
      <c r="S1507" s="28"/>
      <c r="T1507" s="28" t="str">
        <f t="shared" si="791"/>
        <v>#VALUE!</v>
      </c>
      <c r="U1507" s="28"/>
      <c r="V1507" s="30">
        <f t="shared" si="425"/>
        <v>0</v>
      </c>
      <c r="W1507" s="30"/>
      <c r="X1507" s="1526"/>
      <c r="Y1507" s="33" t="str">
        <f t="shared" si="792"/>
        <v>#DIV/0!</v>
      </c>
      <c r="Z1507" s="692"/>
      <c r="AA1507" s="665"/>
      <c r="AB1507" s="831"/>
      <c r="AC1507" s="831"/>
      <c r="AD1507" s="1246"/>
      <c r="AE1507" s="1247"/>
      <c r="AF1507" s="1686"/>
      <c r="AG1507" s="1247"/>
      <c r="AH1507" s="1250"/>
      <c r="AI1507" s="1251"/>
      <c r="AJ1507" s="1246"/>
      <c r="AK1507" s="1247"/>
      <c r="AL1507" s="1246"/>
      <c r="AM1507" s="1247"/>
      <c r="AN1507" s="1246"/>
      <c r="AO1507" s="1247"/>
      <c r="AP1507" s="1246"/>
      <c r="AQ1507" s="1247"/>
      <c r="AR1507" s="1246"/>
      <c r="AS1507" s="1246"/>
      <c r="AT1507" s="1246"/>
      <c r="AU1507" s="1541"/>
      <c r="AV1507" s="1246"/>
      <c r="AW1507" s="38"/>
      <c r="AX1507" s="1246"/>
      <c r="AY1507" s="38"/>
      <c r="AZ1507" s="1246"/>
      <c r="BA1507" s="1541"/>
      <c r="BB1507" s="1246"/>
      <c r="BC1507" s="1541"/>
      <c r="BD1507" s="1246"/>
      <c r="BE1507" s="38"/>
      <c r="BF1507" s="1250"/>
      <c r="BG1507" s="68"/>
      <c r="BH1507" s="68"/>
      <c r="BI1507" s="68"/>
      <c r="BJ1507" s="68"/>
      <c r="BK1507" s="68"/>
      <c r="BL1507" s="68"/>
      <c r="BM1507" s="68"/>
      <c r="BN1507" s="68"/>
      <c r="BO1507" s="68"/>
      <c r="BP1507" s="68"/>
      <c r="BQ1507" s="68"/>
      <c r="BR1507" s="68"/>
      <c r="BS1507" s="68"/>
      <c r="BT1507" s="68"/>
      <c r="BU1507" s="68"/>
      <c r="BV1507" s="68"/>
      <c r="BW1507" s="68"/>
      <c r="BX1507" s="68"/>
      <c r="BY1507" s="68"/>
      <c r="BZ1507" s="68"/>
      <c r="CA1507" s="68"/>
      <c r="CB1507" s="68"/>
      <c r="CC1507" s="68"/>
      <c r="CD1507" s="68"/>
      <c r="CE1507" s="68"/>
      <c r="CF1507" s="68"/>
      <c r="CG1507" s="68"/>
      <c r="CH1507" s="68"/>
      <c r="CI1507" s="68"/>
      <c r="CJ1507" s="68"/>
      <c r="CK1507" s="68"/>
      <c r="CL1507" s="68"/>
      <c r="CM1507" s="68"/>
      <c r="CN1507" s="68"/>
      <c r="CO1507" s="68"/>
      <c r="CP1507" s="68"/>
    </row>
    <row r="1508" ht="15.75" customHeight="1">
      <c r="A1508" s="892" t="s">
        <v>7040</v>
      </c>
      <c r="B1508" s="68"/>
      <c r="C1508" s="69" t="s">
        <v>123</v>
      </c>
      <c r="D1508" s="192" t="s">
        <v>7041</v>
      </c>
      <c r="E1508" s="192" t="s">
        <v>7042</v>
      </c>
      <c r="F1508" s="118" t="s">
        <v>7043</v>
      </c>
      <c r="G1508" s="71"/>
      <c r="H1508" s="71" t="s">
        <v>7044</v>
      </c>
      <c r="I1508" s="26" t="s">
        <v>7045</v>
      </c>
      <c r="J1508" s="155"/>
      <c r="K1508" s="74"/>
      <c r="L1508" s="26">
        <v>2012.0</v>
      </c>
      <c r="M1508" s="25">
        <f t="shared" si="789"/>
        <v>13</v>
      </c>
      <c r="N1508" s="26">
        <f t="shared" si="790"/>
        <v>0</v>
      </c>
      <c r="O1508" s="27" t="str">
        <f t="shared" si="3"/>
        <v>#N/A</v>
      </c>
      <c r="P1508" s="28"/>
      <c r="Q1508" s="28"/>
      <c r="R1508" s="28"/>
      <c r="S1508" s="28"/>
      <c r="T1508" s="29">
        <f t="shared" si="791"/>
        <v>0</v>
      </c>
      <c r="U1508" s="28"/>
      <c r="V1508" s="30">
        <f t="shared" si="425"/>
        <v>0</v>
      </c>
      <c r="W1508" s="30"/>
      <c r="X1508" s="32"/>
      <c r="Y1508" s="33" t="str">
        <f t="shared" si="792"/>
        <v>#DIV/0!</v>
      </c>
      <c r="Z1508" s="692"/>
      <c r="AA1508" s="665"/>
      <c r="AB1508" s="74"/>
      <c r="AC1508" s="74"/>
      <c r="AD1508" s="44"/>
      <c r="AE1508" s="46"/>
      <c r="AF1508" s="39"/>
      <c r="AG1508" s="46"/>
      <c r="AH1508" s="36"/>
      <c r="AI1508" s="159"/>
      <c r="AJ1508" s="44"/>
      <c r="AK1508" s="46"/>
      <c r="AL1508" s="44"/>
      <c r="AM1508" s="46"/>
      <c r="AN1508" s="44"/>
      <c r="AO1508" s="46"/>
      <c r="AP1508" s="44"/>
      <c r="AQ1508" s="46"/>
      <c r="AR1508" s="44"/>
      <c r="AS1508" s="44"/>
      <c r="AT1508" s="44"/>
      <c r="AU1508" s="45"/>
      <c r="AV1508" s="44"/>
      <c r="AW1508" s="38"/>
      <c r="AX1508" s="44"/>
      <c r="AY1508" s="38"/>
      <c r="AZ1508" s="44"/>
      <c r="BA1508" s="45"/>
      <c r="BB1508" s="44"/>
      <c r="BC1508" s="45"/>
      <c r="BD1508" s="44"/>
      <c r="BE1508" s="38"/>
      <c r="BF1508" s="36"/>
      <c r="BG1508" s="68"/>
      <c r="BH1508" s="68"/>
      <c r="BI1508" s="68"/>
      <c r="BJ1508" s="68"/>
      <c r="BK1508" s="68"/>
      <c r="BL1508" s="68"/>
      <c r="BM1508" s="68"/>
      <c r="BN1508" s="68"/>
      <c r="BO1508" s="68"/>
      <c r="BP1508" s="68"/>
      <c r="BQ1508" s="68"/>
      <c r="BR1508" s="68"/>
      <c r="BS1508" s="68"/>
      <c r="BT1508" s="68"/>
      <c r="BU1508" s="68"/>
      <c r="BV1508" s="68"/>
      <c r="BW1508" s="68"/>
      <c r="BX1508" s="68"/>
      <c r="BY1508" s="68"/>
      <c r="BZ1508" s="68"/>
      <c r="CA1508" s="68"/>
      <c r="CB1508" s="68"/>
      <c r="CC1508" s="68"/>
      <c r="CD1508" s="68"/>
      <c r="CE1508" s="68"/>
      <c r="CF1508" s="68"/>
      <c r="CG1508" s="68"/>
      <c r="CH1508" s="68"/>
      <c r="CI1508" s="68"/>
      <c r="CJ1508" s="68"/>
      <c r="CK1508" s="68"/>
      <c r="CL1508" s="68"/>
      <c r="CM1508" s="68"/>
      <c r="CN1508" s="68"/>
      <c r="CO1508" s="68"/>
      <c r="CP1508" s="68"/>
    </row>
    <row r="1509" ht="15.75" customHeight="1">
      <c r="A1509" s="21" t="s">
        <v>7046</v>
      </c>
      <c r="B1509" s="68"/>
      <c r="C1509" s="69" t="s">
        <v>7047</v>
      </c>
      <c r="D1509" s="200" t="s">
        <v>7048</v>
      </c>
      <c r="E1509" s="385" t="s">
        <v>3432</v>
      </c>
      <c r="F1509" s="173" t="s">
        <v>7049</v>
      </c>
      <c r="G1509" s="407" t="s">
        <v>7050</v>
      </c>
      <c r="H1509" s="71" t="s">
        <v>7051</v>
      </c>
      <c r="I1509" s="1687" t="s">
        <v>7052</v>
      </c>
      <c r="J1509" s="1142" t="s">
        <v>7053</v>
      </c>
      <c r="K1509" s="74" t="s">
        <v>723</v>
      </c>
      <c r="L1509" s="74" t="s">
        <v>723</v>
      </c>
      <c r="M1509" s="25" t="str">
        <f t="shared" si="789"/>
        <v>#VALUE!</v>
      </c>
      <c r="N1509" s="26">
        <f t="shared" si="790"/>
        <v>0</v>
      </c>
      <c r="O1509" s="27" t="str">
        <f t="shared" si="3"/>
        <v>#N/A</v>
      </c>
      <c r="P1509" s="28"/>
      <c r="Q1509" s="28"/>
      <c r="R1509" s="28"/>
      <c r="S1509" s="28"/>
      <c r="T1509" s="28" t="str">
        <f t="shared" si="791"/>
        <v>#VALUE!</v>
      </c>
      <c r="U1509" s="28"/>
      <c r="V1509" s="30">
        <f t="shared" si="425"/>
        <v>0</v>
      </c>
      <c r="W1509" s="30"/>
      <c r="X1509" s="32"/>
      <c r="Y1509" s="33" t="str">
        <f t="shared" si="792"/>
        <v>#DIV/0!</v>
      </c>
      <c r="Z1509" s="692"/>
      <c r="AA1509" s="665"/>
      <c r="AB1509" s="74"/>
      <c r="AC1509" s="74"/>
      <c r="AD1509" s="44"/>
      <c r="AE1509" s="46"/>
      <c r="AF1509" s="39"/>
      <c r="AG1509" s="46"/>
      <c r="AH1509" s="36"/>
      <c r="AI1509" s="159"/>
      <c r="AJ1509" s="44"/>
      <c r="AK1509" s="46"/>
      <c r="AL1509" s="44"/>
      <c r="AM1509" s="46"/>
      <c r="AN1509" s="44"/>
      <c r="AO1509" s="46"/>
      <c r="AP1509" s="44"/>
      <c r="AQ1509" s="46"/>
      <c r="AR1509" s="44"/>
      <c r="AS1509" s="44"/>
      <c r="AT1509" s="44"/>
      <c r="AU1509" s="45"/>
      <c r="AV1509" s="44"/>
      <c r="AW1509" s="38"/>
      <c r="AX1509" s="44"/>
      <c r="AY1509" s="38"/>
      <c r="AZ1509" s="44"/>
      <c r="BA1509" s="45"/>
      <c r="BB1509" s="44"/>
      <c r="BC1509" s="45"/>
      <c r="BD1509" s="44"/>
      <c r="BE1509" s="38"/>
      <c r="BF1509" s="36"/>
      <c r="BG1509" s="1644"/>
      <c r="BH1509" s="1644"/>
      <c r="BI1509" s="1644"/>
      <c r="BJ1509" s="1644"/>
      <c r="BK1509" s="1644"/>
      <c r="BL1509" s="1644"/>
      <c r="BM1509" s="1644"/>
      <c r="BN1509" s="1644"/>
      <c r="BO1509" s="1644"/>
      <c r="BP1509" s="1644"/>
      <c r="BQ1509" s="1644"/>
      <c r="BR1509" s="1644"/>
      <c r="BS1509" s="1644"/>
      <c r="BT1509" s="1644"/>
      <c r="BU1509" s="1644"/>
      <c r="BV1509" s="1644"/>
      <c r="BW1509" s="1644"/>
      <c r="BX1509" s="1644"/>
      <c r="BY1509" s="1644"/>
      <c r="BZ1509" s="1644"/>
      <c r="CA1509" s="1644"/>
      <c r="CB1509" s="1644"/>
      <c r="CC1509" s="1644"/>
      <c r="CD1509" s="1644"/>
      <c r="CE1509" s="1644"/>
      <c r="CF1509" s="1644"/>
      <c r="CG1509" s="1644"/>
      <c r="CH1509" s="1644"/>
      <c r="CI1509" s="1644"/>
      <c r="CJ1509" s="1644"/>
      <c r="CK1509" s="1644"/>
      <c r="CL1509" s="1644"/>
      <c r="CM1509" s="1644"/>
      <c r="CN1509" s="1644"/>
      <c r="CO1509" s="1644"/>
      <c r="CP1509" s="1644"/>
    </row>
    <row r="1510" ht="15.75" customHeight="1">
      <c r="A1510" s="21" t="s">
        <v>7054</v>
      </c>
      <c r="B1510" s="68"/>
      <c r="C1510" s="858" t="s">
        <v>123</v>
      </c>
      <c r="D1510" s="200" t="s">
        <v>7055</v>
      </c>
      <c r="E1510" s="138" t="s">
        <v>7056</v>
      </c>
      <c r="F1510" s="173" t="s">
        <v>7057</v>
      </c>
      <c r="G1510" s="71" t="s">
        <v>7058</v>
      </c>
      <c r="H1510" s="140" t="s">
        <v>7059</v>
      </c>
      <c r="I1510" s="1401" t="s">
        <v>2010</v>
      </c>
      <c r="J1510" s="155"/>
      <c r="K1510" s="26">
        <v>2.0</v>
      </c>
      <c r="L1510" s="26">
        <v>2012.0</v>
      </c>
      <c r="M1510" s="25">
        <f t="shared" si="789"/>
        <v>13</v>
      </c>
      <c r="N1510" s="26">
        <f t="shared" si="790"/>
        <v>0</v>
      </c>
      <c r="O1510" s="27" t="str">
        <f t="shared" si="3"/>
        <v>#N/A</v>
      </c>
      <c r="P1510" s="28"/>
      <c r="Q1510" s="28"/>
      <c r="R1510" s="28"/>
      <c r="S1510" s="28"/>
      <c r="T1510" s="29">
        <f t="shared" si="791"/>
        <v>0</v>
      </c>
      <c r="U1510" s="28"/>
      <c r="V1510" s="30">
        <f t="shared" si="425"/>
        <v>0</v>
      </c>
      <c r="W1510" s="30"/>
      <c r="X1510" s="73"/>
      <c r="Y1510" s="33" t="str">
        <f t="shared" si="792"/>
        <v>#DIV/0!</v>
      </c>
      <c r="Z1510" s="692"/>
      <c r="AA1510" s="665"/>
      <c r="AB1510" s="74"/>
      <c r="AC1510" s="74"/>
      <c r="AD1510" s="44"/>
      <c r="AE1510" s="46"/>
      <c r="AF1510" s="39"/>
      <c r="AG1510" s="46"/>
      <c r="AH1510" s="36"/>
      <c r="AI1510" s="159"/>
      <c r="AJ1510" s="44"/>
      <c r="AK1510" s="46"/>
      <c r="AL1510" s="44"/>
      <c r="AM1510" s="46"/>
      <c r="AN1510" s="44"/>
      <c r="AO1510" s="46"/>
      <c r="AP1510" s="44"/>
      <c r="AQ1510" s="46"/>
      <c r="AR1510" s="44"/>
      <c r="AS1510" s="44"/>
      <c r="AT1510" s="44"/>
      <c r="AU1510" s="45"/>
      <c r="AV1510" s="44"/>
      <c r="AW1510" s="38"/>
      <c r="AX1510" s="44"/>
      <c r="AY1510" s="38"/>
      <c r="AZ1510" s="44"/>
      <c r="BA1510" s="45"/>
      <c r="BB1510" s="44"/>
      <c r="BC1510" s="45"/>
      <c r="BD1510" s="44"/>
      <c r="BE1510" s="38"/>
      <c r="BF1510" s="36"/>
      <c r="BG1510" s="68"/>
      <c r="BH1510" s="68"/>
      <c r="BI1510" s="68"/>
      <c r="BJ1510" s="68"/>
      <c r="BK1510" s="68"/>
      <c r="BL1510" s="68"/>
      <c r="BM1510" s="68"/>
      <c r="BN1510" s="68"/>
      <c r="BO1510" s="68"/>
      <c r="BP1510" s="68"/>
      <c r="BQ1510" s="68"/>
      <c r="BR1510" s="68"/>
      <c r="BS1510" s="68"/>
      <c r="BT1510" s="68"/>
      <c r="BU1510" s="68"/>
      <c r="BV1510" s="68"/>
      <c r="BW1510" s="68"/>
      <c r="BX1510" s="68"/>
      <c r="BY1510" s="68"/>
      <c r="BZ1510" s="68"/>
      <c r="CA1510" s="68"/>
      <c r="CB1510" s="68"/>
      <c r="CC1510" s="68"/>
      <c r="CD1510" s="68"/>
      <c r="CE1510" s="68"/>
      <c r="CF1510" s="68"/>
      <c r="CG1510" s="68"/>
      <c r="CH1510" s="68"/>
      <c r="CI1510" s="68"/>
      <c r="CJ1510" s="68"/>
      <c r="CK1510" s="68"/>
      <c r="CL1510" s="68"/>
      <c r="CM1510" s="68"/>
      <c r="CN1510" s="68"/>
      <c r="CO1510" s="68"/>
      <c r="CP1510" s="68"/>
    </row>
    <row r="1511" ht="15.75" customHeight="1">
      <c r="A1511" s="21" t="s">
        <v>7060</v>
      </c>
      <c r="B1511" s="68"/>
      <c r="C1511" s="69" t="s">
        <v>123</v>
      </c>
      <c r="D1511" s="192" t="s">
        <v>7061</v>
      </c>
      <c r="E1511" s="492" t="s">
        <v>7062</v>
      </c>
      <c r="F1511" s="173" t="s">
        <v>7063</v>
      </c>
      <c r="G1511" s="407" t="s">
        <v>6849</v>
      </c>
      <c r="H1511" s="186"/>
      <c r="I1511" s="74"/>
      <c r="J1511" s="155"/>
      <c r="K1511" s="74" t="s">
        <v>723</v>
      </c>
      <c r="L1511" s="26">
        <v>2007.0</v>
      </c>
      <c r="M1511" s="25">
        <f t="shared" si="789"/>
        <v>18</v>
      </c>
      <c r="N1511" s="26">
        <f t="shared" si="790"/>
        <v>0</v>
      </c>
      <c r="O1511" s="27" t="str">
        <f t="shared" si="3"/>
        <v>#N/A</v>
      </c>
      <c r="P1511" s="28"/>
      <c r="Q1511" s="28"/>
      <c r="R1511" s="28"/>
      <c r="S1511" s="28"/>
      <c r="T1511" s="29">
        <f t="shared" si="791"/>
        <v>0</v>
      </c>
      <c r="U1511" s="28"/>
      <c r="V1511" s="30">
        <f t="shared" si="425"/>
        <v>0</v>
      </c>
      <c r="W1511" s="30"/>
      <c r="X1511" s="32"/>
      <c r="Y1511" s="33" t="str">
        <f t="shared" si="792"/>
        <v>#DIV/0!</v>
      </c>
      <c r="Z1511" s="692"/>
      <c r="AA1511" s="665"/>
      <c r="AB1511" s="74"/>
      <c r="AC1511" s="74"/>
      <c r="AD1511" s="44"/>
      <c r="AE1511" s="46"/>
      <c r="AF1511" s="39"/>
      <c r="AG1511" s="46"/>
      <c r="AH1511" s="36"/>
      <c r="AI1511" s="159"/>
      <c r="AJ1511" s="44"/>
      <c r="AK1511" s="46"/>
      <c r="AL1511" s="44"/>
      <c r="AM1511" s="46"/>
      <c r="AN1511" s="44"/>
      <c r="AO1511" s="46"/>
      <c r="AP1511" s="44"/>
      <c r="AQ1511" s="46"/>
      <c r="AR1511" s="44"/>
      <c r="AS1511" s="44"/>
      <c r="AT1511" s="44"/>
      <c r="AU1511" s="45"/>
      <c r="AV1511" s="44"/>
      <c r="AW1511" s="38"/>
      <c r="AX1511" s="44"/>
      <c r="AY1511" s="38"/>
      <c r="AZ1511" s="44"/>
      <c r="BA1511" s="45"/>
      <c r="BB1511" s="44"/>
      <c r="BC1511" s="45"/>
      <c r="BD1511" s="44"/>
      <c r="BE1511" s="38"/>
      <c r="BF1511" s="36"/>
      <c r="BG1511" s="68"/>
      <c r="BH1511" s="68"/>
      <c r="BI1511" s="68"/>
      <c r="BJ1511" s="68"/>
      <c r="BK1511" s="68"/>
      <c r="BL1511" s="68"/>
      <c r="BM1511" s="68"/>
      <c r="BN1511" s="68"/>
      <c r="BO1511" s="68"/>
      <c r="BP1511" s="68"/>
      <c r="BQ1511" s="68"/>
      <c r="BR1511" s="68"/>
      <c r="BS1511" s="68"/>
      <c r="BT1511" s="68"/>
      <c r="BU1511" s="68"/>
      <c r="BV1511" s="68"/>
      <c r="BW1511" s="68"/>
      <c r="BX1511" s="68"/>
      <c r="BY1511" s="68"/>
      <c r="BZ1511" s="68"/>
      <c r="CA1511" s="68"/>
      <c r="CB1511" s="68"/>
      <c r="CC1511" s="68"/>
      <c r="CD1511" s="68"/>
      <c r="CE1511" s="68"/>
      <c r="CF1511" s="68"/>
      <c r="CG1511" s="68"/>
      <c r="CH1511" s="68"/>
      <c r="CI1511" s="68"/>
      <c r="CJ1511" s="68"/>
      <c r="CK1511" s="68"/>
      <c r="CL1511" s="68"/>
      <c r="CM1511" s="68"/>
      <c r="CN1511" s="68"/>
      <c r="CO1511" s="68"/>
      <c r="CP1511" s="68"/>
    </row>
    <row r="1512" ht="15.75" customHeight="1">
      <c r="A1512" s="21" t="s">
        <v>7064</v>
      </c>
      <c r="B1512" s="68"/>
      <c r="C1512" s="69" t="s">
        <v>123</v>
      </c>
      <c r="D1512" s="192" t="s">
        <v>7065</v>
      </c>
      <c r="E1512" s="138" t="s">
        <v>7066</v>
      </c>
      <c r="F1512" s="173" t="s">
        <v>7067</v>
      </c>
      <c r="G1512" s="71" t="s">
        <v>7068</v>
      </c>
      <c r="H1512" s="71" t="s">
        <v>4453</v>
      </c>
      <c r="I1512" s="26" t="s">
        <v>7069</v>
      </c>
      <c r="J1512" s="72" t="s">
        <v>7070</v>
      </c>
      <c r="K1512" s="74" t="s">
        <v>723</v>
      </c>
      <c r="L1512" s="26">
        <v>2010.0</v>
      </c>
      <c r="M1512" s="25">
        <f t="shared" si="789"/>
        <v>15</v>
      </c>
      <c r="N1512" s="26">
        <f t="shared" si="790"/>
        <v>0</v>
      </c>
      <c r="O1512" s="27" t="str">
        <f t="shared" si="3"/>
        <v>#N/A</v>
      </c>
      <c r="P1512" s="28"/>
      <c r="Q1512" s="28"/>
      <c r="R1512" s="28"/>
      <c r="S1512" s="28"/>
      <c r="T1512" s="29">
        <f t="shared" si="791"/>
        <v>0</v>
      </c>
      <c r="U1512" s="28"/>
      <c r="V1512" s="30">
        <f t="shared" si="425"/>
        <v>0</v>
      </c>
      <c r="W1512" s="30"/>
      <c r="X1512" s="32"/>
      <c r="Y1512" s="33" t="str">
        <f t="shared" si="792"/>
        <v>#DIV/0!</v>
      </c>
      <c r="Z1512" s="692"/>
      <c r="AA1512" s="665"/>
      <c r="AB1512" s="74"/>
      <c r="AC1512" s="74"/>
      <c r="AD1512" s="44"/>
      <c r="AE1512" s="46"/>
      <c r="AF1512" s="39"/>
      <c r="AG1512" s="46"/>
      <c r="AH1512" s="36"/>
      <c r="AI1512" s="159"/>
      <c r="AJ1512" s="44"/>
      <c r="AK1512" s="46"/>
      <c r="AL1512" s="44"/>
      <c r="AM1512" s="46"/>
      <c r="AN1512" s="44"/>
      <c r="AO1512" s="46"/>
      <c r="AP1512" s="44"/>
      <c r="AQ1512" s="46"/>
      <c r="AR1512" s="44"/>
      <c r="AS1512" s="44"/>
      <c r="AT1512" s="44"/>
      <c r="AU1512" s="45"/>
      <c r="AV1512" s="44"/>
      <c r="AW1512" s="38"/>
      <c r="AX1512" s="44"/>
      <c r="AY1512" s="38"/>
      <c r="AZ1512" s="44"/>
      <c r="BA1512" s="45"/>
      <c r="BB1512" s="44"/>
      <c r="BC1512" s="45"/>
      <c r="BD1512" s="44"/>
      <c r="BE1512" s="38"/>
      <c r="BF1512" s="36"/>
      <c r="BG1512" s="1644"/>
      <c r="BH1512" s="1644"/>
      <c r="BI1512" s="1644"/>
      <c r="BJ1512" s="1644"/>
      <c r="BK1512" s="1644"/>
      <c r="BL1512" s="1644"/>
      <c r="BM1512" s="1644"/>
      <c r="BN1512" s="1644"/>
      <c r="BO1512" s="1644"/>
      <c r="BP1512" s="1644"/>
      <c r="BQ1512" s="1644"/>
      <c r="BR1512" s="1644"/>
      <c r="BS1512" s="1644"/>
      <c r="BT1512" s="1644"/>
      <c r="BU1512" s="1644"/>
      <c r="BV1512" s="1644"/>
      <c r="BW1512" s="1644"/>
      <c r="BX1512" s="1644"/>
      <c r="BY1512" s="1644"/>
      <c r="BZ1512" s="1644"/>
      <c r="CA1512" s="1644"/>
      <c r="CB1512" s="1644"/>
      <c r="CC1512" s="1644"/>
      <c r="CD1512" s="1644"/>
      <c r="CE1512" s="1644"/>
      <c r="CF1512" s="1644"/>
      <c r="CG1512" s="1644"/>
      <c r="CH1512" s="1644"/>
      <c r="CI1512" s="1644"/>
      <c r="CJ1512" s="1644"/>
      <c r="CK1512" s="1644"/>
      <c r="CL1512" s="1644"/>
      <c r="CM1512" s="1644"/>
      <c r="CN1512" s="1644"/>
      <c r="CO1512" s="1644"/>
      <c r="CP1512" s="1644"/>
    </row>
    <row r="1513" ht="15.75" customHeight="1">
      <c r="A1513" s="1688" t="s">
        <v>7071</v>
      </c>
      <c r="B1513" s="115"/>
      <c r="C1513" s="116" t="s">
        <v>1972</v>
      </c>
      <c r="D1513" s="1199" t="s">
        <v>4781</v>
      </c>
      <c r="E1513" s="1689" t="s">
        <v>4781</v>
      </c>
      <c r="F1513" s="1690" t="s">
        <v>7072</v>
      </c>
      <c r="G1513" s="119" t="s">
        <v>7073</v>
      </c>
      <c r="H1513" s="119" t="s">
        <v>7074</v>
      </c>
      <c r="I1513" s="25" t="s">
        <v>395</v>
      </c>
      <c r="J1513" s="120" t="s">
        <v>7075</v>
      </c>
      <c r="K1513" s="25"/>
      <c r="L1513" s="25"/>
      <c r="M1513" s="25">
        <f t="shared" si="789"/>
        <v>2025</v>
      </c>
      <c r="N1513" s="26">
        <f t="shared" si="790"/>
        <v>0</v>
      </c>
      <c r="O1513" s="27" t="str">
        <f t="shared" si="3"/>
        <v>#N/A</v>
      </c>
      <c r="P1513" s="28"/>
      <c r="Q1513" s="28"/>
      <c r="R1513" s="28"/>
      <c r="S1513" s="28"/>
      <c r="T1513" s="29">
        <f t="shared" si="791"/>
        <v>0</v>
      </c>
      <c r="U1513" s="28"/>
      <c r="V1513" s="30">
        <f t="shared" si="425"/>
        <v>0</v>
      </c>
      <c r="W1513" s="30"/>
      <c r="X1513" s="597"/>
      <c r="Y1513" s="33" t="str">
        <f t="shared" si="792"/>
        <v>#DIV/0!</v>
      </c>
      <c r="Z1513" s="692"/>
      <c r="AA1513" s="665"/>
      <c r="AB1513" s="123"/>
      <c r="AC1513" s="123"/>
      <c r="AD1513" s="322"/>
      <c r="AE1513" s="323"/>
      <c r="AF1513" s="868"/>
      <c r="AG1513" s="323"/>
      <c r="AH1513" s="326"/>
      <c r="AI1513" s="327"/>
      <c r="AJ1513" s="322"/>
      <c r="AK1513" s="323"/>
      <c r="AL1513" s="322"/>
      <c r="AM1513" s="323"/>
      <c r="AN1513" s="322"/>
      <c r="AO1513" s="323"/>
      <c r="AP1513" s="322"/>
      <c r="AQ1513" s="323"/>
      <c r="AR1513" s="322"/>
      <c r="AS1513" s="322"/>
      <c r="AT1513" s="322"/>
      <c r="AU1513" s="335"/>
      <c r="AV1513" s="322"/>
      <c r="AW1513" s="38"/>
      <c r="AX1513" s="322"/>
      <c r="AY1513" s="38"/>
      <c r="AZ1513" s="322"/>
      <c r="BA1513" s="335"/>
      <c r="BB1513" s="322"/>
      <c r="BC1513" s="335"/>
      <c r="BD1513" s="322"/>
      <c r="BE1513" s="38"/>
      <c r="BF1513" s="326"/>
      <c r="BG1513" s="68"/>
      <c r="BH1513" s="68"/>
      <c r="BI1513" s="68"/>
      <c r="BJ1513" s="68"/>
      <c r="BK1513" s="68"/>
      <c r="BL1513" s="68"/>
      <c r="BM1513" s="68"/>
      <c r="BN1513" s="68"/>
      <c r="BO1513" s="68"/>
      <c r="BP1513" s="68"/>
      <c r="BQ1513" s="68"/>
      <c r="BR1513" s="68"/>
      <c r="BS1513" s="68"/>
      <c r="BT1513" s="68"/>
      <c r="BU1513" s="68"/>
      <c r="BV1513" s="68"/>
      <c r="BW1513" s="68"/>
      <c r="BX1513" s="68"/>
      <c r="BY1513" s="68"/>
      <c r="BZ1513" s="68"/>
      <c r="CA1513" s="68"/>
      <c r="CB1513" s="68"/>
      <c r="CC1513" s="68"/>
      <c r="CD1513" s="68"/>
      <c r="CE1513" s="68"/>
      <c r="CF1513" s="68"/>
      <c r="CG1513" s="68"/>
      <c r="CH1513" s="68"/>
      <c r="CI1513" s="68"/>
      <c r="CJ1513" s="68"/>
      <c r="CK1513" s="68"/>
      <c r="CL1513" s="68"/>
      <c r="CM1513" s="68"/>
      <c r="CN1513" s="68"/>
      <c r="CO1513" s="68"/>
      <c r="CP1513" s="68"/>
    </row>
    <row r="1514" ht="15.75" customHeight="1">
      <c r="A1514" s="21" t="s">
        <v>7076</v>
      </c>
      <c r="B1514" s="68"/>
      <c r="C1514" s="69" t="s">
        <v>7019</v>
      </c>
      <c r="D1514" s="200" t="s">
        <v>7077</v>
      </c>
      <c r="E1514" s="492" t="s">
        <v>7078</v>
      </c>
      <c r="F1514" s="173" t="s">
        <v>7079</v>
      </c>
      <c r="G1514" s="71" t="s">
        <v>2791</v>
      </c>
      <c r="H1514" s="140" t="s">
        <v>365</v>
      </c>
      <c r="I1514" s="1401" t="s">
        <v>826</v>
      </c>
      <c r="J1514" s="155"/>
      <c r="K1514" s="26">
        <v>1.0</v>
      </c>
      <c r="L1514" s="26">
        <v>2013.0</v>
      </c>
      <c r="M1514" s="25">
        <f t="shared" si="789"/>
        <v>12</v>
      </c>
      <c r="N1514" s="26">
        <f t="shared" si="790"/>
        <v>0</v>
      </c>
      <c r="O1514" s="27" t="str">
        <f t="shared" si="3"/>
        <v>#N/A</v>
      </c>
      <c r="P1514" s="28"/>
      <c r="Q1514" s="28"/>
      <c r="R1514" s="28"/>
      <c r="S1514" s="28"/>
      <c r="T1514" s="29">
        <f t="shared" si="791"/>
        <v>0</v>
      </c>
      <c r="U1514" s="28"/>
      <c r="V1514" s="30">
        <f t="shared" si="425"/>
        <v>0</v>
      </c>
      <c r="W1514" s="30"/>
      <c r="X1514" s="73"/>
      <c r="Y1514" s="33" t="str">
        <f t="shared" si="792"/>
        <v>#DIV/0!</v>
      </c>
      <c r="Z1514" s="692"/>
      <c r="AA1514" s="665"/>
      <c r="AB1514" s="74"/>
      <c r="AC1514" s="74"/>
      <c r="AD1514" s="44"/>
      <c r="AE1514" s="46"/>
      <c r="AF1514" s="39"/>
      <c r="AG1514" s="46"/>
      <c r="AH1514" s="36"/>
      <c r="AI1514" s="159"/>
      <c r="AJ1514" s="44"/>
      <c r="AK1514" s="46"/>
      <c r="AL1514" s="44"/>
      <c r="AM1514" s="46"/>
      <c r="AN1514" s="44"/>
      <c r="AO1514" s="46"/>
      <c r="AP1514" s="44"/>
      <c r="AQ1514" s="46"/>
      <c r="AR1514" s="44"/>
      <c r="AS1514" s="44"/>
      <c r="AT1514" s="44"/>
      <c r="AU1514" s="45"/>
      <c r="AV1514" s="44"/>
      <c r="AW1514" s="38"/>
      <c r="AX1514" s="44"/>
      <c r="AY1514" s="38"/>
      <c r="AZ1514" s="44"/>
      <c r="BA1514" s="45"/>
      <c r="BB1514" s="44"/>
      <c r="BC1514" s="45"/>
      <c r="BD1514" s="44"/>
      <c r="BE1514" s="38"/>
      <c r="BF1514" s="36"/>
      <c r="BG1514" s="68"/>
      <c r="BH1514" s="68"/>
      <c r="BI1514" s="68"/>
      <c r="BJ1514" s="68"/>
      <c r="BK1514" s="68"/>
      <c r="BL1514" s="68"/>
      <c r="BM1514" s="68"/>
      <c r="BN1514" s="68"/>
      <c r="BO1514" s="68"/>
      <c r="BP1514" s="68"/>
      <c r="BQ1514" s="68"/>
      <c r="BR1514" s="68"/>
      <c r="BS1514" s="68"/>
      <c r="BT1514" s="68"/>
      <c r="BU1514" s="68"/>
      <c r="BV1514" s="68"/>
      <c r="BW1514" s="68"/>
      <c r="BX1514" s="68"/>
      <c r="BY1514" s="68"/>
      <c r="BZ1514" s="68"/>
      <c r="CA1514" s="68"/>
      <c r="CB1514" s="68"/>
      <c r="CC1514" s="68"/>
      <c r="CD1514" s="68"/>
      <c r="CE1514" s="68"/>
      <c r="CF1514" s="68"/>
      <c r="CG1514" s="68"/>
      <c r="CH1514" s="68"/>
      <c r="CI1514" s="68"/>
      <c r="CJ1514" s="68"/>
      <c r="CK1514" s="68"/>
      <c r="CL1514" s="68"/>
      <c r="CM1514" s="68"/>
      <c r="CN1514" s="68"/>
      <c r="CO1514" s="68"/>
      <c r="CP1514" s="68"/>
    </row>
    <row r="1515" ht="15.75" customHeight="1">
      <c r="A1515" s="21" t="s">
        <v>7080</v>
      </c>
      <c r="B1515" s="68"/>
      <c r="C1515" s="69" t="s">
        <v>123</v>
      </c>
      <c r="D1515" s="138" t="s">
        <v>7081</v>
      </c>
      <c r="E1515" s="138" t="s">
        <v>7082</v>
      </c>
      <c r="F1515" s="173" t="s">
        <v>7083</v>
      </c>
      <c r="G1515" s="140" t="s">
        <v>3229</v>
      </c>
      <c r="H1515" s="186"/>
      <c r="I1515" s="74"/>
      <c r="J1515" s="155"/>
      <c r="K1515" s="74" t="s">
        <v>723</v>
      </c>
      <c r="L1515" s="26">
        <v>2015.0</v>
      </c>
      <c r="M1515" s="25">
        <f t="shared" si="789"/>
        <v>10</v>
      </c>
      <c r="N1515" s="26">
        <f t="shared" si="790"/>
        <v>0</v>
      </c>
      <c r="O1515" s="27" t="str">
        <f t="shared" si="3"/>
        <v>#N/A</v>
      </c>
      <c r="P1515" s="28"/>
      <c r="Q1515" s="28"/>
      <c r="R1515" s="28"/>
      <c r="S1515" s="28"/>
      <c r="T1515" s="29">
        <f t="shared" si="791"/>
        <v>0</v>
      </c>
      <c r="U1515" s="28"/>
      <c r="V1515" s="30">
        <f t="shared" si="425"/>
        <v>0</v>
      </c>
      <c r="W1515" s="30"/>
      <c r="X1515" s="32"/>
      <c r="Y1515" s="33" t="str">
        <f t="shared" si="792"/>
        <v>#DIV/0!</v>
      </c>
      <c r="Z1515" s="692"/>
      <c r="AA1515" s="665"/>
      <c r="AB1515" s="74"/>
      <c r="AC1515" s="74"/>
      <c r="AD1515" s="37"/>
      <c r="AE1515" s="38"/>
      <c r="AF1515" s="39"/>
      <c r="AG1515" s="46"/>
      <c r="AH1515" s="36"/>
      <c r="AI1515" s="159"/>
      <c r="AJ1515" s="44"/>
      <c r="AK1515" s="46"/>
      <c r="AL1515" s="44"/>
      <c r="AM1515" s="46"/>
      <c r="AN1515" s="44"/>
      <c r="AO1515" s="46"/>
      <c r="AP1515" s="44"/>
      <c r="AQ1515" s="46"/>
      <c r="AR1515" s="44"/>
      <c r="AS1515" s="44"/>
      <c r="AT1515" s="44"/>
      <c r="AU1515" s="45"/>
      <c r="AV1515" s="44"/>
      <c r="AW1515" s="38"/>
      <c r="AX1515" s="44"/>
      <c r="AY1515" s="38"/>
      <c r="AZ1515" s="44"/>
      <c r="BA1515" s="45"/>
      <c r="BB1515" s="44"/>
      <c r="BC1515" s="45"/>
      <c r="BD1515" s="44"/>
      <c r="BE1515" s="38"/>
      <c r="BF1515" s="36"/>
      <c r="BG1515" s="1644"/>
      <c r="BH1515" s="1644"/>
      <c r="BI1515" s="1644"/>
      <c r="BJ1515" s="1644"/>
      <c r="BK1515" s="1644"/>
      <c r="BL1515" s="1644"/>
      <c r="BM1515" s="1644"/>
      <c r="BN1515" s="1644"/>
      <c r="BO1515" s="1644"/>
      <c r="BP1515" s="1644"/>
      <c r="BQ1515" s="1644"/>
      <c r="BR1515" s="1644"/>
      <c r="BS1515" s="1644"/>
      <c r="BT1515" s="1644"/>
      <c r="BU1515" s="1644"/>
      <c r="BV1515" s="1644"/>
      <c r="BW1515" s="1644"/>
      <c r="BX1515" s="1644"/>
      <c r="BY1515" s="1644"/>
      <c r="BZ1515" s="1644"/>
      <c r="CA1515" s="1644"/>
      <c r="CB1515" s="1644"/>
      <c r="CC1515" s="1644"/>
      <c r="CD1515" s="1644"/>
      <c r="CE1515" s="1644"/>
      <c r="CF1515" s="1644"/>
      <c r="CG1515" s="1644"/>
      <c r="CH1515" s="1644"/>
      <c r="CI1515" s="1644"/>
      <c r="CJ1515" s="1644"/>
      <c r="CK1515" s="1644"/>
      <c r="CL1515" s="1644"/>
      <c r="CM1515" s="1644"/>
      <c r="CN1515" s="1644"/>
      <c r="CO1515" s="1644"/>
      <c r="CP1515" s="1644"/>
    </row>
    <row r="1516" ht="15.75" customHeight="1">
      <c r="A1516" s="1691" t="s">
        <v>7084</v>
      </c>
      <c r="B1516" s="760"/>
      <c r="C1516" s="824" t="s">
        <v>513</v>
      </c>
      <c r="D1516" s="825" t="s">
        <v>7085</v>
      </c>
      <c r="E1516" s="1692"/>
      <c r="F1516" s="826" t="s">
        <v>7086</v>
      </c>
      <c r="G1516" s="827"/>
      <c r="H1516" s="1245"/>
      <c r="I1516" s="831"/>
      <c r="J1516" s="829"/>
      <c r="K1516" s="831"/>
      <c r="L1516" s="1536"/>
      <c r="M1516" s="25">
        <f t="shared" si="789"/>
        <v>2025</v>
      </c>
      <c r="N1516" s="26">
        <f t="shared" si="790"/>
        <v>0</v>
      </c>
      <c r="O1516" s="27" t="str">
        <f t="shared" si="3"/>
        <v>#N/A</v>
      </c>
      <c r="P1516" s="28"/>
      <c r="Q1516" s="28"/>
      <c r="R1516" s="28"/>
      <c r="S1516" s="28"/>
      <c r="T1516" s="29">
        <f t="shared" si="791"/>
        <v>0</v>
      </c>
      <c r="U1516" s="28"/>
      <c r="V1516" s="30">
        <f t="shared" si="425"/>
        <v>0</v>
      </c>
      <c r="W1516" s="30"/>
      <c r="X1516" s="1526"/>
      <c r="Y1516" s="33" t="str">
        <f t="shared" si="792"/>
        <v>#DIV/0!</v>
      </c>
      <c r="Z1516" s="692"/>
      <c r="AA1516" s="665"/>
      <c r="AB1516" s="831"/>
      <c r="AC1516" s="831"/>
      <c r="AD1516" s="1537"/>
      <c r="AE1516" s="1249"/>
      <c r="AF1516" s="1686"/>
      <c r="AG1516" s="1249"/>
      <c r="AH1516" s="1538"/>
      <c r="AI1516" s="1539"/>
      <c r="AJ1516" s="1537"/>
      <c r="AK1516" s="1540"/>
      <c r="AL1516" s="1246"/>
      <c r="AM1516" s="1247"/>
      <c r="AN1516" s="1246"/>
      <c r="AO1516" s="1247"/>
      <c r="AP1516" s="1246"/>
      <c r="AQ1516" s="1247"/>
      <c r="AR1516" s="1246"/>
      <c r="AS1516" s="1246"/>
      <c r="AT1516" s="1246"/>
      <c r="AU1516" s="1541"/>
      <c r="AV1516" s="1246"/>
      <c r="AW1516" s="38"/>
      <c r="AX1516" s="1246"/>
      <c r="AY1516" s="38"/>
      <c r="AZ1516" s="1246"/>
      <c r="BA1516" s="1541"/>
      <c r="BB1516" s="1246"/>
      <c r="BC1516" s="1541"/>
      <c r="BD1516" s="1246"/>
      <c r="BE1516" s="38"/>
      <c r="BF1516" s="1250"/>
      <c r="BG1516" s="1644"/>
      <c r="BH1516" s="1644"/>
      <c r="BI1516" s="1644"/>
      <c r="BJ1516" s="1644"/>
      <c r="BK1516" s="1644"/>
      <c r="BL1516" s="1644"/>
      <c r="BM1516" s="1644"/>
      <c r="BN1516" s="1644"/>
      <c r="BO1516" s="1644"/>
      <c r="BP1516" s="1644"/>
      <c r="BQ1516" s="1644"/>
      <c r="BR1516" s="1644"/>
      <c r="BS1516" s="1644"/>
      <c r="BT1516" s="1644"/>
      <c r="BU1516" s="1644"/>
      <c r="BV1516" s="1644"/>
      <c r="BW1516" s="1644"/>
      <c r="BX1516" s="1644"/>
      <c r="BY1516" s="1644"/>
      <c r="BZ1516" s="1644"/>
      <c r="CA1516" s="1644"/>
      <c r="CB1516" s="1644"/>
      <c r="CC1516" s="1644"/>
      <c r="CD1516" s="1644"/>
      <c r="CE1516" s="1644"/>
      <c r="CF1516" s="1644"/>
      <c r="CG1516" s="1644"/>
      <c r="CH1516" s="1644"/>
      <c r="CI1516" s="1644"/>
      <c r="CJ1516" s="1644"/>
      <c r="CK1516" s="1644"/>
      <c r="CL1516" s="1644"/>
      <c r="CM1516" s="1644"/>
      <c r="CN1516" s="1644"/>
      <c r="CO1516" s="1644"/>
      <c r="CP1516" s="1644"/>
    </row>
    <row r="1517" ht="15.75" customHeight="1">
      <c r="A1517" s="892" t="s">
        <v>7087</v>
      </c>
      <c r="B1517" s="68"/>
      <c r="C1517" s="69" t="s">
        <v>123</v>
      </c>
      <c r="D1517" s="192" t="s">
        <v>7088</v>
      </c>
      <c r="E1517" s="192" t="s">
        <v>7089</v>
      </c>
      <c r="F1517" s="118" t="s">
        <v>7090</v>
      </c>
      <c r="G1517" s="186"/>
      <c r="H1517" s="71" t="s">
        <v>6719</v>
      </c>
      <c r="I1517" s="26" t="s">
        <v>257</v>
      </c>
      <c r="J1517" s="155"/>
      <c r="K1517" s="74"/>
      <c r="L1517" s="26">
        <v>2015.0</v>
      </c>
      <c r="M1517" s="25">
        <f t="shared" si="789"/>
        <v>10</v>
      </c>
      <c r="N1517" s="26">
        <f t="shared" si="790"/>
        <v>0</v>
      </c>
      <c r="O1517" s="27" t="str">
        <f t="shared" si="3"/>
        <v>#N/A</v>
      </c>
      <c r="P1517" s="28"/>
      <c r="Q1517" s="28"/>
      <c r="R1517" s="28"/>
      <c r="S1517" s="28"/>
      <c r="T1517" s="29">
        <f t="shared" si="791"/>
        <v>0</v>
      </c>
      <c r="U1517" s="28"/>
      <c r="V1517" s="30">
        <f t="shared" si="425"/>
        <v>0</v>
      </c>
      <c r="W1517" s="30"/>
      <c r="X1517" s="32"/>
      <c r="Y1517" s="33" t="str">
        <f t="shared" si="792"/>
        <v>#DIV/0!</v>
      </c>
      <c r="Z1517" s="692"/>
      <c r="AA1517" s="665"/>
      <c r="AB1517" s="74"/>
      <c r="AC1517" s="74"/>
      <c r="AD1517" s="44"/>
      <c r="AE1517" s="46"/>
      <c r="AF1517" s="39"/>
      <c r="AG1517" s="38"/>
      <c r="AH1517" s="36"/>
      <c r="AI1517" s="159"/>
      <c r="AJ1517" s="44"/>
      <c r="AK1517" s="46"/>
      <c r="AL1517" s="44"/>
      <c r="AM1517" s="46"/>
      <c r="AN1517" s="44"/>
      <c r="AO1517" s="46"/>
      <c r="AP1517" s="44"/>
      <c r="AQ1517" s="46"/>
      <c r="AR1517" s="44"/>
      <c r="AS1517" s="44"/>
      <c r="AT1517" s="44"/>
      <c r="AU1517" s="45"/>
      <c r="AV1517" s="44"/>
      <c r="AW1517" s="38"/>
      <c r="AX1517" s="44"/>
      <c r="AY1517" s="38"/>
      <c r="AZ1517" s="44"/>
      <c r="BA1517" s="45"/>
      <c r="BB1517" s="44"/>
      <c r="BC1517" s="45"/>
      <c r="BD1517" s="44"/>
      <c r="BE1517" s="38"/>
      <c r="BF1517" s="36"/>
      <c r="BG1517" s="115"/>
      <c r="BH1517" s="115"/>
      <c r="BI1517" s="115"/>
      <c r="BJ1517" s="115"/>
      <c r="BK1517" s="115"/>
      <c r="BL1517" s="115"/>
      <c r="BM1517" s="115"/>
      <c r="BN1517" s="115"/>
      <c r="BO1517" s="115"/>
      <c r="BP1517" s="115"/>
      <c r="BQ1517" s="115"/>
      <c r="BR1517" s="115"/>
      <c r="BS1517" s="115"/>
      <c r="BT1517" s="115"/>
      <c r="BU1517" s="115"/>
      <c r="BV1517" s="115"/>
      <c r="BW1517" s="115"/>
      <c r="BX1517" s="115"/>
      <c r="BY1517" s="115"/>
      <c r="BZ1517" s="115"/>
      <c r="CA1517" s="115"/>
      <c r="CB1517" s="115"/>
      <c r="CC1517" s="115"/>
      <c r="CD1517" s="115"/>
      <c r="CE1517" s="115"/>
      <c r="CF1517" s="115"/>
      <c r="CG1517" s="115"/>
      <c r="CH1517" s="115"/>
      <c r="CI1517" s="115"/>
      <c r="CJ1517" s="115"/>
      <c r="CK1517" s="115"/>
      <c r="CL1517" s="115"/>
      <c r="CM1517" s="115"/>
      <c r="CN1517" s="115"/>
      <c r="CO1517" s="115"/>
      <c r="CP1517" s="115"/>
    </row>
    <row r="1518" ht="15.75" customHeight="1">
      <c r="A1518" s="892" t="s">
        <v>7091</v>
      </c>
      <c r="B1518" s="68"/>
      <c r="C1518" s="69" t="s">
        <v>123</v>
      </c>
      <c r="D1518" s="192" t="s">
        <v>7092</v>
      </c>
      <c r="E1518" s="192" t="s">
        <v>7093</v>
      </c>
      <c r="F1518" s="1487" t="s">
        <v>7094</v>
      </c>
      <c r="G1518" s="174"/>
      <c r="H1518" s="407" t="s">
        <v>1065</v>
      </c>
      <c r="I1518" s="26" t="s">
        <v>639</v>
      </c>
      <c r="J1518" s="514"/>
      <c r="K1518" s="74"/>
      <c r="L1518" s="26">
        <v>2019.0</v>
      </c>
      <c r="M1518" s="25">
        <f t="shared" si="789"/>
        <v>6</v>
      </c>
      <c r="N1518" s="26">
        <f t="shared" si="790"/>
        <v>0</v>
      </c>
      <c r="O1518" s="27" t="str">
        <f t="shared" si="3"/>
        <v>#N/A</v>
      </c>
      <c r="P1518" s="28"/>
      <c r="Q1518" s="28"/>
      <c r="R1518" s="28"/>
      <c r="S1518" s="28"/>
      <c r="T1518" s="29">
        <f t="shared" si="791"/>
        <v>0</v>
      </c>
      <c r="U1518" s="28"/>
      <c r="V1518" s="30">
        <f t="shared" si="425"/>
        <v>0</v>
      </c>
      <c r="W1518" s="30"/>
      <c r="X1518" s="32"/>
      <c r="Y1518" s="33" t="str">
        <f t="shared" si="792"/>
        <v>#DIV/0!</v>
      </c>
      <c r="Z1518" s="692"/>
      <c r="AA1518" s="665"/>
      <c r="AB1518" s="74"/>
      <c r="AC1518" s="74"/>
      <c r="AD1518" s="44"/>
      <c r="AE1518" s="46"/>
      <c r="AF1518" s="39"/>
      <c r="AG1518" s="38"/>
      <c r="AH1518" s="36"/>
      <c r="AI1518" s="159"/>
      <c r="AJ1518" s="44"/>
      <c r="AK1518" s="46"/>
      <c r="AL1518" s="44"/>
      <c r="AM1518" s="46"/>
      <c r="AN1518" s="44"/>
      <c r="AO1518" s="46"/>
      <c r="AP1518" s="44"/>
      <c r="AQ1518" s="46"/>
      <c r="AR1518" s="44"/>
      <c r="AS1518" s="44"/>
      <c r="AT1518" s="44"/>
      <c r="AU1518" s="45"/>
      <c r="AV1518" s="44"/>
      <c r="AW1518" s="38"/>
      <c r="AX1518" s="44"/>
      <c r="AY1518" s="38"/>
      <c r="AZ1518" s="44"/>
      <c r="BA1518" s="45"/>
      <c r="BB1518" s="44"/>
      <c r="BC1518" s="45"/>
      <c r="BD1518" s="44"/>
      <c r="BE1518" s="38"/>
      <c r="BF1518" s="36"/>
      <c r="BG1518" s="68"/>
      <c r="BH1518" s="68"/>
      <c r="BI1518" s="68"/>
      <c r="BJ1518" s="68"/>
      <c r="BK1518" s="68"/>
      <c r="BL1518" s="68"/>
      <c r="BM1518" s="68"/>
      <c r="BN1518" s="68"/>
      <c r="BO1518" s="68"/>
      <c r="BP1518" s="68"/>
      <c r="BQ1518" s="68"/>
      <c r="BR1518" s="68"/>
      <c r="BS1518" s="68"/>
      <c r="BT1518" s="68"/>
      <c r="BU1518" s="68"/>
      <c r="BV1518" s="68"/>
      <c r="BW1518" s="68"/>
      <c r="BX1518" s="68"/>
      <c r="BY1518" s="68"/>
      <c r="BZ1518" s="68"/>
      <c r="CA1518" s="68"/>
      <c r="CB1518" s="68"/>
      <c r="CC1518" s="68"/>
      <c r="CD1518" s="68"/>
      <c r="CE1518" s="68"/>
      <c r="CF1518" s="68"/>
      <c r="CG1518" s="68"/>
      <c r="CH1518" s="68"/>
      <c r="CI1518" s="68"/>
      <c r="CJ1518" s="68"/>
      <c r="CK1518" s="68"/>
      <c r="CL1518" s="68"/>
      <c r="CM1518" s="68"/>
      <c r="CN1518" s="68"/>
      <c r="CO1518" s="68"/>
      <c r="CP1518" s="68"/>
    </row>
    <row r="1519" ht="15.75" customHeight="1">
      <c r="A1519" s="892" t="s">
        <v>7095</v>
      </c>
      <c r="B1519" s="69"/>
      <c r="C1519" s="69" t="s">
        <v>123</v>
      </c>
      <c r="D1519" s="192" t="s">
        <v>7096</v>
      </c>
      <c r="E1519" s="192" t="s">
        <v>7097</v>
      </c>
      <c r="F1519" s="118" t="s">
        <v>7098</v>
      </c>
      <c r="G1519" s="17"/>
      <c r="H1519" s="407" t="s">
        <v>328</v>
      </c>
      <c r="I1519" s="26" t="s">
        <v>329</v>
      </c>
      <c r="J1519" s="718"/>
      <c r="K1519" s="26"/>
      <c r="L1519" s="142">
        <v>2001.0</v>
      </c>
      <c r="M1519" s="25">
        <f t="shared" si="789"/>
        <v>24</v>
      </c>
      <c r="N1519" s="26">
        <f t="shared" si="790"/>
        <v>0</v>
      </c>
      <c r="O1519" s="27" t="str">
        <f t="shared" si="3"/>
        <v>#N/A</v>
      </c>
      <c r="P1519" s="28"/>
      <c r="Q1519" s="28"/>
      <c r="R1519" s="28"/>
      <c r="S1519" s="28"/>
      <c r="T1519" s="29">
        <f t="shared" si="791"/>
        <v>0</v>
      </c>
      <c r="U1519" s="28"/>
      <c r="V1519" s="30">
        <f t="shared" si="425"/>
        <v>0</v>
      </c>
      <c r="W1519" s="30"/>
      <c r="X1519" s="73"/>
      <c r="Y1519" s="33" t="str">
        <f t="shared" si="792"/>
        <v>#DIV/0!</v>
      </c>
      <c r="Z1519" s="692"/>
      <c r="AA1519" s="665"/>
      <c r="AB1519" s="74"/>
      <c r="AC1519" s="74"/>
      <c r="AD1519" s="44"/>
      <c r="AE1519" s="46"/>
      <c r="AF1519" s="39"/>
      <c r="AG1519" s="46"/>
      <c r="AH1519" s="36"/>
      <c r="AI1519" s="159"/>
      <c r="AJ1519" s="898"/>
      <c r="AK1519" s="715"/>
      <c r="AL1519" s="44"/>
      <c r="AM1519" s="46"/>
      <c r="AN1519" s="44"/>
      <c r="AO1519" s="46"/>
      <c r="AP1519" s="44"/>
      <c r="AQ1519" s="46"/>
      <c r="AR1519" s="44"/>
      <c r="AS1519" s="44"/>
      <c r="AT1519" s="44"/>
      <c r="AU1519" s="45"/>
      <c r="AV1519" s="44"/>
      <c r="AW1519" s="38"/>
      <c r="AX1519" s="44"/>
      <c r="AY1519" s="38"/>
      <c r="AZ1519" s="44"/>
      <c r="BA1519" s="45"/>
      <c r="BB1519" s="44"/>
      <c r="BC1519" s="45"/>
      <c r="BD1519" s="44"/>
      <c r="BE1519" s="38"/>
      <c r="BF1519" s="36"/>
      <c r="BG1519" s="68"/>
      <c r="BH1519" s="68"/>
      <c r="BI1519" s="68"/>
      <c r="BJ1519" s="68"/>
      <c r="BK1519" s="68"/>
      <c r="BL1519" s="68"/>
      <c r="BM1519" s="68"/>
      <c r="BN1519" s="68"/>
      <c r="BO1519" s="68"/>
      <c r="BP1519" s="68"/>
      <c r="BQ1519" s="68"/>
      <c r="BR1519" s="68"/>
      <c r="BS1519" s="68"/>
      <c r="BT1519" s="68"/>
      <c r="BU1519" s="68"/>
      <c r="BV1519" s="68"/>
      <c r="BW1519" s="68"/>
      <c r="BX1519" s="68"/>
      <c r="BY1519" s="68"/>
      <c r="BZ1519" s="68"/>
      <c r="CA1519" s="68"/>
      <c r="CB1519" s="68"/>
      <c r="CC1519" s="68"/>
      <c r="CD1519" s="68"/>
      <c r="CE1519" s="68"/>
      <c r="CF1519" s="68"/>
      <c r="CG1519" s="68"/>
      <c r="CH1519" s="68"/>
      <c r="CI1519" s="68"/>
      <c r="CJ1519" s="68"/>
      <c r="CK1519" s="68"/>
      <c r="CL1519" s="68"/>
      <c r="CM1519" s="68"/>
      <c r="CN1519" s="68"/>
      <c r="CO1519" s="68"/>
      <c r="CP1519" s="68"/>
    </row>
    <row r="1520" ht="15.75" customHeight="1">
      <c r="A1520" s="823" t="s">
        <v>7099</v>
      </c>
      <c r="B1520" s="760"/>
      <c r="C1520" s="824" t="s">
        <v>513</v>
      </c>
      <c r="D1520" s="1685"/>
      <c r="E1520" s="1693" t="s">
        <v>7100</v>
      </c>
      <c r="F1520" s="1535" t="s">
        <v>7101</v>
      </c>
      <c r="G1520" s="1694" t="s">
        <v>7102</v>
      </c>
      <c r="H1520" s="1525"/>
      <c r="I1520" s="831"/>
      <c r="J1520" s="1695"/>
      <c r="K1520" s="831" t="s">
        <v>723</v>
      </c>
      <c r="L1520" s="1536">
        <v>2011.0</v>
      </c>
      <c r="M1520" s="25">
        <f t="shared" si="789"/>
        <v>14</v>
      </c>
      <c r="N1520" s="26">
        <f t="shared" si="790"/>
        <v>0</v>
      </c>
      <c r="O1520" s="27" t="str">
        <f t="shared" si="3"/>
        <v>#N/A</v>
      </c>
      <c r="P1520" s="28"/>
      <c r="Q1520" s="28"/>
      <c r="R1520" s="28"/>
      <c r="S1520" s="28"/>
      <c r="T1520" s="29">
        <f t="shared" si="791"/>
        <v>0</v>
      </c>
      <c r="U1520" s="28"/>
      <c r="V1520" s="30">
        <f t="shared" si="425"/>
        <v>0</v>
      </c>
      <c r="W1520" s="30"/>
      <c r="X1520" s="1526"/>
      <c r="Y1520" s="33" t="str">
        <f t="shared" si="792"/>
        <v>#DIV/0!</v>
      </c>
      <c r="Z1520" s="692"/>
      <c r="AA1520" s="665"/>
      <c r="AB1520" s="831"/>
      <c r="AC1520" s="831"/>
      <c r="AD1520" s="1246"/>
      <c r="AE1520" s="1247"/>
      <c r="AF1520" s="1686"/>
      <c r="AG1520" s="1247"/>
      <c r="AH1520" s="1250"/>
      <c r="AI1520" s="1251"/>
      <c r="AJ1520" s="1246"/>
      <c r="AK1520" s="1247"/>
      <c r="AL1520" s="1246"/>
      <c r="AM1520" s="1247"/>
      <c r="AN1520" s="1246"/>
      <c r="AO1520" s="1247"/>
      <c r="AP1520" s="1246"/>
      <c r="AQ1520" s="1247"/>
      <c r="AR1520" s="1246"/>
      <c r="AS1520" s="1246"/>
      <c r="AT1520" s="1246"/>
      <c r="AU1520" s="1541"/>
      <c r="AV1520" s="1246"/>
      <c r="AW1520" s="38"/>
      <c r="AX1520" s="1246"/>
      <c r="AY1520" s="38"/>
      <c r="AZ1520" s="1246"/>
      <c r="BA1520" s="1541"/>
      <c r="BB1520" s="1246"/>
      <c r="BC1520" s="1541"/>
      <c r="BD1520" s="1246"/>
      <c r="BE1520" s="38"/>
      <c r="BF1520" s="1250"/>
      <c r="BG1520" s="115"/>
      <c r="BH1520" s="115"/>
      <c r="BI1520" s="115"/>
      <c r="BJ1520" s="115"/>
      <c r="BK1520" s="115"/>
      <c r="BL1520" s="115"/>
      <c r="BM1520" s="115"/>
      <c r="BN1520" s="115"/>
      <c r="BO1520" s="115"/>
      <c r="BP1520" s="115"/>
      <c r="BQ1520" s="115"/>
      <c r="BR1520" s="115"/>
      <c r="BS1520" s="115"/>
      <c r="BT1520" s="115"/>
      <c r="BU1520" s="115"/>
      <c r="BV1520" s="115"/>
      <c r="BW1520" s="115"/>
      <c r="BX1520" s="115"/>
      <c r="BY1520" s="115"/>
      <c r="BZ1520" s="115"/>
      <c r="CA1520" s="115"/>
      <c r="CB1520" s="115"/>
      <c r="CC1520" s="115"/>
      <c r="CD1520" s="115"/>
      <c r="CE1520" s="115"/>
      <c r="CF1520" s="115"/>
      <c r="CG1520" s="115"/>
      <c r="CH1520" s="115"/>
      <c r="CI1520" s="115"/>
      <c r="CJ1520" s="115"/>
      <c r="CK1520" s="115"/>
      <c r="CL1520" s="115"/>
      <c r="CM1520" s="115"/>
      <c r="CN1520" s="115"/>
      <c r="CO1520" s="115"/>
      <c r="CP1520" s="115"/>
    </row>
    <row r="1521" ht="15.75" customHeight="1">
      <c r="A1521" s="21" t="s">
        <v>7103</v>
      </c>
      <c r="B1521" s="68"/>
      <c r="C1521" s="69" t="s">
        <v>1007</v>
      </c>
      <c r="D1521" s="200" t="s">
        <v>7104</v>
      </c>
      <c r="E1521" s="200" t="s">
        <v>7105</v>
      </c>
      <c r="F1521" s="173" t="s">
        <v>7106</v>
      </c>
      <c r="G1521" s="71" t="s">
        <v>7107</v>
      </c>
      <c r="H1521" s="186"/>
      <c r="I1521" s="74"/>
      <c r="J1521" s="155"/>
      <c r="K1521" s="26">
        <v>1.0</v>
      </c>
      <c r="L1521" s="26">
        <v>2015.0</v>
      </c>
      <c r="M1521" s="25">
        <f t="shared" si="789"/>
        <v>10</v>
      </c>
      <c r="N1521" s="26">
        <f t="shared" si="790"/>
        <v>0</v>
      </c>
      <c r="O1521" s="27" t="str">
        <f t="shared" si="3"/>
        <v>#N/A</v>
      </c>
      <c r="P1521" s="28"/>
      <c r="Q1521" s="28"/>
      <c r="R1521" s="28"/>
      <c r="S1521" s="28"/>
      <c r="T1521" s="29">
        <f t="shared" si="791"/>
        <v>0</v>
      </c>
      <c r="U1521" s="28"/>
      <c r="V1521" s="30">
        <f t="shared" si="425"/>
        <v>0</v>
      </c>
      <c r="W1521" s="30"/>
      <c r="X1521" s="73"/>
      <c r="Y1521" s="33" t="str">
        <f t="shared" si="792"/>
        <v>#DIV/0!</v>
      </c>
      <c r="Z1521" s="692"/>
      <c r="AA1521" s="665"/>
      <c r="AB1521" s="74"/>
      <c r="AC1521" s="74"/>
      <c r="AD1521" s="44"/>
      <c r="AE1521" s="46"/>
      <c r="AF1521" s="39"/>
      <c r="AG1521" s="46"/>
      <c r="AH1521" s="36"/>
      <c r="AI1521" s="159"/>
      <c r="AJ1521" s="44"/>
      <c r="AK1521" s="46"/>
      <c r="AL1521" s="44"/>
      <c r="AM1521" s="46"/>
      <c r="AN1521" s="44"/>
      <c r="AO1521" s="46"/>
      <c r="AP1521" s="44"/>
      <c r="AQ1521" s="46"/>
      <c r="AR1521" s="44"/>
      <c r="AS1521" s="44"/>
      <c r="AT1521" s="44"/>
      <c r="AU1521" s="45"/>
      <c r="AV1521" s="44"/>
      <c r="AW1521" s="38"/>
      <c r="AX1521" s="44"/>
      <c r="AY1521" s="38"/>
      <c r="AZ1521" s="44"/>
      <c r="BA1521" s="45"/>
      <c r="BB1521" s="44"/>
      <c r="BC1521" s="45"/>
      <c r="BD1521" s="44"/>
      <c r="BE1521" s="38"/>
      <c r="BF1521" s="36"/>
      <c r="BG1521" s="115"/>
      <c r="BH1521" s="115"/>
      <c r="BI1521" s="115"/>
      <c r="BJ1521" s="115"/>
      <c r="BK1521" s="115"/>
      <c r="BL1521" s="115"/>
      <c r="BM1521" s="115"/>
      <c r="BN1521" s="115"/>
      <c r="BO1521" s="115"/>
      <c r="BP1521" s="115"/>
      <c r="BQ1521" s="115"/>
      <c r="BR1521" s="115"/>
      <c r="BS1521" s="115"/>
      <c r="BT1521" s="115"/>
      <c r="BU1521" s="115"/>
      <c r="BV1521" s="115"/>
      <c r="BW1521" s="115"/>
      <c r="BX1521" s="115"/>
      <c r="BY1521" s="115"/>
      <c r="BZ1521" s="115"/>
      <c r="CA1521" s="115"/>
      <c r="CB1521" s="115"/>
      <c r="CC1521" s="115"/>
      <c r="CD1521" s="115"/>
      <c r="CE1521" s="115"/>
      <c r="CF1521" s="115"/>
      <c r="CG1521" s="115"/>
      <c r="CH1521" s="115"/>
      <c r="CI1521" s="115"/>
      <c r="CJ1521" s="115"/>
      <c r="CK1521" s="115"/>
      <c r="CL1521" s="115"/>
      <c r="CM1521" s="115"/>
      <c r="CN1521" s="115"/>
      <c r="CO1521" s="115"/>
      <c r="CP1521" s="115"/>
    </row>
    <row r="1522" ht="15.75" customHeight="1">
      <c r="A1522" s="21" t="s">
        <v>7108</v>
      </c>
      <c r="B1522" s="68"/>
      <c r="C1522" s="69" t="s">
        <v>1007</v>
      </c>
      <c r="D1522" s="200" t="s">
        <v>7109</v>
      </c>
      <c r="E1522" s="200" t="s">
        <v>7110</v>
      </c>
      <c r="F1522" s="154" t="s">
        <v>7111</v>
      </c>
      <c r="G1522" s="186"/>
      <c r="H1522" s="140" t="s">
        <v>64</v>
      </c>
      <c r="I1522" s="1401" t="s">
        <v>65</v>
      </c>
      <c r="J1522" s="155"/>
      <c r="K1522" s="74" t="s">
        <v>723</v>
      </c>
      <c r="L1522" s="26">
        <v>2018.0</v>
      </c>
      <c r="M1522" s="25">
        <f t="shared" si="789"/>
        <v>7</v>
      </c>
      <c r="N1522" s="26">
        <f t="shared" si="790"/>
        <v>0</v>
      </c>
      <c r="O1522" s="27" t="str">
        <f t="shared" si="3"/>
        <v>#N/A</v>
      </c>
      <c r="P1522" s="28"/>
      <c r="Q1522" s="28"/>
      <c r="R1522" s="28"/>
      <c r="S1522" s="28"/>
      <c r="T1522" s="29">
        <f t="shared" si="791"/>
        <v>0</v>
      </c>
      <c r="U1522" s="28"/>
      <c r="V1522" s="30">
        <f t="shared" si="425"/>
        <v>0</v>
      </c>
      <c r="W1522" s="30"/>
      <c r="X1522" s="32"/>
      <c r="Y1522" s="33" t="str">
        <f t="shared" si="792"/>
        <v>#DIV/0!</v>
      </c>
      <c r="Z1522" s="692"/>
      <c r="AA1522" s="665"/>
      <c r="AB1522" s="74"/>
      <c r="AC1522" s="74"/>
      <c r="AD1522" s="44"/>
      <c r="AE1522" s="46"/>
      <c r="AF1522" s="39"/>
      <c r="AG1522" s="46"/>
      <c r="AH1522" s="36"/>
      <c r="AI1522" s="159"/>
      <c r="AJ1522" s="44"/>
      <c r="AK1522" s="46"/>
      <c r="AL1522" s="44"/>
      <c r="AM1522" s="46"/>
      <c r="AN1522" s="44"/>
      <c r="AO1522" s="46"/>
      <c r="AP1522" s="44"/>
      <c r="AQ1522" s="46"/>
      <c r="AR1522" s="44"/>
      <c r="AS1522" s="44"/>
      <c r="AT1522" s="44"/>
      <c r="AU1522" s="45"/>
      <c r="AV1522" s="44"/>
      <c r="AW1522" s="38"/>
      <c r="AX1522" s="44"/>
      <c r="AY1522" s="38"/>
      <c r="AZ1522" s="44"/>
      <c r="BA1522" s="45"/>
      <c r="BB1522" s="44"/>
      <c r="BC1522" s="45"/>
      <c r="BD1522" s="44"/>
      <c r="BE1522" s="38"/>
      <c r="BF1522" s="36"/>
      <c r="BG1522" s="68"/>
      <c r="BH1522" s="68"/>
      <c r="BI1522" s="68"/>
      <c r="BJ1522" s="68"/>
      <c r="BK1522" s="68"/>
      <c r="BL1522" s="68"/>
      <c r="BM1522" s="68"/>
      <c r="BN1522" s="68"/>
      <c r="BO1522" s="68"/>
      <c r="BP1522" s="68"/>
      <c r="BQ1522" s="68"/>
      <c r="BR1522" s="68"/>
      <c r="BS1522" s="68"/>
      <c r="BT1522" s="68"/>
      <c r="BU1522" s="68"/>
      <c r="BV1522" s="68"/>
      <c r="BW1522" s="68"/>
      <c r="BX1522" s="68"/>
      <c r="BY1522" s="68"/>
      <c r="BZ1522" s="68"/>
      <c r="CA1522" s="68"/>
      <c r="CB1522" s="68"/>
      <c r="CC1522" s="68"/>
      <c r="CD1522" s="68"/>
      <c r="CE1522" s="68"/>
      <c r="CF1522" s="68"/>
      <c r="CG1522" s="68"/>
      <c r="CH1522" s="68"/>
      <c r="CI1522" s="68"/>
      <c r="CJ1522" s="68"/>
      <c r="CK1522" s="68"/>
      <c r="CL1522" s="68"/>
      <c r="CM1522" s="68"/>
      <c r="CN1522" s="68"/>
      <c r="CO1522" s="68"/>
      <c r="CP1522" s="68"/>
    </row>
    <row r="1523" ht="15.75" customHeight="1">
      <c r="A1523" s="892" t="s">
        <v>7112</v>
      </c>
      <c r="B1523" s="68"/>
      <c r="C1523" s="69" t="s">
        <v>207</v>
      </c>
      <c r="D1523" s="192" t="s">
        <v>7113</v>
      </c>
      <c r="E1523" s="192" t="s">
        <v>7114</v>
      </c>
      <c r="F1523" s="118" t="s">
        <v>7115</v>
      </c>
      <c r="G1523" s="186"/>
      <c r="H1523" s="71" t="s">
        <v>114</v>
      </c>
      <c r="I1523" s="26" t="s">
        <v>115</v>
      </c>
      <c r="J1523" s="155"/>
      <c r="K1523" s="74"/>
      <c r="L1523" s="26">
        <v>2020.0</v>
      </c>
      <c r="M1523" s="25">
        <f t="shared" si="789"/>
        <v>5</v>
      </c>
      <c r="N1523" s="26">
        <f t="shared" si="790"/>
        <v>0</v>
      </c>
      <c r="O1523" s="27" t="str">
        <f t="shared" si="3"/>
        <v>#N/A</v>
      </c>
      <c r="P1523" s="28"/>
      <c r="Q1523" s="28"/>
      <c r="R1523" s="28"/>
      <c r="S1523" s="28"/>
      <c r="T1523" s="29">
        <f t="shared" si="791"/>
        <v>0</v>
      </c>
      <c r="U1523" s="28"/>
      <c r="V1523" s="30">
        <f t="shared" si="425"/>
        <v>0</v>
      </c>
      <c r="W1523" s="30"/>
      <c r="X1523" s="32"/>
      <c r="Y1523" s="33" t="str">
        <f t="shared" si="792"/>
        <v>#DIV/0!</v>
      </c>
      <c r="Z1523" s="692"/>
      <c r="AA1523" s="665"/>
      <c r="AB1523" s="74"/>
      <c r="AC1523" s="74"/>
      <c r="AD1523" s="44"/>
      <c r="AE1523" s="46"/>
      <c r="AF1523" s="39"/>
      <c r="AG1523" s="46"/>
      <c r="AH1523" s="36"/>
      <c r="AI1523" s="159"/>
      <c r="AJ1523" s="44"/>
      <c r="AK1523" s="46"/>
      <c r="AL1523" s="44"/>
      <c r="AM1523" s="46"/>
      <c r="AN1523" s="44"/>
      <c r="AO1523" s="46"/>
      <c r="AP1523" s="44"/>
      <c r="AQ1523" s="46"/>
      <c r="AR1523" s="44"/>
      <c r="AS1523" s="44"/>
      <c r="AT1523" s="44"/>
      <c r="AU1523" s="45"/>
      <c r="AV1523" s="44"/>
      <c r="AW1523" s="38"/>
      <c r="AX1523" s="44"/>
      <c r="AY1523" s="38"/>
      <c r="AZ1523" s="44"/>
      <c r="BA1523" s="45"/>
      <c r="BB1523" s="44"/>
      <c r="BC1523" s="45"/>
      <c r="BD1523" s="44"/>
      <c r="BE1523" s="38"/>
      <c r="BF1523" s="36"/>
      <c r="BG1523" s="68"/>
      <c r="BH1523" s="68"/>
      <c r="BI1523" s="68"/>
      <c r="BJ1523" s="68"/>
      <c r="BK1523" s="68"/>
      <c r="BL1523" s="68"/>
      <c r="BM1523" s="68"/>
      <c r="BN1523" s="68"/>
      <c r="BO1523" s="68"/>
      <c r="BP1523" s="68"/>
      <c r="BQ1523" s="68"/>
      <c r="BR1523" s="68"/>
      <c r="BS1523" s="68"/>
      <c r="BT1523" s="68"/>
      <c r="BU1523" s="68"/>
      <c r="BV1523" s="68"/>
      <c r="BW1523" s="68"/>
      <c r="BX1523" s="68"/>
      <c r="BY1523" s="68"/>
      <c r="BZ1523" s="68"/>
      <c r="CA1523" s="68"/>
      <c r="CB1523" s="68"/>
      <c r="CC1523" s="68"/>
      <c r="CD1523" s="68"/>
      <c r="CE1523" s="68"/>
      <c r="CF1523" s="68"/>
      <c r="CG1523" s="68"/>
      <c r="CH1523" s="68"/>
      <c r="CI1523" s="68"/>
      <c r="CJ1523" s="68"/>
      <c r="CK1523" s="68"/>
      <c r="CL1523" s="68"/>
      <c r="CM1523" s="68"/>
      <c r="CN1523" s="68"/>
      <c r="CO1523" s="68"/>
      <c r="CP1523" s="68"/>
    </row>
    <row r="1524" ht="15.75" customHeight="1">
      <c r="A1524" s="892" t="s">
        <v>7116</v>
      </c>
      <c r="B1524" s="68"/>
      <c r="C1524" s="69" t="s">
        <v>7117</v>
      </c>
      <c r="D1524" s="192" t="s">
        <v>7118</v>
      </c>
      <c r="E1524" s="192" t="s">
        <v>7119</v>
      </c>
      <c r="F1524" s="118" t="s">
        <v>7120</v>
      </c>
      <c r="G1524" s="140"/>
      <c r="H1524" s="71" t="s">
        <v>7121</v>
      </c>
      <c r="I1524" s="26" t="s">
        <v>129</v>
      </c>
      <c r="J1524" s="155"/>
      <c r="K1524" s="26"/>
      <c r="L1524" s="26">
        <v>1933.0</v>
      </c>
      <c r="M1524" s="25">
        <f t="shared" si="789"/>
        <v>92</v>
      </c>
      <c r="N1524" s="26">
        <f t="shared" si="790"/>
        <v>0</v>
      </c>
      <c r="O1524" s="27" t="str">
        <f t="shared" si="3"/>
        <v>#N/A</v>
      </c>
      <c r="P1524" s="28"/>
      <c r="Q1524" s="28"/>
      <c r="R1524" s="28"/>
      <c r="S1524" s="28"/>
      <c r="T1524" s="29">
        <f t="shared" si="791"/>
        <v>0</v>
      </c>
      <c r="U1524" s="28"/>
      <c r="V1524" s="30">
        <f t="shared" si="425"/>
        <v>0</v>
      </c>
      <c r="W1524" s="30"/>
      <c r="X1524" s="73"/>
      <c r="Y1524" s="33" t="str">
        <f t="shared" si="792"/>
        <v>#DIV/0!</v>
      </c>
      <c r="Z1524" s="692"/>
      <c r="AA1524" s="665"/>
      <c r="AB1524" s="74"/>
      <c r="AC1524" s="74"/>
      <c r="AD1524" s="44"/>
      <c r="AE1524" s="46"/>
      <c r="AF1524" s="39"/>
      <c r="AG1524" s="38"/>
      <c r="AH1524" s="36"/>
      <c r="AI1524" s="159"/>
      <c r="AJ1524" s="37"/>
      <c r="AK1524" s="38"/>
      <c r="AL1524" s="44"/>
      <c r="AM1524" s="46"/>
      <c r="AN1524" s="44"/>
      <c r="AO1524" s="46"/>
      <c r="AP1524" s="44"/>
      <c r="AQ1524" s="46"/>
      <c r="AR1524" s="44"/>
      <c r="AS1524" s="44"/>
      <c r="AT1524" s="44"/>
      <c r="AU1524" s="45"/>
      <c r="AV1524" s="44"/>
      <c r="AW1524" s="38"/>
      <c r="AX1524" s="44"/>
      <c r="AY1524" s="38"/>
      <c r="AZ1524" s="44"/>
      <c r="BA1524" s="45"/>
      <c r="BB1524" s="44"/>
      <c r="BC1524" s="45"/>
      <c r="BD1524" s="44"/>
      <c r="BE1524" s="38"/>
      <c r="BF1524" s="36"/>
      <c r="BG1524" s="115"/>
      <c r="BH1524" s="115"/>
      <c r="BI1524" s="115"/>
      <c r="BJ1524" s="115"/>
      <c r="BK1524" s="115"/>
      <c r="BL1524" s="115"/>
      <c r="BM1524" s="115"/>
      <c r="BN1524" s="115"/>
      <c r="BO1524" s="115"/>
      <c r="BP1524" s="115"/>
      <c r="BQ1524" s="115"/>
      <c r="BR1524" s="115"/>
      <c r="BS1524" s="115"/>
      <c r="BT1524" s="115"/>
      <c r="BU1524" s="115"/>
      <c r="BV1524" s="115"/>
      <c r="BW1524" s="115"/>
      <c r="BX1524" s="115"/>
      <c r="BY1524" s="115"/>
      <c r="BZ1524" s="115"/>
      <c r="CA1524" s="115"/>
      <c r="CB1524" s="115"/>
      <c r="CC1524" s="115"/>
      <c r="CD1524" s="115"/>
      <c r="CE1524" s="115"/>
      <c r="CF1524" s="115"/>
      <c r="CG1524" s="115"/>
      <c r="CH1524" s="115"/>
      <c r="CI1524" s="115"/>
      <c r="CJ1524" s="115"/>
      <c r="CK1524" s="115"/>
      <c r="CL1524" s="115"/>
      <c r="CM1524" s="115"/>
      <c r="CN1524" s="115"/>
      <c r="CO1524" s="115"/>
      <c r="CP1524" s="115"/>
    </row>
    <row r="1525" ht="15.75" customHeight="1">
      <c r="A1525" s="245" t="s">
        <v>7122</v>
      </c>
      <c r="B1525" s="68"/>
      <c r="C1525" s="69" t="s">
        <v>123</v>
      </c>
      <c r="D1525" s="192" t="s">
        <v>7123</v>
      </c>
      <c r="E1525" s="192" t="s">
        <v>7124</v>
      </c>
      <c r="F1525" s="118" t="s">
        <v>7125</v>
      </c>
      <c r="G1525" s="140" t="s">
        <v>7126</v>
      </c>
      <c r="H1525" s="186"/>
      <c r="I1525" s="74"/>
      <c r="J1525" s="155"/>
      <c r="K1525" s="74"/>
      <c r="L1525" s="142">
        <v>2015.0</v>
      </c>
      <c r="M1525" s="25">
        <f t="shared" si="789"/>
        <v>10</v>
      </c>
      <c r="N1525" s="26">
        <f t="shared" si="790"/>
        <v>0</v>
      </c>
      <c r="O1525" s="27" t="str">
        <f t="shared" si="3"/>
        <v>#N/A</v>
      </c>
      <c r="P1525" s="28"/>
      <c r="Q1525" s="28"/>
      <c r="R1525" s="28"/>
      <c r="S1525" s="28"/>
      <c r="T1525" s="29">
        <f t="shared" si="791"/>
        <v>0</v>
      </c>
      <c r="U1525" s="28"/>
      <c r="V1525" s="30">
        <f t="shared" si="425"/>
        <v>0</v>
      </c>
      <c r="W1525" s="30"/>
      <c r="X1525" s="32"/>
      <c r="Y1525" s="33" t="str">
        <f t="shared" si="792"/>
        <v>#DIV/0!</v>
      </c>
      <c r="Z1525" s="692"/>
      <c r="AA1525" s="665"/>
      <c r="AB1525" s="74"/>
      <c r="AC1525" s="74"/>
      <c r="AD1525" s="44"/>
      <c r="AE1525" s="46"/>
      <c r="AF1525" s="320">
        <v>43227.0</v>
      </c>
      <c r="AG1525" s="46"/>
      <c r="AH1525" s="36"/>
      <c r="AI1525" s="159"/>
      <c r="AJ1525" s="44"/>
      <c r="AK1525" s="46"/>
      <c r="AL1525" s="44"/>
      <c r="AM1525" s="46"/>
      <c r="AN1525" s="44"/>
      <c r="AO1525" s="46"/>
      <c r="AP1525" s="44"/>
      <c r="AQ1525" s="46"/>
      <c r="AR1525" s="44"/>
      <c r="AS1525" s="44"/>
      <c r="AT1525" s="44"/>
      <c r="AU1525" s="45"/>
      <c r="AV1525" s="44"/>
      <c r="AW1525" s="38"/>
      <c r="AX1525" s="44"/>
      <c r="AY1525" s="38"/>
      <c r="AZ1525" s="44"/>
      <c r="BA1525" s="45"/>
      <c r="BB1525" s="44"/>
      <c r="BC1525" s="45"/>
      <c r="BD1525" s="44"/>
      <c r="BE1525" s="38"/>
      <c r="BF1525" s="36"/>
      <c r="BG1525" s="68"/>
      <c r="BH1525" s="68"/>
      <c r="BI1525" s="68"/>
      <c r="BJ1525" s="68"/>
      <c r="BK1525" s="68"/>
      <c r="BL1525" s="68"/>
      <c r="BM1525" s="68"/>
      <c r="BN1525" s="68"/>
      <c r="BO1525" s="68"/>
      <c r="BP1525" s="68"/>
      <c r="BQ1525" s="68"/>
      <c r="BR1525" s="68"/>
      <c r="BS1525" s="68"/>
      <c r="BT1525" s="68"/>
      <c r="BU1525" s="68"/>
      <c r="BV1525" s="68"/>
      <c r="BW1525" s="68"/>
      <c r="BX1525" s="68"/>
      <c r="BY1525" s="68"/>
      <c r="BZ1525" s="68"/>
      <c r="CA1525" s="68"/>
      <c r="CB1525" s="68"/>
      <c r="CC1525" s="68"/>
      <c r="CD1525" s="68"/>
      <c r="CE1525" s="68"/>
      <c r="CF1525" s="68"/>
      <c r="CG1525" s="68"/>
      <c r="CH1525" s="68"/>
      <c r="CI1525" s="68"/>
      <c r="CJ1525" s="68"/>
      <c r="CK1525" s="68"/>
      <c r="CL1525" s="68"/>
      <c r="CM1525" s="68"/>
      <c r="CN1525" s="68"/>
      <c r="CO1525" s="68"/>
      <c r="CP1525" s="68"/>
    </row>
    <row r="1526" ht="15.75" customHeight="1">
      <c r="A1526" s="21" t="s">
        <v>7127</v>
      </c>
      <c r="B1526" s="68"/>
      <c r="C1526" s="858" t="s">
        <v>755</v>
      </c>
      <c r="D1526" s="192" t="s">
        <v>7128</v>
      </c>
      <c r="E1526" s="138" t="s">
        <v>7129</v>
      </c>
      <c r="F1526" s="154" t="s">
        <v>7130</v>
      </c>
      <c r="G1526" s="186"/>
      <c r="H1526" s="186"/>
      <c r="I1526" s="74"/>
      <c r="J1526" s="155"/>
      <c r="K1526" s="74" t="s">
        <v>723</v>
      </c>
      <c r="L1526" s="142">
        <v>2010.0</v>
      </c>
      <c r="M1526" s="25">
        <f t="shared" si="789"/>
        <v>15</v>
      </c>
      <c r="N1526" s="26">
        <f t="shared" si="790"/>
        <v>0</v>
      </c>
      <c r="O1526" s="27" t="str">
        <f t="shared" si="3"/>
        <v>#N/A</v>
      </c>
      <c r="P1526" s="28"/>
      <c r="Q1526" s="28"/>
      <c r="R1526" s="28"/>
      <c r="S1526" s="28"/>
      <c r="T1526" s="29">
        <f t="shared" si="791"/>
        <v>0</v>
      </c>
      <c r="U1526" s="28"/>
      <c r="V1526" s="30">
        <f t="shared" si="425"/>
        <v>0</v>
      </c>
      <c r="W1526" s="30"/>
      <c r="X1526" s="32"/>
      <c r="Y1526" s="33" t="str">
        <f t="shared" si="792"/>
        <v>#DIV/0!</v>
      </c>
      <c r="Z1526" s="692"/>
      <c r="AA1526" s="665"/>
      <c r="AB1526" s="74"/>
      <c r="AC1526" s="74"/>
      <c r="AD1526" s="44"/>
      <c r="AE1526" s="46"/>
      <c r="AF1526" s="39"/>
      <c r="AG1526" s="46"/>
      <c r="AH1526" s="36"/>
      <c r="AI1526" s="159"/>
      <c r="AJ1526" s="44"/>
      <c r="AK1526" s="46"/>
      <c r="AL1526" s="44"/>
      <c r="AM1526" s="46"/>
      <c r="AN1526" s="44"/>
      <c r="AO1526" s="46"/>
      <c r="AP1526" s="44"/>
      <c r="AQ1526" s="46"/>
      <c r="AR1526" s="44"/>
      <c r="AS1526" s="44"/>
      <c r="AT1526" s="44"/>
      <c r="AU1526" s="45"/>
      <c r="AV1526" s="44"/>
      <c r="AW1526" s="38"/>
      <c r="AX1526" s="44"/>
      <c r="AY1526" s="38"/>
      <c r="AZ1526" s="44"/>
      <c r="BA1526" s="45"/>
      <c r="BB1526" s="44"/>
      <c r="BC1526" s="45"/>
      <c r="BD1526" s="44"/>
      <c r="BE1526" s="38"/>
      <c r="BF1526" s="36"/>
      <c r="BG1526" s="68"/>
      <c r="BH1526" s="68"/>
      <c r="BI1526" s="68"/>
      <c r="BJ1526" s="68"/>
      <c r="BK1526" s="68"/>
      <c r="BL1526" s="68"/>
      <c r="BM1526" s="68"/>
      <c r="BN1526" s="68"/>
      <c r="BO1526" s="68"/>
      <c r="BP1526" s="68"/>
      <c r="BQ1526" s="68"/>
      <c r="BR1526" s="68"/>
      <c r="BS1526" s="68"/>
      <c r="BT1526" s="68"/>
      <c r="BU1526" s="68"/>
      <c r="BV1526" s="68"/>
      <c r="BW1526" s="68"/>
      <c r="BX1526" s="68"/>
      <c r="BY1526" s="68"/>
      <c r="BZ1526" s="68"/>
      <c r="CA1526" s="68"/>
      <c r="CB1526" s="68"/>
      <c r="CC1526" s="68"/>
      <c r="CD1526" s="68"/>
      <c r="CE1526" s="68"/>
      <c r="CF1526" s="68"/>
      <c r="CG1526" s="68"/>
      <c r="CH1526" s="68"/>
      <c r="CI1526" s="68"/>
      <c r="CJ1526" s="68"/>
      <c r="CK1526" s="68"/>
      <c r="CL1526" s="68"/>
      <c r="CM1526" s="68"/>
      <c r="CN1526" s="68"/>
      <c r="CO1526" s="68"/>
      <c r="CP1526" s="68"/>
    </row>
    <row r="1527" ht="15.75" customHeight="1">
      <c r="A1527" s="442" t="s">
        <v>7131</v>
      </c>
      <c r="B1527" s="69" t="s">
        <v>7132</v>
      </c>
      <c r="C1527" s="69" t="s">
        <v>123</v>
      </c>
      <c r="D1527" s="337"/>
      <c r="E1527" s="492" t="s">
        <v>7133</v>
      </c>
      <c r="F1527" s="652" t="s">
        <v>7134</v>
      </c>
      <c r="G1527" s="493" t="s">
        <v>7135</v>
      </c>
      <c r="H1527" s="493" t="s">
        <v>2299</v>
      </c>
      <c r="I1527" s="1401" t="s">
        <v>7136</v>
      </c>
      <c r="J1527" s="494" t="s">
        <v>7137</v>
      </c>
      <c r="K1527" s="26">
        <v>1.0</v>
      </c>
      <c r="L1527" s="74" t="s">
        <v>723</v>
      </c>
      <c r="M1527" s="25" t="str">
        <f t="shared" si="789"/>
        <v>#VALUE!</v>
      </c>
      <c r="N1527" s="26">
        <f t="shared" si="790"/>
        <v>0</v>
      </c>
      <c r="O1527" s="27" t="str">
        <f t="shared" si="3"/>
        <v>#N/A</v>
      </c>
      <c r="P1527" s="28"/>
      <c r="Q1527" s="28"/>
      <c r="R1527" s="28"/>
      <c r="S1527" s="28"/>
      <c r="T1527" s="28" t="str">
        <f t="shared" si="791"/>
        <v>#VALUE!</v>
      </c>
      <c r="U1527" s="28"/>
      <c r="V1527" s="30">
        <f t="shared" si="425"/>
        <v>0</v>
      </c>
      <c r="W1527" s="30"/>
      <c r="X1527" s="73"/>
      <c r="Y1527" s="33" t="str">
        <f t="shared" si="792"/>
        <v>#DIV/0!</v>
      </c>
      <c r="Z1527" s="692"/>
      <c r="AA1527" s="665"/>
      <c r="AB1527" s="74"/>
      <c r="AC1527" s="74"/>
      <c r="AD1527" s="44"/>
      <c r="AE1527" s="46"/>
      <c r="AF1527" s="39"/>
      <c r="AG1527" s="46"/>
      <c r="AH1527" s="36"/>
      <c r="AI1527" s="159"/>
      <c r="AJ1527" s="44"/>
      <c r="AK1527" s="46"/>
      <c r="AL1527" s="44"/>
      <c r="AM1527" s="46"/>
      <c r="AN1527" s="44"/>
      <c r="AO1527" s="46"/>
      <c r="AP1527" s="44"/>
      <c r="AQ1527" s="46"/>
      <c r="AR1527" s="44"/>
      <c r="AS1527" s="44"/>
      <c r="AT1527" s="44"/>
      <c r="AU1527" s="45"/>
      <c r="AV1527" s="44"/>
      <c r="AW1527" s="38"/>
      <c r="AX1527" s="44"/>
      <c r="AY1527" s="38"/>
      <c r="AZ1527" s="44"/>
      <c r="BA1527" s="45"/>
      <c r="BB1527" s="44"/>
      <c r="BC1527" s="45"/>
      <c r="BD1527" s="44"/>
      <c r="BE1527" s="38"/>
      <c r="BF1527" s="36"/>
      <c r="BG1527" s="115"/>
      <c r="BH1527" s="115"/>
      <c r="BI1527" s="115"/>
      <c r="BJ1527" s="115"/>
      <c r="BK1527" s="115"/>
      <c r="BL1527" s="115"/>
      <c r="BM1527" s="115"/>
      <c r="BN1527" s="115"/>
      <c r="BO1527" s="115"/>
      <c r="BP1527" s="115"/>
      <c r="BQ1527" s="115"/>
      <c r="BR1527" s="115"/>
      <c r="BS1527" s="115"/>
      <c r="BT1527" s="115"/>
      <c r="BU1527" s="115"/>
      <c r="BV1527" s="115"/>
      <c r="BW1527" s="115"/>
      <c r="BX1527" s="115"/>
      <c r="BY1527" s="115"/>
      <c r="BZ1527" s="115"/>
      <c r="CA1527" s="115"/>
      <c r="CB1527" s="115"/>
      <c r="CC1527" s="115"/>
      <c r="CD1527" s="115"/>
      <c r="CE1527" s="115"/>
      <c r="CF1527" s="115"/>
      <c r="CG1527" s="115"/>
      <c r="CH1527" s="115"/>
      <c r="CI1527" s="115"/>
      <c r="CJ1527" s="115"/>
      <c r="CK1527" s="115"/>
      <c r="CL1527" s="115"/>
      <c r="CM1527" s="115"/>
      <c r="CN1527" s="115"/>
      <c r="CO1527" s="115"/>
      <c r="CP1527" s="115"/>
    </row>
    <row r="1528" ht="15.75" customHeight="1">
      <c r="A1528" s="892" t="s">
        <v>7138</v>
      </c>
      <c r="B1528" s="68"/>
      <c r="C1528" s="69" t="s">
        <v>207</v>
      </c>
      <c r="D1528" s="192" t="s">
        <v>7139</v>
      </c>
      <c r="E1528" s="1634"/>
      <c r="F1528" s="118" t="s">
        <v>7140</v>
      </c>
      <c r="G1528" s="1696"/>
      <c r="H1528" s="1696"/>
      <c r="I1528" s="1194"/>
      <c r="J1528" s="1195"/>
      <c r="K1528" s="74"/>
      <c r="L1528" s="26"/>
      <c r="M1528" s="25">
        <f t="shared" si="789"/>
        <v>2025</v>
      </c>
      <c r="N1528" s="26">
        <f t="shared" si="790"/>
        <v>0</v>
      </c>
      <c r="O1528" s="27" t="str">
        <f t="shared" si="3"/>
        <v>#N/A</v>
      </c>
      <c r="P1528" s="28"/>
      <c r="Q1528" s="28"/>
      <c r="R1528" s="28"/>
      <c r="S1528" s="28"/>
      <c r="T1528" s="29">
        <f t="shared" si="791"/>
        <v>0</v>
      </c>
      <c r="U1528" s="28"/>
      <c r="V1528" s="30">
        <f t="shared" si="425"/>
        <v>0</v>
      </c>
      <c r="W1528" s="30"/>
      <c r="X1528" s="32"/>
      <c r="Y1528" s="33" t="str">
        <f t="shared" si="792"/>
        <v>#DIV/0!</v>
      </c>
      <c r="Z1528" s="692"/>
      <c r="AA1528" s="665"/>
      <c r="AB1528" s="74"/>
      <c r="AC1528" s="74"/>
      <c r="AD1528" s="44"/>
      <c r="AE1528" s="46"/>
      <c r="AF1528" s="39"/>
      <c r="AG1528" s="46"/>
      <c r="AH1528" s="36"/>
      <c r="AI1528" s="159"/>
      <c r="AJ1528" s="44"/>
      <c r="AK1528" s="46"/>
      <c r="AL1528" s="44"/>
      <c r="AM1528" s="46"/>
      <c r="AN1528" s="44"/>
      <c r="AO1528" s="46"/>
      <c r="AP1528" s="44"/>
      <c r="AQ1528" s="46"/>
      <c r="AR1528" s="44"/>
      <c r="AS1528" s="44"/>
      <c r="AT1528" s="44"/>
      <c r="AU1528" s="45"/>
      <c r="AV1528" s="44"/>
      <c r="AW1528" s="38"/>
      <c r="AX1528" s="44"/>
      <c r="AY1528" s="38"/>
      <c r="AZ1528" s="44"/>
      <c r="BA1528" s="45"/>
      <c r="BB1528" s="44"/>
      <c r="BC1528" s="45"/>
      <c r="BD1528" s="44"/>
      <c r="BE1528" s="38"/>
      <c r="BF1528" s="36"/>
      <c r="BG1528" s="68"/>
      <c r="BH1528" s="68"/>
      <c r="BI1528" s="68"/>
      <c r="BJ1528" s="68"/>
      <c r="BK1528" s="68"/>
      <c r="BL1528" s="68"/>
      <c r="BM1528" s="68"/>
      <c r="BN1528" s="68"/>
      <c r="BO1528" s="68"/>
      <c r="BP1528" s="68"/>
      <c r="BQ1528" s="68"/>
      <c r="BR1528" s="68"/>
      <c r="BS1528" s="68"/>
      <c r="BT1528" s="68"/>
      <c r="BU1528" s="68"/>
      <c r="BV1528" s="68"/>
      <c r="BW1528" s="68"/>
      <c r="BX1528" s="68"/>
      <c r="BY1528" s="68"/>
      <c r="BZ1528" s="68"/>
      <c r="CA1528" s="68"/>
      <c r="CB1528" s="68"/>
      <c r="CC1528" s="68"/>
      <c r="CD1528" s="68"/>
      <c r="CE1528" s="68"/>
      <c r="CF1528" s="68"/>
      <c r="CG1528" s="68"/>
      <c r="CH1528" s="68"/>
      <c r="CI1528" s="68"/>
      <c r="CJ1528" s="68"/>
      <c r="CK1528" s="68"/>
      <c r="CL1528" s="68"/>
      <c r="CM1528" s="68"/>
      <c r="CN1528" s="68"/>
      <c r="CO1528" s="68"/>
      <c r="CP1528" s="68"/>
    </row>
    <row r="1529" ht="15.75" customHeight="1">
      <c r="A1529" s="1162" t="s">
        <v>7141</v>
      </c>
      <c r="B1529" s="68"/>
      <c r="C1529" s="69" t="s">
        <v>283</v>
      </c>
      <c r="D1529" s="1634"/>
      <c r="E1529" s="492" t="s">
        <v>7142</v>
      </c>
      <c r="F1529" s="803" t="s">
        <v>7143</v>
      </c>
      <c r="G1529" s="810" t="s">
        <v>7144</v>
      </c>
      <c r="H1529" s="810" t="s">
        <v>7145</v>
      </c>
      <c r="I1529" s="1194" t="s">
        <v>2840</v>
      </c>
      <c r="J1529" s="1195"/>
      <c r="K1529" s="26">
        <v>1.0</v>
      </c>
      <c r="L1529" s="26">
        <v>2015.0</v>
      </c>
      <c r="M1529" s="25">
        <f t="shared" si="789"/>
        <v>10</v>
      </c>
      <c r="N1529" s="26">
        <f t="shared" si="790"/>
        <v>0</v>
      </c>
      <c r="O1529" s="27" t="str">
        <f t="shared" si="3"/>
        <v>#N/A</v>
      </c>
      <c r="P1529" s="28"/>
      <c r="Q1529" s="28"/>
      <c r="R1529" s="28"/>
      <c r="S1529" s="28"/>
      <c r="T1529" s="29">
        <f t="shared" si="791"/>
        <v>0</v>
      </c>
      <c r="U1529" s="28"/>
      <c r="V1529" s="30">
        <f t="shared" si="425"/>
        <v>0</v>
      </c>
      <c r="W1529" s="30"/>
      <c r="X1529" s="73"/>
      <c r="Y1529" s="33" t="str">
        <f t="shared" si="792"/>
        <v>#DIV/0!</v>
      </c>
      <c r="Z1529" s="692"/>
      <c r="AA1529" s="665"/>
      <c r="AB1529" s="74"/>
      <c r="AC1529" s="74"/>
      <c r="AD1529" s="44"/>
      <c r="AE1529" s="46"/>
      <c r="AF1529" s="39"/>
      <c r="AG1529" s="46"/>
      <c r="AH1529" s="36"/>
      <c r="AI1529" s="159"/>
      <c r="AJ1529" s="44"/>
      <c r="AK1529" s="46"/>
      <c r="AL1529" s="44"/>
      <c r="AM1529" s="46"/>
      <c r="AN1529" s="44"/>
      <c r="AO1529" s="46"/>
      <c r="AP1529" s="44"/>
      <c r="AQ1529" s="46"/>
      <c r="AR1529" s="44"/>
      <c r="AS1529" s="44"/>
      <c r="AT1529" s="44"/>
      <c r="AU1529" s="45"/>
      <c r="AV1529" s="44"/>
      <c r="AW1529" s="38"/>
      <c r="AX1529" s="44"/>
      <c r="AY1529" s="38"/>
      <c r="AZ1529" s="44"/>
      <c r="BA1529" s="45"/>
      <c r="BB1529" s="44"/>
      <c r="BC1529" s="45"/>
      <c r="BD1529" s="44"/>
      <c r="BE1529" s="38"/>
      <c r="BF1529" s="36"/>
      <c r="BG1529" s="68"/>
      <c r="BH1529" s="68"/>
      <c r="BI1529" s="68"/>
      <c r="BJ1529" s="68"/>
      <c r="BK1529" s="68"/>
      <c r="BL1529" s="68"/>
      <c r="BM1529" s="68"/>
      <c r="BN1529" s="68"/>
      <c r="BO1529" s="68"/>
      <c r="BP1529" s="68"/>
      <c r="BQ1529" s="68"/>
      <c r="BR1529" s="68"/>
      <c r="BS1529" s="68"/>
      <c r="BT1529" s="68"/>
      <c r="BU1529" s="68"/>
      <c r="BV1529" s="68"/>
      <c r="BW1529" s="68"/>
      <c r="BX1529" s="68"/>
      <c r="BY1529" s="68"/>
      <c r="BZ1529" s="68"/>
      <c r="CA1529" s="68"/>
      <c r="CB1529" s="68"/>
      <c r="CC1529" s="68"/>
      <c r="CD1529" s="68"/>
      <c r="CE1529" s="68"/>
      <c r="CF1529" s="68"/>
      <c r="CG1529" s="68"/>
      <c r="CH1529" s="68"/>
      <c r="CI1529" s="68"/>
      <c r="CJ1529" s="68"/>
      <c r="CK1529" s="68"/>
      <c r="CL1529" s="68"/>
      <c r="CM1529" s="68"/>
      <c r="CN1529" s="68"/>
      <c r="CO1529" s="68"/>
      <c r="CP1529" s="68"/>
    </row>
    <row r="1530" ht="15.75" customHeight="1">
      <c r="A1530" s="21" t="s">
        <v>7146</v>
      </c>
      <c r="B1530" s="69" t="s">
        <v>7147</v>
      </c>
      <c r="C1530" s="69" t="s">
        <v>123</v>
      </c>
      <c r="D1530" s="337"/>
      <c r="E1530" s="492" t="s">
        <v>7148</v>
      </c>
      <c r="F1530" s="173" t="s">
        <v>7149</v>
      </c>
      <c r="G1530" s="1697" t="s">
        <v>7150</v>
      </c>
      <c r="H1530" s="1697" t="s">
        <v>7151</v>
      </c>
      <c r="I1530" s="1401" t="s">
        <v>2839</v>
      </c>
      <c r="J1530" s="72" t="s">
        <v>7152</v>
      </c>
      <c r="K1530" s="26">
        <v>1.0</v>
      </c>
      <c r="L1530" s="26">
        <v>2011.0</v>
      </c>
      <c r="M1530" s="25">
        <f t="shared" si="789"/>
        <v>14</v>
      </c>
      <c r="N1530" s="26">
        <f t="shared" si="790"/>
        <v>0</v>
      </c>
      <c r="O1530" s="27" t="str">
        <f t="shared" si="3"/>
        <v>#N/A</v>
      </c>
      <c r="P1530" s="28"/>
      <c r="Q1530" s="28"/>
      <c r="R1530" s="28"/>
      <c r="S1530" s="28"/>
      <c r="T1530" s="29">
        <f t="shared" si="791"/>
        <v>0</v>
      </c>
      <c r="U1530" s="28"/>
      <c r="V1530" s="30">
        <f t="shared" si="425"/>
        <v>0</v>
      </c>
      <c r="W1530" s="30"/>
      <c r="X1530" s="73"/>
      <c r="Y1530" s="33" t="str">
        <f t="shared" si="792"/>
        <v>#DIV/0!</v>
      </c>
      <c r="Z1530" s="692"/>
      <c r="AA1530" s="665"/>
      <c r="AB1530" s="74"/>
      <c r="AC1530" s="74"/>
      <c r="AD1530" s="44"/>
      <c r="AE1530" s="46"/>
      <c r="AF1530" s="39"/>
      <c r="AG1530" s="46"/>
      <c r="AH1530" s="36"/>
      <c r="AI1530" s="159"/>
      <c r="AJ1530" s="44"/>
      <c r="AK1530" s="46"/>
      <c r="AL1530" s="44"/>
      <c r="AM1530" s="46"/>
      <c r="AN1530" s="44"/>
      <c r="AO1530" s="46"/>
      <c r="AP1530" s="44"/>
      <c r="AQ1530" s="46"/>
      <c r="AR1530" s="44"/>
      <c r="AS1530" s="44"/>
      <c r="AT1530" s="44"/>
      <c r="AU1530" s="45"/>
      <c r="AV1530" s="44"/>
      <c r="AW1530" s="38"/>
      <c r="AX1530" s="44"/>
      <c r="AY1530" s="38"/>
      <c r="AZ1530" s="44"/>
      <c r="BA1530" s="45"/>
      <c r="BB1530" s="44"/>
      <c r="BC1530" s="45"/>
      <c r="BD1530" s="44"/>
      <c r="BE1530" s="38"/>
      <c r="BF1530" s="36"/>
      <c r="BG1530" s="68"/>
      <c r="BH1530" s="68"/>
      <c r="BI1530" s="68"/>
      <c r="BJ1530" s="68"/>
      <c r="BK1530" s="68"/>
      <c r="BL1530" s="68"/>
      <c r="BM1530" s="68"/>
      <c r="BN1530" s="68"/>
      <c r="BO1530" s="68"/>
      <c r="BP1530" s="68"/>
      <c r="BQ1530" s="68"/>
      <c r="BR1530" s="68"/>
      <c r="BS1530" s="68"/>
      <c r="BT1530" s="68"/>
      <c r="BU1530" s="68"/>
      <c r="BV1530" s="68"/>
      <c r="BW1530" s="68"/>
      <c r="BX1530" s="68"/>
      <c r="BY1530" s="68"/>
      <c r="BZ1530" s="68"/>
      <c r="CA1530" s="68"/>
      <c r="CB1530" s="68"/>
      <c r="CC1530" s="68"/>
      <c r="CD1530" s="68"/>
      <c r="CE1530" s="68"/>
      <c r="CF1530" s="68"/>
      <c r="CG1530" s="68"/>
      <c r="CH1530" s="68"/>
      <c r="CI1530" s="68"/>
      <c r="CJ1530" s="68"/>
      <c r="CK1530" s="68"/>
      <c r="CL1530" s="68"/>
      <c r="CM1530" s="68"/>
      <c r="CN1530" s="68"/>
      <c r="CO1530" s="68"/>
      <c r="CP1530" s="68"/>
    </row>
    <row r="1531" ht="15.75" customHeight="1">
      <c r="A1531" s="21" t="s">
        <v>7153</v>
      </c>
      <c r="B1531" s="858"/>
      <c r="C1531" s="69" t="s">
        <v>123</v>
      </c>
      <c r="D1531" s="380"/>
      <c r="E1531" s="192" t="s">
        <v>7154</v>
      </c>
      <c r="F1531" s="118" t="s">
        <v>7155</v>
      </c>
      <c r="G1531" s="71"/>
      <c r="H1531" s="71" t="s">
        <v>129</v>
      </c>
      <c r="I1531" s="26" t="s">
        <v>129</v>
      </c>
      <c r="J1531" s="155"/>
      <c r="K1531" s="26"/>
      <c r="L1531" s="26">
        <v>1967.0</v>
      </c>
      <c r="M1531" s="25">
        <f t="shared" si="789"/>
        <v>58</v>
      </c>
      <c r="N1531" s="26">
        <f t="shared" si="790"/>
        <v>0</v>
      </c>
      <c r="O1531" s="27" t="str">
        <f t="shared" si="3"/>
        <v>#N/A</v>
      </c>
      <c r="P1531" s="28"/>
      <c r="Q1531" s="28"/>
      <c r="R1531" s="28"/>
      <c r="S1531" s="28"/>
      <c r="T1531" s="29">
        <f t="shared" si="791"/>
        <v>0</v>
      </c>
      <c r="U1531" s="28"/>
      <c r="V1531" s="30">
        <f t="shared" si="425"/>
        <v>0</v>
      </c>
      <c r="W1531" s="30"/>
      <c r="X1531" s="73"/>
      <c r="Y1531" s="33" t="str">
        <f t="shared" si="792"/>
        <v>#DIV/0!</v>
      </c>
      <c r="Z1531" s="692"/>
      <c r="AA1531" s="665"/>
      <c r="AB1531" s="74"/>
      <c r="AC1531" s="74"/>
      <c r="AD1531" s="44"/>
      <c r="AE1531" s="46"/>
      <c r="AF1531" s="39"/>
      <c r="AG1531" s="46"/>
      <c r="AH1531" s="36"/>
      <c r="AI1531" s="159"/>
      <c r="AJ1531" s="44"/>
      <c r="AK1531" s="46"/>
      <c r="AL1531" s="44"/>
      <c r="AM1531" s="46"/>
      <c r="AN1531" s="44"/>
      <c r="AO1531" s="46"/>
      <c r="AP1531" s="44"/>
      <c r="AQ1531" s="46"/>
      <c r="AR1531" s="44"/>
      <c r="AS1531" s="44"/>
      <c r="AT1531" s="44"/>
      <c r="AU1531" s="45"/>
      <c r="AV1531" s="44"/>
      <c r="AW1531" s="38"/>
      <c r="AX1531" s="44"/>
      <c r="AY1531" s="38"/>
      <c r="AZ1531" s="44"/>
      <c r="BA1531" s="45"/>
      <c r="BB1531" s="44"/>
      <c r="BC1531" s="45"/>
      <c r="BD1531" s="44"/>
      <c r="BE1531" s="38"/>
      <c r="BF1531" s="36"/>
      <c r="BG1531" s="68"/>
      <c r="BH1531" s="68"/>
      <c r="BI1531" s="68"/>
      <c r="BJ1531" s="68"/>
      <c r="BK1531" s="68"/>
      <c r="BL1531" s="68"/>
      <c r="BM1531" s="68"/>
      <c r="BN1531" s="68"/>
      <c r="BO1531" s="68"/>
      <c r="BP1531" s="68"/>
      <c r="BQ1531" s="68"/>
      <c r="BR1531" s="68"/>
      <c r="BS1531" s="68"/>
      <c r="BT1531" s="68"/>
      <c r="BU1531" s="68"/>
      <c r="BV1531" s="68"/>
      <c r="BW1531" s="68"/>
      <c r="BX1531" s="68"/>
      <c r="BY1531" s="68"/>
      <c r="BZ1531" s="68"/>
      <c r="CA1531" s="68"/>
      <c r="CB1531" s="68"/>
      <c r="CC1531" s="68"/>
      <c r="CD1531" s="68"/>
      <c r="CE1531" s="68"/>
      <c r="CF1531" s="68"/>
      <c r="CG1531" s="68"/>
      <c r="CH1531" s="68"/>
      <c r="CI1531" s="68"/>
      <c r="CJ1531" s="68"/>
      <c r="CK1531" s="68"/>
      <c r="CL1531" s="68"/>
      <c r="CM1531" s="68"/>
      <c r="CN1531" s="68"/>
      <c r="CO1531" s="68"/>
      <c r="CP1531" s="68"/>
    </row>
    <row r="1532" ht="15.75" customHeight="1">
      <c r="A1532" s="21" t="s">
        <v>7156</v>
      </c>
      <c r="B1532" s="858" t="s">
        <v>7157</v>
      </c>
      <c r="C1532" s="858" t="s">
        <v>1007</v>
      </c>
      <c r="D1532" s="200" t="s">
        <v>7158</v>
      </c>
      <c r="E1532" s="492" t="s">
        <v>7159</v>
      </c>
      <c r="F1532" s="173" t="s">
        <v>7160</v>
      </c>
      <c r="G1532" s="71" t="s">
        <v>7161</v>
      </c>
      <c r="H1532" s="71" t="s">
        <v>7162</v>
      </c>
      <c r="I1532" s="26" t="s">
        <v>7163</v>
      </c>
      <c r="J1532" s="155"/>
      <c r="K1532" s="26">
        <v>1.0</v>
      </c>
      <c r="L1532" s="26">
        <v>2017.0</v>
      </c>
      <c r="M1532" s="25">
        <f t="shared" si="789"/>
        <v>8</v>
      </c>
      <c r="N1532" s="26">
        <f t="shared" si="790"/>
        <v>0</v>
      </c>
      <c r="O1532" s="27" t="str">
        <f t="shared" si="3"/>
        <v>#N/A</v>
      </c>
      <c r="P1532" s="28"/>
      <c r="Q1532" s="28"/>
      <c r="R1532" s="28"/>
      <c r="S1532" s="28"/>
      <c r="T1532" s="29">
        <f t="shared" si="791"/>
        <v>0</v>
      </c>
      <c r="U1532" s="28"/>
      <c r="V1532" s="30">
        <f t="shared" si="425"/>
        <v>0</v>
      </c>
      <c r="W1532" s="30"/>
      <c r="X1532" s="73"/>
      <c r="Y1532" s="33" t="str">
        <f t="shared" si="792"/>
        <v>#DIV/0!</v>
      </c>
      <c r="Z1532" s="692"/>
      <c r="AA1532" s="665"/>
      <c r="AB1532" s="74"/>
      <c r="AC1532" s="74"/>
      <c r="AD1532" s="44"/>
      <c r="AE1532" s="46"/>
      <c r="AF1532" s="158" t="str">
        <f>HYPERLINK("https://www.crunchbase.com/organization/foxy-ai#section-funding-rounds"," Oct 7, 2017        
")</f>
        <v> Oct 7, 2017        
</v>
      </c>
      <c r="AG1532" s="46"/>
      <c r="AH1532" s="36"/>
      <c r="AI1532" s="159"/>
      <c r="AJ1532" s="44"/>
      <c r="AK1532" s="46"/>
      <c r="AL1532" s="44"/>
      <c r="AM1532" s="46"/>
      <c r="AN1532" s="44"/>
      <c r="AO1532" s="46"/>
      <c r="AP1532" s="44"/>
      <c r="AQ1532" s="46"/>
      <c r="AR1532" s="44"/>
      <c r="AS1532" s="44"/>
      <c r="AT1532" s="44"/>
      <c r="AU1532" s="45"/>
      <c r="AV1532" s="44"/>
      <c r="AW1532" s="38"/>
      <c r="AX1532" s="44"/>
      <c r="AY1532" s="38"/>
      <c r="AZ1532" s="44"/>
      <c r="BA1532" s="45"/>
      <c r="BB1532" s="44"/>
      <c r="BC1532" s="45"/>
      <c r="BD1532" s="44"/>
      <c r="BE1532" s="38"/>
      <c r="BF1532" s="36"/>
      <c r="BG1532" s="68"/>
      <c r="BH1532" s="68"/>
      <c r="BI1532" s="68"/>
      <c r="BJ1532" s="68"/>
      <c r="BK1532" s="68"/>
      <c r="BL1532" s="68"/>
      <c r="BM1532" s="68"/>
      <c r="BN1532" s="68"/>
      <c r="BO1532" s="68"/>
      <c r="BP1532" s="68"/>
      <c r="BQ1532" s="68"/>
      <c r="BR1532" s="68"/>
      <c r="BS1532" s="68"/>
      <c r="BT1532" s="68"/>
      <c r="BU1532" s="68"/>
      <c r="BV1532" s="68"/>
      <c r="BW1532" s="68"/>
      <c r="BX1532" s="68"/>
      <c r="BY1532" s="68"/>
      <c r="BZ1532" s="68"/>
      <c r="CA1532" s="68"/>
      <c r="CB1532" s="68"/>
      <c r="CC1532" s="68"/>
      <c r="CD1532" s="68"/>
      <c r="CE1532" s="68"/>
      <c r="CF1532" s="68"/>
      <c r="CG1532" s="68"/>
      <c r="CH1532" s="68"/>
      <c r="CI1532" s="68"/>
      <c r="CJ1532" s="68"/>
      <c r="CK1532" s="68"/>
      <c r="CL1532" s="68"/>
      <c r="CM1532" s="68"/>
      <c r="CN1532" s="68"/>
      <c r="CO1532" s="68"/>
      <c r="CP1532" s="68"/>
    </row>
    <row r="1533" ht="15.75" customHeight="1">
      <c r="A1533" s="21" t="s">
        <v>7164</v>
      </c>
      <c r="B1533" s="69" t="s">
        <v>7165</v>
      </c>
      <c r="C1533" s="858" t="s">
        <v>1007</v>
      </c>
      <c r="D1533" s="385" t="s">
        <v>5511</v>
      </c>
      <c r="E1533" s="492" t="s">
        <v>7166</v>
      </c>
      <c r="F1533" s="154" t="s">
        <v>7167</v>
      </c>
      <c r="G1533" s="140" t="s">
        <v>7168</v>
      </c>
      <c r="H1533" s="71" t="s">
        <v>401</v>
      </c>
      <c r="I1533" s="74"/>
      <c r="J1533" s="72" t="s">
        <v>7169</v>
      </c>
      <c r="K1533" s="74" t="s">
        <v>723</v>
      </c>
      <c r="L1533" s="26">
        <v>2003.0</v>
      </c>
      <c r="M1533" s="25">
        <f t="shared" si="789"/>
        <v>22</v>
      </c>
      <c r="N1533" s="26">
        <f t="shared" si="790"/>
        <v>0</v>
      </c>
      <c r="O1533" s="27" t="str">
        <f t="shared" si="3"/>
        <v>#N/A</v>
      </c>
      <c r="P1533" s="28"/>
      <c r="Q1533" s="28"/>
      <c r="R1533" s="28"/>
      <c r="S1533" s="28"/>
      <c r="T1533" s="29">
        <f t="shared" si="791"/>
        <v>0</v>
      </c>
      <c r="U1533" s="28"/>
      <c r="V1533" s="30">
        <f t="shared" si="425"/>
        <v>0</v>
      </c>
      <c r="W1533" s="30"/>
      <c r="X1533" s="32"/>
      <c r="Y1533" s="33" t="str">
        <f t="shared" si="792"/>
        <v>#DIV/0!</v>
      </c>
      <c r="Z1533" s="692"/>
      <c r="AA1533" s="665"/>
      <c r="AB1533" s="74"/>
      <c r="AC1533" s="74"/>
      <c r="AD1533" s="37"/>
      <c r="AE1533" s="38"/>
      <c r="AF1533" s="39"/>
      <c r="AG1533" s="46"/>
      <c r="AH1533" s="36"/>
      <c r="AI1533" s="159"/>
      <c r="AJ1533" s="44"/>
      <c r="AK1533" s="46"/>
      <c r="AL1533" s="44"/>
      <c r="AM1533" s="46"/>
      <c r="AN1533" s="44"/>
      <c r="AO1533" s="46"/>
      <c r="AP1533" s="44"/>
      <c r="AQ1533" s="46"/>
      <c r="AR1533" s="44"/>
      <c r="AS1533" s="44"/>
      <c r="AT1533" s="44"/>
      <c r="AU1533" s="45"/>
      <c r="AV1533" s="44"/>
      <c r="AW1533" s="38"/>
      <c r="AX1533" s="44"/>
      <c r="AY1533" s="38"/>
      <c r="AZ1533" s="44"/>
      <c r="BA1533" s="45"/>
      <c r="BB1533" s="44"/>
      <c r="BC1533" s="45"/>
      <c r="BD1533" s="44"/>
      <c r="BE1533" s="38"/>
      <c r="BF1533" s="36"/>
      <c r="BG1533" s="68"/>
      <c r="BH1533" s="68"/>
      <c r="BI1533" s="68"/>
      <c r="BJ1533" s="68"/>
      <c r="BK1533" s="68"/>
      <c r="BL1533" s="68"/>
      <c r="BM1533" s="68"/>
      <c r="BN1533" s="68"/>
      <c r="BO1533" s="68"/>
      <c r="BP1533" s="68"/>
      <c r="BQ1533" s="68"/>
      <c r="BR1533" s="68"/>
      <c r="BS1533" s="68"/>
      <c r="BT1533" s="68"/>
      <c r="BU1533" s="68"/>
      <c r="BV1533" s="68"/>
      <c r="BW1533" s="68"/>
      <c r="BX1533" s="68"/>
      <c r="BY1533" s="68"/>
      <c r="BZ1533" s="68"/>
      <c r="CA1533" s="68"/>
      <c r="CB1533" s="68"/>
      <c r="CC1533" s="68"/>
      <c r="CD1533" s="68"/>
      <c r="CE1533" s="68"/>
      <c r="CF1533" s="68"/>
      <c r="CG1533" s="68"/>
      <c r="CH1533" s="68"/>
      <c r="CI1533" s="68"/>
      <c r="CJ1533" s="68"/>
      <c r="CK1533" s="68"/>
      <c r="CL1533" s="68"/>
      <c r="CM1533" s="68"/>
      <c r="CN1533" s="68"/>
      <c r="CO1533" s="68"/>
      <c r="CP1533" s="68"/>
    </row>
    <row r="1534" ht="15.75" customHeight="1">
      <c r="A1534" s="1531" t="s">
        <v>7170</v>
      </c>
      <c r="B1534" s="69"/>
      <c r="C1534" s="69" t="s">
        <v>123</v>
      </c>
      <c r="D1534" s="192" t="s">
        <v>7171</v>
      </c>
      <c r="E1534" s="192" t="s">
        <v>7172</v>
      </c>
      <c r="F1534" s="118" t="s">
        <v>7173</v>
      </c>
      <c r="G1534" s="71"/>
      <c r="H1534" s="71" t="s">
        <v>328</v>
      </c>
      <c r="I1534" s="26" t="s">
        <v>329</v>
      </c>
      <c r="J1534" s="155"/>
      <c r="K1534" s="26"/>
      <c r="L1534" s="26"/>
      <c r="M1534" s="25">
        <f t="shared" si="789"/>
        <v>2025</v>
      </c>
      <c r="N1534" s="26">
        <f t="shared" si="790"/>
        <v>0</v>
      </c>
      <c r="O1534" s="27" t="str">
        <f t="shared" si="3"/>
        <v>#N/A</v>
      </c>
      <c r="P1534" s="28"/>
      <c r="Q1534" s="28"/>
      <c r="R1534" s="28"/>
      <c r="S1534" s="28"/>
      <c r="T1534" s="29">
        <f t="shared" si="791"/>
        <v>0</v>
      </c>
      <c r="U1534" s="28"/>
      <c r="V1534" s="30">
        <f t="shared" si="425"/>
        <v>0</v>
      </c>
      <c r="W1534" s="30"/>
      <c r="X1534" s="73"/>
      <c r="Y1534" s="33" t="str">
        <f t="shared" si="792"/>
        <v>#DIV/0!</v>
      </c>
      <c r="Z1534" s="692"/>
      <c r="AA1534" s="665"/>
      <c r="AB1534" s="74"/>
      <c r="AC1534" s="74"/>
      <c r="AD1534" s="44"/>
      <c r="AE1534" s="46"/>
      <c r="AF1534" s="39"/>
      <c r="AG1534" s="46"/>
      <c r="AH1534" s="36"/>
      <c r="AI1534" s="159"/>
      <c r="AJ1534" s="44"/>
      <c r="AK1534" s="46"/>
      <c r="AL1534" s="44"/>
      <c r="AM1534" s="46"/>
      <c r="AN1534" s="44"/>
      <c r="AO1534" s="46"/>
      <c r="AP1534" s="44"/>
      <c r="AQ1534" s="46"/>
      <c r="AR1534" s="44"/>
      <c r="AS1534" s="44"/>
      <c r="AT1534" s="44"/>
      <c r="AU1534" s="45"/>
      <c r="AV1534" s="44"/>
      <c r="AW1534" s="38"/>
      <c r="AX1534" s="44"/>
      <c r="AY1534" s="38"/>
      <c r="AZ1534" s="44"/>
      <c r="BA1534" s="45"/>
      <c r="BB1534" s="44"/>
      <c r="BC1534" s="45"/>
      <c r="BD1534" s="44"/>
      <c r="BE1534" s="38"/>
      <c r="BF1534" s="36"/>
      <c r="BG1534" s="68"/>
      <c r="BH1534" s="68"/>
      <c r="BI1534" s="68"/>
      <c r="BJ1534" s="68"/>
      <c r="BK1534" s="68"/>
      <c r="BL1534" s="68"/>
      <c r="BM1534" s="68"/>
      <c r="BN1534" s="68"/>
      <c r="BO1534" s="68"/>
      <c r="BP1534" s="68"/>
      <c r="BQ1534" s="68"/>
      <c r="BR1534" s="68"/>
      <c r="BS1534" s="68"/>
      <c r="BT1534" s="68"/>
      <c r="BU1534" s="68"/>
      <c r="BV1534" s="68"/>
      <c r="BW1534" s="68"/>
      <c r="BX1534" s="68"/>
      <c r="BY1534" s="68"/>
      <c r="BZ1534" s="68"/>
      <c r="CA1534" s="68"/>
      <c r="CB1534" s="68"/>
      <c r="CC1534" s="68"/>
      <c r="CD1534" s="68"/>
      <c r="CE1534" s="68"/>
      <c r="CF1534" s="68"/>
      <c r="CG1534" s="68"/>
      <c r="CH1534" s="68"/>
      <c r="CI1534" s="68"/>
      <c r="CJ1534" s="68"/>
      <c r="CK1534" s="68"/>
      <c r="CL1534" s="68"/>
      <c r="CM1534" s="68"/>
      <c r="CN1534" s="68"/>
      <c r="CO1534" s="68"/>
      <c r="CP1534" s="68"/>
    </row>
    <row r="1535" ht="15.75" customHeight="1">
      <c r="A1535" s="21" t="s">
        <v>7174</v>
      </c>
      <c r="B1535" s="69" t="s">
        <v>7175</v>
      </c>
      <c r="C1535" s="69" t="s">
        <v>123</v>
      </c>
      <c r="D1535" s="337"/>
      <c r="E1535" s="1255" t="s">
        <v>7176</v>
      </c>
      <c r="F1535" s="173" t="s">
        <v>7177</v>
      </c>
      <c r="G1535" s="71" t="s">
        <v>3273</v>
      </c>
      <c r="H1535" s="186"/>
      <c r="I1535" s="74"/>
      <c r="J1535" s="155"/>
      <c r="K1535" s="26">
        <v>1.0</v>
      </c>
      <c r="L1535" s="26">
        <v>2017.0</v>
      </c>
      <c r="M1535" s="25">
        <f t="shared" si="789"/>
        <v>8</v>
      </c>
      <c r="N1535" s="26">
        <f t="shared" si="790"/>
        <v>0</v>
      </c>
      <c r="O1535" s="27" t="str">
        <f t="shared" si="3"/>
        <v>#N/A</v>
      </c>
      <c r="P1535" s="28"/>
      <c r="Q1535" s="28"/>
      <c r="R1535" s="28"/>
      <c r="S1535" s="28"/>
      <c r="T1535" s="29">
        <f t="shared" si="791"/>
        <v>0</v>
      </c>
      <c r="U1535" s="28"/>
      <c r="V1535" s="30">
        <f t="shared" si="425"/>
        <v>0</v>
      </c>
      <c r="W1535" s="30"/>
      <c r="X1535" s="73"/>
      <c r="Y1535" s="33" t="str">
        <f t="shared" si="792"/>
        <v>#DIV/0!</v>
      </c>
      <c r="Z1535" s="692"/>
      <c r="AA1535" s="665"/>
      <c r="AB1535" s="74"/>
      <c r="AC1535" s="74"/>
      <c r="AD1535" s="44"/>
      <c r="AE1535" s="46"/>
      <c r="AF1535" s="39"/>
      <c r="AG1535" s="46"/>
      <c r="AH1535" s="36"/>
      <c r="AI1535" s="159"/>
      <c r="AJ1535" s="44"/>
      <c r="AK1535" s="46"/>
      <c r="AL1535" s="44"/>
      <c r="AM1535" s="46"/>
      <c r="AN1535" s="44"/>
      <c r="AO1535" s="46"/>
      <c r="AP1535" s="44"/>
      <c r="AQ1535" s="46"/>
      <c r="AR1535" s="44"/>
      <c r="AS1535" s="44"/>
      <c r="AT1535" s="44"/>
      <c r="AU1535" s="45"/>
      <c r="AV1535" s="44"/>
      <c r="AW1535" s="38"/>
      <c r="AX1535" s="44"/>
      <c r="AY1535" s="38"/>
      <c r="AZ1535" s="44"/>
      <c r="BA1535" s="45"/>
      <c r="BB1535" s="44"/>
      <c r="BC1535" s="45"/>
      <c r="BD1535" s="44"/>
      <c r="BE1535" s="38"/>
      <c r="BF1535" s="36"/>
      <c r="BG1535" s="68"/>
      <c r="BH1535" s="68"/>
      <c r="BI1535" s="68"/>
      <c r="BJ1535" s="68"/>
      <c r="BK1535" s="68"/>
      <c r="BL1535" s="68"/>
      <c r="BM1535" s="68"/>
      <c r="BN1535" s="68"/>
      <c r="BO1535" s="68"/>
      <c r="BP1535" s="68"/>
      <c r="BQ1535" s="68"/>
      <c r="BR1535" s="68"/>
      <c r="BS1535" s="68"/>
      <c r="BT1535" s="68"/>
      <c r="BU1535" s="68"/>
      <c r="BV1535" s="68"/>
      <c r="BW1535" s="68"/>
      <c r="BX1535" s="68"/>
      <c r="BY1535" s="68"/>
      <c r="BZ1535" s="68"/>
      <c r="CA1535" s="68"/>
      <c r="CB1535" s="68"/>
      <c r="CC1535" s="68"/>
      <c r="CD1535" s="68"/>
      <c r="CE1535" s="68"/>
      <c r="CF1535" s="68"/>
      <c r="CG1535" s="68"/>
      <c r="CH1535" s="68"/>
      <c r="CI1535" s="68"/>
      <c r="CJ1535" s="68"/>
      <c r="CK1535" s="68"/>
      <c r="CL1535" s="68"/>
      <c r="CM1535" s="68"/>
      <c r="CN1535" s="68"/>
      <c r="CO1535" s="68"/>
      <c r="CP1535" s="68"/>
    </row>
    <row r="1536" ht="15.75" customHeight="1">
      <c r="A1536" s="21" t="s">
        <v>7178</v>
      </c>
      <c r="B1536" s="26" t="s">
        <v>7179</v>
      </c>
      <c r="C1536" s="26" t="s">
        <v>123</v>
      </c>
      <c r="D1536" s="652"/>
      <c r="E1536" s="1698" t="s">
        <v>7180</v>
      </c>
      <c r="F1536" s="154" t="s">
        <v>7181</v>
      </c>
      <c r="G1536" s="186"/>
      <c r="H1536" s="140" t="s">
        <v>7182</v>
      </c>
      <c r="I1536" s="74"/>
      <c r="J1536" s="155"/>
      <c r="K1536" s="74" t="s">
        <v>723</v>
      </c>
      <c r="L1536" s="26">
        <v>2015.0</v>
      </c>
      <c r="M1536" s="25">
        <f t="shared" si="789"/>
        <v>10</v>
      </c>
      <c r="N1536" s="26">
        <f t="shared" si="790"/>
        <v>0</v>
      </c>
      <c r="O1536" s="27" t="str">
        <f t="shared" si="3"/>
        <v>#N/A</v>
      </c>
      <c r="P1536" s="28"/>
      <c r="Q1536" s="28"/>
      <c r="R1536" s="28"/>
      <c r="S1536" s="28"/>
      <c r="T1536" s="29">
        <f t="shared" si="791"/>
        <v>0</v>
      </c>
      <c r="U1536" s="28"/>
      <c r="V1536" s="30">
        <f t="shared" si="425"/>
        <v>0</v>
      </c>
      <c r="W1536" s="30"/>
      <c r="X1536" s="32"/>
      <c r="Y1536" s="33" t="str">
        <f t="shared" si="792"/>
        <v>#DIV/0!</v>
      </c>
      <c r="Z1536" s="692"/>
      <c r="AA1536" s="665"/>
      <c r="AB1536" s="74"/>
      <c r="AC1536" s="74"/>
      <c r="AD1536" s="44"/>
      <c r="AE1536" s="46"/>
      <c r="AF1536" s="39"/>
      <c r="AG1536" s="46"/>
      <c r="AH1536" s="36"/>
      <c r="AI1536" s="159"/>
      <c r="AJ1536" s="44"/>
      <c r="AK1536" s="46"/>
      <c r="AL1536" s="44"/>
      <c r="AM1536" s="46"/>
      <c r="AN1536" s="44"/>
      <c r="AO1536" s="46"/>
      <c r="AP1536" s="1261"/>
      <c r="AQ1536" s="46"/>
      <c r="AR1536" s="44"/>
      <c r="AS1536" s="44"/>
      <c r="AT1536" s="44"/>
      <c r="AU1536" s="45"/>
      <c r="AV1536" s="44"/>
      <c r="AW1536" s="38"/>
      <c r="AX1536" s="44"/>
      <c r="AY1536" s="38"/>
      <c r="AZ1536" s="44"/>
      <c r="BA1536" s="45"/>
      <c r="BB1536" s="44"/>
      <c r="BC1536" s="45"/>
      <c r="BD1536" s="44"/>
      <c r="BE1536" s="38"/>
      <c r="BF1536" s="36"/>
      <c r="BG1536" s="68"/>
      <c r="BH1536" s="68"/>
      <c r="BI1536" s="68"/>
      <c r="BJ1536" s="68"/>
      <c r="BK1536" s="68"/>
      <c r="BL1536" s="68"/>
      <c r="BM1536" s="68"/>
      <c r="BN1536" s="68"/>
      <c r="BO1536" s="68"/>
      <c r="BP1536" s="68"/>
      <c r="BQ1536" s="68"/>
      <c r="BR1536" s="68"/>
      <c r="BS1536" s="68"/>
      <c r="BT1536" s="68"/>
      <c r="BU1536" s="68"/>
      <c r="BV1536" s="68"/>
      <c r="BW1536" s="68"/>
      <c r="BX1536" s="68"/>
      <c r="BY1536" s="68"/>
      <c r="BZ1536" s="68"/>
      <c r="CA1536" s="68"/>
      <c r="CB1536" s="68"/>
      <c r="CC1536" s="68"/>
      <c r="CD1536" s="68"/>
      <c r="CE1536" s="68"/>
      <c r="CF1536" s="68"/>
      <c r="CG1536" s="68"/>
      <c r="CH1536" s="68"/>
      <c r="CI1536" s="68"/>
      <c r="CJ1536" s="68"/>
      <c r="CK1536" s="68"/>
      <c r="CL1536" s="68"/>
      <c r="CM1536" s="68"/>
      <c r="CN1536" s="68"/>
      <c r="CO1536" s="68"/>
      <c r="CP1536" s="68"/>
    </row>
    <row r="1537" ht="15.75" customHeight="1">
      <c r="A1537" s="1242" t="s">
        <v>7183</v>
      </c>
      <c r="B1537" s="830" t="s">
        <v>7184</v>
      </c>
      <c r="C1537" s="830" t="s">
        <v>513</v>
      </c>
      <c r="D1537" s="1535" t="s">
        <v>7185</v>
      </c>
      <c r="E1537" s="1699" t="s">
        <v>7186</v>
      </c>
      <c r="F1537" s="1700" t="s">
        <v>7187</v>
      </c>
      <c r="G1537" s="1245" t="s">
        <v>7188</v>
      </c>
      <c r="H1537" s="1245" t="s">
        <v>128</v>
      </c>
      <c r="I1537" s="831" t="s">
        <v>156</v>
      </c>
      <c r="J1537" s="829" t="s">
        <v>550</v>
      </c>
      <c r="K1537" s="831" t="s">
        <v>723</v>
      </c>
      <c r="L1537" s="830">
        <v>1989.0</v>
      </c>
      <c r="M1537" s="25">
        <f t="shared" si="789"/>
        <v>36</v>
      </c>
      <c r="N1537" s="26">
        <f t="shared" si="790"/>
        <v>0</v>
      </c>
      <c r="O1537" s="27" t="str">
        <f t="shared" si="3"/>
        <v>#N/A</v>
      </c>
      <c r="P1537" s="28"/>
      <c r="Q1537" s="28"/>
      <c r="R1537" s="28"/>
      <c r="S1537" s="28"/>
      <c r="T1537" s="29">
        <f t="shared" si="791"/>
        <v>0</v>
      </c>
      <c r="U1537" s="28"/>
      <c r="V1537" s="30">
        <f t="shared" si="425"/>
        <v>0</v>
      </c>
      <c r="W1537" s="30"/>
      <c r="X1537" s="1526"/>
      <c r="Y1537" s="33" t="str">
        <f t="shared" si="792"/>
        <v>#DIV/0!</v>
      </c>
      <c r="Z1537" s="692"/>
      <c r="AA1537" s="665"/>
      <c r="AB1537" s="831"/>
      <c r="AC1537" s="831"/>
      <c r="AD1537" s="1246"/>
      <c r="AE1537" s="1247"/>
      <c r="AF1537" s="1686"/>
      <c r="AG1537" s="1247"/>
      <c r="AH1537" s="1250"/>
      <c r="AI1537" s="1251"/>
      <c r="AJ1537" s="1246"/>
      <c r="AK1537" s="1247"/>
      <c r="AL1537" s="1246"/>
      <c r="AM1537" s="1247"/>
      <c r="AN1537" s="1246"/>
      <c r="AO1537" s="1247"/>
      <c r="AP1537" s="1246"/>
      <c r="AQ1537" s="1247"/>
      <c r="AR1537" s="1246"/>
      <c r="AS1537" s="1246"/>
      <c r="AT1537" s="1246"/>
      <c r="AU1537" s="1541"/>
      <c r="AV1537" s="1246"/>
      <c r="AW1537" s="38"/>
      <c r="AX1537" s="1246"/>
      <c r="AY1537" s="38"/>
      <c r="AZ1537" s="1246"/>
      <c r="BA1537" s="1541"/>
      <c r="BB1537" s="1246"/>
      <c r="BC1537" s="1541"/>
      <c r="BD1537" s="1246"/>
      <c r="BE1537" s="38"/>
      <c r="BF1537" s="1250"/>
      <c r="BG1537" s="68"/>
      <c r="BH1537" s="68"/>
      <c r="BI1537" s="68"/>
      <c r="BJ1537" s="68"/>
      <c r="BK1537" s="68"/>
      <c r="BL1537" s="68"/>
      <c r="BM1537" s="68"/>
      <c r="BN1537" s="68"/>
      <c r="BO1537" s="68"/>
      <c r="BP1537" s="68"/>
      <c r="BQ1537" s="68"/>
      <c r="BR1537" s="68"/>
      <c r="BS1537" s="68"/>
      <c r="BT1537" s="68"/>
      <c r="BU1537" s="68"/>
      <c r="BV1537" s="68"/>
      <c r="BW1537" s="68"/>
      <c r="BX1537" s="68"/>
      <c r="BY1537" s="68"/>
      <c r="BZ1537" s="68"/>
      <c r="CA1537" s="68"/>
      <c r="CB1537" s="68"/>
      <c r="CC1537" s="68"/>
      <c r="CD1537" s="68"/>
      <c r="CE1537" s="68"/>
      <c r="CF1537" s="68"/>
      <c r="CG1537" s="68"/>
      <c r="CH1537" s="68"/>
      <c r="CI1537" s="68"/>
      <c r="CJ1537" s="68"/>
      <c r="CK1537" s="68"/>
      <c r="CL1537" s="68"/>
      <c r="CM1537" s="68"/>
      <c r="CN1537" s="68"/>
      <c r="CO1537" s="68"/>
      <c r="CP1537" s="68"/>
    </row>
    <row r="1538" ht="15.75" customHeight="1">
      <c r="A1538" s="400" t="s">
        <v>7189</v>
      </c>
      <c r="B1538" s="1508" t="s">
        <v>4081</v>
      </c>
      <c r="C1538" s="1508" t="s">
        <v>1007</v>
      </c>
      <c r="D1538" s="1172" t="s">
        <v>4781</v>
      </c>
      <c r="E1538" s="1701" t="s">
        <v>4781</v>
      </c>
      <c r="F1538" s="744" t="s">
        <v>7190</v>
      </c>
      <c r="G1538" s="604" t="s">
        <v>7191</v>
      </c>
      <c r="H1538" s="1702" t="s">
        <v>1446</v>
      </c>
      <c r="I1538" s="1508" t="s">
        <v>7192</v>
      </c>
      <c r="J1538" s="120" t="s">
        <v>7193</v>
      </c>
      <c r="K1538" s="123" t="s">
        <v>723</v>
      </c>
      <c r="L1538" s="25">
        <v>2006.0</v>
      </c>
      <c r="M1538" s="25">
        <f t="shared" si="789"/>
        <v>19</v>
      </c>
      <c r="N1538" s="26">
        <f t="shared" si="790"/>
        <v>0</v>
      </c>
      <c r="O1538" s="27" t="str">
        <f t="shared" si="3"/>
        <v>#N/A</v>
      </c>
      <c r="P1538" s="28"/>
      <c r="Q1538" s="28"/>
      <c r="R1538" s="28"/>
      <c r="S1538" s="28"/>
      <c r="T1538" s="29">
        <f t="shared" si="791"/>
        <v>0</v>
      </c>
      <c r="U1538" s="28"/>
      <c r="V1538" s="30">
        <f t="shared" si="425"/>
        <v>0</v>
      </c>
      <c r="W1538" s="30"/>
      <c r="X1538" s="403"/>
      <c r="Y1538" s="33" t="str">
        <f t="shared" si="792"/>
        <v>#DIV/0!</v>
      </c>
      <c r="Z1538" s="692"/>
      <c r="AA1538" s="665"/>
      <c r="AB1538" s="123"/>
      <c r="AC1538" s="123"/>
      <c r="AD1538" s="322"/>
      <c r="AE1538" s="323"/>
      <c r="AF1538" s="868"/>
      <c r="AG1538" s="323"/>
      <c r="AH1538" s="326"/>
      <c r="AI1538" s="327"/>
      <c r="AJ1538" s="322"/>
      <c r="AK1538" s="323"/>
      <c r="AL1538" s="322"/>
      <c r="AM1538" s="323"/>
      <c r="AN1538" s="322"/>
      <c r="AO1538" s="323"/>
      <c r="AP1538" s="322"/>
      <c r="AQ1538" s="323"/>
      <c r="AR1538" s="322"/>
      <c r="AS1538" s="322"/>
      <c r="AT1538" s="322"/>
      <c r="AU1538" s="335"/>
      <c r="AV1538" s="322"/>
      <c r="AW1538" s="38"/>
      <c r="AX1538" s="322"/>
      <c r="AY1538" s="38"/>
      <c r="AZ1538" s="322"/>
      <c r="BA1538" s="335"/>
      <c r="BB1538" s="322"/>
      <c r="BC1538" s="335"/>
      <c r="BD1538" s="322"/>
      <c r="BE1538" s="38"/>
      <c r="BF1538" s="326"/>
      <c r="BG1538" s="1644"/>
      <c r="BH1538" s="1644"/>
      <c r="BI1538" s="1644"/>
      <c r="BJ1538" s="1644"/>
      <c r="BK1538" s="1644"/>
      <c r="BL1538" s="1644"/>
      <c r="BM1538" s="1644"/>
      <c r="BN1538" s="1644"/>
      <c r="BO1538" s="1644"/>
      <c r="BP1538" s="1644"/>
      <c r="BQ1538" s="1644"/>
      <c r="BR1538" s="1644"/>
      <c r="BS1538" s="1644"/>
      <c r="BT1538" s="1644"/>
      <c r="BU1538" s="1644"/>
      <c r="BV1538" s="1644"/>
      <c r="BW1538" s="1644"/>
      <c r="BX1538" s="1644"/>
      <c r="BY1538" s="1644"/>
      <c r="BZ1538" s="1644"/>
      <c r="CA1538" s="1644"/>
      <c r="CB1538" s="1644"/>
      <c r="CC1538" s="1644"/>
      <c r="CD1538" s="1644"/>
      <c r="CE1538" s="1644"/>
      <c r="CF1538" s="1644"/>
      <c r="CG1538" s="1644"/>
      <c r="CH1538" s="1644"/>
      <c r="CI1538" s="1644"/>
      <c r="CJ1538" s="1644"/>
      <c r="CK1538" s="1644"/>
      <c r="CL1538" s="1644"/>
      <c r="CM1538" s="1644"/>
      <c r="CN1538" s="1644"/>
      <c r="CO1538" s="1644"/>
      <c r="CP1538" s="1644"/>
    </row>
    <row r="1539" ht="15.75" customHeight="1">
      <c r="A1539" s="22" t="s">
        <v>7194</v>
      </c>
      <c r="B1539" s="26" t="s">
        <v>7195</v>
      </c>
      <c r="C1539" s="26" t="s">
        <v>276</v>
      </c>
      <c r="D1539" s="118" t="s">
        <v>7196</v>
      </c>
      <c r="E1539" s="1703" t="s">
        <v>7197</v>
      </c>
      <c r="F1539" s="154" t="s">
        <v>7198</v>
      </c>
      <c r="G1539" s="140" t="s">
        <v>7199</v>
      </c>
      <c r="H1539" s="140" t="s">
        <v>638</v>
      </c>
      <c r="I1539" s="1401" t="s">
        <v>4372</v>
      </c>
      <c r="J1539" s="72" t="s">
        <v>639</v>
      </c>
      <c r="K1539" s="74" t="s">
        <v>723</v>
      </c>
      <c r="L1539" s="26">
        <v>2017.0</v>
      </c>
      <c r="M1539" s="25">
        <f t="shared" si="789"/>
        <v>8</v>
      </c>
      <c r="N1539" s="26">
        <f t="shared" si="790"/>
        <v>0</v>
      </c>
      <c r="O1539" s="27" t="str">
        <f t="shared" si="3"/>
        <v>#N/A</v>
      </c>
      <c r="P1539" s="28"/>
      <c r="Q1539" s="28"/>
      <c r="R1539" s="28"/>
      <c r="S1539" s="28"/>
      <c r="T1539" s="29">
        <f t="shared" si="791"/>
        <v>0</v>
      </c>
      <c r="U1539" s="28"/>
      <c r="V1539" s="30">
        <f t="shared" si="425"/>
        <v>0</v>
      </c>
      <c r="W1539" s="30"/>
      <c r="X1539" s="32"/>
      <c r="Y1539" s="33" t="str">
        <f t="shared" si="792"/>
        <v>#DIV/0!</v>
      </c>
      <c r="Z1539" s="692"/>
      <c r="AA1539" s="665"/>
      <c r="AB1539" s="74"/>
      <c r="AC1539" s="74"/>
      <c r="AD1539" s="44"/>
      <c r="AE1539" s="46"/>
      <c r="AF1539" s="39"/>
      <c r="AG1539" s="46"/>
      <c r="AH1539" s="36"/>
      <c r="AI1539" s="159"/>
      <c r="AJ1539" s="44"/>
      <c r="AK1539" s="46"/>
      <c r="AL1539" s="44"/>
      <c r="AM1539" s="46"/>
      <c r="AN1539" s="44"/>
      <c r="AO1539" s="46"/>
      <c r="AP1539" s="44"/>
      <c r="AQ1539" s="46"/>
      <c r="AR1539" s="44"/>
      <c r="AS1539" s="44"/>
      <c r="AT1539" s="44"/>
      <c r="AU1539" s="45"/>
      <c r="AV1539" s="44"/>
      <c r="AW1539" s="38"/>
      <c r="AX1539" s="44"/>
      <c r="AY1539" s="38"/>
      <c r="AZ1539" s="44"/>
      <c r="BA1539" s="45"/>
      <c r="BB1539" s="44"/>
      <c r="BC1539" s="45"/>
      <c r="BD1539" s="44"/>
      <c r="BE1539" s="38"/>
      <c r="BF1539" s="36"/>
      <c r="BG1539" s="68"/>
      <c r="BH1539" s="68"/>
      <c r="BI1539" s="68"/>
      <c r="BJ1539" s="68"/>
      <c r="BK1539" s="68"/>
      <c r="BL1539" s="68"/>
      <c r="BM1539" s="68"/>
      <c r="BN1539" s="68"/>
      <c r="BO1539" s="68"/>
      <c r="BP1539" s="68"/>
      <c r="BQ1539" s="68"/>
      <c r="BR1539" s="68"/>
      <c r="BS1539" s="68"/>
      <c r="BT1539" s="68"/>
      <c r="BU1539" s="68"/>
      <c r="BV1539" s="68"/>
      <c r="BW1539" s="68"/>
      <c r="BX1539" s="68"/>
      <c r="BY1539" s="68"/>
      <c r="BZ1539" s="68"/>
      <c r="CA1539" s="68"/>
      <c r="CB1539" s="68"/>
      <c r="CC1539" s="68"/>
      <c r="CD1539" s="68"/>
      <c r="CE1539" s="68"/>
      <c r="CF1539" s="68"/>
      <c r="CG1539" s="68"/>
      <c r="CH1539" s="68"/>
      <c r="CI1539" s="68"/>
      <c r="CJ1539" s="68"/>
      <c r="CK1539" s="68"/>
      <c r="CL1539" s="68"/>
      <c r="CM1539" s="68"/>
      <c r="CN1539" s="68"/>
      <c r="CO1539" s="68"/>
      <c r="CP1539" s="68"/>
    </row>
    <row r="1540" ht="15.75" customHeight="1">
      <c r="A1540" s="442" t="s">
        <v>7200</v>
      </c>
      <c r="B1540" s="74" t="s">
        <v>1032</v>
      </c>
      <c r="C1540" s="26" t="s">
        <v>513</v>
      </c>
      <c r="D1540" s="200" t="s">
        <v>7201</v>
      </c>
      <c r="E1540" s="200" t="s">
        <v>7202</v>
      </c>
      <c r="F1540" s="154" t="s">
        <v>7203</v>
      </c>
      <c r="G1540" s="1704" t="s">
        <v>7204</v>
      </c>
      <c r="H1540" s="1704" t="s">
        <v>271</v>
      </c>
      <c r="I1540" s="1704" t="s">
        <v>272</v>
      </c>
      <c r="J1540" s="1705" t="s">
        <v>4365</v>
      </c>
      <c r="K1540" s="26">
        <v>1.0</v>
      </c>
      <c r="L1540" s="26">
        <v>2016.0</v>
      </c>
      <c r="M1540" s="25">
        <f t="shared" si="789"/>
        <v>9</v>
      </c>
      <c r="N1540" s="26">
        <f t="shared" si="790"/>
        <v>0</v>
      </c>
      <c r="O1540" s="27" t="str">
        <f t="shared" si="3"/>
        <v>#N/A</v>
      </c>
      <c r="P1540" s="28"/>
      <c r="Q1540" s="28"/>
      <c r="R1540" s="28"/>
      <c r="S1540" s="28"/>
      <c r="T1540" s="29">
        <f t="shared" si="791"/>
        <v>0</v>
      </c>
      <c r="U1540" s="28"/>
      <c r="V1540" s="30">
        <f t="shared" si="425"/>
        <v>0</v>
      </c>
      <c r="W1540" s="30"/>
      <c r="X1540" s="73"/>
      <c r="Y1540" s="33" t="str">
        <f t="shared" si="792"/>
        <v>#DIV/0!</v>
      </c>
      <c r="Z1540" s="692"/>
      <c r="AA1540" s="665"/>
      <c r="AB1540" s="74"/>
      <c r="AC1540" s="74"/>
      <c r="AD1540" s="44"/>
      <c r="AE1540" s="46"/>
      <c r="AF1540" s="39"/>
      <c r="AG1540" s="46"/>
      <c r="AH1540" s="36"/>
      <c r="AI1540" s="159"/>
      <c r="AJ1540" s="44"/>
      <c r="AK1540" s="46"/>
      <c r="AL1540" s="44"/>
      <c r="AM1540" s="46"/>
      <c r="AN1540" s="44"/>
      <c r="AO1540" s="46"/>
      <c r="AP1540" s="44"/>
      <c r="AQ1540" s="46"/>
      <c r="AR1540" s="44"/>
      <c r="AS1540" s="44"/>
      <c r="AT1540" s="44"/>
      <c r="AU1540" s="45"/>
      <c r="AV1540" s="44"/>
      <c r="AW1540" s="38"/>
      <c r="AX1540" s="44"/>
      <c r="AY1540" s="38"/>
      <c r="AZ1540" s="44"/>
      <c r="BA1540" s="45"/>
      <c r="BB1540" s="44"/>
      <c r="BC1540" s="45"/>
      <c r="BD1540" s="44"/>
      <c r="BE1540" s="38"/>
      <c r="BF1540" s="36"/>
      <c r="BG1540" s="582"/>
      <c r="BH1540" s="582"/>
      <c r="BI1540" s="582"/>
      <c r="BJ1540" s="582"/>
      <c r="BK1540" s="582"/>
      <c r="BL1540" s="582"/>
      <c r="BM1540" s="582"/>
      <c r="BN1540" s="582"/>
      <c r="BO1540" s="582"/>
      <c r="BP1540" s="582"/>
      <c r="BQ1540" s="582"/>
      <c r="BR1540" s="582"/>
      <c r="BS1540" s="582"/>
      <c r="BT1540" s="582"/>
      <c r="BU1540" s="582"/>
      <c r="BV1540" s="582"/>
      <c r="BW1540" s="582"/>
      <c r="BX1540" s="582"/>
      <c r="BY1540" s="582"/>
      <c r="BZ1540" s="582"/>
      <c r="CA1540" s="582"/>
      <c r="CB1540" s="582"/>
      <c r="CC1540" s="582"/>
      <c r="CD1540" s="582"/>
      <c r="CE1540" s="582"/>
      <c r="CF1540" s="582"/>
      <c r="CG1540" s="582"/>
      <c r="CH1540" s="582"/>
      <c r="CI1540" s="582"/>
      <c r="CJ1540" s="582"/>
      <c r="CK1540" s="582"/>
      <c r="CL1540" s="582"/>
      <c r="CM1540" s="582"/>
      <c r="CN1540" s="582"/>
      <c r="CO1540" s="582"/>
      <c r="CP1540" s="582"/>
    </row>
    <row r="1541" ht="15.75" customHeight="1">
      <c r="A1541" s="22" t="s">
        <v>7205</v>
      </c>
      <c r="B1541" s="74"/>
      <c r="C1541" s="26" t="s">
        <v>123</v>
      </c>
      <c r="D1541" s="173" t="s">
        <v>7206</v>
      </c>
      <c r="E1541" s="1706" t="s">
        <v>7207</v>
      </c>
      <c r="F1541" s="173" t="s">
        <v>7208</v>
      </c>
      <c r="G1541" s="71" t="s">
        <v>7209</v>
      </c>
      <c r="H1541" s="71" t="s">
        <v>64</v>
      </c>
      <c r="I1541" s="26" t="s">
        <v>65</v>
      </c>
      <c r="J1541" s="72" t="s">
        <v>862</v>
      </c>
      <c r="K1541" s="26">
        <v>3.0</v>
      </c>
      <c r="L1541" s="26">
        <v>1965.0</v>
      </c>
      <c r="M1541" s="25">
        <f t="shared" si="789"/>
        <v>60</v>
      </c>
      <c r="N1541" s="26">
        <f t="shared" si="790"/>
        <v>0</v>
      </c>
      <c r="O1541" s="27" t="str">
        <f t="shared" si="3"/>
        <v>#N/A</v>
      </c>
      <c r="P1541" s="28"/>
      <c r="Q1541" s="28"/>
      <c r="R1541" s="28"/>
      <c r="S1541" s="28"/>
      <c r="T1541" s="29">
        <f t="shared" si="791"/>
        <v>0</v>
      </c>
      <c r="U1541" s="28"/>
      <c r="V1541" s="30">
        <f t="shared" si="425"/>
        <v>0</v>
      </c>
      <c r="W1541" s="30"/>
      <c r="X1541" s="73"/>
      <c r="Y1541" s="33" t="str">
        <f t="shared" si="792"/>
        <v>#DIV/0!</v>
      </c>
      <c r="Z1541" s="692"/>
      <c r="AA1541" s="665"/>
      <c r="AB1541" s="74"/>
      <c r="AC1541" s="74"/>
      <c r="AD1541" s="37"/>
      <c r="AE1541" s="38"/>
      <c r="AF1541" s="39"/>
      <c r="AG1541" s="38"/>
      <c r="AH1541" s="886"/>
      <c r="AI1541" s="41"/>
      <c r="AJ1541" s="37"/>
      <c r="AK1541" s="38"/>
      <c r="AL1541" s="44"/>
      <c r="AM1541" s="46"/>
      <c r="AN1541" s="44"/>
      <c r="AO1541" s="46"/>
      <c r="AP1541" s="44"/>
      <c r="AQ1541" s="46"/>
      <c r="AR1541" s="44"/>
      <c r="AS1541" s="44"/>
      <c r="AT1541" s="44"/>
      <c r="AU1541" s="45"/>
      <c r="AV1541" s="44"/>
      <c r="AW1541" s="38"/>
      <c r="AX1541" s="44"/>
      <c r="AY1541" s="38"/>
      <c r="AZ1541" s="44"/>
      <c r="BA1541" s="45"/>
      <c r="BB1541" s="44"/>
      <c r="BC1541" s="45"/>
      <c r="BD1541" s="44"/>
      <c r="BE1541" s="38"/>
      <c r="BF1541" s="36"/>
      <c r="BG1541" s="68"/>
      <c r="BH1541" s="68"/>
      <c r="BI1541" s="68"/>
      <c r="BJ1541" s="68"/>
      <c r="BK1541" s="68"/>
      <c r="BL1541" s="68"/>
      <c r="BM1541" s="68"/>
      <c r="BN1541" s="68"/>
      <c r="BO1541" s="68"/>
      <c r="BP1541" s="68"/>
      <c r="BQ1541" s="68"/>
      <c r="BR1541" s="68"/>
      <c r="BS1541" s="68"/>
      <c r="BT1541" s="68"/>
      <c r="BU1541" s="68"/>
      <c r="BV1541" s="68"/>
      <c r="BW1541" s="68"/>
      <c r="BX1541" s="68"/>
      <c r="BY1541" s="68"/>
      <c r="BZ1541" s="68"/>
      <c r="CA1541" s="68"/>
      <c r="CB1541" s="68"/>
      <c r="CC1541" s="68"/>
      <c r="CD1541" s="68"/>
      <c r="CE1541" s="68"/>
      <c r="CF1541" s="68"/>
      <c r="CG1541" s="68"/>
      <c r="CH1541" s="68"/>
      <c r="CI1541" s="68"/>
      <c r="CJ1541" s="68"/>
      <c r="CK1541" s="68"/>
      <c r="CL1541" s="68"/>
      <c r="CM1541" s="68"/>
      <c r="CN1541" s="68"/>
      <c r="CO1541" s="68"/>
      <c r="CP1541" s="68"/>
    </row>
    <row r="1542" ht="15.75" customHeight="1">
      <c r="A1542" s="22" t="s">
        <v>7210</v>
      </c>
      <c r="B1542" s="69" t="s">
        <v>5634</v>
      </c>
      <c r="C1542" s="69" t="s">
        <v>132</v>
      </c>
      <c r="D1542" s="337"/>
      <c r="E1542" s="200" t="s">
        <v>7211</v>
      </c>
      <c r="F1542" s="154" t="s">
        <v>7212</v>
      </c>
      <c r="G1542" s="140" t="s">
        <v>7213</v>
      </c>
      <c r="H1542" s="140" t="s">
        <v>7214</v>
      </c>
      <c r="I1542" s="74" t="s">
        <v>156</v>
      </c>
      <c r="J1542" s="72" t="s">
        <v>7215</v>
      </c>
      <c r="K1542" s="74" t="s">
        <v>723</v>
      </c>
      <c r="L1542" s="26">
        <v>2000.0</v>
      </c>
      <c r="M1542" s="25">
        <f t="shared" si="789"/>
        <v>25</v>
      </c>
      <c r="N1542" s="26">
        <f t="shared" si="790"/>
        <v>0</v>
      </c>
      <c r="O1542" s="27" t="str">
        <f t="shared" si="3"/>
        <v>#N/A</v>
      </c>
      <c r="P1542" s="28"/>
      <c r="Q1542" s="28"/>
      <c r="R1542" s="28"/>
      <c r="S1542" s="28"/>
      <c r="T1542" s="29">
        <f t="shared" si="791"/>
        <v>0</v>
      </c>
      <c r="U1542" s="28"/>
      <c r="V1542" s="30">
        <f t="shared" si="425"/>
        <v>0</v>
      </c>
      <c r="W1542" s="30"/>
      <c r="X1542" s="32"/>
      <c r="Y1542" s="33" t="str">
        <f t="shared" si="792"/>
        <v>#DIV/0!</v>
      </c>
      <c r="Z1542" s="692"/>
      <c r="AA1542" s="665"/>
      <c r="AB1542" s="74"/>
      <c r="AC1542" s="74"/>
      <c r="AD1542" s="44"/>
      <c r="AE1542" s="46"/>
      <c r="AF1542" s="39"/>
      <c r="AG1542" s="46"/>
      <c r="AH1542" s="36"/>
      <c r="AI1542" s="159"/>
      <c r="AJ1542" s="44"/>
      <c r="AK1542" s="46"/>
      <c r="AL1542" s="44"/>
      <c r="AM1542" s="46"/>
      <c r="AN1542" s="44"/>
      <c r="AO1542" s="46"/>
      <c r="AP1542" s="44"/>
      <c r="AQ1542" s="46"/>
      <c r="AR1542" s="44"/>
      <c r="AS1542" s="44"/>
      <c r="AT1542" s="44"/>
      <c r="AU1542" s="45"/>
      <c r="AV1542" s="44"/>
      <c r="AW1542" s="38"/>
      <c r="AX1542" s="44"/>
      <c r="AY1542" s="38"/>
      <c r="AZ1542" s="44"/>
      <c r="BA1542" s="45"/>
      <c r="BB1542" s="44"/>
      <c r="BC1542" s="45"/>
      <c r="BD1542" s="44"/>
      <c r="BE1542" s="38"/>
      <c r="BF1542" s="36"/>
      <c r="BG1542" s="68"/>
      <c r="BH1542" s="68"/>
      <c r="BI1542" s="68"/>
      <c r="BJ1542" s="68"/>
      <c r="BK1542" s="68"/>
      <c r="BL1542" s="68"/>
      <c r="BM1542" s="68"/>
      <c r="BN1542" s="68"/>
      <c r="BO1542" s="68"/>
      <c r="BP1542" s="68"/>
      <c r="BQ1542" s="68"/>
      <c r="BR1542" s="68"/>
      <c r="BS1542" s="68"/>
      <c r="BT1542" s="68"/>
      <c r="BU1542" s="68"/>
      <c r="BV1542" s="68"/>
      <c r="BW1542" s="68"/>
      <c r="BX1542" s="68"/>
      <c r="BY1542" s="68"/>
      <c r="BZ1542" s="68"/>
      <c r="CA1542" s="68"/>
      <c r="CB1542" s="68"/>
      <c r="CC1542" s="68"/>
      <c r="CD1542" s="68"/>
      <c r="CE1542" s="68"/>
      <c r="CF1542" s="68"/>
      <c r="CG1542" s="68"/>
      <c r="CH1542" s="68"/>
      <c r="CI1542" s="68"/>
      <c r="CJ1542" s="68"/>
      <c r="CK1542" s="68"/>
      <c r="CL1542" s="68"/>
      <c r="CM1542" s="68"/>
      <c r="CN1542" s="68"/>
      <c r="CO1542" s="68"/>
      <c r="CP1542" s="68"/>
    </row>
    <row r="1543" ht="15.75" customHeight="1">
      <c r="A1543" s="22" t="s">
        <v>7216</v>
      </c>
      <c r="B1543" s="68" t="s">
        <v>4660</v>
      </c>
      <c r="C1543" s="69" t="s">
        <v>513</v>
      </c>
      <c r="D1543" s="337"/>
      <c r="E1543" s="138" t="s">
        <v>7217</v>
      </c>
      <c r="F1543" s="154" t="s">
        <v>7218</v>
      </c>
      <c r="G1543" s="71" t="s">
        <v>7219</v>
      </c>
      <c r="H1543" s="140" t="s">
        <v>7220</v>
      </c>
      <c r="I1543" s="1401" t="s">
        <v>7221</v>
      </c>
      <c r="J1543" s="155"/>
      <c r="K1543" s="26">
        <v>1.0</v>
      </c>
      <c r="L1543" s="26">
        <v>2013.0</v>
      </c>
      <c r="M1543" s="25">
        <f t="shared" si="789"/>
        <v>12</v>
      </c>
      <c r="N1543" s="26">
        <f t="shared" si="790"/>
        <v>0</v>
      </c>
      <c r="O1543" s="27" t="str">
        <f t="shared" si="3"/>
        <v>#N/A</v>
      </c>
      <c r="P1543" s="28"/>
      <c r="Q1543" s="28"/>
      <c r="R1543" s="28"/>
      <c r="S1543" s="28"/>
      <c r="T1543" s="29">
        <f t="shared" si="791"/>
        <v>0</v>
      </c>
      <c r="U1543" s="28"/>
      <c r="V1543" s="30">
        <f t="shared" si="425"/>
        <v>0</v>
      </c>
      <c r="W1543" s="30"/>
      <c r="X1543" s="73"/>
      <c r="Y1543" s="33" t="str">
        <f t="shared" si="792"/>
        <v>#DIV/0!</v>
      </c>
      <c r="Z1543" s="692"/>
      <c r="AA1543" s="665"/>
      <c r="AB1543" s="74"/>
      <c r="AC1543" s="74"/>
      <c r="AD1543" s="44"/>
      <c r="AE1543" s="46"/>
      <c r="AF1543" s="39"/>
      <c r="AG1543" s="46"/>
      <c r="AH1543" s="36"/>
      <c r="AI1543" s="159"/>
      <c r="AJ1543" s="44"/>
      <c r="AK1543" s="46"/>
      <c r="AL1543" s="44"/>
      <c r="AM1543" s="46"/>
      <c r="AN1543" s="44"/>
      <c r="AO1543" s="46"/>
      <c r="AP1543" s="44"/>
      <c r="AQ1543" s="46"/>
      <c r="AR1543" s="44"/>
      <c r="AS1543" s="44"/>
      <c r="AT1543" s="44"/>
      <c r="AU1543" s="45"/>
      <c r="AV1543" s="44"/>
      <c r="AW1543" s="38"/>
      <c r="AX1543" s="44"/>
      <c r="AY1543" s="38"/>
      <c r="AZ1543" s="44"/>
      <c r="BA1543" s="45"/>
      <c r="BB1543" s="44"/>
      <c r="BC1543" s="45"/>
      <c r="BD1543" s="44"/>
      <c r="BE1543" s="38"/>
      <c r="BF1543" s="36"/>
      <c r="BG1543" s="68"/>
      <c r="BH1543" s="68"/>
      <c r="BI1543" s="68"/>
      <c r="BJ1543" s="68"/>
      <c r="BK1543" s="68"/>
      <c r="BL1543" s="68"/>
      <c r="BM1543" s="68"/>
      <c r="BN1543" s="68"/>
      <c r="BO1543" s="68"/>
      <c r="BP1543" s="68"/>
      <c r="BQ1543" s="68"/>
      <c r="BR1543" s="68"/>
      <c r="BS1543" s="68"/>
      <c r="BT1543" s="68"/>
      <c r="BU1543" s="68"/>
      <c r="BV1543" s="68"/>
      <c r="BW1543" s="68"/>
      <c r="BX1543" s="68"/>
      <c r="BY1543" s="68"/>
      <c r="BZ1543" s="68"/>
      <c r="CA1543" s="68"/>
      <c r="CB1543" s="68"/>
      <c r="CC1543" s="68"/>
      <c r="CD1543" s="68"/>
      <c r="CE1543" s="68"/>
      <c r="CF1543" s="68"/>
      <c r="CG1543" s="68"/>
      <c r="CH1543" s="68"/>
      <c r="CI1543" s="68"/>
      <c r="CJ1543" s="68"/>
      <c r="CK1543" s="68"/>
      <c r="CL1543" s="68"/>
      <c r="CM1543" s="68"/>
      <c r="CN1543" s="68"/>
      <c r="CO1543" s="68"/>
      <c r="CP1543" s="68"/>
    </row>
    <row r="1544" ht="15.75" customHeight="1">
      <c r="A1544" s="1531" t="s">
        <v>7222</v>
      </c>
      <c r="B1544" s="69"/>
      <c r="C1544" s="69" t="s">
        <v>513</v>
      </c>
      <c r="D1544" s="192" t="s">
        <v>7223</v>
      </c>
      <c r="E1544" s="192" t="s">
        <v>7224</v>
      </c>
      <c r="F1544" s="1487" t="s">
        <v>7225</v>
      </c>
      <c r="G1544" s="140"/>
      <c r="H1544" s="71" t="s">
        <v>129</v>
      </c>
      <c r="I1544" s="26" t="s">
        <v>129</v>
      </c>
      <c r="J1544" s="72"/>
      <c r="K1544" s="74"/>
      <c r="L1544" s="26">
        <v>2016.0</v>
      </c>
      <c r="M1544" s="25">
        <f t="shared" si="789"/>
        <v>9</v>
      </c>
      <c r="N1544" s="26">
        <f t="shared" si="790"/>
        <v>0</v>
      </c>
      <c r="O1544" s="27" t="str">
        <f t="shared" si="3"/>
        <v>#N/A</v>
      </c>
      <c r="P1544" s="28"/>
      <c r="Q1544" s="28"/>
      <c r="R1544" s="28"/>
      <c r="S1544" s="28"/>
      <c r="T1544" s="29">
        <f t="shared" si="791"/>
        <v>0</v>
      </c>
      <c r="U1544" s="28"/>
      <c r="V1544" s="30">
        <f t="shared" si="425"/>
        <v>0</v>
      </c>
      <c r="W1544" s="30"/>
      <c r="X1544" s="32"/>
      <c r="Y1544" s="33" t="str">
        <f t="shared" si="792"/>
        <v>#DIV/0!</v>
      </c>
      <c r="Z1544" s="692"/>
      <c r="AA1544" s="665"/>
      <c r="AB1544" s="74"/>
      <c r="AC1544" s="74"/>
      <c r="AD1544" s="44"/>
      <c r="AE1544" s="46"/>
      <c r="AF1544" s="39"/>
      <c r="AG1544" s="38"/>
      <c r="AH1544" s="36"/>
      <c r="AI1544" s="159"/>
      <c r="AJ1544" s="44"/>
      <c r="AK1544" s="46"/>
      <c r="AL1544" s="44"/>
      <c r="AM1544" s="46"/>
      <c r="AN1544" s="44"/>
      <c r="AO1544" s="46"/>
      <c r="AP1544" s="44"/>
      <c r="AQ1544" s="46"/>
      <c r="AR1544" s="44"/>
      <c r="AS1544" s="44"/>
      <c r="AT1544" s="44"/>
      <c r="AU1544" s="45"/>
      <c r="AV1544" s="44"/>
      <c r="AW1544" s="38"/>
      <c r="AX1544" s="44"/>
      <c r="AY1544" s="38"/>
      <c r="AZ1544" s="44"/>
      <c r="BA1544" s="45"/>
      <c r="BB1544" s="44"/>
      <c r="BC1544" s="45"/>
      <c r="BD1544" s="44"/>
      <c r="BE1544" s="38"/>
      <c r="BF1544" s="36"/>
      <c r="BG1544" s="68"/>
      <c r="BH1544" s="68"/>
      <c r="BI1544" s="68"/>
      <c r="BJ1544" s="68"/>
      <c r="BK1544" s="68"/>
      <c r="BL1544" s="68"/>
      <c r="BM1544" s="68"/>
      <c r="BN1544" s="68"/>
      <c r="BO1544" s="68"/>
      <c r="BP1544" s="68"/>
      <c r="BQ1544" s="68"/>
      <c r="BR1544" s="68"/>
      <c r="BS1544" s="68"/>
      <c r="BT1544" s="68"/>
      <c r="BU1544" s="68"/>
      <c r="BV1544" s="68"/>
      <c r="BW1544" s="68"/>
      <c r="BX1544" s="68"/>
      <c r="BY1544" s="68"/>
      <c r="BZ1544" s="68"/>
      <c r="CA1544" s="68"/>
      <c r="CB1544" s="68"/>
      <c r="CC1544" s="68"/>
      <c r="CD1544" s="68"/>
      <c r="CE1544" s="68"/>
      <c r="CF1544" s="68"/>
      <c r="CG1544" s="68"/>
      <c r="CH1544" s="68"/>
      <c r="CI1544" s="68"/>
      <c r="CJ1544" s="68"/>
      <c r="CK1544" s="68"/>
      <c r="CL1544" s="68"/>
      <c r="CM1544" s="68"/>
      <c r="CN1544" s="68"/>
      <c r="CO1544" s="68"/>
      <c r="CP1544" s="68"/>
    </row>
    <row r="1545" ht="15.75" customHeight="1">
      <c r="A1545" s="21" t="s">
        <v>7226</v>
      </c>
      <c r="B1545" s="69" t="s">
        <v>5634</v>
      </c>
      <c r="C1545" s="69" t="s">
        <v>132</v>
      </c>
      <c r="D1545" s="184"/>
      <c r="E1545" s="200" t="s">
        <v>7227</v>
      </c>
      <c r="F1545" s="154" t="s">
        <v>7228</v>
      </c>
      <c r="G1545" s="140" t="s">
        <v>7229</v>
      </c>
      <c r="H1545" s="140" t="s">
        <v>1606</v>
      </c>
      <c r="I1545" s="1401" t="s">
        <v>272</v>
      </c>
      <c r="J1545" s="72" t="s">
        <v>7230</v>
      </c>
      <c r="K1545" s="74" t="s">
        <v>723</v>
      </c>
      <c r="L1545" s="26">
        <v>2009.0</v>
      </c>
      <c r="M1545" s="25">
        <f t="shared" si="789"/>
        <v>16</v>
      </c>
      <c r="N1545" s="26">
        <f t="shared" si="790"/>
        <v>0</v>
      </c>
      <c r="O1545" s="27" t="str">
        <f t="shared" si="3"/>
        <v>#N/A</v>
      </c>
      <c r="P1545" s="28"/>
      <c r="Q1545" s="28"/>
      <c r="R1545" s="28"/>
      <c r="S1545" s="28"/>
      <c r="T1545" s="29">
        <f t="shared" si="791"/>
        <v>0</v>
      </c>
      <c r="U1545" s="28"/>
      <c r="V1545" s="30">
        <f t="shared" si="425"/>
        <v>0</v>
      </c>
      <c r="W1545" s="30"/>
      <c r="X1545" s="32"/>
      <c r="Y1545" s="33" t="str">
        <f t="shared" si="792"/>
        <v>#DIV/0!</v>
      </c>
      <c r="Z1545" s="692"/>
      <c r="AA1545" s="665"/>
      <c r="AB1545" s="74"/>
      <c r="AC1545" s="74"/>
      <c r="AD1545" s="44"/>
      <c r="AE1545" s="46"/>
      <c r="AF1545" s="39"/>
      <c r="AG1545" s="38"/>
      <c r="AH1545" s="36"/>
      <c r="AI1545" s="159"/>
      <c r="AJ1545" s="44"/>
      <c r="AK1545" s="46"/>
      <c r="AL1545" s="44"/>
      <c r="AM1545" s="46"/>
      <c r="AN1545" s="44"/>
      <c r="AO1545" s="46"/>
      <c r="AP1545" s="44"/>
      <c r="AQ1545" s="46"/>
      <c r="AR1545" s="44"/>
      <c r="AS1545" s="44"/>
      <c r="AT1545" s="44"/>
      <c r="AU1545" s="45"/>
      <c r="AV1545" s="44"/>
      <c r="AW1545" s="38"/>
      <c r="AX1545" s="44"/>
      <c r="AY1545" s="38"/>
      <c r="AZ1545" s="44"/>
      <c r="BA1545" s="45"/>
      <c r="BB1545" s="44"/>
      <c r="BC1545" s="45"/>
      <c r="BD1545" s="44"/>
      <c r="BE1545" s="38"/>
      <c r="BF1545" s="36"/>
      <c r="BG1545" s="68"/>
      <c r="BH1545" s="68"/>
      <c r="BI1545" s="68"/>
      <c r="BJ1545" s="68"/>
      <c r="BK1545" s="68"/>
      <c r="BL1545" s="68"/>
      <c r="BM1545" s="68"/>
      <c r="BN1545" s="68"/>
      <c r="BO1545" s="68"/>
      <c r="BP1545" s="68"/>
      <c r="BQ1545" s="68"/>
      <c r="BR1545" s="68"/>
      <c r="BS1545" s="68"/>
      <c r="BT1545" s="68"/>
      <c r="BU1545" s="68"/>
      <c r="BV1545" s="68"/>
      <c r="BW1545" s="68"/>
      <c r="BX1545" s="68"/>
      <c r="BY1545" s="68"/>
      <c r="BZ1545" s="68"/>
      <c r="CA1545" s="68"/>
      <c r="CB1545" s="68"/>
      <c r="CC1545" s="68"/>
      <c r="CD1545" s="68"/>
      <c r="CE1545" s="68"/>
      <c r="CF1545" s="68"/>
      <c r="CG1545" s="68"/>
      <c r="CH1545" s="68"/>
      <c r="CI1545" s="68"/>
      <c r="CJ1545" s="68"/>
      <c r="CK1545" s="68"/>
      <c r="CL1545" s="68"/>
      <c r="CM1545" s="68"/>
      <c r="CN1545" s="68"/>
      <c r="CO1545" s="68"/>
      <c r="CP1545" s="68"/>
    </row>
    <row r="1546" ht="15.75" customHeight="1">
      <c r="A1546" s="1531" t="s">
        <v>7231</v>
      </c>
      <c r="B1546" s="68"/>
      <c r="C1546" s="69" t="s">
        <v>132</v>
      </c>
      <c r="D1546" s="192" t="s">
        <v>7232</v>
      </c>
      <c r="E1546" s="192" t="s">
        <v>7233</v>
      </c>
      <c r="F1546" s="118" t="s">
        <v>7234</v>
      </c>
      <c r="G1546" s="71"/>
      <c r="H1546" s="71" t="s">
        <v>328</v>
      </c>
      <c r="I1546" s="26" t="s">
        <v>329</v>
      </c>
      <c r="J1546" s="72"/>
      <c r="K1546" s="26"/>
      <c r="L1546" s="26">
        <v>2019.0</v>
      </c>
      <c r="M1546" s="25">
        <f t="shared" si="789"/>
        <v>6</v>
      </c>
      <c r="N1546" s="26">
        <f t="shared" si="790"/>
        <v>0</v>
      </c>
      <c r="O1546" s="27" t="str">
        <f t="shared" si="3"/>
        <v>#N/A</v>
      </c>
      <c r="P1546" s="28"/>
      <c r="Q1546" s="28"/>
      <c r="R1546" s="28"/>
      <c r="S1546" s="28"/>
      <c r="T1546" s="29">
        <f t="shared" si="791"/>
        <v>0</v>
      </c>
      <c r="U1546" s="28"/>
      <c r="V1546" s="30">
        <f t="shared" si="425"/>
        <v>0</v>
      </c>
      <c r="W1546" s="30"/>
      <c r="X1546" s="73"/>
      <c r="Y1546" s="33" t="str">
        <f t="shared" si="792"/>
        <v>#DIV/0!</v>
      </c>
      <c r="Z1546" s="692"/>
      <c r="AA1546" s="665"/>
      <c r="AB1546" s="74"/>
      <c r="AC1546" s="74"/>
      <c r="AD1546" s="44"/>
      <c r="AE1546" s="46"/>
      <c r="AF1546" s="39"/>
      <c r="AG1546" s="46"/>
      <c r="AH1546" s="36"/>
      <c r="AI1546" s="159"/>
      <c r="AJ1546" s="44"/>
      <c r="AK1546" s="46"/>
      <c r="AL1546" s="44"/>
      <c r="AM1546" s="46"/>
      <c r="AN1546" s="44"/>
      <c r="AO1546" s="46"/>
      <c r="AP1546" s="44"/>
      <c r="AQ1546" s="46"/>
      <c r="AR1546" s="44"/>
      <c r="AS1546" s="44"/>
      <c r="AT1546" s="44"/>
      <c r="AU1546" s="45"/>
      <c r="AV1546" s="44"/>
      <c r="AW1546" s="38"/>
      <c r="AX1546" s="44"/>
      <c r="AY1546" s="38"/>
      <c r="AZ1546" s="44"/>
      <c r="BA1546" s="45"/>
      <c r="BB1546" s="44"/>
      <c r="BC1546" s="45"/>
      <c r="BD1546" s="44"/>
      <c r="BE1546" s="38"/>
      <c r="BF1546" s="36"/>
      <c r="BG1546" s="115"/>
      <c r="BH1546" s="115"/>
      <c r="BI1546" s="115"/>
      <c r="BJ1546" s="115"/>
      <c r="BK1546" s="115"/>
      <c r="BL1546" s="115"/>
      <c r="BM1546" s="115"/>
      <c r="BN1546" s="115"/>
      <c r="BO1546" s="115"/>
      <c r="BP1546" s="115"/>
      <c r="BQ1546" s="115"/>
      <c r="BR1546" s="115"/>
      <c r="BS1546" s="115"/>
      <c r="BT1546" s="115"/>
      <c r="BU1546" s="115"/>
      <c r="BV1546" s="115"/>
      <c r="BW1546" s="115"/>
      <c r="BX1546" s="115"/>
      <c r="BY1546" s="115"/>
      <c r="BZ1546" s="115"/>
      <c r="CA1546" s="115"/>
      <c r="CB1546" s="115"/>
      <c r="CC1546" s="115"/>
      <c r="CD1546" s="115"/>
      <c r="CE1546" s="115"/>
      <c r="CF1546" s="115"/>
      <c r="CG1546" s="115"/>
      <c r="CH1546" s="115"/>
      <c r="CI1546" s="115"/>
      <c r="CJ1546" s="115"/>
      <c r="CK1546" s="115"/>
      <c r="CL1546" s="115"/>
      <c r="CM1546" s="115"/>
      <c r="CN1546" s="115"/>
      <c r="CO1546" s="115"/>
      <c r="CP1546" s="115"/>
    </row>
    <row r="1547" ht="15.75" customHeight="1">
      <c r="A1547" s="21" t="s">
        <v>7235</v>
      </c>
      <c r="B1547" s="68"/>
      <c r="C1547" s="69" t="s">
        <v>132</v>
      </c>
      <c r="D1547" s="184"/>
      <c r="E1547" s="200" t="s">
        <v>7236</v>
      </c>
      <c r="F1547" s="154" t="s">
        <v>7237</v>
      </c>
      <c r="G1547" s="71" t="s">
        <v>7238</v>
      </c>
      <c r="H1547" s="71" t="s">
        <v>7239</v>
      </c>
      <c r="I1547" s="1401" t="s">
        <v>3876</v>
      </c>
      <c r="J1547" s="72" t="s">
        <v>7240</v>
      </c>
      <c r="K1547" s="26">
        <v>1.0</v>
      </c>
      <c r="L1547" s="26">
        <v>2006.0</v>
      </c>
      <c r="M1547" s="25">
        <f t="shared" si="789"/>
        <v>19</v>
      </c>
      <c r="N1547" s="26">
        <f t="shared" si="790"/>
        <v>0</v>
      </c>
      <c r="O1547" s="27" t="str">
        <f t="shared" si="3"/>
        <v>#N/A</v>
      </c>
      <c r="P1547" s="28"/>
      <c r="Q1547" s="28"/>
      <c r="R1547" s="28"/>
      <c r="S1547" s="28"/>
      <c r="T1547" s="29">
        <f t="shared" si="791"/>
        <v>0</v>
      </c>
      <c r="U1547" s="28"/>
      <c r="V1547" s="30">
        <f t="shared" si="425"/>
        <v>0</v>
      </c>
      <c r="W1547" s="30"/>
      <c r="X1547" s="73"/>
      <c r="Y1547" s="33" t="str">
        <f t="shared" si="792"/>
        <v>#DIV/0!</v>
      </c>
      <c r="Z1547" s="692"/>
      <c r="AA1547" s="665"/>
      <c r="AB1547" s="74"/>
      <c r="AC1547" s="74"/>
      <c r="AD1547" s="44"/>
      <c r="AE1547" s="46"/>
      <c r="AF1547" s="39"/>
      <c r="AG1547" s="46"/>
      <c r="AH1547" s="36"/>
      <c r="AI1547" s="159"/>
      <c r="AJ1547" s="44"/>
      <c r="AK1547" s="46"/>
      <c r="AL1547" s="44"/>
      <c r="AM1547" s="46"/>
      <c r="AN1547" s="44"/>
      <c r="AO1547" s="46"/>
      <c r="AP1547" s="44"/>
      <c r="AQ1547" s="46"/>
      <c r="AR1547" s="44"/>
      <c r="AS1547" s="44"/>
      <c r="AT1547" s="44"/>
      <c r="AU1547" s="45"/>
      <c r="AV1547" s="44"/>
      <c r="AW1547" s="38"/>
      <c r="AX1547" s="44"/>
      <c r="AY1547" s="38"/>
      <c r="AZ1547" s="44"/>
      <c r="BA1547" s="45"/>
      <c r="BB1547" s="44"/>
      <c r="BC1547" s="45"/>
      <c r="BD1547" s="44"/>
      <c r="BE1547" s="38"/>
      <c r="BF1547" s="36"/>
      <c r="BG1547" s="68"/>
      <c r="BH1547" s="68"/>
      <c r="BI1547" s="68"/>
      <c r="BJ1547" s="68"/>
      <c r="BK1547" s="68"/>
      <c r="BL1547" s="68"/>
      <c r="BM1547" s="68"/>
      <c r="BN1547" s="68"/>
      <c r="BO1547" s="68"/>
      <c r="BP1547" s="68"/>
      <c r="BQ1547" s="68"/>
      <c r="BR1547" s="68"/>
      <c r="BS1547" s="68"/>
      <c r="BT1547" s="68"/>
      <c r="BU1547" s="68"/>
      <c r="BV1547" s="68"/>
      <c r="BW1547" s="68"/>
      <c r="BX1547" s="68"/>
      <c r="BY1547" s="68"/>
      <c r="BZ1547" s="68"/>
      <c r="CA1547" s="68"/>
      <c r="CB1547" s="68"/>
      <c r="CC1547" s="68"/>
      <c r="CD1547" s="68"/>
      <c r="CE1547" s="68"/>
      <c r="CF1547" s="68"/>
      <c r="CG1547" s="68"/>
      <c r="CH1547" s="68"/>
      <c r="CI1547" s="68"/>
      <c r="CJ1547" s="68"/>
      <c r="CK1547" s="68"/>
      <c r="CL1547" s="68"/>
      <c r="CM1547" s="68"/>
      <c r="CN1547" s="68"/>
      <c r="CO1547" s="68"/>
      <c r="CP1547" s="68"/>
    </row>
    <row r="1548" ht="15.75" customHeight="1">
      <c r="A1548" s="21" t="s">
        <v>7241</v>
      </c>
      <c r="B1548" s="68"/>
      <c r="C1548" s="69" t="s">
        <v>132</v>
      </c>
      <c r="D1548" s="200" t="s">
        <v>7242</v>
      </c>
      <c r="E1548" s="200" t="s">
        <v>7243</v>
      </c>
      <c r="F1548" s="154" t="s">
        <v>7244</v>
      </c>
      <c r="G1548" s="140" t="s">
        <v>7245</v>
      </c>
      <c r="H1548" s="140" t="s">
        <v>7246</v>
      </c>
      <c r="I1548" s="1401" t="s">
        <v>1935</v>
      </c>
      <c r="J1548" s="72" t="s">
        <v>7247</v>
      </c>
      <c r="K1548" s="26">
        <v>2.0</v>
      </c>
      <c r="L1548" s="26">
        <v>2016.0</v>
      </c>
      <c r="M1548" s="25">
        <f t="shared" si="789"/>
        <v>9</v>
      </c>
      <c r="N1548" s="26">
        <f t="shared" si="790"/>
        <v>0</v>
      </c>
      <c r="O1548" s="27" t="str">
        <f t="shared" si="3"/>
        <v>#N/A</v>
      </c>
      <c r="P1548" s="28"/>
      <c r="Q1548" s="28"/>
      <c r="R1548" s="28"/>
      <c r="S1548" s="28"/>
      <c r="T1548" s="29">
        <f t="shared" si="791"/>
        <v>0</v>
      </c>
      <c r="U1548" s="28"/>
      <c r="V1548" s="30">
        <f t="shared" si="425"/>
        <v>0</v>
      </c>
      <c r="W1548" s="30"/>
      <c r="X1548" s="73"/>
      <c r="Y1548" s="33" t="str">
        <f t="shared" si="792"/>
        <v>#DIV/0!</v>
      </c>
      <c r="Z1548" s="692"/>
      <c r="AA1548" s="665"/>
      <c r="AB1548" s="74"/>
      <c r="AC1548" s="74"/>
      <c r="AD1548" s="44"/>
      <c r="AE1548" s="46"/>
      <c r="AF1548" s="39"/>
      <c r="AG1548" s="46"/>
      <c r="AH1548" s="36"/>
      <c r="AI1548" s="159"/>
      <c r="AJ1548" s="44"/>
      <c r="AK1548" s="46"/>
      <c r="AL1548" s="44"/>
      <c r="AM1548" s="46"/>
      <c r="AN1548" s="44"/>
      <c r="AO1548" s="46"/>
      <c r="AP1548" s="44"/>
      <c r="AQ1548" s="46"/>
      <c r="AR1548" s="44"/>
      <c r="AS1548" s="44"/>
      <c r="AT1548" s="44"/>
      <c r="AU1548" s="45"/>
      <c r="AV1548" s="44"/>
      <c r="AW1548" s="38"/>
      <c r="AX1548" s="44"/>
      <c r="AY1548" s="38"/>
      <c r="AZ1548" s="44"/>
      <c r="BA1548" s="45"/>
      <c r="BB1548" s="44"/>
      <c r="BC1548" s="45"/>
      <c r="BD1548" s="44"/>
      <c r="BE1548" s="38"/>
      <c r="BF1548" s="36"/>
      <c r="BG1548" s="68"/>
      <c r="BH1548" s="68"/>
      <c r="BI1548" s="68"/>
      <c r="BJ1548" s="68"/>
      <c r="BK1548" s="68"/>
      <c r="BL1548" s="68"/>
      <c r="BM1548" s="68"/>
      <c r="BN1548" s="68"/>
      <c r="BO1548" s="68"/>
      <c r="BP1548" s="68"/>
      <c r="BQ1548" s="68"/>
      <c r="BR1548" s="68"/>
      <c r="BS1548" s="68"/>
      <c r="BT1548" s="68"/>
      <c r="BU1548" s="68"/>
      <c r="BV1548" s="68"/>
      <c r="BW1548" s="68"/>
      <c r="BX1548" s="68"/>
      <c r="BY1548" s="68"/>
      <c r="BZ1548" s="68"/>
      <c r="CA1548" s="68"/>
      <c r="CB1548" s="68"/>
      <c r="CC1548" s="68"/>
      <c r="CD1548" s="68"/>
      <c r="CE1548" s="68"/>
      <c r="CF1548" s="68"/>
      <c r="CG1548" s="68"/>
      <c r="CH1548" s="68"/>
      <c r="CI1548" s="68"/>
      <c r="CJ1548" s="68"/>
      <c r="CK1548" s="68"/>
      <c r="CL1548" s="68"/>
      <c r="CM1548" s="68"/>
      <c r="CN1548" s="68"/>
      <c r="CO1548" s="68"/>
      <c r="CP1548" s="68"/>
    </row>
    <row r="1549" ht="15.75" customHeight="1">
      <c r="A1549" s="21" t="s">
        <v>7248</v>
      </c>
      <c r="B1549" s="69" t="s">
        <v>1</v>
      </c>
      <c r="C1549" s="69" t="s">
        <v>267</v>
      </c>
      <c r="D1549" s="200" t="s">
        <v>7249</v>
      </c>
      <c r="E1549" s="385" t="s">
        <v>3432</v>
      </c>
      <c r="F1549" s="154" t="s">
        <v>7250</v>
      </c>
      <c r="G1549" s="140" t="s">
        <v>7251</v>
      </c>
      <c r="H1549" s="140" t="s">
        <v>7252</v>
      </c>
      <c r="I1549" s="26" t="s">
        <v>188</v>
      </c>
      <c r="J1549" s="72" t="s">
        <v>7253</v>
      </c>
      <c r="K1549" s="74" t="s">
        <v>723</v>
      </c>
      <c r="L1549" s="74" t="s">
        <v>723</v>
      </c>
      <c r="M1549" s="25" t="str">
        <f t="shared" si="789"/>
        <v>#VALUE!</v>
      </c>
      <c r="N1549" s="26">
        <f t="shared" si="790"/>
        <v>0</v>
      </c>
      <c r="O1549" s="27" t="str">
        <f t="shared" si="3"/>
        <v>#N/A</v>
      </c>
      <c r="P1549" s="28"/>
      <c r="Q1549" s="28"/>
      <c r="R1549" s="28"/>
      <c r="S1549" s="28"/>
      <c r="T1549" s="28" t="str">
        <f t="shared" si="791"/>
        <v>#VALUE!</v>
      </c>
      <c r="U1549" s="28"/>
      <c r="V1549" s="30">
        <f t="shared" si="425"/>
        <v>0</v>
      </c>
      <c r="W1549" s="30"/>
      <c r="X1549" s="32"/>
      <c r="Y1549" s="33" t="str">
        <f t="shared" si="792"/>
        <v>#DIV/0!</v>
      </c>
      <c r="Z1549" s="692"/>
      <c r="AA1549" s="665"/>
      <c r="AB1549" s="74"/>
      <c r="AC1549" s="74"/>
      <c r="AD1549" s="44"/>
      <c r="AE1549" s="46"/>
      <c r="AF1549" s="39"/>
      <c r="AG1549" s="46"/>
      <c r="AH1549" s="36"/>
      <c r="AI1549" s="159"/>
      <c r="AJ1549" s="44"/>
      <c r="AK1549" s="46"/>
      <c r="AL1549" s="44"/>
      <c r="AM1549" s="46"/>
      <c r="AN1549" s="44"/>
      <c r="AO1549" s="46"/>
      <c r="AP1549" s="44"/>
      <c r="AQ1549" s="46"/>
      <c r="AR1549" s="44"/>
      <c r="AS1549" s="44"/>
      <c r="AT1549" s="44"/>
      <c r="AU1549" s="45"/>
      <c r="AV1549" s="44"/>
      <c r="AW1549" s="38"/>
      <c r="AX1549" s="44"/>
      <c r="AY1549" s="38"/>
      <c r="AZ1549" s="44"/>
      <c r="BA1549" s="45"/>
      <c r="BB1549" s="44"/>
      <c r="BC1549" s="45"/>
      <c r="BD1549" s="44"/>
      <c r="BE1549" s="38"/>
      <c r="BF1549" s="36"/>
      <c r="BG1549" s="68"/>
      <c r="BH1549" s="68"/>
      <c r="BI1549" s="68"/>
      <c r="BJ1549" s="68"/>
      <c r="BK1549" s="68"/>
      <c r="BL1549" s="68"/>
      <c r="BM1549" s="68"/>
      <c r="BN1549" s="68"/>
      <c r="BO1549" s="68"/>
      <c r="BP1549" s="68"/>
      <c r="BQ1549" s="68"/>
      <c r="BR1549" s="68"/>
      <c r="BS1549" s="68"/>
      <c r="BT1549" s="68"/>
      <c r="BU1549" s="68"/>
      <c r="BV1549" s="68"/>
      <c r="BW1549" s="68"/>
      <c r="BX1549" s="68"/>
      <c r="BY1549" s="68"/>
      <c r="BZ1549" s="68"/>
      <c r="CA1549" s="68"/>
      <c r="CB1549" s="68"/>
      <c r="CC1549" s="68"/>
      <c r="CD1549" s="68"/>
      <c r="CE1549" s="68"/>
      <c r="CF1549" s="68"/>
      <c r="CG1549" s="68"/>
      <c r="CH1549" s="68"/>
      <c r="CI1549" s="68"/>
      <c r="CJ1549" s="68"/>
      <c r="CK1549" s="68"/>
      <c r="CL1549" s="68"/>
      <c r="CM1549" s="68"/>
      <c r="CN1549" s="68"/>
      <c r="CO1549" s="68"/>
      <c r="CP1549" s="68"/>
    </row>
    <row r="1550" ht="15.75" customHeight="1">
      <c r="A1550" s="1531" t="s">
        <v>7254</v>
      </c>
      <c r="B1550" s="69"/>
      <c r="C1550" s="69" t="s">
        <v>132</v>
      </c>
      <c r="D1550" s="192" t="s">
        <v>7255</v>
      </c>
      <c r="E1550" s="192" t="s">
        <v>7256</v>
      </c>
      <c r="F1550" s="118" t="s">
        <v>7257</v>
      </c>
      <c r="G1550" s="140"/>
      <c r="H1550" s="71" t="s">
        <v>1923</v>
      </c>
      <c r="I1550" s="26" t="s">
        <v>115</v>
      </c>
      <c r="J1550" s="72"/>
      <c r="K1550" s="74"/>
      <c r="L1550" s="26">
        <v>2010.0</v>
      </c>
      <c r="M1550" s="25">
        <f t="shared" si="789"/>
        <v>15</v>
      </c>
      <c r="N1550" s="26">
        <f t="shared" si="790"/>
        <v>0</v>
      </c>
      <c r="O1550" s="27" t="str">
        <f t="shared" si="3"/>
        <v>#N/A</v>
      </c>
      <c r="P1550" s="28"/>
      <c r="Q1550" s="28"/>
      <c r="R1550" s="28"/>
      <c r="S1550" s="28"/>
      <c r="T1550" s="29">
        <f t="shared" si="791"/>
        <v>0</v>
      </c>
      <c r="U1550" s="28"/>
      <c r="V1550" s="30">
        <f t="shared" si="425"/>
        <v>0</v>
      </c>
      <c r="W1550" s="30"/>
      <c r="X1550" s="32"/>
      <c r="Y1550" s="33" t="str">
        <f t="shared" si="792"/>
        <v>#DIV/0!</v>
      </c>
      <c r="Z1550" s="692"/>
      <c r="AA1550" s="665"/>
      <c r="AB1550" s="74"/>
      <c r="AC1550" s="74"/>
      <c r="AD1550" s="44"/>
      <c r="AE1550" s="46"/>
      <c r="AF1550" s="39"/>
      <c r="AG1550" s="46"/>
      <c r="AH1550" s="36"/>
      <c r="AI1550" s="159"/>
      <c r="AJ1550" s="44"/>
      <c r="AK1550" s="46"/>
      <c r="AL1550" s="44"/>
      <c r="AM1550" s="46"/>
      <c r="AN1550" s="44"/>
      <c r="AO1550" s="46"/>
      <c r="AP1550" s="44"/>
      <c r="AQ1550" s="46"/>
      <c r="AR1550" s="44"/>
      <c r="AS1550" s="44"/>
      <c r="AT1550" s="44"/>
      <c r="AU1550" s="45"/>
      <c r="AV1550" s="44"/>
      <c r="AW1550" s="38"/>
      <c r="AX1550" s="44"/>
      <c r="AY1550" s="38"/>
      <c r="AZ1550" s="44"/>
      <c r="BA1550" s="45"/>
      <c r="BB1550" s="44"/>
      <c r="BC1550" s="45"/>
      <c r="BD1550" s="44"/>
      <c r="BE1550" s="38"/>
      <c r="BF1550" s="36"/>
      <c r="BG1550" s="1407"/>
      <c r="BH1550" s="1407"/>
      <c r="BI1550" s="1407"/>
      <c r="BJ1550" s="1407"/>
      <c r="BK1550" s="1407"/>
      <c r="BL1550" s="1407"/>
      <c r="BM1550" s="1407"/>
      <c r="BN1550" s="1407"/>
      <c r="BO1550" s="1407"/>
      <c r="BP1550" s="1407"/>
      <c r="BQ1550" s="1407"/>
      <c r="BR1550" s="1407"/>
      <c r="BS1550" s="1407"/>
      <c r="BT1550" s="1407"/>
      <c r="BU1550" s="1407"/>
      <c r="BV1550" s="1407"/>
      <c r="BW1550" s="1407"/>
      <c r="BX1550" s="1407"/>
      <c r="BY1550" s="1407"/>
      <c r="BZ1550" s="1407"/>
      <c r="CA1550" s="1407"/>
      <c r="CB1550" s="1407"/>
      <c r="CC1550" s="1407"/>
      <c r="CD1550" s="1407"/>
      <c r="CE1550" s="1407"/>
      <c r="CF1550" s="1407"/>
      <c r="CG1550" s="1407"/>
      <c r="CH1550" s="1407"/>
      <c r="CI1550" s="1407"/>
      <c r="CJ1550" s="1407"/>
      <c r="CK1550" s="1407"/>
      <c r="CL1550" s="1407"/>
      <c r="CM1550" s="1407"/>
      <c r="CN1550" s="1407"/>
      <c r="CO1550" s="1407"/>
      <c r="CP1550" s="1407"/>
    </row>
    <row r="1551" ht="15.75" customHeight="1">
      <c r="A1551" s="21" t="s">
        <v>7258</v>
      </c>
      <c r="B1551" s="69" t="s">
        <v>6726</v>
      </c>
      <c r="C1551" s="69" t="s">
        <v>132</v>
      </c>
      <c r="D1551" s="200" t="s">
        <v>7259</v>
      </c>
      <c r="E1551" s="200" t="s">
        <v>7260</v>
      </c>
      <c r="F1551" s="154" t="s">
        <v>7261</v>
      </c>
      <c r="G1551" s="140" t="s">
        <v>7262</v>
      </c>
      <c r="H1551" s="140" t="s">
        <v>129</v>
      </c>
      <c r="I1551" s="74"/>
      <c r="J1551" s="72" t="s">
        <v>7263</v>
      </c>
      <c r="K1551" s="74" t="s">
        <v>723</v>
      </c>
      <c r="L1551" s="26">
        <v>2015.0</v>
      </c>
      <c r="M1551" s="25">
        <f t="shared" si="789"/>
        <v>10</v>
      </c>
      <c r="N1551" s="26">
        <f t="shared" si="790"/>
        <v>0</v>
      </c>
      <c r="O1551" s="27" t="str">
        <f t="shared" si="3"/>
        <v>#N/A</v>
      </c>
      <c r="P1551" s="28"/>
      <c r="Q1551" s="28"/>
      <c r="R1551" s="28"/>
      <c r="S1551" s="28"/>
      <c r="T1551" s="29">
        <f t="shared" si="791"/>
        <v>0</v>
      </c>
      <c r="U1551" s="28"/>
      <c r="V1551" s="30">
        <f t="shared" si="425"/>
        <v>0</v>
      </c>
      <c r="W1551" s="30"/>
      <c r="X1551" s="32"/>
      <c r="Y1551" s="33" t="str">
        <f t="shared" si="792"/>
        <v>#DIV/0!</v>
      </c>
      <c r="Z1551" s="692"/>
      <c r="AA1551" s="665"/>
      <c r="AB1551" s="74"/>
      <c r="AC1551" s="74"/>
      <c r="AD1551" s="44"/>
      <c r="AE1551" s="46"/>
      <c r="AF1551" s="39"/>
      <c r="AG1551" s="46"/>
      <c r="AH1551" s="36"/>
      <c r="AI1551" s="159"/>
      <c r="AJ1551" s="44"/>
      <c r="AK1551" s="46"/>
      <c r="AL1551" s="44"/>
      <c r="AM1551" s="46"/>
      <c r="AN1551" s="44"/>
      <c r="AO1551" s="46"/>
      <c r="AP1551" s="44"/>
      <c r="AQ1551" s="46"/>
      <c r="AR1551" s="44"/>
      <c r="AS1551" s="44"/>
      <c r="AT1551" s="44"/>
      <c r="AU1551" s="45"/>
      <c r="AV1551" s="44"/>
      <c r="AW1551" s="38"/>
      <c r="AX1551" s="44"/>
      <c r="AY1551" s="38"/>
      <c r="AZ1551" s="44"/>
      <c r="BA1551" s="45"/>
      <c r="BB1551" s="44"/>
      <c r="BC1551" s="45"/>
      <c r="BD1551" s="44"/>
      <c r="BE1551" s="38"/>
      <c r="BF1551" s="36"/>
      <c r="BG1551" s="68"/>
      <c r="BH1551" s="68"/>
      <c r="BI1551" s="68"/>
      <c r="BJ1551" s="68"/>
      <c r="BK1551" s="68"/>
      <c r="BL1551" s="68"/>
      <c r="BM1551" s="68"/>
      <c r="BN1551" s="68"/>
      <c r="BO1551" s="68"/>
      <c r="BP1551" s="68"/>
      <c r="BQ1551" s="68"/>
      <c r="BR1551" s="68"/>
      <c r="BS1551" s="68"/>
      <c r="BT1551" s="68"/>
      <c r="BU1551" s="68"/>
      <c r="BV1551" s="68"/>
      <c r="BW1551" s="68"/>
      <c r="BX1551" s="68"/>
      <c r="BY1551" s="68"/>
      <c r="BZ1551" s="68"/>
      <c r="CA1551" s="68"/>
      <c r="CB1551" s="68"/>
      <c r="CC1551" s="68"/>
      <c r="CD1551" s="68"/>
      <c r="CE1551" s="68"/>
      <c r="CF1551" s="68"/>
      <c r="CG1551" s="68"/>
      <c r="CH1551" s="68"/>
      <c r="CI1551" s="68"/>
      <c r="CJ1551" s="68"/>
      <c r="CK1551" s="68"/>
      <c r="CL1551" s="68"/>
      <c r="CM1551" s="68"/>
      <c r="CN1551" s="68"/>
      <c r="CO1551" s="68"/>
      <c r="CP1551" s="68"/>
    </row>
    <row r="1552" ht="15.75" customHeight="1">
      <c r="A1552" s="21" t="s">
        <v>7264</v>
      </c>
      <c r="B1552" s="69" t="s">
        <v>5634</v>
      </c>
      <c r="C1552" s="69" t="s">
        <v>132</v>
      </c>
      <c r="D1552" s="192" t="s">
        <v>7265</v>
      </c>
      <c r="E1552" s="200" t="s">
        <v>7266</v>
      </c>
      <c r="F1552" s="154" t="s">
        <v>7267</v>
      </c>
      <c r="G1552" s="140" t="s">
        <v>7268</v>
      </c>
      <c r="H1552" s="140" t="s">
        <v>6740</v>
      </c>
      <c r="I1552" s="1401" t="s">
        <v>1029</v>
      </c>
      <c r="J1552" s="72" t="s">
        <v>7269</v>
      </c>
      <c r="K1552" s="74" t="s">
        <v>723</v>
      </c>
      <c r="L1552" s="26">
        <v>2016.0</v>
      </c>
      <c r="M1552" s="25">
        <f t="shared" si="789"/>
        <v>9</v>
      </c>
      <c r="N1552" s="26">
        <f t="shared" si="790"/>
        <v>0</v>
      </c>
      <c r="O1552" s="27" t="str">
        <f t="shared" si="3"/>
        <v>#N/A</v>
      </c>
      <c r="P1552" s="28"/>
      <c r="Q1552" s="28"/>
      <c r="R1552" s="28"/>
      <c r="S1552" s="28"/>
      <c r="T1552" s="29">
        <f t="shared" si="791"/>
        <v>0</v>
      </c>
      <c r="U1552" s="28"/>
      <c r="V1552" s="30">
        <f t="shared" si="425"/>
        <v>0</v>
      </c>
      <c r="W1552" s="30"/>
      <c r="X1552" s="32"/>
      <c r="Y1552" s="33" t="str">
        <f t="shared" si="792"/>
        <v>#DIV/0!</v>
      </c>
      <c r="Z1552" s="692"/>
      <c r="AA1552" s="665"/>
      <c r="AB1552" s="74"/>
      <c r="AC1552" s="74"/>
      <c r="AD1552" s="44"/>
      <c r="AE1552" s="46"/>
      <c r="AF1552" s="39"/>
      <c r="AG1552" s="46"/>
      <c r="AH1552" s="36"/>
      <c r="AI1552" s="159"/>
      <c r="AJ1552" s="44"/>
      <c r="AK1552" s="46"/>
      <c r="AL1552" s="44"/>
      <c r="AM1552" s="46"/>
      <c r="AN1552" s="44"/>
      <c r="AO1552" s="46"/>
      <c r="AP1552" s="44"/>
      <c r="AQ1552" s="46"/>
      <c r="AR1552" s="44"/>
      <c r="AS1552" s="44"/>
      <c r="AT1552" s="44"/>
      <c r="AU1552" s="45"/>
      <c r="AV1552" s="44"/>
      <c r="AW1552" s="38"/>
      <c r="AX1552" s="44"/>
      <c r="AY1552" s="38"/>
      <c r="AZ1552" s="44"/>
      <c r="BA1552" s="45"/>
      <c r="BB1552" s="44"/>
      <c r="BC1552" s="45"/>
      <c r="BD1552" s="44"/>
      <c r="BE1552" s="38"/>
      <c r="BF1552" s="36"/>
      <c r="BG1552" s="68"/>
      <c r="BH1552" s="68"/>
      <c r="BI1552" s="68"/>
      <c r="BJ1552" s="68"/>
      <c r="BK1552" s="68"/>
      <c r="BL1552" s="68"/>
      <c r="BM1552" s="68"/>
      <c r="BN1552" s="68"/>
      <c r="BO1552" s="68"/>
      <c r="BP1552" s="68"/>
      <c r="BQ1552" s="68"/>
      <c r="BR1552" s="68"/>
      <c r="BS1552" s="68"/>
      <c r="BT1552" s="68"/>
      <c r="BU1552" s="68"/>
      <c r="BV1552" s="68"/>
      <c r="BW1552" s="68"/>
      <c r="BX1552" s="68"/>
      <c r="BY1552" s="68"/>
      <c r="BZ1552" s="68"/>
      <c r="CA1552" s="68"/>
      <c r="CB1552" s="68"/>
      <c r="CC1552" s="68"/>
      <c r="CD1552" s="68"/>
      <c r="CE1552" s="68"/>
      <c r="CF1552" s="68"/>
      <c r="CG1552" s="68"/>
      <c r="CH1552" s="68"/>
      <c r="CI1552" s="68"/>
      <c r="CJ1552" s="68"/>
      <c r="CK1552" s="68"/>
      <c r="CL1552" s="68"/>
      <c r="CM1552" s="68"/>
      <c r="CN1552" s="68"/>
      <c r="CO1552" s="68"/>
      <c r="CP1552" s="68"/>
    </row>
    <row r="1553" ht="15.75" customHeight="1">
      <c r="A1553" s="21" t="s">
        <v>7270</v>
      </c>
      <c r="B1553" s="858" t="s">
        <v>1</v>
      </c>
      <c r="C1553" s="69" t="s">
        <v>513</v>
      </c>
      <c r="D1553" s="200" t="s">
        <v>7271</v>
      </c>
      <c r="E1553" s="385" t="s">
        <v>3432</v>
      </c>
      <c r="F1553" s="154" t="s">
        <v>7272</v>
      </c>
      <c r="G1553" s="140" t="s">
        <v>7273</v>
      </c>
      <c r="H1553" s="140" t="s">
        <v>64</v>
      </c>
      <c r="I1553" s="1401" t="s">
        <v>65</v>
      </c>
      <c r="J1553" s="72" t="s">
        <v>66</v>
      </c>
      <c r="K1553" s="74" t="s">
        <v>723</v>
      </c>
      <c r="L1553" s="74" t="s">
        <v>723</v>
      </c>
      <c r="M1553" s="25" t="str">
        <f t="shared" si="789"/>
        <v>#VALUE!</v>
      </c>
      <c r="N1553" s="26">
        <f t="shared" si="790"/>
        <v>0</v>
      </c>
      <c r="O1553" s="27" t="str">
        <f t="shared" si="3"/>
        <v>#N/A</v>
      </c>
      <c r="P1553" s="28"/>
      <c r="Q1553" s="28"/>
      <c r="R1553" s="28"/>
      <c r="S1553" s="28"/>
      <c r="T1553" s="28" t="str">
        <f t="shared" si="791"/>
        <v>#VALUE!</v>
      </c>
      <c r="U1553" s="28"/>
      <c r="V1553" s="30">
        <f t="shared" si="425"/>
        <v>0</v>
      </c>
      <c r="W1553" s="30"/>
      <c r="X1553" s="32"/>
      <c r="Y1553" s="33" t="str">
        <f t="shared" si="792"/>
        <v>#DIV/0!</v>
      </c>
      <c r="Z1553" s="692"/>
      <c r="AA1553" s="665"/>
      <c r="AB1553" s="74"/>
      <c r="AC1553" s="74"/>
      <c r="AD1553" s="44"/>
      <c r="AE1553" s="46"/>
      <c r="AF1553" s="39"/>
      <c r="AG1553" s="46"/>
      <c r="AH1553" s="36"/>
      <c r="AI1553" s="159"/>
      <c r="AJ1553" s="44"/>
      <c r="AK1553" s="46"/>
      <c r="AL1553" s="44"/>
      <c r="AM1553" s="46"/>
      <c r="AN1553" s="44"/>
      <c r="AO1553" s="46"/>
      <c r="AP1553" s="44"/>
      <c r="AQ1553" s="46"/>
      <c r="AR1553" s="44"/>
      <c r="AS1553" s="44"/>
      <c r="AT1553" s="44"/>
      <c r="AU1553" s="45"/>
      <c r="AV1553" s="44"/>
      <c r="AW1553" s="38"/>
      <c r="AX1553" s="44"/>
      <c r="AY1553" s="38"/>
      <c r="AZ1553" s="44"/>
      <c r="BA1553" s="45"/>
      <c r="BB1553" s="44"/>
      <c r="BC1553" s="45"/>
      <c r="BD1553" s="44"/>
      <c r="BE1553" s="38"/>
      <c r="BF1553" s="36"/>
      <c r="BG1553" s="68"/>
      <c r="BH1553" s="68"/>
      <c r="BI1553" s="68"/>
      <c r="BJ1553" s="68"/>
      <c r="BK1553" s="68"/>
      <c r="BL1553" s="68"/>
      <c r="BM1553" s="68"/>
      <c r="BN1553" s="68"/>
      <c r="BO1553" s="68"/>
      <c r="BP1553" s="68"/>
      <c r="BQ1553" s="68"/>
      <c r="BR1553" s="68"/>
      <c r="BS1553" s="68"/>
      <c r="BT1553" s="68"/>
      <c r="BU1553" s="68"/>
      <c r="BV1553" s="68"/>
      <c r="BW1553" s="68"/>
      <c r="BX1553" s="68"/>
      <c r="BY1553" s="68"/>
      <c r="BZ1553" s="68"/>
      <c r="CA1553" s="68"/>
      <c r="CB1553" s="68"/>
      <c r="CC1553" s="68"/>
      <c r="CD1553" s="68"/>
      <c r="CE1553" s="68"/>
      <c r="CF1553" s="68"/>
      <c r="CG1553" s="68"/>
      <c r="CH1553" s="68"/>
      <c r="CI1553" s="68"/>
      <c r="CJ1553" s="68"/>
      <c r="CK1553" s="68"/>
      <c r="CL1553" s="68"/>
      <c r="CM1553" s="68"/>
      <c r="CN1553" s="68"/>
      <c r="CO1553" s="68"/>
      <c r="CP1553" s="68"/>
    </row>
    <row r="1554" ht="15.75" customHeight="1">
      <c r="A1554" s="1531" t="s">
        <v>7274</v>
      </c>
      <c r="B1554" s="858"/>
      <c r="C1554" s="69" t="s">
        <v>513</v>
      </c>
      <c r="D1554" s="48"/>
      <c r="E1554" s="192" t="s">
        <v>7275</v>
      </c>
      <c r="F1554" s="192" t="s">
        <v>7276</v>
      </c>
      <c r="G1554" s="140"/>
      <c r="H1554" s="71" t="s">
        <v>695</v>
      </c>
      <c r="I1554" s="26" t="s">
        <v>5431</v>
      </c>
      <c r="J1554" s="72"/>
      <c r="K1554" s="74"/>
      <c r="L1554" s="26">
        <v>2016.0</v>
      </c>
      <c r="M1554" s="25">
        <f t="shared" si="789"/>
        <v>9</v>
      </c>
      <c r="N1554" s="26">
        <f t="shared" si="790"/>
        <v>0</v>
      </c>
      <c r="O1554" s="27" t="str">
        <f t="shared" si="3"/>
        <v>#N/A</v>
      </c>
      <c r="P1554" s="28"/>
      <c r="Q1554" s="28"/>
      <c r="R1554" s="28"/>
      <c r="S1554" s="28"/>
      <c r="T1554" s="29">
        <f t="shared" si="791"/>
        <v>0</v>
      </c>
      <c r="U1554" s="28"/>
      <c r="V1554" s="30">
        <f t="shared" si="425"/>
        <v>0</v>
      </c>
      <c r="W1554" s="30"/>
      <c r="X1554" s="32"/>
      <c r="Y1554" s="33" t="str">
        <f t="shared" si="792"/>
        <v>#DIV/0!</v>
      </c>
      <c r="Z1554" s="692"/>
      <c r="AA1554" s="665"/>
      <c r="AB1554" s="74"/>
      <c r="AC1554" s="74"/>
      <c r="AD1554" s="44"/>
      <c r="AE1554" s="46"/>
      <c r="AF1554" s="39"/>
      <c r="AG1554" s="46"/>
      <c r="AH1554" s="36"/>
      <c r="AI1554" s="159"/>
      <c r="AJ1554" s="227"/>
      <c r="AK1554" s="38"/>
      <c r="AL1554" s="44"/>
      <c r="AM1554" s="46"/>
      <c r="AN1554" s="44"/>
      <c r="AO1554" s="46"/>
      <c r="AP1554" s="44"/>
      <c r="AQ1554" s="46"/>
      <c r="AR1554" s="44"/>
      <c r="AS1554" s="44"/>
      <c r="AT1554" s="44"/>
      <c r="AU1554" s="45"/>
      <c r="AV1554" s="44"/>
      <c r="AW1554" s="38"/>
      <c r="AX1554" s="44"/>
      <c r="AY1554" s="38"/>
      <c r="AZ1554" s="44"/>
      <c r="BA1554" s="45"/>
      <c r="BB1554" s="44"/>
      <c r="BC1554" s="45"/>
      <c r="BD1554" s="44"/>
      <c r="BE1554" s="38"/>
      <c r="BF1554" s="36"/>
      <c r="BG1554" s="68"/>
      <c r="BH1554" s="68"/>
      <c r="BI1554" s="68"/>
      <c r="BJ1554" s="68"/>
      <c r="BK1554" s="68"/>
      <c r="BL1554" s="68"/>
      <c r="BM1554" s="68"/>
      <c r="BN1554" s="68"/>
      <c r="BO1554" s="68"/>
      <c r="BP1554" s="68"/>
      <c r="BQ1554" s="68"/>
      <c r="BR1554" s="68"/>
      <c r="BS1554" s="68"/>
      <c r="BT1554" s="68"/>
      <c r="BU1554" s="68"/>
      <c r="BV1554" s="68"/>
      <c r="BW1554" s="68"/>
      <c r="BX1554" s="68"/>
      <c r="BY1554" s="68"/>
      <c r="BZ1554" s="68"/>
      <c r="CA1554" s="68"/>
      <c r="CB1554" s="68"/>
      <c r="CC1554" s="68"/>
      <c r="CD1554" s="68"/>
      <c r="CE1554" s="68"/>
      <c r="CF1554" s="68"/>
      <c r="CG1554" s="68"/>
      <c r="CH1554" s="68"/>
      <c r="CI1554" s="68"/>
      <c r="CJ1554" s="68"/>
      <c r="CK1554" s="68"/>
      <c r="CL1554" s="68"/>
      <c r="CM1554" s="68"/>
      <c r="CN1554" s="68"/>
      <c r="CO1554" s="68"/>
      <c r="CP1554" s="68"/>
    </row>
    <row r="1555" ht="15.75" customHeight="1">
      <c r="A1555" s="1531" t="s">
        <v>7277</v>
      </c>
      <c r="B1555" s="858"/>
      <c r="C1555" s="69" t="s">
        <v>132</v>
      </c>
      <c r="D1555" s="48"/>
      <c r="E1555" s="192" t="s">
        <v>7278</v>
      </c>
      <c r="F1555" s="192" t="s">
        <v>7279</v>
      </c>
      <c r="G1555" s="140"/>
      <c r="H1555" s="71" t="s">
        <v>7280</v>
      </c>
      <c r="I1555" s="26" t="s">
        <v>329</v>
      </c>
      <c r="J1555" s="72"/>
      <c r="K1555" s="26"/>
      <c r="L1555" s="26">
        <v>2011.0</v>
      </c>
      <c r="M1555" s="25">
        <f t="shared" si="789"/>
        <v>14</v>
      </c>
      <c r="N1555" s="26">
        <f t="shared" si="790"/>
        <v>0</v>
      </c>
      <c r="O1555" s="27" t="str">
        <f t="shared" si="3"/>
        <v>#N/A</v>
      </c>
      <c r="P1555" s="28"/>
      <c r="Q1555" s="28"/>
      <c r="R1555" s="28"/>
      <c r="S1555" s="28"/>
      <c r="T1555" s="29">
        <f t="shared" si="791"/>
        <v>0</v>
      </c>
      <c r="U1555" s="28"/>
      <c r="V1555" s="30">
        <f t="shared" si="425"/>
        <v>0</v>
      </c>
      <c r="W1555" s="30"/>
      <c r="X1555" s="73"/>
      <c r="Y1555" s="33" t="str">
        <f t="shared" si="792"/>
        <v>#DIV/0!</v>
      </c>
      <c r="Z1555" s="692"/>
      <c r="AA1555" s="665"/>
      <c r="AB1555" s="74"/>
      <c r="AC1555" s="74"/>
      <c r="AD1555" s="44"/>
      <c r="AE1555" s="46"/>
      <c r="AF1555" s="39"/>
      <c r="AG1555" s="46"/>
      <c r="AH1555" s="36"/>
      <c r="AI1555" s="159"/>
      <c r="AJ1555" s="227"/>
      <c r="AK1555" s="38"/>
      <c r="AL1555" s="44"/>
      <c r="AM1555" s="46"/>
      <c r="AN1555" s="44"/>
      <c r="AO1555" s="46"/>
      <c r="AP1555" s="44"/>
      <c r="AQ1555" s="46"/>
      <c r="AR1555" s="44"/>
      <c r="AS1555" s="44"/>
      <c r="AT1555" s="44"/>
      <c r="AU1555" s="45"/>
      <c r="AV1555" s="44"/>
      <c r="AW1555" s="38"/>
      <c r="AX1555" s="44"/>
      <c r="AY1555" s="38"/>
      <c r="AZ1555" s="44"/>
      <c r="BA1555" s="45"/>
      <c r="BB1555" s="44"/>
      <c r="BC1555" s="45"/>
      <c r="BD1555" s="44"/>
      <c r="BE1555" s="38"/>
      <c r="BF1555" s="36"/>
      <c r="BG1555" s="115"/>
      <c r="BH1555" s="115"/>
      <c r="BI1555" s="115"/>
      <c r="BJ1555" s="115"/>
      <c r="BK1555" s="115"/>
      <c r="BL1555" s="115"/>
      <c r="BM1555" s="115"/>
      <c r="BN1555" s="115"/>
      <c r="BO1555" s="115"/>
      <c r="BP1555" s="115"/>
      <c r="BQ1555" s="115"/>
      <c r="BR1555" s="115"/>
      <c r="BS1555" s="115"/>
      <c r="BT1555" s="115"/>
      <c r="BU1555" s="115"/>
      <c r="BV1555" s="115"/>
      <c r="BW1555" s="115"/>
      <c r="BX1555" s="115"/>
      <c r="BY1555" s="115"/>
      <c r="BZ1555" s="115"/>
      <c r="CA1555" s="115"/>
      <c r="CB1555" s="115"/>
      <c r="CC1555" s="115"/>
      <c r="CD1555" s="115"/>
      <c r="CE1555" s="115"/>
      <c r="CF1555" s="115"/>
      <c r="CG1555" s="115"/>
      <c r="CH1555" s="115"/>
      <c r="CI1555" s="115"/>
      <c r="CJ1555" s="115"/>
      <c r="CK1555" s="115"/>
      <c r="CL1555" s="115"/>
      <c r="CM1555" s="115"/>
      <c r="CN1555" s="115"/>
      <c r="CO1555" s="115"/>
      <c r="CP1555" s="115"/>
    </row>
    <row r="1556" ht="15.75" customHeight="1">
      <c r="A1556" s="1531" t="s">
        <v>7281</v>
      </c>
      <c r="B1556" s="694"/>
      <c r="C1556" s="116" t="s">
        <v>513</v>
      </c>
      <c r="D1556" s="48" t="s">
        <v>4781</v>
      </c>
      <c r="E1556" s="48" t="s">
        <v>4781</v>
      </c>
      <c r="F1556" s="192" t="s">
        <v>7282</v>
      </c>
      <c r="G1556" s="48" t="s">
        <v>7283</v>
      </c>
      <c r="H1556" s="119" t="s">
        <v>450</v>
      </c>
      <c r="I1556" s="25" t="s">
        <v>450</v>
      </c>
      <c r="J1556" s="178" t="s">
        <v>7284</v>
      </c>
      <c r="K1556" s="25">
        <v>2.0</v>
      </c>
      <c r="L1556" s="25">
        <v>2018.0</v>
      </c>
      <c r="M1556" s="25">
        <f t="shared" si="789"/>
        <v>7</v>
      </c>
      <c r="N1556" s="26">
        <f t="shared" si="790"/>
        <v>0</v>
      </c>
      <c r="O1556" s="27" t="str">
        <f t="shared" si="3"/>
        <v>#N/A</v>
      </c>
      <c r="P1556" s="28"/>
      <c r="Q1556" s="28"/>
      <c r="R1556" s="28"/>
      <c r="S1556" s="28"/>
      <c r="T1556" s="29">
        <f t="shared" si="791"/>
        <v>0</v>
      </c>
      <c r="U1556" s="28"/>
      <c r="V1556" s="30">
        <f t="shared" si="425"/>
        <v>0</v>
      </c>
      <c r="W1556" s="30"/>
      <c r="X1556" s="597"/>
      <c r="Y1556" s="33" t="str">
        <f t="shared" si="792"/>
        <v>#DIV/0!</v>
      </c>
      <c r="Z1556" s="692"/>
      <c r="AA1556" s="665"/>
      <c r="AB1556" s="123"/>
      <c r="AC1556" s="123"/>
      <c r="AD1556" s="322"/>
      <c r="AE1556" s="323"/>
      <c r="AF1556" s="868"/>
      <c r="AG1556" s="323"/>
      <c r="AH1556" s="326"/>
      <c r="AI1556" s="327"/>
      <c r="AJ1556" s="1447"/>
      <c r="AK1556" s="325"/>
      <c r="AL1556" s="322"/>
      <c r="AM1556" s="323"/>
      <c r="AN1556" s="322"/>
      <c r="AO1556" s="323"/>
      <c r="AP1556" s="322"/>
      <c r="AQ1556" s="323"/>
      <c r="AR1556" s="322"/>
      <c r="AS1556" s="322"/>
      <c r="AT1556" s="322"/>
      <c r="AU1556" s="335"/>
      <c r="AV1556" s="322"/>
      <c r="AW1556" s="38"/>
      <c r="AX1556" s="322"/>
      <c r="AY1556" s="38"/>
      <c r="AZ1556" s="322"/>
      <c r="BA1556" s="335"/>
      <c r="BB1556" s="322"/>
      <c r="BC1556" s="335"/>
      <c r="BD1556" s="322"/>
      <c r="BE1556" s="38"/>
      <c r="BF1556" s="326"/>
      <c r="BG1556" s="68"/>
      <c r="BH1556" s="68"/>
      <c r="BI1556" s="68"/>
      <c r="BJ1556" s="68"/>
      <c r="BK1556" s="68"/>
      <c r="BL1556" s="68"/>
      <c r="BM1556" s="68"/>
      <c r="BN1556" s="68"/>
      <c r="BO1556" s="68"/>
      <c r="BP1556" s="68"/>
      <c r="BQ1556" s="68"/>
      <c r="BR1556" s="68"/>
      <c r="BS1556" s="68"/>
      <c r="BT1556" s="68"/>
      <c r="BU1556" s="68"/>
      <c r="BV1556" s="68"/>
      <c r="BW1556" s="68"/>
      <c r="BX1556" s="68"/>
      <c r="BY1556" s="68"/>
      <c r="BZ1556" s="68"/>
      <c r="CA1556" s="68"/>
      <c r="CB1556" s="68"/>
      <c r="CC1556" s="68"/>
      <c r="CD1556" s="68"/>
      <c r="CE1556" s="68"/>
      <c r="CF1556" s="68"/>
      <c r="CG1556" s="68"/>
      <c r="CH1556" s="68"/>
      <c r="CI1556" s="68"/>
      <c r="CJ1556" s="68"/>
      <c r="CK1556" s="68"/>
      <c r="CL1556" s="68"/>
      <c r="CM1556" s="68"/>
      <c r="CN1556" s="68"/>
      <c r="CO1556" s="68"/>
      <c r="CP1556" s="68"/>
    </row>
    <row r="1557" ht="15.75" customHeight="1">
      <c r="A1557" s="48" t="s">
        <v>7285</v>
      </c>
      <c r="B1557" s="858"/>
      <c r="C1557" s="69" t="s">
        <v>132</v>
      </c>
      <c r="D1557" s="192" t="s">
        <v>7286</v>
      </c>
      <c r="E1557" s="192" t="s">
        <v>7287</v>
      </c>
      <c r="F1557" s="118" t="s">
        <v>7288</v>
      </c>
      <c r="G1557" s="140"/>
      <c r="H1557" s="71" t="s">
        <v>7289</v>
      </c>
      <c r="I1557" s="26" t="s">
        <v>4429</v>
      </c>
      <c r="J1557" s="72"/>
      <c r="K1557" s="74"/>
      <c r="L1557" s="26">
        <v>2018.0</v>
      </c>
      <c r="M1557" s="25">
        <f t="shared" si="789"/>
        <v>7</v>
      </c>
      <c r="N1557" s="26">
        <f t="shared" si="790"/>
        <v>0</v>
      </c>
      <c r="O1557" s="27" t="str">
        <f t="shared" si="3"/>
        <v>#N/A</v>
      </c>
      <c r="P1557" s="28"/>
      <c r="Q1557" s="28"/>
      <c r="R1557" s="28"/>
      <c r="S1557" s="28"/>
      <c r="T1557" s="29">
        <f t="shared" si="791"/>
        <v>0</v>
      </c>
      <c r="U1557" s="28"/>
      <c r="V1557" s="30">
        <f t="shared" si="425"/>
        <v>0</v>
      </c>
      <c r="W1557" s="30"/>
      <c r="X1557" s="32"/>
      <c r="Y1557" s="33" t="str">
        <f t="shared" si="792"/>
        <v>#DIV/0!</v>
      </c>
      <c r="Z1557" s="692"/>
      <c r="AA1557" s="665"/>
      <c r="AB1557" s="74"/>
      <c r="AC1557" s="74"/>
      <c r="AD1557" s="44"/>
      <c r="AE1557" s="46"/>
      <c r="AF1557" s="39"/>
      <c r="AG1557" s="46"/>
      <c r="AH1557" s="36"/>
      <c r="AI1557" s="159"/>
      <c r="AJ1557" s="227"/>
      <c r="AK1557" s="38"/>
      <c r="AL1557" s="44"/>
      <c r="AM1557" s="46"/>
      <c r="AN1557" s="44"/>
      <c r="AO1557" s="46"/>
      <c r="AP1557" s="44"/>
      <c r="AQ1557" s="46"/>
      <c r="AR1557" s="44"/>
      <c r="AS1557" s="44"/>
      <c r="AT1557" s="44"/>
      <c r="AU1557" s="45"/>
      <c r="AV1557" s="44"/>
      <c r="AW1557" s="38"/>
      <c r="AX1557" s="44"/>
      <c r="AY1557" s="38"/>
      <c r="AZ1557" s="44"/>
      <c r="BA1557" s="45"/>
      <c r="BB1557" s="44"/>
      <c r="BC1557" s="45"/>
      <c r="BD1557" s="44"/>
      <c r="BE1557" s="38"/>
      <c r="BF1557" s="36"/>
      <c r="BG1557" s="115"/>
      <c r="BH1557" s="115"/>
      <c r="BI1557" s="115"/>
      <c r="BJ1557" s="115"/>
      <c r="BK1557" s="115"/>
      <c r="BL1557" s="115"/>
      <c r="BM1557" s="115"/>
      <c r="BN1557" s="115"/>
      <c r="BO1557" s="115"/>
      <c r="BP1557" s="115"/>
      <c r="BQ1557" s="115"/>
      <c r="BR1557" s="115"/>
      <c r="BS1557" s="115"/>
      <c r="BT1557" s="115"/>
      <c r="BU1557" s="115"/>
      <c r="BV1557" s="115"/>
      <c r="BW1557" s="115"/>
      <c r="BX1557" s="115"/>
      <c r="BY1557" s="115"/>
      <c r="BZ1557" s="115"/>
      <c r="CA1557" s="115"/>
      <c r="CB1557" s="115"/>
      <c r="CC1557" s="115"/>
      <c r="CD1557" s="115"/>
      <c r="CE1557" s="115"/>
      <c r="CF1557" s="115"/>
      <c r="CG1557" s="115"/>
      <c r="CH1557" s="115"/>
      <c r="CI1557" s="115"/>
      <c r="CJ1557" s="115"/>
      <c r="CK1557" s="115"/>
      <c r="CL1557" s="115"/>
      <c r="CM1557" s="115"/>
      <c r="CN1557" s="115"/>
      <c r="CO1557" s="115"/>
      <c r="CP1557" s="115"/>
    </row>
    <row r="1558" ht="15.75" customHeight="1">
      <c r="A1558" s="892" t="s">
        <v>7290</v>
      </c>
      <c r="B1558" s="694"/>
      <c r="C1558" s="116" t="s">
        <v>513</v>
      </c>
      <c r="D1558" s="48" t="s">
        <v>4781</v>
      </c>
      <c r="E1558" s="48" t="s">
        <v>4781</v>
      </c>
      <c r="F1558" s="192" t="s">
        <v>7291</v>
      </c>
      <c r="G1558" s="119" t="s">
        <v>7292</v>
      </c>
      <c r="H1558" s="119" t="s">
        <v>7293</v>
      </c>
      <c r="I1558" s="54" t="s">
        <v>772</v>
      </c>
      <c r="J1558" s="178" t="s">
        <v>7294</v>
      </c>
      <c r="K1558" s="123"/>
      <c r="L1558" s="25">
        <v>1993.0</v>
      </c>
      <c r="M1558" s="25">
        <f t="shared" si="789"/>
        <v>32</v>
      </c>
      <c r="N1558" s="26">
        <f t="shared" si="790"/>
        <v>0</v>
      </c>
      <c r="O1558" s="27" t="str">
        <f t="shared" si="3"/>
        <v>#N/A</v>
      </c>
      <c r="P1558" s="28"/>
      <c r="Q1558" s="28"/>
      <c r="R1558" s="28"/>
      <c r="S1558" s="28"/>
      <c r="T1558" s="29">
        <f t="shared" si="791"/>
        <v>0</v>
      </c>
      <c r="U1558" s="28"/>
      <c r="V1558" s="30">
        <f t="shared" si="425"/>
        <v>0</v>
      </c>
      <c r="W1558" s="30"/>
      <c r="X1558" s="403"/>
      <c r="Y1558" s="33" t="str">
        <f t="shared" si="792"/>
        <v>#DIV/0!</v>
      </c>
      <c r="Z1558" s="692"/>
      <c r="AA1558" s="665"/>
      <c r="AB1558" s="123"/>
      <c r="AC1558" s="123"/>
      <c r="AD1558" s="322"/>
      <c r="AE1558" s="323"/>
      <c r="AF1558" s="1707"/>
      <c r="AG1558" s="323"/>
      <c r="AH1558" s="326"/>
      <c r="AI1558" s="327"/>
      <c r="AJ1558" s="1708"/>
      <c r="AK1558" s="325"/>
      <c r="AL1558" s="322"/>
      <c r="AM1558" s="323"/>
      <c r="AN1558" s="322"/>
      <c r="AO1558" s="323"/>
      <c r="AP1558" s="322"/>
      <c r="AQ1558" s="323"/>
      <c r="AR1558" s="322"/>
      <c r="AS1558" s="322"/>
      <c r="AT1558" s="322"/>
      <c r="AU1558" s="335"/>
      <c r="AV1558" s="322"/>
      <c r="AW1558" s="38"/>
      <c r="AX1558" s="322"/>
      <c r="AY1558" s="38"/>
      <c r="AZ1558" s="322"/>
      <c r="BA1558" s="335"/>
      <c r="BB1558" s="322"/>
      <c r="BC1558" s="335"/>
      <c r="BD1558" s="322"/>
      <c r="BE1558" s="38"/>
      <c r="BF1558" s="326"/>
      <c r="BG1558" s="68"/>
      <c r="BH1558" s="68"/>
      <c r="BI1558" s="68"/>
      <c r="BJ1558" s="68"/>
      <c r="BK1558" s="68"/>
      <c r="BL1558" s="68"/>
      <c r="BM1558" s="68"/>
      <c r="BN1558" s="68"/>
      <c r="BO1558" s="68"/>
      <c r="BP1558" s="68"/>
      <c r="BQ1558" s="68"/>
      <c r="BR1558" s="68"/>
      <c r="BS1558" s="68"/>
      <c r="BT1558" s="68"/>
      <c r="BU1558" s="68"/>
      <c r="BV1558" s="68"/>
      <c r="BW1558" s="68"/>
      <c r="BX1558" s="68"/>
      <c r="BY1558" s="68"/>
      <c r="BZ1558" s="68"/>
      <c r="CA1558" s="68"/>
      <c r="CB1558" s="68"/>
      <c r="CC1558" s="68"/>
      <c r="CD1558" s="68"/>
      <c r="CE1558" s="68"/>
      <c r="CF1558" s="68"/>
      <c r="CG1558" s="68"/>
      <c r="CH1558" s="68"/>
      <c r="CI1558" s="68"/>
      <c r="CJ1558" s="68"/>
      <c r="CK1558" s="68"/>
      <c r="CL1558" s="68"/>
      <c r="CM1558" s="68"/>
      <c r="CN1558" s="68"/>
      <c r="CO1558" s="68"/>
      <c r="CP1558" s="68"/>
    </row>
    <row r="1559" ht="15.75" customHeight="1">
      <c r="A1559" s="1531" t="s">
        <v>7295</v>
      </c>
      <c r="B1559" s="694"/>
      <c r="C1559" s="116" t="s">
        <v>132</v>
      </c>
      <c r="D1559" s="48" t="s">
        <v>4781</v>
      </c>
      <c r="E1559" s="48" t="s">
        <v>4781</v>
      </c>
      <c r="F1559" s="192" t="s">
        <v>7296</v>
      </c>
      <c r="G1559" s="54" t="s">
        <v>7297</v>
      </c>
      <c r="H1559" s="119" t="s">
        <v>108</v>
      </c>
      <c r="I1559" s="25" t="s">
        <v>109</v>
      </c>
      <c r="J1559" s="178" t="s">
        <v>7298</v>
      </c>
      <c r="K1559" s="25">
        <v>1.0</v>
      </c>
      <c r="L1559" s="25">
        <v>2016.0</v>
      </c>
      <c r="M1559" s="25">
        <f t="shared" si="789"/>
        <v>9</v>
      </c>
      <c r="N1559" s="26">
        <f t="shared" si="790"/>
        <v>0</v>
      </c>
      <c r="O1559" s="27" t="str">
        <f t="shared" si="3"/>
        <v>#N/A</v>
      </c>
      <c r="P1559" s="28"/>
      <c r="Q1559" s="28"/>
      <c r="R1559" s="28"/>
      <c r="S1559" s="28"/>
      <c r="T1559" s="29">
        <f t="shared" si="791"/>
        <v>0</v>
      </c>
      <c r="U1559" s="28"/>
      <c r="V1559" s="30">
        <f t="shared" si="425"/>
        <v>0</v>
      </c>
      <c r="W1559" s="30"/>
      <c r="X1559" s="597"/>
      <c r="Y1559" s="33" t="str">
        <f t="shared" si="792"/>
        <v>#DIV/0!</v>
      </c>
      <c r="Z1559" s="692"/>
      <c r="AA1559" s="665"/>
      <c r="AB1559" s="123"/>
      <c r="AC1559" s="123"/>
      <c r="AD1559" s="322"/>
      <c r="AE1559" s="323"/>
      <c r="AF1559" s="1707"/>
      <c r="AG1559" s="323"/>
      <c r="AH1559" s="326"/>
      <c r="AI1559" s="327"/>
      <c r="AJ1559" s="1708"/>
      <c r="AK1559" s="325"/>
      <c r="AL1559" s="322"/>
      <c r="AM1559" s="323"/>
      <c r="AN1559" s="322"/>
      <c r="AO1559" s="323"/>
      <c r="AP1559" s="322"/>
      <c r="AQ1559" s="323"/>
      <c r="AR1559" s="322"/>
      <c r="AS1559" s="322"/>
      <c r="AT1559" s="322"/>
      <c r="AU1559" s="335"/>
      <c r="AV1559" s="322"/>
      <c r="AW1559" s="38"/>
      <c r="AX1559" s="322"/>
      <c r="AY1559" s="38"/>
      <c r="AZ1559" s="322"/>
      <c r="BA1559" s="335"/>
      <c r="BB1559" s="322"/>
      <c r="BC1559" s="335"/>
      <c r="BD1559" s="322"/>
      <c r="BE1559" s="38"/>
      <c r="BF1559" s="326"/>
      <c r="BG1559" s="68"/>
      <c r="BH1559" s="68"/>
      <c r="BI1559" s="68"/>
      <c r="BJ1559" s="68"/>
      <c r="BK1559" s="68"/>
      <c r="BL1559" s="68"/>
      <c r="BM1559" s="68"/>
      <c r="BN1559" s="68"/>
      <c r="BO1559" s="68"/>
      <c r="BP1559" s="68"/>
      <c r="BQ1559" s="68"/>
      <c r="BR1559" s="68"/>
      <c r="BS1559" s="68"/>
      <c r="BT1559" s="68"/>
      <c r="BU1559" s="68"/>
      <c r="BV1559" s="68"/>
      <c r="BW1559" s="68"/>
      <c r="BX1559" s="68"/>
      <c r="BY1559" s="68"/>
      <c r="BZ1559" s="68"/>
      <c r="CA1559" s="68"/>
      <c r="CB1559" s="68"/>
      <c r="CC1559" s="68"/>
      <c r="CD1559" s="68"/>
      <c r="CE1559" s="68"/>
      <c r="CF1559" s="68"/>
      <c r="CG1559" s="68"/>
      <c r="CH1559" s="68"/>
      <c r="CI1559" s="68"/>
      <c r="CJ1559" s="68"/>
      <c r="CK1559" s="68"/>
      <c r="CL1559" s="68"/>
      <c r="CM1559" s="68"/>
      <c r="CN1559" s="68"/>
      <c r="CO1559" s="68"/>
      <c r="CP1559" s="68"/>
    </row>
    <row r="1560" ht="15.75" customHeight="1">
      <c r="A1560" s="1531" t="s">
        <v>7299</v>
      </c>
      <c r="B1560" s="68"/>
      <c r="C1560" s="69" t="s">
        <v>207</v>
      </c>
      <c r="D1560" s="192" t="s">
        <v>7300</v>
      </c>
      <c r="E1560" s="192" t="s">
        <v>7301</v>
      </c>
      <c r="F1560" s="117" t="s">
        <v>7302</v>
      </c>
      <c r="G1560" s="186"/>
      <c r="H1560" s="71" t="s">
        <v>5671</v>
      </c>
      <c r="I1560" s="26" t="s">
        <v>2377</v>
      </c>
      <c r="J1560" s="155"/>
      <c r="K1560" s="74"/>
      <c r="L1560" s="26">
        <v>2013.0</v>
      </c>
      <c r="M1560" s="25">
        <f t="shared" si="789"/>
        <v>12</v>
      </c>
      <c r="N1560" s="26">
        <f t="shared" si="790"/>
        <v>0</v>
      </c>
      <c r="O1560" s="27" t="str">
        <f t="shared" si="3"/>
        <v>#N/A</v>
      </c>
      <c r="P1560" s="28"/>
      <c r="Q1560" s="28"/>
      <c r="R1560" s="28"/>
      <c r="S1560" s="28"/>
      <c r="T1560" s="29">
        <f t="shared" si="791"/>
        <v>0</v>
      </c>
      <c r="U1560" s="28"/>
      <c r="V1560" s="30">
        <f t="shared" si="425"/>
        <v>0</v>
      </c>
      <c r="W1560" s="30"/>
      <c r="X1560" s="32"/>
      <c r="Y1560" s="33" t="str">
        <f t="shared" si="792"/>
        <v>#DIV/0!</v>
      </c>
      <c r="Z1560" s="692"/>
      <c r="AA1560" s="665"/>
      <c r="AB1560" s="74"/>
      <c r="AC1560" s="74"/>
      <c r="AD1560" s="44"/>
      <c r="AE1560" s="46"/>
      <c r="AF1560" s="872"/>
      <c r="AG1560" s="46"/>
      <c r="AH1560" s="36"/>
      <c r="AI1560" s="159"/>
      <c r="AJ1560" s="473"/>
      <c r="AK1560" s="46"/>
      <c r="AL1560" s="44"/>
      <c r="AM1560" s="46"/>
      <c r="AN1560" s="44"/>
      <c r="AO1560" s="46"/>
      <c r="AP1560" s="44"/>
      <c r="AQ1560" s="46"/>
      <c r="AR1560" s="44"/>
      <c r="AS1560" s="44"/>
      <c r="AT1560" s="44"/>
      <c r="AU1560" s="45"/>
      <c r="AV1560" s="44"/>
      <c r="AW1560" s="38"/>
      <c r="AX1560" s="44"/>
      <c r="AY1560" s="38"/>
      <c r="AZ1560" s="44"/>
      <c r="BA1560" s="45"/>
      <c r="BB1560" s="44"/>
      <c r="BC1560" s="45"/>
      <c r="BD1560" s="44"/>
      <c r="BE1560" s="38"/>
      <c r="BF1560" s="36"/>
      <c r="BG1560" s="68"/>
      <c r="BH1560" s="68"/>
      <c r="BI1560" s="68"/>
      <c r="BJ1560" s="68"/>
      <c r="BK1560" s="68"/>
      <c r="BL1560" s="68"/>
      <c r="BM1560" s="68"/>
      <c r="BN1560" s="68"/>
      <c r="BO1560" s="68"/>
      <c r="BP1560" s="68"/>
      <c r="BQ1560" s="68"/>
      <c r="BR1560" s="68"/>
      <c r="BS1560" s="68"/>
      <c r="BT1560" s="68"/>
      <c r="BU1560" s="68"/>
      <c r="BV1560" s="68"/>
      <c r="BW1560" s="68"/>
      <c r="BX1560" s="68"/>
      <c r="BY1560" s="68"/>
      <c r="BZ1560" s="68"/>
      <c r="CA1560" s="68"/>
      <c r="CB1560" s="68"/>
      <c r="CC1560" s="68"/>
      <c r="CD1560" s="68"/>
      <c r="CE1560" s="68"/>
      <c r="CF1560" s="68"/>
      <c r="CG1560" s="68"/>
      <c r="CH1560" s="68"/>
      <c r="CI1560" s="68"/>
      <c r="CJ1560" s="68"/>
      <c r="CK1560" s="68"/>
      <c r="CL1560" s="68"/>
      <c r="CM1560" s="68"/>
      <c r="CN1560" s="68"/>
      <c r="CO1560" s="68"/>
      <c r="CP1560" s="68"/>
    </row>
    <row r="1561" ht="15.75" customHeight="1">
      <c r="A1561" s="21" t="s">
        <v>7303</v>
      </c>
      <c r="B1561" s="858" t="s">
        <v>944</v>
      </c>
      <c r="C1561" s="69" t="s">
        <v>132</v>
      </c>
      <c r="D1561" s="200" t="s">
        <v>7304</v>
      </c>
      <c r="E1561" s="200" t="s">
        <v>7305</v>
      </c>
      <c r="F1561" s="1709" t="s">
        <v>7306</v>
      </c>
      <c r="G1561" s="140" t="s">
        <v>7307</v>
      </c>
      <c r="H1561" s="140" t="s">
        <v>7308</v>
      </c>
      <c r="I1561" s="1401" t="s">
        <v>695</v>
      </c>
      <c r="J1561" s="72" t="s">
        <v>7309</v>
      </c>
      <c r="K1561" s="74" t="s">
        <v>723</v>
      </c>
      <c r="L1561" s="26">
        <v>2018.0</v>
      </c>
      <c r="M1561" s="25">
        <f t="shared" si="789"/>
        <v>7</v>
      </c>
      <c r="N1561" s="26">
        <f t="shared" si="790"/>
        <v>0</v>
      </c>
      <c r="O1561" s="27" t="str">
        <f t="shared" si="3"/>
        <v>#N/A</v>
      </c>
      <c r="P1561" s="28"/>
      <c r="Q1561" s="28"/>
      <c r="R1561" s="28"/>
      <c r="S1561" s="28"/>
      <c r="T1561" s="29">
        <f t="shared" si="791"/>
        <v>0</v>
      </c>
      <c r="U1561" s="28"/>
      <c r="V1561" s="30">
        <f t="shared" si="425"/>
        <v>0</v>
      </c>
      <c r="W1561" s="30"/>
      <c r="X1561" s="32"/>
      <c r="Y1561" s="33" t="str">
        <f t="shared" si="792"/>
        <v>#DIV/0!</v>
      </c>
      <c r="Z1561" s="692"/>
      <c r="AA1561" s="665"/>
      <c r="AB1561" s="74"/>
      <c r="AC1561" s="74"/>
      <c r="AD1561" s="44"/>
      <c r="AE1561" s="46"/>
      <c r="AF1561" s="872"/>
      <c r="AG1561" s="46"/>
      <c r="AH1561" s="36"/>
      <c r="AI1561" s="159"/>
      <c r="AJ1561" s="473"/>
      <c r="AK1561" s="46"/>
      <c r="AL1561" s="44"/>
      <c r="AM1561" s="46"/>
      <c r="AN1561" s="44"/>
      <c r="AO1561" s="46"/>
      <c r="AP1561" s="44"/>
      <c r="AQ1561" s="46"/>
      <c r="AR1561" s="44"/>
      <c r="AS1561" s="44"/>
      <c r="AT1561" s="44"/>
      <c r="AU1561" s="45"/>
      <c r="AV1561" s="44"/>
      <c r="AW1561" s="38"/>
      <c r="AX1561" s="44"/>
      <c r="AY1561" s="38"/>
      <c r="AZ1561" s="44"/>
      <c r="BA1561" s="45"/>
      <c r="BB1561" s="44"/>
      <c r="BC1561" s="45"/>
      <c r="BD1561" s="44"/>
      <c r="BE1561" s="38"/>
      <c r="BF1561" s="36"/>
      <c r="BG1561" s="68"/>
      <c r="BH1561" s="68"/>
      <c r="BI1561" s="68"/>
      <c r="BJ1561" s="68"/>
      <c r="BK1561" s="68"/>
      <c r="BL1561" s="68"/>
      <c r="BM1561" s="68"/>
      <c r="BN1561" s="68"/>
      <c r="BO1561" s="68"/>
      <c r="BP1561" s="68"/>
      <c r="BQ1561" s="68"/>
      <c r="BR1561" s="68"/>
      <c r="BS1561" s="68"/>
      <c r="BT1561" s="68"/>
      <c r="BU1561" s="68"/>
      <c r="BV1561" s="68"/>
      <c r="BW1561" s="68"/>
      <c r="BX1561" s="68"/>
      <c r="BY1561" s="68"/>
      <c r="BZ1561" s="68"/>
      <c r="CA1561" s="68"/>
      <c r="CB1561" s="68"/>
      <c r="CC1561" s="68"/>
      <c r="CD1561" s="68"/>
      <c r="CE1561" s="68"/>
      <c r="CF1561" s="68"/>
      <c r="CG1561" s="68"/>
      <c r="CH1561" s="68"/>
      <c r="CI1561" s="68"/>
      <c r="CJ1561" s="68"/>
      <c r="CK1561" s="68"/>
      <c r="CL1561" s="68"/>
      <c r="CM1561" s="68"/>
      <c r="CN1561" s="68"/>
      <c r="CO1561" s="68"/>
      <c r="CP1561" s="68"/>
    </row>
    <row r="1562" ht="15.75" customHeight="1">
      <c r="A1562" s="1531" t="s">
        <v>7310</v>
      </c>
      <c r="B1562" s="68"/>
      <c r="C1562" s="69" t="s">
        <v>132</v>
      </c>
      <c r="D1562" s="48"/>
      <c r="E1562" s="192" t="s">
        <v>7311</v>
      </c>
      <c r="F1562" s="117" t="s">
        <v>7312</v>
      </c>
      <c r="G1562" s="174"/>
      <c r="H1562" s="71" t="s">
        <v>7313</v>
      </c>
      <c r="I1562" s="26" t="s">
        <v>164</v>
      </c>
      <c r="J1562" s="155"/>
      <c r="K1562" s="74"/>
      <c r="L1562" s="26">
        <v>2008.0</v>
      </c>
      <c r="M1562" s="25">
        <f t="shared" si="789"/>
        <v>17</v>
      </c>
      <c r="N1562" s="26">
        <f t="shared" si="790"/>
        <v>0</v>
      </c>
      <c r="O1562" s="27" t="str">
        <f t="shared" si="3"/>
        <v>#N/A</v>
      </c>
      <c r="P1562" s="28"/>
      <c r="Q1562" s="28"/>
      <c r="R1562" s="28"/>
      <c r="S1562" s="28"/>
      <c r="T1562" s="29">
        <f t="shared" si="791"/>
        <v>0</v>
      </c>
      <c r="U1562" s="28"/>
      <c r="V1562" s="30">
        <f t="shared" si="425"/>
        <v>0</v>
      </c>
      <c r="W1562" s="30"/>
      <c r="X1562" s="32"/>
      <c r="Y1562" s="33" t="str">
        <f t="shared" si="792"/>
        <v>#DIV/0!</v>
      </c>
      <c r="Z1562" s="692"/>
      <c r="AA1562" s="665"/>
      <c r="AB1562" s="74"/>
      <c r="AC1562" s="74"/>
      <c r="AD1562" s="44"/>
      <c r="AE1562" s="46"/>
      <c r="AF1562" s="872"/>
      <c r="AG1562" s="46"/>
      <c r="AH1562" s="36"/>
      <c r="AI1562" s="159"/>
      <c r="AJ1562" s="473"/>
      <c r="AK1562" s="46"/>
      <c r="AL1562" s="44"/>
      <c r="AM1562" s="46"/>
      <c r="AN1562" s="44"/>
      <c r="AO1562" s="46"/>
      <c r="AP1562" s="44"/>
      <c r="AQ1562" s="46"/>
      <c r="AR1562" s="44"/>
      <c r="AS1562" s="44"/>
      <c r="AT1562" s="44"/>
      <c r="AU1562" s="45"/>
      <c r="AV1562" s="44"/>
      <c r="AW1562" s="38"/>
      <c r="AX1562" s="44"/>
      <c r="AY1562" s="38"/>
      <c r="AZ1562" s="44"/>
      <c r="BA1562" s="45"/>
      <c r="BB1562" s="44"/>
      <c r="BC1562" s="45"/>
      <c r="BD1562" s="44"/>
      <c r="BE1562" s="38"/>
      <c r="BF1562" s="36"/>
      <c r="BG1562" s="68"/>
      <c r="BH1562" s="68"/>
      <c r="BI1562" s="68"/>
      <c r="BJ1562" s="68"/>
      <c r="BK1562" s="68"/>
      <c r="BL1562" s="68"/>
      <c r="BM1562" s="68"/>
      <c r="BN1562" s="68"/>
      <c r="BO1562" s="68"/>
      <c r="BP1562" s="68"/>
      <c r="BQ1562" s="68"/>
      <c r="BR1562" s="68"/>
      <c r="BS1562" s="68"/>
      <c r="BT1562" s="68"/>
      <c r="BU1562" s="68"/>
      <c r="BV1562" s="68"/>
      <c r="BW1562" s="68"/>
      <c r="BX1562" s="68"/>
      <c r="BY1562" s="68"/>
      <c r="BZ1562" s="68"/>
      <c r="CA1562" s="68"/>
      <c r="CB1562" s="68"/>
      <c r="CC1562" s="68"/>
      <c r="CD1562" s="68"/>
      <c r="CE1562" s="68"/>
      <c r="CF1562" s="68"/>
      <c r="CG1562" s="68"/>
      <c r="CH1562" s="68"/>
      <c r="CI1562" s="68"/>
      <c r="CJ1562" s="68"/>
      <c r="CK1562" s="68"/>
      <c r="CL1562" s="68"/>
      <c r="CM1562" s="68"/>
      <c r="CN1562" s="68"/>
      <c r="CO1562" s="68"/>
      <c r="CP1562" s="68"/>
    </row>
    <row r="1563" ht="15.75" customHeight="1">
      <c r="A1563" s="1531" t="s">
        <v>7314</v>
      </c>
      <c r="B1563" s="68"/>
      <c r="C1563" s="69" t="s">
        <v>513</v>
      </c>
      <c r="D1563" s="192" t="s">
        <v>7315</v>
      </c>
      <c r="E1563" s="192" t="s">
        <v>7316</v>
      </c>
      <c r="F1563" s="117" t="s">
        <v>7317</v>
      </c>
      <c r="G1563" s="186"/>
      <c r="H1563" s="71" t="s">
        <v>937</v>
      </c>
      <c r="I1563" s="26" t="s">
        <v>826</v>
      </c>
      <c r="J1563" s="155"/>
      <c r="K1563" s="74"/>
      <c r="L1563" s="26">
        <v>2005.0</v>
      </c>
      <c r="M1563" s="25">
        <f t="shared" si="789"/>
        <v>20</v>
      </c>
      <c r="N1563" s="26">
        <f t="shared" si="790"/>
        <v>0</v>
      </c>
      <c r="O1563" s="27" t="str">
        <f t="shared" si="3"/>
        <v>#N/A</v>
      </c>
      <c r="P1563" s="28"/>
      <c r="Q1563" s="28"/>
      <c r="R1563" s="28"/>
      <c r="S1563" s="28"/>
      <c r="T1563" s="29">
        <f t="shared" si="791"/>
        <v>0</v>
      </c>
      <c r="U1563" s="28"/>
      <c r="V1563" s="30">
        <f t="shared" si="425"/>
        <v>0</v>
      </c>
      <c r="W1563" s="30"/>
      <c r="X1563" s="32"/>
      <c r="Y1563" s="33" t="str">
        <f t="shared" si="792"/>
        <v>#DIV/0!</v>
      </c>
      <c r="Z1563" s="692"/>
      <c r="AA1563" s="665"/>
      <c r="AB1563" s="74"/>
      <c r="AC1563" s="74"/>
      <c r="AD1563" s="44"/>
      <c r="AE1563" s="46"/>
      <c r="AF1563" s="872"/>
      <c r="AG1563" s="46"/>
      <c r="AH1563" s="36"/>
      <c r="AI1563" s="159"/>
      <c r="AJ1563" s="473"/>
      <c r="AK1563" s="46"/>
      <c r="AL1563" s="44"/>
      <c r="AM1563" s="46"/>
      <c r="AN1563" s="44"/>
      <c r="AO1563" s="46"/>
      <c r="AP1563" s="44"/>
      <c r="AQ1563" s="46"/>
      <c r="AR1563" s="44"/>
      <c r="AS1563" s="44"/>
      <c r="AT1563" s="44"/>
      <c r="AU1563" s="45"/>
      <c r="AV1563" s="44"/>
      <c r="AW1563" s="38"/>
      <c r="AX1563" s="44"/>
      <c r="AY1563" s="38"/>
      <c r="AZ1563" s="44"/>
      <c r="BA1563" s="45"/>
      <c r="BB1563" s="44"/>
      <c r="BC1563" s="45"/>
      <c r="BD1563" s="44"/>
      <c r="BE1563" s="38"/>
      <c r="BF1563" s="36"/>
      <c r="BG1563" s="1407"/>
      <c r="BH1563" s="1407"/>
      <c r="BI1563" s="1407"/>
      <c r="BJ1563" s="1407"/>
      <c r="BK1563" s="1407"/>
      <c r="BL1563" s="1407"/>
      <c r="BM1563" s="1407"/>
      <c r="BN1563" s="1407"/>
      <c r="BO1563" s="1407"/>
      <c r="BP1563" s="1407"/>
      <c r="BQ1563" s="1407"/>
      <c r="BR1563" s="1407"/>
      <c r="BS1563" s="1407"/>
      <c r="BT1563" s="1407"/>
      <c r="BU1563" s="1407"/>
      <c r="BV1563" s="1407"/>
      <c r="BW1563" s="1407"/>
      <c r="BX1563" s="1407"/>
      <c r="BY1563" s="1407"/>
      <c r="BZ1563" s="1407"/>
      <c r="CA1563" s="1407"/>
      <c r="CB1563" s="1407"/>
      <c r="CC1563" s="1407"/>
      <c r="CD1563" s="1407"/>
      <c r="CE1563" s="1407"/>
      <c r="CF1563" s="1407"/>
      <c r="CG1563" s="1407"/>
      <c r="CH1563" s="1407"/>
      <c r="CI1563" s="1407"/>
      <c r="CJ1563" s="1407"/>
      <c r="CK1563" s="1407"/>
      <c r="CL1563" s="1407"/>
      <c r="CM1563" s="1407"/>
      <c r="CN1563" s="1407"/>
      <c r="CO1563" s="1407"/>
      <c r="CP1563" s="1407"/>
    </row>
    <row r="1564" ht="15.75" customHeight="1">
      <c r="A1564" s="21" t="s">
        <v>7318</v>
      </c>
      <c r="B1564" s="68"/>
      <c r="C1564" s="69" t="s">
        <v>59</v>
      </c>
      <c r="D1564" s="48"/>
      <c r="E1564" s="138" t="s">
        <v>7319</v>
      </c>
      <c r="F1564" s="864" t="s">
        <v>7320</v>
      </c>
      <c r="G1564" s="407" t="s">
        <v>7321</v>
      </c>
      <c r="H1564" s="71" t="s">
        <v>1065</v>
      </c>
      <c r="I1564" s="26" t="s">
        <v>639</v>
      </c>
      <c r="J1564" s="178" t="s">
        <v>7322</v>
      </c>
      <c r="K1564" s="74"/>
      <c r="L1564" s="26">
        <v>2015.0</v>
      </c>
      <c r="M1564" s="25">
        <f t="shared" si="789"/>
        <v>10</v>
      </c>
      <c r="N1564" s="26">
        <f t="shared" si="790"/>
        <v>0</v>
      </c>
      <c r="O1564" s="27" t="str">
        <f t="shared" si="3"/>
        <v>#N/A</v>
      </c>
      <c r="P1564" s="28"/>
      <c r="Q1564" s="28"/>
      <c r="R1564" s="28"/>
      <c r="S1564" s="28"/>
      <c r="T1564" s="29">
        <f t="shared" si="791"/>
        <v>0</v>
      </c>
      <c r="U1564" s="28"/>
      <c r="V1564" s="30">
        <f t="shared" si="425"/>
        <v>0</v>
      </c>
      <c r="W1564" s="30"/>
      <c r="X1564" s="32"/>
      <c r="Y1564" s="33" t="str">
        <f t="shared" si="792"/>
        <v>#DIV/0!</v>
      </c>
      <c r="Z1564" s="692"/>
      <c r="AA1564" s="665"/>
      <c r="AB1564" s="74"/>
      <c r="AC1564" s="74"/>
      <c r="AD1564" s="44"/>
      <c r="AE1564" s="46"/>
      <c r="AF1564" s="872"/>
      <c r="AG1564" s="46"/>
      <c r="AH1564" s="36"/>
      <c r="AI1564" s="159"/>
      <c r="AJ1564" s="473"/>
      <c r="AK1564" s="46"/>
      <c r="AL1564" s="44"/>
      <c r="AM1564" s="46"/>
      <c r="AN1564" s="44"/>
      <c r="AO1564" s="46"/>
      <c r="AP1564" s="44"/>
      <c r="AQ1564" s="46"/>
      <c r="AR1564" s="44"/>
      <c r="AS1564" s="44"/>
      <c r="AT1564" s="44"/>
      <c r="AU1564" s="45"/>
      <c r="AV1564" s="44"/>
      <c r="AW1564" s="38"/>
      <c r="AX1564" s="44"/>
      <c r="AY1564" s="38"/>
      <c r="AZ1564" s="44"/>
      <c r="BA1564" s="45"/>
      <c r="BB1564" s="44"/>
      <c r="BC1564" s="45"/>
      <c r="BD1564" s="44"/>
      <c r="BE1564" s="38"/>
      <c r="BF1564" s="36"/>
      <c r="BG1564" s="68"/>
      <c r="BH1564" s="68"/>
      <c r="BI1564" s="68"/>
      <c r="BJ1564" s="68"/>
      <c r="BK1564" s="68"/>
      <c r="BL1564" s="68"/>
      <c r="BM1564" s="68"/>
      <c r="BN1564" s="68"/>
      <c r="BO1564" s="68"/>
      <c r="BP1564" s="68"/>
      <c r="BQ1564" s="68"/>
      <c r="BR1564" s="68"/>
      <c r="BS1564" s="68"/>
      <c r="BT1564" s="68"/>
      <c r="BU1564" s="68"/>
      <c r="BV1564" s="68"/>
      <c r="BW1564" s="68"/>
      <c r="BX1564" s="68"/>
      <c r="BY1564" s="68"/>
      <c r="BZ1564" s="68"/>
      <c r="CA1564" s="68"/>
      <c r="CB1564" s="68"/>
      <c r="CC1564" s="68"/>
      <c r="CD1564" s="68"/>
      <c r="CE1564" s="68"/>
      <c r="CF1564" s="68"/>
      <c r="CG1564" s="68"/>
      <c r="CH1564" s="68"/>
      <c r="CI1564" s="68"/>
      <c r="CJ1564" s="68"/>
      <c r="CK1564" s="68"/>
      <c r="CL1564" s="68"/>
      <c r="CM1564" s="68"/>
      <c r="CN1564" s="68"/>
      <c r="CO1564" s="68"/>
      <c r="CP1564" s="68"/>
    </row>
    <row r="1565" ht="15.75" customHeight="1">
      <c r="A1565" s="21" t="s">
        <v>7323</v>
      </c>
      <c r="B1565" s="68"/>
      <c r="C1565" s="69" t="s">
        <v>59</v>
      </c>
      <c r="D1565" s="192" t="s">
        <v>7324</v>
      </c>
      <c r="E1565" s="337"/>
      <c r="F1565" s="864" t="s">
        <v>7325</v>
      </c>
      <c r="G1565" s="174"/>
      <c r="H1565" s="186"/>
      <c r="I1565" s="74"/>
      <c r="J1565" s="155"/>
      <c r="K1565" s="74" t="s">
        <v>723</v>
      </c>
      <c r="L1565" s="74" t="s">
        <v>723</v>
      </c>
      <c r="M1565" s="25" t="str">
        <f t="shared" si="789"/>
        <v>#VALUE!</v>
      </c>
      <c r="N1565" s="26">
        <f t="shared" si="790"/>
        <v>0</v>
      </c>
      <c r="O1565" s="27" t="str">
        <f t="shared" si="3"/>
        <v>#N/A</v>
      </c>
      <c r="P1565" s="28"/>
      <c r="Q1565" s="28"/>
      <c r="R1565" s="28"/>
      <c r="S1565" s="28"/>
      <c r="T1565" s="28" t="str">
        <f t="shared" si="791"/>
        <v>#VALUE!</v>
      </c>
      <c r="U1565" s="28"/>
      <c r="V1565" s="30">
        <f t="shared" si="425"/>
        <v>0</v>
      </c>
      <c r="W1565" s="30"/>
      <c r="X1565" s="32"/>
      <c r="Y1565" s="33" t="str">
        <f t="shared" si="792"/>
        <v>#DIV/0!</v>
      </c>
      <c r="Z1565" s="692"/>
      <c r="AA1565" s="665"/>
      <c r="AB1565" s="74"/>
      <c r="AC1565" s="74"/>
      <c r="AD1565" s="44"/>
      <c r="AE1565" s="46"/>
      <c r="AF1565" s="872"/>
      <c r="AG1565" s="46"/>
      <c r="AH1565" s="36"/>
      <c r="AI1565" s="159"/>
      <c r="AJ1565" s="473"/>
      <c r="AK1565" s="46"/>
      <c r="AL1565" s="44"/>
      <c r="AM1565" s="46"/>
      <c r="AN1565" s="44"/>
      <c r="AO1565" s="46"/>
      <c r="AP1565" s="44"/>
      <c r="AQ1565" s="46"/>
      <c r="AR1565" s="44"/>
      <c r="AS1565" s="44"/>
      <c r="AT1565" s="44"/>
      <c r="AU1565" s="45"/>
      <c r="AV1565" s="44"/>
      <c r="AW1565" s="38"/>
      <c r="AX1565" s="44"/>
      <c r="AY1565" s="38"/>
      <c r="AZ1565" s="44"/>
      <c r="BA1565" s="45"/>
      <c r="BB1565" s="44"/>
      <c r="BC1565" s="45"/>
      <c r="BD1565" s="44"/>
      <c r="BE1565" s="38"/>
      <c r="BF1565" s="36"/>
      <c r="BG1565" s="68"/>
      <c r="BH1565" s="68"/>
      <c r="BI1565" s="68"/>
      <c r="BJ1565" s="68"/>
      <c r="BK1565" s="68"/>
      <c r="BL1565" s="68"/>
      <c r="BM1565" s="68"/>
      <c r="BN1565" s="68"/>
      <c r="BO1565" s="68"/>
      <c r="BP1565" s="68"/>
      <c r="BQ1565" s="68"/>
      <c r="BR1565" s="68"/>
      <c r="BS1565" s="68"/>
      <c r="BT1565" s="68"/>
      <c r="BU1565" s="68"/>
      <c r="BV1565" s="68"/>
      <c r="BW1565" s="68"/>
      <c r="BX1565" s="68"/>
      <c r="BY1565" s="68"/>
      <c r="BZ1565" s="68"/>
      <c r="CA1565" s="68"/>
      <c r="CB1565" s="68"/>
      <c r="CC1565" s="68"/>
      <c r="CD1565" s="68"/>
      <c r="CE1565" s="68"/>
      <c r="CF1565" s="68"/>
      <c r="CG1565" s="68"/>
      <c r="CH1565" s="68"/>
      <c r="CI1565" s="68"/>
      <c r="CJ1565" s="68"/>
      <c r="CK1565" s="68"/>
      <c r="CL1565" s="68"/>
      <c r="CM1565" s="68"/>
      <c r="CN1565" s="68"/>
      <c r="CO1565" s="68"/>
      <c r="CP1565" s="68"/>
    </row>
    <row r="1566" ht="15.75" customHeight="1">
      <c r="A1566" s="1710" t="s">
        <v>7326</v>
      </c>
      <c r="B1566" s="1463"/>
      <c r="C1566" s="1463" t="s">
        <v>132</v>
      </c>
      <c r="D1566" s="1711" t="s">
        <v>4781</v>
      </c>
      <c r="E1566" s="1711" t="s">
        <v>4781</v>
      </c>
      <c r="F1566" s="1712" t="s">
        <v>7327</v>
      </c>
      <c r="G1566" s="1713" t="s">
        <v>7328</v>
      </c>
      <c r="H1566" s="1467" t="s">
        <v>7329</v>
      </c>
      <c r="I1566" s="1467" t="s">
        <v>7330</v>
      </c>
      <c r="J1566" s="1714"/>
      <c r="K1566" s="1469">
        <v>2.0</v>
      </c>
      <c r="L1566" s="1469">
        <v>2014.0</v>
      </c>
      <c r="M1566" s="25">
        <f t="shared" si="789"/>
        <v>11</v>
      </c>
      <c r="N1566" s="26">
        <f t="shared" si="790"/>
        <v>0</v>
      </c>
      <c r="O1566" s="27" t="str">
        <f t="shared" si="3"/>
        <v>#N/A</v>
      </c>
      <c r="P1566" s="28"/>
      <c r="Q1566" s="28"/>
      <c r="R1566" s="28"/>
      <c r="S1566" s="28"/>
      <c r="T1566" s="29">
        <f t="shared" si="791"/>
        <v>0</v>
      </c>
      <c r="U1566" s="28"/>
      <c r="V1566" s="30">
        <f t="shared" si="425"/>
        <v>0</v>
      </c>
      <c r="W1566" s="30"/>
      <c r="X1566" s="1473"/>
      <c r="Y1566" s="33" t="str">
        <f t="shared" si="792"/>
        <v>#DIV/0!</v>
      </c>
      <c r="Z1566" s="692"/>
      <c r="AA1566" s="665"/>
      <c r="AB1566" s="1474"/>
      <c r="AC1566" s="1474"/>
      <c r="AD1566" s="1715"/>
      <c r="AE1566" s="1476"/>
      <c r="AF1566" s="1716"/>
      <c r="AG1566" s="1717"/>
      <c r="AH1566" s="1474"/>
      <c r="AI1566" s="1479"/>
      <c r="AJ1566" s="1718"/>
      <c r="AK1566" s="1717"/>
      <c r="AL1566" s="1482"/>
      <c r="AM1566" s="1717"/>
      <c r="AN1566" s="1482"/>
      <c r="AO1566" s="1717"/>
      <c r="AP1566" s="1482"/>
      <c r="AQ1566" s="1717"/>
      <c r="AR1566" s="1482"/>
      <c r="AS1566" s="1482"/>
      <c r="AT1566" s="1482"/>
      <c r="AU1566" s="1483"/>
      <c r="AV1566" s="1482"/>
      <c r="AW1566" s="38"/>
      <c r="AX1566" s="1482"/>
      <c r="AY1566" s="38"/>
      <c r="AZ1566" s="1482"/>
      <c r="BA1566" s="1483"/>
      <c r="BB1566" s="1482"/>
      <c r="BC1566" s="1483"/>
      <c r="BD1566" s="1482"/>
      <c r="BE1566" s="38"/>
      <c r="BF1566" s="1474"/>
      <c r="BG1566" s="68"/>
      <c r="BH1566" s="68"/>
      <c r="BI1566" s="68"/>
      <c r="BJ1566" s="68"/>
      <c r="BK1566" s="68"/>
      <c r="BL1566" s="68"/>
      <c r="BM1566" s="68"/>
      <c r="BN1566" s="68"/>
      <c r="BO1566" s="68"/>
      <c r="BP1566" s="68"/>
      <c r="BQ1566" s="68"/>
      <c r="BR1566" s="68"/>
      <c r="BS1566" s="68"/>
      <c r="BT1566" s="68"/>
      <c r="BU1566" s="68"/>
      <c r="BV1566" s="68"/>
      <c r="BW1566" s="68"/>
      <c r="BX1566" s="68"/>
      <c r="BY1566" s="68"/>
      <c r="BZ1566" s="68"/>
      <c r="CA1566" s="68"/>
      <c r="CB1566" s="68"/>
      <c r="CC1566" s="68"/>
      <c r="CD1566" s="68"/>
      <c r="CE1566" s="68"/>
      <c r="CF1566" s="68"/>
      <c r="CG1566" s="68"/>
      <c r="CH1566" s="68"/>
      <c r="CI1566" s="68"/>
      <c r="CJ1566" s="68"/>
      <c r="CK1566" s="68"/>
      <c r="CL1566" s="68"/>
      <c r="CM1566" s="68"/>
      <c r="CN1566" s="68"/>
      <c r="CO1566" s="68"/>
      <c r="CP1566" s="68"/>
    </row>
    <row r="1567" ht="15.75" customHeight="1">
      <c r="A1567" s="21" t="s">
        <v>7331</v>
      </c>
      <c r="B1567" s="69" t="s">
        <v>5634</v>
      </c>
      <c r="C1567" s="69" t="s">
        <v>132</v>
      </c>
      <c r="D1567" s="200" t="s">
        <v>7332</v>
      </c>
      <c r="E1567" s="200" t="s">
        <v>7333</v>
      </c>
      <c r="F1567" s="864" t="s">
        <v>7334</v>
      </c>
      <c r="G1567" s="1110" t="s">
        <v>7335</v>
      </c>
      <c r="H1567" s="140" t="s">
        <v>825</v>
      </c>
      <c r="I1567" s="26" t="s">
        <v>65</v>
      </c>
      <c r="J1567" s="72" t="s">
        <v>7336</v>
      </c>
      <c r="K1567" s="74" t="s">
        <v>723</v>
      </c>
      <c r="L1567" s="26">
        <v>2014.0</v>
      </c>
      <c r="M1567" s="25">
        <f t="shared" si="789"/>
        <v>11</v>
      </c>
      <c r="N1567" s="26">
        <f t="shared" si="790"/>
        <v>0</v>
      </c>
      <c r="O1567" s="27" t="str">
        <f t="shared" si="3"/>
        <v>#N/A</v>
      </c>
      <c r="P1567" s="28"/>
      <c r="Q1567" s="28"/>
      <c r="R1567" s="28"/>
      <c r="S1567" s="28"/>
      <c r="T1567" s="29">
        <f t="shared" si="791"/>
        <v>0</v>
      </c>
      <c r="U1567" s="28"/>
      <c r="V1567" s="30">
        <f t="shared" si="425"/>
        <v>0</v>
      </c>
      <c r="W1567" s="30"/>
      <c r="X1567" s="32"/>
      <c r="Y1567" s="33" t="str">
        <f t="shared" si="792"/>
        <v>#DIV/0!</v>
      </c>
      <c r="Z1567" s="692"/>
      <c r="AA1567" s="665"/>
      <c r="AB1567" s="74"/>
      <c r="AC1567" s="74"/>
      <c r="AD1567" s="79"/>
      <c r="AE1567" s="84"/>
      <c r="AF1567" s="792"/>
      <c r="AG1567" s="84"/>
      <c r="AH1567" s="74"/>
      <c r="AI1567" s="78"/>
      <c r="AJ1567" s="81"/>
      <c r="AK1567" s="84"/>
      <c r="AL1567" s="79"/>
      <c r="AM1567" s="84"/>
      <c r="AN1567" s="79"/>
      <c r="AO1567" s="84"/>
      <c r="AP1567" s="79"/>
      <c r="AQ1567" s="84"/>
      <c r="AR1567" s="79"/>
      <c r="AS1567" s="79"/>
      <c r="AT1567" s="79"/>
      <c r="AU1567" s="80"/>
      <c r="AV1567" s="79"/>
      <c r="AW1567" s="38"/>
      <c r="AX1567" s="79"/>
      <c r="AY1567" s="38"/>
      <c r="AZ1567" s="79"/>
      <c r="BA1567" s="80"/>
      <c r="BB1567" s="79"/>
      <c r="BC1567" s="80"/>
      <c r="BD1567" s="79"/>
      <c r="BE1567" s="38"/>
      <c r="BF1567" s="74"/>
      <c r="BG1567" s="68"/>
      <c r="BH1567" s="68"/>
      <c r="BI1567" s="68"/>
      <c r="BJ1567" s="68"/>
      <c r="BK1567" s="68"/>
      <c r="BL1567" s="68"/>
      <c r="BM1567" s="68"/>
      <c r="BN1567" s="68"/>
      <c r="BO1567" s="68"/>
      <c r="BP1567" s="68"/>
      <c r="BQ1567" s="68"/>
      <c r="BR1567" s="68"/>
      <c r="BS1567" s="68"/>
      <c r="BT1567" s="68"/>
      <c r="BU1567" s="68"/>
      <c r="BV1567" s="68"/>
      <c r="BW1567" s="68"/>
      <c r="BX1567" s="68"/>
      <c r="BY1567" s="68"/>
      <c r="BZ1567" s="68"/>
      <c r="CA1567" s="68"/>
      <c r="CB1567" s="68"/>
      <c r="CC1567" s="68"/>
      <c r="CD1567" s="68"/>
      <c r="CE1567" s="68"/>
      <c r="CF1567" s="68"/>
      <c r="CG1567" s="68"/>
      <c r="CH1567" s="68"/>
      <c r="CI1567" s="68"/>
      <c r="CJ1567" s="68"/>
      <c r="CK1567" s="68"/>
      <c r="CL1567" s="68"/>
      <c r="CM1567" s="68"/>
      <c r="CN1567" s="68"/>
      <c r="CO1567" s="68"/>
      <c r="CP1567" s="68"/>
    </row>
    <row r="1568" ht="15.75" customHeight="1">
      <c r="A1568" s="1719" t="s">
        <v>7337</v>
      </c>
      <c r="B1568" s="1463"/>
      <c r="C1568" s="1463" t="s">
        <v>59</v>
      </c>
      <c r="D1568" s="1720" t="s">
        <v>4781</v>
      </c>
      <c r="E1568" s="1711" t="s">
        <v>4781</v>
      </c>
      <c r="F1568" s="1721" t="s">
        <v>7338</v>
      </c>
      <c r="G1568" s="1467" t="s">
        <v>7339</v>
      </c>
      <c r="H1568" s="1468" t="s">
        <v>7340</v>
      </c>
      <c r="I1568" s="1467" t="s">
        <v>1547</v>
      </c>
      <c r="J1568" s="1470" t="s">
        <v>7341</v>
      </c>
      <c r="K1568" s="1469">
        <v>1.0</v>
      </c>
      <c r="L1568" s="1469">
        <v>2019.0</v>
      </c>
      <c r="M1568" s="25">
        <f t="shared" si="789"/>
        <v>6</v>
      </c>
      <c r="N1568" s="26">
        <f t="shared" si="790"/>
        <v>0</v>
      </c>
      <c r="O1568" s="27" t="str">
        <f t="shared" si="3"/>
        <v>#N/A</v>
      </c>
      <c r="P1568" s="28"/>
      <c r="Q1568" s="28"/>
      <c r="R1568" s="28"/>
      <c r="S1568" s="28"/>
      <c r="T1568" s="29">
        <f t="shared" si="791"/>
        <v>0</v>
      </c>
      <c r="U1568" s="28"/>
      <c r="V1568" s="30">
        <f t="shared" si="425"/>
        <v>0</v>
      </c>
      <c r="W1568" s="30"/>
      <c r="X1568" s="1473"/>
      <c r="Y1568" s="33" t="str">
        <f t="shared" si="792"/>
        <v>#DIV/0!</v>
      </c>
      <c r="Z1568" s="692"/>
      <c r="AA1568" s="665"/>
      <c r="AB1568" s="1474"/>
      <c r="AC1568" s="1474"/>
      <c r="AD1568" s="1482"/>
      <c r="AE1568" s="1717"/>
      <c r="AF1568" s="1722"/>
      <c r="AG1568" s="1717"/>
      <c r="AH1568" s="1474"/>
      <c r="AI1568" s="1479"/>
      <c r="AJ1568" s="1482"/>
      <c r="AK1568" s="1717"/>
      <c r="AL1568" s="1482"/>
      <c r="AM1568" s="1717"/>
      <c r="AN1568" s="1482"/>
      <c r="AO1568" s="1717"/>
      <c r="AP1568" s="1482"/>
      <c r="AQ1568" s="1717"/>
      <c r="AR1568" s="1482"/>
      <c r="AS1568" s="1482"/>
      <c r="AT1568" s="1482"/>
      <c r="AU1568" s="1483"/>
      <c r="AV1568" s="1482"/>
      <c r="AW1568" s="38"/>
      <c r="AX1568" s="1482"/>
      <c r="AY1568" s="38"/>
      <c r="AZ1568" s="1482"/>
      <c r="BA1568" s="1483"/>
      <c r="BB1568" s="1482"/>
      <c r="BC1568" s="1483"/>
      <c r="BD1568" s="1482"/>
      <c r="BE1568" s="38"/>
      <c r="BF1568" s="1474"/>
      <c r="BG1568" s="68"/>
      <c r="BH1568" s="68"/>
      <c r="BI1568" s="68"/>
      <c r="BJ1568" s="68"/>
      <c r="BK1568" s="68"/>
      <c r="BL1568" s="68"/>
      <c r="BM1568" s="68"/>
      <c r="BN1568" s="68"/>
      <c r="BO1568" s="68"/>
      <c r="BP1568" s="68"/>
      <c r="BQ1568" s="68"/>
      <c r="BR1568" s="68"/>
      <c r="BS1568" s="68"/>
      <c r="BT1568" s="68"/>
      <c r="BU1568" s="68"/>
      <c r="BV1568" s="68"/>
      <c r="BW1568" s="68"/>
      <c r="BX1568" s="68"/>
      <c r="BY1568" s="68"/>
      <c r="BZ1568" s="68"/>
      <c r="CA1568" s="68"/>
      <c r="CB1568" s="68"/>
      <c r="CC1568" s="68"/>
      <c r="CD1568" s="68"/>
      <c r="CE1568" s="68"/>
      <c r="CF1568" s="68"/>
      <c r="CG1568" s="68"/>
      <c r="CH1568" s="68"/>
      <c r="CI1568" s="68"/>
      <c r="CJ1568" s="68"/>
      <c r="CK1568" s="68"/>
      <c r="CL1568" s="68"/>
      <c r="CM1568" s="68"/>
      <c r="CN1568" s="68"/>
      <c r="CO1568" s="68"/>
      <c r="CP1568" s="68"/>
    </row>
    <row r="1569" ht="15.75" customHeight="1">
      <c r="A1569" s="1723" t="s">
        <v>7342</v>
      </c>
      <c r="B1569" s="1463"/>
      <c r="C1569" s="1463" t="s">
        <v>84</v>
      </c>
      <c r="D1569" s="1720" t="s">
        <v>4781</v>
      </c>
      <c r="E1569" s="1711" t="s">
        <v>4781</v>
      </c>
      <c r="F1569" s="1724" t="s">
        <v>7343</v>
      </c>
      <c r="G1569" s="1725"/>
      <c r="H1569" s="1467" t="s">
        <v>736</v>
      </c>
      <c r="I1569" s="1469" t="s">
        <v>660</v>
      </c>
      <c r="J1569" s="1470" t="s">
        <v>5957</v>
      </c>
      <c r="K1569" s="1469"/>
      <c r="L1569" s="1469"/>
      <c r="M1569" s="25">
        <f t="shared" si="789"/>
        <v>2025</v>
      </c>
      <c r="N1569" s="26">
        <f t="shared" si="790"/>
        <v>0</v>
      </c>
      <c r="O1569" s="27" t="str">
        <f t="shared" si="3"/>
        <v>#N/A</v>
      </c>
      <c r="P1569" s="28"/>
      <c r="Q1569" s="28"/>
      <c r="R1569" s="28"/>
      <c r="S1569" s="28"/>
      <c r="T1569" s="29">
        <f t="shared" si="791"/>
        <v>0</v>
      </c>
      <c r="U1569" s="28"/>
      <c r="V1569" s="30">
        <f t="shared" si="425"/>
        <v>0</v>
      </c>
      <c r="W1569" s="30"/>
      <c r="X1569" s="1473"/>
      <c r="Y1569" s="33" t="str">
        <f t="shared" si="792"/>
        <v>#DIV/0!</v>
      </c>
      <c r="Z1569" s="692"/>
      <c r="AA1569" s="665"/>
      <c r="AB1569" s="1474"/>
      <c r="AC1569" s="1474"/>
      <c r="AD1569" s="1482"/>
      <c r="AE1569" s="1717"/>
      <c r="AF1569" s="1722"/>
      <c r="AG1569" s="1717"/>
      <c r="AH1569" s="1474"/>
      <c r="AI1569" s="1479"/>
      <c r="AJ1569" s="1482"/>
      <c r="AK1569" s="1717"/>
      <c r="AL1569" s="1482"/>
      <c r="AM1569" s="1717"/>
      <c r="AN1569" s="1482"/>
      <c r="AO1569" s="1717"/>
      <c r="AP1569" s="1482"/>
      <c r="AQ1569" s="1717"/>
      <c r="AR1569" s="1482"/>
      <c r="AS1569" s="1482"/>
      <c r="AT1569" s="1482"/>
      <c r="AU1569" s="1483"/>
      <c r="AV1569" s="1482"/>
      <c r="AW1569" s="38"/>
      <c r="AX1569" s="1482"/>
      <c r="AY1569" s="38"/>
      <c r="AZ1569" s="1482"/>
      <c r="BA1569" s="1483"/>
      <c r="BB1569" s="1482"/>
      <c r="BC1569" s="1483"/>
      <c r="BD1569" s="1482"/>
      <c r="BE1569" s="38"/>
      <c r="BF1569" s="1474"/>
      <c r="BG1569" s="68"/>
      <c r="BH1569" s="68"/>
      <c r="BI1569" s="68"/>
      <c r="BJ1569" s="68"/>
      <c r="BK1569" s="68"/>
      <c r="BL1569" s="68"/>
      <c r="BM1569" s="68"/>
      <c r="BN1569" s="68"/>
      <c r="BO1569" s="68"/>
      <c r="BP1569" s="68"/>
      <c r="BQ1569" s="68"/>
      <c r="BR1569" s="68"/>
      <c r="BS1569" s="68"/>
      <c r="BT1569" s="68"/>
      <c r="BU1569" s="68"/>
      <c r="BV1569" s="68"/>
      <c r="BW1569" s="68"/>
      <c r="BX1569" s="68"/>
      <c r="BY1569" s="68"/>
      <c r="BZ1569" s="68"/>
      <c r="CA1569" s="68"/>
      <c r="CB1569" s="68"/>
      <c r="CC1569" s="68"/>
      <c r="CD1569" s="68"/>
      <c r="CE1569" s="68"/>
      <c r="CF1569" s="68"/>
      <c r="CG1569" s="68"/>
      <c r="CH1569" s="68"/>
      <c r="CI1569" s="68"/>
      <c r="CJ1569" s="68"/>
      <c r="CK1569" s="68"/>
      <c r="CL1569" s="68"/>
      <c r="CM1569" s="68"/>
      <c r="CN1569" s="68"/>
      <c r="CO1569" s="68"/>
      <c r="CP1569" s="68"/>
    </row>
    <row r="1570" ht="15.75" customHeight="1">
      <c r="A1570" s="21" t="s">
        <v>7344</v>
      </c>
      <c r="B1570" s="69" t="s">
        <v>4081</v>
      </c>
      <c r="C1570" s="69" t="s">
        <v>132</v>
      </c>
      <c r="D1570" s="192" t="s">
        <v>4685</v>
      </c>
      <c r="E1570" s="200" t="str">
        <f>HYPERLINK("https://www.crunchbase.com/organization/guestwiser#section-funding-rounds"," https://www.crunchbase.com/organization/guestwiser")</f>
        <v> https://www.crunchbase.com/organization/guestwiser</v>
      </c>
      <c r="F1570" s="154" t="s">
        <v>7345</v>
      </c>
      <c r="G1570" s="140" t="s">
        <v>7346</v>
      </c>
      <c r="H1570" s="140" t="s">
        <v>7347</v>
      </c>
      <c r="I1570" s="26" t="s">
        <v>65</v>
      </c>
      <c r="J1570" s="72" t="s">
        <v>7348</v>
      </c>
      <c r="K1570" s="26">
        <v>1.0</v>
      </c>
      <c r="L1570" s="26">
        <v>2016.0</v>
      </c>
      <c r="M1570" s="25">
        <f t="shared" si="789"/>
        <v>9</v>
      </c>
      <c r="N1570" s="26">
        <f t="shared" si="790"/>
        <v>0</v>
      </c>
      <c r="O1570" s="27" t="str">
        <f t="shared" si="3"/>
        <v>#N/A</v>
      </c>
      <c r="P1570" s="28"/>
      <c r="Q1570" s="28"/>
      <c r="R1570" s="28"/>
      <c r="S1570" s="28"/>
      <c r="T1570" s="29">
        <f t="shared" si="791"/>
        <v>0</v>
      </c>
      <c r="U1570" s="28"/>
      <c r="V1570" s="30">
        <f t="shared" si="425"/>
        <v>0</v>
      </c>
      <c r="W1570" s="30"/>
      <c r="X1570" s="73"/>
      <c r="Y1570" s="33" t="str">
        <f t="shared" si="792"/>
        <v>#DIV/0!</v>
      </c>
      <c r="Z1570" s="692"/>
      <c r="AA1570" s="665"/>
      <c r="AB1570" s="74"/>
      <c r="AC1570" s="74"/>
      <c r="AD1570" s="79"/>
      <c r="AE1570" s="84"/>
      <c r="AF1570" s="175" t="str">
        <f>HYPERLINK("https://www.crunchbase.com/organization/guestwiser#section-funding-rounds"," Apr 23, 2019")</f>
        <v> Apr 23, 2019</v>
      </c>
      <c r="AG1570" s="84"/>
      <c r="AH1570" s="74"/>
      <c r="AI1570" s="78"/>
      <c r="AJ1570" s="79"/>
      <c r="AK1570" s="84"/>
      <c r="AL1570" s="79"/>
      <c r="AM1570" s="84"/>
      <c r="AN1570" s="79"/>
      <c r="AO1570" s="84"/>
      <c r="AP1570" s="79"/>
      <c r="AQ1570" s="84"/>
      <c r="AR1570" s="79"/>
      <c r="AS1570" s="79"/>
      <c r="AT1570" s="79"/>
      <c r="AU1570" s="80"/>
      <c r="AV1570" s="79"/>
      <c r="AW1570" s="38"/>
      <c r="AX1570" s="79"/>
      <c r="AY1570" s="38"/>
      <c r="AZ1570" s="79"/>
      <c r="BA1570" s="80"/>
      <c r="BB1570" s="79"/>
      <c r="BC1570" s="80"/>
      <c r="BD1570" s="79"/>
      <c r="BE1570" s="38"/>
      <c r="BF1570" s="74"/>
      <c r="BG1570" s="68"/>
      <c r="BH1570" s="68"/>
      <c r="BI1570" s="68"/>
      <c r="BJ1570" s="68"/>
      <c r="BK1570" s="68"/>
      <c r="BL1570" s="68"/>
      <c r="BM1570" s="68"/>
      <c r="BN1570" s="68"/>
      <c r="BO1570" s="68"/>
      <c r="BP1570" s="68"/>
      <c r="BQ1570" s="68"/>
      <c r="BR1570" s="68"/>
      <c r="BS1570" s="68"/>
      <c r="BT1570" s="68"/>
      <c r="BU1570" s="68"/>
      <c r="BV1570" s="68"/>
      <c r="BW1570" s="68"/>
      <c r="BX1570" s="68"/>
      <c r="BY1570" s="68"/>
      <c r="BZ1570" s="68"/>
      <c r="CA1570" s="68"/>
      <c r="CB1570" s="68"/>
      <c r="CC1570" s="68"/>
      <c r="CD1570" s="68"/>
      <c r="CE1570" s="68"/>
      <c r="CF1570" s="68"/>
      <c r="CG1570" s="68"/>
      <c r="CH1570" s="68"/>
      <c r="CI1570" s="68"/>
      <c r="CJ1570" s="68"/>
      <c r="CK1570" s="68"/>
      <c r="CL1570" s="68"/>
      <c r="CM1570" s="68"/>
      <c r="CN1570" s="68"/>
      <c r="CO1570" s="68"/>
      <c r="CP1570" s="68"/>
    </row>
    <row r="1571" ht="15.75" customHeight="1">
      <c r="A1571" s="21" t="s">
        <v>7349</v>
      </c>
      <c r="B1571" s="68"/>
      <c r="C1571" s="69" t="s">
        <v>59</v>
      </c>
      <c r="D1571" s="192" t="s">
        <v>7350</v>
      </c>
      <c r="E1571" s="200" t="s">
        <v>7351</v>
      </c>
      <c r="F1571" s="154" t="s">
        <v>7352</v>
      </c>
      <c r="G1571" s="140" t="s">
        <v>7353</v>
      </c>
      <c r="H1571" s="140" t="s">
        <v>7354</v>
      </c>
      <c r="I1571" s="562" t="s">
        <v>188</v>
      </c>
      <c r="J1571" s="72" t="s">
        <v>7253</v>
      </c>
      <c r="K1571" s="74" t="s">
        <v>723</v>
      </c>
      <c r="L1571" s="26">
        <v>1996.0</v>
      </c>
      <c r="M1571" s="25">
        <f t="shared" si="789"/>
        <v>29</v>
      </c>
      <c r="N1571" s="26">
        <f t="shared" si="790"/>
        <v>0</v>
      </c>
      <c r="O1571" s="27" t="str">
        <f t="shared" si="3"/>
        <v>#N/A</v>
      </c>
      <c r="P1571" s="28"/>
      <c r="Q1571" s="28"/>
      <c r="R1571" s="28"/>
      <c r="S1571" s="28"/>
      <c r="T1571" s="29">
        <f t="shared" si="791"/>
        <v>0</v>
      </c>
      <c r="U1571" s="28"/>
      <c r="V1571" s="30">
        <f t="shared" si="425"/>
        <v>0</v>
      </c>
      <c r="W1571" s="30"/>
      <c r="X1571" s="32"/>
      <c r="Y1571" s="33" t="str">
        <f t="shared" si="792"/>
        <v>#DIV/0!</v>
      </c>
      <c r="Z1571" s="692"/>
      <c r="AA1571" s="665"/>
      <c r="AB1571" s="74"/>
      <c r="AC1571" s="74"/>
      <c r="AD1571" s="79"/>
      <c r="AE1571" s="84"/>
      <c r="AF1571" s="338"/>
      <c r="AG1571" s="84"/>
      <c r="AH1571" s="74"/>
      <c r="AI1571" s="78"/>
      <c r="AJ1571" s="79"/>
      <c r="AK1571" s="84"/>
      <c r="AL1571" s="79"/>
      <c r="AM1571" s="84"/>
      <c r="AN1571" s="79"/>
      <c r="AO1571" s="84"/>
      <c r="AP1571" s="79"/>
      <c r="AQ1571" s="84"/>
      <c r="AR1571" s="79"/>
      <c r="AS1571" s="79"/>
      <c r="AT1571" s="79"/>
      <c r="AU1571" s="80"/>
      <c r="AV1571" s="79"/>
      <c r="AW1571" s="38"/>
      <c r="AX1571" s="79"/>
      <c r="AY1571" s="38"/>
      <c r="AZ1571" s="79"/>
      <c r="BA1571" s="80"/>
      <c r="BB1571" s="79"/>
      <c r="BC1571" s="80"/>
      <c r="BD1571" s="79"/>
      <c r="BE1571" s="38"/>
      <c r="BF1571" s="74"/>
      <c r="BG1571" s="68"/>
      <c r="BH1571" s="68"/>
      <c r="BI1571" s="68"/>
      <c r="BJ1571" s="68"/>
      <c r="BK1571" s="68"/>
      <c r="BL1571" s="68"/>
      <c r="BM1571" s="68"/>
      <c r="BN1571" s="68"/>
      <c r="BO1571" s="68"/>
      <c r="BP1571" s="68"/>
      <c r="BQ1571" s="68"/>
      <c r="BR1571" s="68"/>
      <c r="BS1571" s="68"/>
      <c r="BT1571" s="68"/>
      <c r="BU1571" s="68"/>
      <c r="BV1571" s="68"/>
      <c r="BW1571" s="68"/>
      <c r="BX1571" s="68"/>
      <c r="BY1571" s="68"/>
      <c r="BZ1571" s="68"/>
      <c r="CA1571" s="68"/>
      <c r="CB1571" s="68"/>
      <c r="CC1571" s="68"/>
      <c r="CD1571" s="68"/>
      <c r="CE1571" s="68"/>
      <c r="CF1571" s="68"/>
      <c r="CG1571" s="68"/>
      <c r="CH1571" s="68"/>
      <c r="CI1571" s="68"/>
      <c r="CJ1571" s="68"/>
      <c r="CK1571" s="68"/>
      <c r="CL1571" s="68"/>
      <c r="CM1571" s="68"/>
      <c r="CN1571" s="68"/>
      <c r="CO1571" s="68"/>
      <c r="CP1571" s="68"/>
    </row>
    <row r="1572" ht="15.75" customHeight="1">
      <c r="A1572" s="21" t="s">
        <v>7355</v>
      </c>
      <c r="B1572" s="69" t="s">
        <v>4081</v>
      </c>
      <c r="C1572" s="69" t="s">
        <v>132</v>
      </c>
      <c r="D1572" s="184"/>
      <c r="E1572" s="200" t="s">
        <v>7356</v>
      </c>
      <c r="F1572" s="154" t="s">
        <v>7357</v>
      </c>
      <c r="G1572" s="140" t="s">
        <v>7358</v>
      </c>
      <c r="H1572" s="140" t="s">
        <v>128</v>
      </c>
      <c r="I1572" s="1401" t="s">
        <v>129</v>
      </c>
      <c r="J1572" s="72" t="s">
        <v>7359</v>
      </c>
      <c r="K1572" s="26">
        <v>1.0</v>
      </c>
      <c r="L1572" s="26">
        <v>2010.0</v>
      </c>
      <c r="M1572" s="25">
        <f t="shared" si="789"/>
        <v>15</v>
      </c>
      <c r="N1572" s="26">
        <f t="shared" si="790"/>
        <v>0</v>
      </c>
      <c r="O1572" s="27" t="str">
        <f t="shared" si="3"/>
        <v>#N/A</v>
      </c>
      <c r="P1572" s="28"/>
      <c r="Q1572" s="28"/>
      <c r="R1572" s="28"/>
      <c r="S1572" s="28"/>
      <c r="T1572" s="29">
        <f t="shared" si="791"/>
        <v>0</v>
      </c>
      <c r="U1572" s="28"/>
      <c r="V1572" s="30">
        <f t="shared" si="425"/>
        <v>0</v>
      </c>
      <c r="W1572" s="30"/>
      <c r="X1572" s="73"/>
      <c r="Y1572" s="33" t="str">
        <f t="shared" si="792"/>
        <v>#DIV/0!</v>
      </c>
      <c r="Z1572" s="692"/>
      <c r="AA1572" s="665"/>
      <c r="AB1572" s="74"/>
      <c r="AC1572" s="74"/>
      <c r="AD1572" s="79"/>
      <c r="AE1572" s="84"/>
      <c r="AF1572" s="338"/>
      <c r="AG1572" s="84"/>
      <c r="AH1572" s="74"/>
      <c r="AI1572" s="78"/>
      <c r="AJ1572" s="79"/>
      <c r="AK1572" s="963"/>
      <c r="AL1572" s="79"/>
      <c r="AM1572" s="84"/>
      <c r="AN1572" s="79"/>
      <c r="AO1572" s="84"/>
      <c r="AP1572" s="79"/>
      <c r="AQ1572" s="84"/>
      <c r="AR1572" s="79"/>
      <c r="AS1572" s="79"/>
      <c r="AT1572" s="79"/>
      <c r="AU1572" s="80"/>
      <c r="AV1572" s="79"/>
      <c r="AW1572" s="38"/>
      <c r="AX1572" s="79"/>
      <c r="AY1572" s="38"/>
      <c r="AZ1572" s="79"/>
      <c r="BA1572" s="80"/>
      <c r="BB1572" s="79"/>
      <c r="BC1572" s="80"/>
      <c r="BD1572" s="79"/>
      <c r="BE1572" s="38"/>
      <c r="BF1572" s="74"/>
      <c r="BG1572" s="115"/>
      <c r="BH1572" s="115"/>
      <c r="BI1572" s="115"/>
      <c r="BJ1572" s="115"/>
      <c r="BK1572" s="115"/>
      <c r="BL1572" s="115"/>
      <c r="BM1572" s="115"/>
      <c r="BN1572" s="115"/>
      <c r="BO1572" s="115"/>
      <c r="BP1572" s="115"/>
      <c r="BQ1572" s="115"/>
      <c r="BR1572" s="115"/>
      <c r="BS1572" s="115"/>
      <c r="BT1572" s="115"/>
      <c r="BU1572" s="115"/>
      <c r="BV1572" s="115"/>
      <c r="BW1572" s="115"/>
      <c r="BX1572" s="115"/>
      <c r="BY1572" s="115"/>
      <c r="BZ1572" s="115"/>
      <c r="CA1572" s="115"/>
      <c r="CB1572" s="115"/>
      <c r="CC1572" s="115"/>
      <c r="CD1572" s="115"/>
      <c r="CE1572" s="115"/>
      <c r="CF1572" s="115"/>
      <c r="CG1572" s="115"/>
      <c r="CH1572" s="115"/>
      <c r="CI1572" s="115"/>
      <c r="CJ1572" s="115"/>
      <c r="CK1572" s="115"/>
      <c r="CL1572" s="115"/>
      <c r="CM1572" s="115"/>
      <c r="CN1572" s="115"/>
      <c r="CO1572" s="115"/>
      <c r="CP1572" s="115"/>
    </row>
    <row r="1573" ht="15.75" customHeight="1">
      <c r="A1573" s="21" t="s">
        <v>7360</v>
      </c>
      <c r="B1573" s="69" t="s">
        <v>4081</v>
      </c>
      <c r="C1573" s="69" t="s">
        <v>84</v>
      </c>
      <c r="D1573" s="184"/>
      <c r="E1573" s="200" t="s">
        <v>7361</v>
      </c>
      <c r="F1573" s="154" t="s">
        <v>7362</v>
      </c>
      <c r="G1573" s="140" t="s">
        <v>7363</v>
      </c>
      <c r="H1573" s="140" t="s">
        <v>6100</v>
      </c>
      <c r="I1573" s="1401" t="s">
        <v>5751</v>
      </c>
      <c r="J1573" s="72" t="s">
        <v>7364</v>
      </c>
      <c r="K1573" s="26">
        <v>1.0</v>
      </c>
      <c r="L1573" s="26">
        <v>2011.0</v>
      </c>
      <c r="M1573" s="25">
        <f t="shared" si="789"/>
        <v>14</v>
      </c>
      <c r="N1573" s="26">
        <f t="shared" si="790"/>
        <v>0</v>
      </c>
      <c r="O1573" s="27" t="str">
        <f t="shared" si="3"/>
        <v>#N/A</v>
      </c>
      <c r="P1573" s="28"/>
      <c r="Q1573" s="28"/>
      <c r="R1573" s="28"/>
      <c r="S1573" s="28"/>
      <c r="T1573" s="29">
        <f t="shared" si="791"/>
        <v>0</v>
      </c>
      <c r="U1573" s="28"/>
      <c r="V1573" s="30">
        <f t="shared" si="425"/>
        <v>0</v>
      </c>
      <c r="W1573" s="30"/>
      <c r="X1573" s="73"/>
      <c r="Y1573" s="33" t="str">
        <f t="shared" si="792"/>
        <v>#DIV/0!</v>
      </c>
      <c r="Z1573" s="692"/>
      <c r="AA1573" s="665"/>
      <c r="AB1573" s="74"/>
      <c r="AC1573" s="74"/>
      <c r="AD1573" s="79"/>
      <c r="AE1573" s="84"/>
      <c r="AF1573" s="338"/>
      <c r="AG1573" s="84"/>
      <c r="AH1573" s="74"/>
      <c r="AI1573" s="78"/>
      <c r="AJ1573" s="79"/>
      <c r="AK1573" s="84"/>
      <c r="AL1573" s="79"/>
      <c r="AM1573" s="84"/>
      <c r="AN1573" s="79"/>
      <c r="AO1573" s="84"/>
      <c r="AP1573" s="79"/>
      <c r="AQ1573" s="84"/>
      <c r="AR1573" s="79"/>
      <c r="AS1573" s="79"/>
      <c r="AT1573" s="79"/>
      <c r="AU1573" s="80"/>
      <c r="AV1573" s="79"/>
      <c r="AW1573" s="38"/>
      <c r="AX1573" s="79"/>
      <c r="AY1573" s="38"/>
      <c r="AZ1573" s="79"/>
      <c r="BA1573" s="80"/>
      <c r="BB1573" s="79"/>
      <c r="BC1573" s="80"/>
      <c r="BD1573" s="79"/>
      <c r="BE1573" s="38"/>
      <c r="BF1573" s="74"/>
      <c r="BG1573" s="68"/>
      <c r="BH1573" s="68"/>
      <c r="BI1573" s="68"/>
      <c r="BJ1573" s="68"/>
      <c r="BK1573" s="68"/>
      <c r="BL1573" s="68"/>
      <c r="BM1573" s="68"/>
      <c r="BN1573" s="68"/>
      <c r="BO1573" s="68"/>
      <c r="BP1573" s="68"/>
      <c r="BQ1573" s="68"/>
      <c r="BR1573" s="68"/>
      <c r="BS1573" s="68"/>
      <c r="BT1573" s="68"/>
      <c r="BU1573" s="68"/>
      <c r="BV1573" s="68"/>
      <c r="BW1573" s="68"/>
      <c r="BX1573" s="68"/>
      <c r="BY1573" s="68"/>
      <c r="BZ1573" s="68"/>
      <c r="CA1573" s="68"/>
      <c r="CB1573" s="68"/>
      <c r="CC1573" s="68"/>
      <c r="CD1573" s="68"/>
      <c r="CE1573" s="68"/>
      <c r="CF1573" s="68"/>
      <c r="CG1573" s="68"/>
      <c r="CH1573" s="68"/>
      <c r="CI1573" s="68"/>
      <c r="CJ1573" s="68"/>
      <c r="CK1573" s="68"/>
      <c r="CL1573" s="68"/>
      <c r="CM1573" s="68"/>
      <c r="CN1573" s="68"/>
      <c r="CO1573" s="68"/>
      <c r="CP1573" s="68"/>
    </row>
    <row r="1574" ht="15.75" customHeight="1">
      <c r="A1574" s="892" t="s">
        <v>7365</v>
      </c>
      <c r="B1574" s="858"/>
      <c r="C1574" s="69" t="s">
        <v>513</v>
      </c>
      <c r="D1574" s="192" t="s">
        <v>7366</v>
      </c>
      <c r="E1574" s="192" t="s">
        <v>7367</v>
      </c>
      <c r="F1574" s="386" t="s">
        <v>7368</v>
      </c>
      <c r="G1574" s="186"/>
      <c r="H1574" s="1315" t="s">
        <v>309</v>
      </c>
      <c r="I1574" s="1315" t="s">
        <v>115</v>
      </c>
      <c r="J1574" s="155"/>
      <c r="K1574" s="26"/>
      <c r="L1574" s="26"/>
      <c r="M1574" s="25">
        <f t="shared" si="789"/>
        <v>2025</v>
      </c>
      <c r="N1574" s="26">
        <f t="shared" si="790"/>
        <v>0</v>
      </c>
      <c r="O1574" s="27" t="str">
        <f t="shared" si="3"/>
        <v>#N/A</v>
      </c>
      <c r="P1574" s="28"/>
      <c r="Q1574" s="28"/>
      <c r="R1574" s="28"/>
      <c r="S1574" s="28"/>
      <c r="T1574" s="29">
        <f t="shared" si="791"/>
        <v>0</v>
      </c>
      <c r="U1574" s="28"/>
      <c r="V1574" s="30">
        <f t="shared" si="425"/>
        <v>0</v>
      </c>
      <c r="W1574" s="30"/>
      <c r="X1574" s="73"/>
      <c r="Y1574" s="33" t="str">
        <f t="shared" si="792"/>
        <v>#DIV/0!</v>
      </c>
      <c r="Z1574" s="692"/>
      <c r="AA1574" s="665"/>
      <c r="AB1574" s="74"/>
      <c r="AC1574" s="74"/>
      <c r="AD1574" s="79"/>
      <c r="AE1574" s="84"/>
      <c r="AF1574" s="338"/>
      <c r="AG1574" s="84"/>
      <c r="AH1574" s="74"/>
      <c r="AI1574" s="78"/>
      <c r="AJ1574" s="79"/>
      <c r="AK1574" s="84"/>
      <c r="AL1574" s="279"/>
      <c r="AM1574" s="76"/>
      <c r="AN1574" s="79"/>
      <c r="AO1574" s="84"/>
      <c r="AP1574" s="79"/>
      <c r="AQ1574" s="84"/>
      <c r="AR1574" s="79"/>
      <c r="AS1574" s="79"/>
      <c r="AT1574" s="79"/>
      <c r="AU1574" s="80"/>
      <c r="AV1574" s="79"/>
      <c r="AW1574" s="38"/>
      <c r="AX1574" s="79"/>
      <c r="AY1574" s="38"/>
      <c r="AZ1574" s="79"/>
      <c r="BA1574" s="80"/>
      <c r="BB1574" s="79"/>
      <c r="BC1574" s="80"/>
      <c r="BD1574" s="79"/>
      <c r="BE1574" s="38"/>
      <c r="BF1574" s="74"/>
      <c r="BG1574" s="68"/>
      <c r="BH1574" s="68"/>
      <c r="BI1574" s="68"/>
      <c r="BJ1574" s="68"/>
      <c r="BK1574" s="68"/>
      <c r="BL1574" s="68"/>
      <c r="BM1574" s="68"/>
      <c r="BN1574" s="68"/>
      <c r="BO1574" s="68"/>
      <c r="BP1574" s="68"/>
      <c r="BQ1574" s="68"/>
      <c r="BR1574" s="68"/>
      <c r="BS1574" s="68"/>
      <c r="BT1574" s="68"/>
      <c r="BU1574" s="68"/>
      <c r="BV1574" s="68"/>
      <c r="BW1574" s="68"/>
      <c r="BX1574" s="68"/>
      <c r="BY1574" s="68"/>
      <c r="BZ1574" s="68"/>
      <c r="CA1574" s="68"/>
      <c r="CB1574" s="68"/>
      <c r="CC1574" s="68"/>
      <c r="CD1574" s="68"/>
      <c r="CE1574" s="68"/>
      <c r="CF1574" s="68"/>
      <c r="CG1574" s="68"/>
      <c r="CH1574" s="68"/>
      <c r="CI1574" s="68"/>
      <c r="CJ1574" s="68"/>
      <c r="CK1574" s="68"/>
      <c r="CL1574" s="68"/>
      <c r="CM1574" s="68"/>
      <c r="CN1574" s="68"/>
      <c r="CO1574" s="68"/>
      <c r="CP1574" s="68"/>
    </row>
    <row r="1575" ht="15.75" customHeight="1">
      <c r="A1575" s="21" t="s">
        <v>7369</v>
      </c>
      <c r="B1575" s="1401"/>
      <c r="C1575" s="26" t="s">
        <v>132</v>
      </c>
      <c r="D1575" s="118" t="s">
        <v>7370</v>
      </c>
      <c r="E1575" s="1726" t="s">
        <v>7371</v>
      </c>
      <c r="F1575" s="173" t="s">
        <v>7372</v>
      </c>
      <c r="G1575" s="186"/>
      <c r="H1575" s="1315" t="s">
        <v>64</v>
      </c>
      <c r="I1575" s="1315" t="s">
        <v>65</v>
      </c>
      <c r="J1575" s="155"/>
      <c r="K1575" s="26"/>
      <c r="L1575" s="26">
        <v>2019.0</v>
      </c>
      <c r="M1575" s="25">
        <f t="shared" si="789"/>
        <v>6</v>
      </c>
      <c r="N1575" s="26">
        <f t="shared" si="790"/>
        <v>0</v>
      </c>
      <c r="O1575" s="27" t="str">
        <f t="shared" si="3"/>
        <v>#N/A</v>
      </c>
      <c r="P1575" s="28"/>
      <c r="Q1575" s="28"/>
      <c r="R1575" s="28"/>
      <c r="S1575" s="28"/>
      <c r="T1575" s="29">
        <f t="shared" si="791"/>
        <v>0</v>
      </c>
      <c r="U1575" s="28"/>
      <c r="V1575" s="30">
        <f t="shared" si="425"/>
        <v>0</v>
      </c>
      <c r="W1575" s="30"/>
      <c r="X1575" s="73"/>
      <c r="Y1575" s="33" t="str">
        <f t="shared" si="792"/>
        <v>#DIV/0!</v>
      </c>
      <c r="Z1575" s="692"/>
      <c r="AA1575" s="665"/>
      <c r="AB1575" s="74"/>
      <c r="AC1575" s="74"/>
      <c r="AD1575" s="79"/>
      <c r="AE1575" s="84"/>
      <c r="AF1575" s="338"/>
      <c r="AG1575" s="84"/>
      <c r="AH1575" s="74"/>
      <c r="AI1575" s="78"/>
      <c r="AJ1575" s="79"/>
      <c r="AK1575" s="84"/>
      <c r="AL1575" s="279"/>
      <c r="AM1575" s="76"/>
      <c r="AN1575" s="79"/>
      <c r="AO1575" s="84"/>
      <c r="AP1575" s="79"/>
      <c r="AQ1575" s="84"/>
      <c r="AR1575" s="79"/>
      <c r="AS1575" s="79"/>
      <c r="AT1575" s="79"/>
      <c r="AU1575" s="80"/>
      <c r="AV1575" s="79"/>
      <c r="AW1575" s="38"/>
      <c r="AX1575" s="79"/>
      <c r="AY1575" s="38"/>
      <c r="AZ1575" s="79"/>
      <c r="BA1575" s="80"/>
      <c r="BB1575" s="79"/>
      <c r="BC1575" s="80"/>
      <c r="BD1575" s="79"/>
      <c r="BE1575" s="38"/>
      <c r="BF1575" s="74"/>
      <c r="BG1575" s="115"/>
      <c r="BH1575" s="115"/>
      <c r="BI1575" s="115"/>
      <c r="BJ1575" s="115"/>
      <c r="BK1575" s="115"/>
      <c r="BL1575" s="115"/>
      <c r="BM1575" s="115"/>
      <c r="BN1575" s="115"/>
      <c r="BO1575" s="115"/>
      <c r="BP1575" s="115"/>
      <c r="BQ1575" s="115"/>
      <c r="BR1575" s="115"/>
      <c r="BS1575" s="115"/>
      <c r="BT1575" s="115"/>
      <c r="BU1575" s="115"/>
      <c r="BV1575" s="115"/>
      <c r="BW1575" s="115"/>
      <c r="BX1575" s="115"/>
      <c r="BY1575" s="115"/>
      <c r="BZ1575" s="115"/>
      <c r="CA1575" s="115"/>
      <c r="CB1575" s="115"/>
      <c r="CC1575" s="115"/>
      <c r="CD1575" s="115"/>
      <c r="CE1575" s="115"/>
      <c r="CF1575" s="115"/>
      <c r="CG1575" s="115"/>
      <c r="CH1575" s="115"/>
      <c r="CI1575" s="115"/>
      <c r="CJ1575" s="115"/>
      <c r="CK1575" s="115"/>
      <c r="CL1575" s="115"/>
      <c r="CM1575" s="115"/>
      <c r="CN1575" s="115"/>
      <c r="CO1575" s="115"/>
      <c r="CP1575" s="115"/>
    </row>
    <row r="1576" ht="15.75" customHeight="1">
      <c r="A1576" s="48" t="s">
        <v>7373</v>
      </c>
      <c r="B1576" s="1401"/>
      <c r="C1576" s="26" t="s">
        <v>59</v>
      </c>
      <c r="D1576" s="118" t="s">
        <v>7374</v>
      </c>
      <c r="E1576" s="1726" t="s">
        <v>7375</v>
      </c>
      <c r="F1576" s="1727" t="s">
        <v>7376</v>
      </c>
      <c r="G1576" s="186"/>
      <c r="H1576" s="1315" t="s">
        <v>64</v>
      </c>
      <c r="I1576" s="1315" t="s">
        <v>65</v>
      </c>
      <c r="J1576" s="155"/>
      <c r="K1576" s="26"/>
      <c r="L1576" s="26">
        <v>2015.0</v>
      </c>
      <c r="M1576" s="25">
        <f t="shared" si="789"/>
        <v>10</v>
      </c>
      <c r="N1576" s="26">
        <f t="shared" si="790"/>
        <v>0</v>
      </c>
      <c r="O1576" s="27" t="str">
        <f t="shared" si="3"/>
        <v>#N/A</v>
      </c>
      <c r="P1576" s="28"/>
      <c r="Q1576" s="28"/>
      <c r="R1576" s="28"/>
      <c r="S1576" s="28"/>
      <c r="T1576" s="29">
        <f t="shared" si="791"/>
        <v>0</v>
      </c>
      <c r="U1576" s="28"/>
      <c r="V1576" s="30">
        <f t="shared" si="425"/>
        <v>0</v>
      </c>
      <c r="W1576" s="30"/>
      <c r="X1576" s="73"/>
      <c r="Y1576" s="33" t="str">
        <f t="shared" si="792"/>
        <v>#DIV/0!</v>
      </c>
      <c r="Z1576" s="692"/>
      <c r="AA1576" s="665"/>
      <c r="AB1576" s="74"/>
      <c r="AC1576" s="74"/>
      <c r="AD1576" s="79"/>
      <c r="AE1576" s="84"/>
      <c r="AF1576" s="338"/>
      <c r="AG1576" s="84"/>
      <c r="AH1576" s="74"/>
      <c r="AI1576" s="78"/>
      <c r="AJ1576" s="79"/>
      <c r="AK1576" s="84"/>
      <c r="AL1576" s="279"/>
      <c r="AM1576" s="76"/>
      <c r="AN1576" s="79"/>
      <c r="AO1576" s="84"/>
      <c r="AP1576" s="79"/>
      <c r="AQ1576" s="84"/>
      <c r="AR1576" s="79"/>
      <c r="AS1576" s="79"/>
      <c r="AT1576" s="79"/>
      <c r="AU1576" s="80"/>
      <c r="AV1576" s="79"/>
      <c r="AW1576" s="38"/>
      <c r="AX1576" s="79"/>
      <c r="AY1576" s="38"/>
      <c r="AZ1576" s="79"/>
      <c r="BA1576" s="80"/>
      <c r="BB1576" s="79"/>
      <c r="BC1576" s="80"/>
      <c r="BD1576" s="79"/>
      <c r="BE1576" s="38"/>
      <c r="BF1576" s="74"/>
      <c r="BG1576" s="115"/>
      <c r="BH1576" s="115"/>
      <c r="BI1576" s="115"/>
      <c r="BJ1576" s="115"/>
      <c r="BK1576" s="115"/>
      <c r="BL1576" s="115"/>
      <c r="BM1576" s="115"/>
      <c r="BN1576" s="115"/>
      <c r="BO1576" s="115"/>
      <c r="BP1576" s="115"/>
      <c r="BQ1576" s="115"/>
      <c r="BR1576" s="115"/>
      <c r="BS1576" s="115"/>
      <c r="BT1576" s="115"/>
      <c r="BU1576" s="115"/>
      <c r="BV1576" s="115"/>
      <c r="BW1576" s="115"/>
      <c r="BX1576" s="115"/>
      <c r="BY1576" s="115"/>
      <c r="BZ1576" s="115"/>
      <c r="CA1576" s="115"/>
      <c r="CB1576" s="115"/>
      <c r="CC1576" s="115"/>
      <c r="CD1576" s="115"/>
      <c r="CE1576" s="115"/>
      <c r="CF1576" s="115"/>
      <c r="CG1576" s="115"/>
      <c r="CH1576" s="115"/>
      <c r="CI1576" s="115"/>
      <c r="CJ1576" s="115"/>
      <c r="CK1576" s="115"/>
      <c r="CL1576" s="115"/>
      <c r="CM1576" s="115"/>
      <c r="CN1576" s="115"/>
      <c r="CO1576" s="115"/>
      <c r="CP1576" s="115"/>
    </row>
    <row r="1577" ht="15.75" customHeight="1">
      <c r="A1577" s="1728" t="s">
        <v>7377</v>
      </c>
      <c r="B1577" s="26"/>
      <c r="C1577" s="26" t="s">
        <v>513</v>
      </c>
      <c r="D1577" s="803" t="s">
        <v>7378</v>
      </c>
      <c r="E1577" s="1729"/>
      <c r="F1577" s="1730" t="s">
        <v>7379</v>
      </c>
      <c r="G1577" s="71"/>
      <c r="H1577" s="186"/>
      <c r="I1577" s="74"/>
      <c r="J1577" s="72"/>
      <c r="K1577" s="26"/>
      <c r="L1577" s="26"/>
      <c r="M1577" s="25">
        <f t="shared" si="789"/>
        <v>2025</v>
      </c>
      <c r="N1577" s="26">
        <f t="shared" si="790"/>
        <v>0</v>
      </c>
      <c r="O1577" s="27" t="str">
        <f t="shared" si="3"/>
        <v>#N/A</v>
      </c>
      <c r="P1577" s="28"/>
      <c r="Q1577" s="28"/>
      <c r="R1577" s="28"/>
      <c r="S1577" s="28"/>
      <c r="T1577" s="29">
        <f t="shared" si="791"/>
        <v>0</v>
      </c>
      <c r="U1577" s="28"/>
      <c r="V1577" s="30">
        <f t="shared" si="425"/>
        <v>0</v>
      </c>
      <c r="W1577" s="30"/>
      <c r="X1577" s="73"/>
      <c r="Y1577" s="33" t="str">
        <f t="shared" si="792"/>
        <v>#DIV/0!</v>
      </c>
      <c r="Z1577" s="692"/>
      <c r="AA1577" s="665"/>
      <c r="AB1577" s="74"/>
      <c r="AC1577" s="74"/>
      <c r="AD1577" s="279"/>
      <c r="AE1577" s="76"/>
      <c r="AF1577" s="1169"/>
      <c r="AG1577" s="76"/>
      <c r="AH1577" s="74"/>
      <c r="AI1577" s="78"/>
      <c r="AJ1577" s="79"/>
      <c r="AK1577" s="76"/>
      <c r="AL1577" s="79"/>
      <c r="AM1577" s="84"/>
      <c r="AN1577" s="79"/>
      <c r="AO1577" s="84"/>
      <c r="AP1577" s="79"/>
      <c r="AQ1577" s="84"/>
      <c r="AR1577" s="79"/>
      <c r="AS1577" s="79"/>
      <c r="AT1577" s="79"/>
      <c r="AU1577" s="80"/>
      <c r="AV1577" s="79"/>
      <c r="AW1577" s="38"/>
      <c r="AX1577" s="79"/>
      <c r="AY1577" s="38"/>
      <c r="AZ1577" s="79"/>
      <c r="BA1577" s="80"/>
      <c r="BB1577" s="79"/>
      <c r="BC1577" s="80"/>
      <c r="BD1577" s="79"/>
      <c r="BE1577" s="38"/>
      <c r="BF1577" s="74"/>
      <c r="BG1577" s="115"/>
      <c r="BH1577" s="115"/>
      <c r="BI1577" s="115"/>
      <c r="BJ1577" s="115"/>
      <c r="BK1577" s="115"/>
      <c r="BL1577" s="115"/>
      <c r="BM1577" s="115"/>
      <c r="BN1577" s="115"/>
      <c r="BO1577" s="115"/>
      <c r="BP1577" s="115"/>
      <c r="BQ1577" s="115"/>
      <c r="BR1577" s="115"/>
      <c r="BS1577" s="115"/>
      <c r="BT1577" s="115"/>
      <c r="BU1577" s="115"/>
      <c r="BV1577" s="115"/>
      <c r="BW1577" s="115"/>
      <c r="BX1577" s="115"/>
      <c r="BY1577" s="115"/>
      <c r="BZ1577" s="115"/>
      <c r="CA1577" s="115"/>
      <c r="CB1577" s="115"/>
      <c r="CC1577" s="115"/>
      <c r="CD1577" s="115"/>
      <c r="CE1577" s="115"/>
      <c r="CF1577" s="115"/>
      <c r="CG1577" s="115"/>
      <c r="CH1577" s="115"/>
      <c r="CI1577" s="115"/>
      <c r="CJ1577" s="115"/>
      <c r="CK1577" s="115"/>
      <c r="CL1577" s="115"/>
      <c r="CM1577" s="115"/>
      <c r="CN1577" s="115"/>
      <c r="CO1577" s="115"/>
      <c r="CP1577" s="115"/>
    </row>
    <row r="1578" ht="15.75" customHeight="1">
      <c r="A1578" s="1731" t="s">
        <v>7380</v>
      </c>
      <c r="B1578" s="1474"/>
      <c r="C1578" s="1469" t="s">
        <v>513</v>
      </c>
      <c r="D1578" s="1732"/>
      <c r="E1578" s="1733"/>
      <c r="F1578" s="1734" t="s">
        <v>7381</v>
      </c>
      <c r="G1578" s="1735"/>
      <c r="H1578" s="1468" t="s">
        <v>2860</v>
      </c>
      <c r="I1578" s="1469" t="s">
        <v>65</v>
      </c>
      <c r="J1578" s="1470" t="s">
        <v>7382</v>
      </c>
      <c r="K1578" s="1474"/>
      <c r="L1578" s="1469">
        <v>2016.0</v>
      </c>
      <c r="M1578" s="25">
        <f t="shared" si="789"/>
        <v>9</v>
      </c>
      <c r="N1578" s="26">
        <f t="shared" si="790"/>
        <v>0</v>
      </c>
      <c r="O1578" s="27" t="str">
        <f t="shared" si="3"/>
        <v>#N/A</v>
      </c>
      <c r="P1578" s="28"/>
      <c r="Q1578" s="28"/>
      <c r="R1578" s="28"/>
      <c r="S1578" s="28"/>
      <c r="T1578" s="29">
        <f t="shared" si="791"/>
        <v>0</v>
      </c>
      <c r="U1578" s="28"/>
      <c r="V1578" s="30">
        <f t="shared" si="425"/>
        <v>0</v>
      </c>
      <c r="W1578" s="30"/>
      <c r="X1578" s="1736"/>
      <c r="Y1578" s="33" t="str">
        <f t="shared" si="792"/>
        <v>#DIV/0!</v>
      </c>
      <c r="Z1578" s="692"/>
      <c r="AA1578" s="665"/>
      <c r="AB1578" s="1474"/>
      <c r="AC1578" s="1474"/>
      <c r="AD1578" s="1482"/>
      <c r="AE1578" s="1717"/>
      <c r="AF1578" s="1722"/>
      <c r="AG1578" s="1476"/>
      <c r="AH1578" s="1474"/>
      <c r="AI1578" s="1479"/>
      <c r="AJ1578" s="1715"/>
      <c r="AK1578" s="1476"/>
      <c r="AL1578" s="1715"/>
      <c r="AM1578" s="1476"/>
      <c r="AN1578" s="1482"/>
      <c r="AO1578" s="1717"/>
      <c r="AP1578" s="1482"/>
      <c r="AQ1578" s="1717"/>
      <c r="AR1578" s="1482"/>
      <c r="AS1578" s="1482"/>
      <c r="AT1578" s="1482"/>
      <c r="AU1578" s="1483"/>
      <c r="AV1578" s="1482"/>
      <c r="AW1578" s="38"/>
      <c r="AX1578" s="1482"/>
      <c r="AY1578" s="38"/>
      <c r="AZ1578" s="1482"/>
      <c r="BA1578" s="1483"/>
      <c r="BB1578" s="1482"/>
      <c r="BC1578" s="1483"/>
      <c r="BD1578" s="1482"/>
      <c r="BE1578" s="38"/>
      <c r="BF1578" s="1474"/>
      <c r="BG1578" s="115"/>
      <c r="BH1578" s="115"/>
      <c r="BI1578" s="115"/>
      <c r="BJ1578" s="115"/>
      <c r="BK1578" s="115"/>
      <c r="BL1578" s="115"/>
      <c r="BM1578" s="115"/>
      <c r="BN1578" s="115"/>
      <c r="BO1578" s="115"/>
      <c r="BP1578" s="115"/>
      <c r="BQ1578" s="115"/>
      <c r="BR1578" s="115"/>
      <c r="BS1578" s="115"/>
      <c r="BT1578" s="115"/>
      <c r="BU1578" s="115"/>
      <c r="BV1578" s="115"/>
      <c r="BW1578" s="115"/>
      <c r="BX1578" s="115"/>
      <c r="BY1578" s="115"/>
      <c r="BZ1578" s="115"/>
      <c r="CA1578" s="115"/>
      <c r="CB1578" s="115"/>
      <c r="CC1578" s="115"/>
      <c r="CD1578" s="115"/>
      <c r="CE1578" s="115"/>
      <c r="CF1578" s="115"/>
      <c r="CG1578" s="115"/>
      <c r="CH1578" s="115"/>
      <c r="CI1578" s="115"/>
      <c r="CJ1578" s="115"/>
      <c r="CK1578" s="115"/>
      <c r="CL1578" s="115"/>
      <c r="CM1578" s="115"/>
      <c r="CN1578" s="115"/>
      <c r="CO1578" s="115"/>
      <c r="CP1578" s="115"/>
    </row>
    <row r="1579" ht="15.75" customHeight="1">
      <c r="A1579" s="442" t="s">
        <v>7383</v>
      </c>
      <c r="B1579" s="74" t="s">
        <v>3545</v>
      </c>
      <c r="C1579" s="26" t="s">
        <v>132</v>
      </c>
      <c r="D1579" s="816" t="s">
        <v>7384</v>
      </c>
      <c r="E1579" s="200" t="s">
        <v>7385</v>
      </c>
      <c r="F1579" s="757" t="s">
        <v>7386</v>
      </c>
      <c r="G1579" s="71" t="s">
        <v>7387</v>
      </c>
      <c r="H1579" s="140" t="s">
        <v>128</v>
      </c>
      <c r="I1579" s="74" t="s">
        <v>129</v>
      </c>
      <c r="J1579" s="72" t="s">
        <v>1245</v>
      </c>
      <c r="K1579" s="74" t="s">
        <v>723</v>
      </c>
      <c r="L1579" s="26">
        <v>2009.0</v>
      </c>
      <c r="M1579" s="25">
        <f t="shared" si="789"/>
        <v>16</v>
      </c>
      <c r="N1579" s="26">
        <f t="shared" si="790"/>
        <v>0</v>
      </c>
      <c r="O1579" s="27" t="str">
        <f t="shared" si="3"/>
        <v>#N/A</v>
      </c>
      <c r="P1579" s="28"/>
      <c r="Q1579" s="28"/>
      <c r="R1579" s="28"/>
      <c r="S1579" s="28"/>
      <c r="T1579" s="29">
        <f t="shared" si="791"/>
        <v>0</v>
      </c>
      <c r="U1579" s="28"/>
      <c r="V1579" s="30">
        <f t="shared" si="425"/>
        <v>0</v>
      </c>
      <c r="W1579" s="30"/>
      <c r="X1579" s="32"/>
      <c r="Y1579" s="33" t="str">
        <f t="shared" si="792"/>
        <v>#DIV/0!</v>
      </c>
      <c r="Z1579" s="692"/>
      <c r="AA1579" s="665"/>
      <c r="AB1579" s="74"/>
      <c r="AC1579" s="74"/>
      <c r="AD1579" s="79"/>
      <c r="AE1579" s="84"/>
      <c r="AF1579" s="338"/>
      <c r="AG1579" s="84"/>
      <c r="AH1579" s="74"/>
      <c r="AI1579" s="78"/>
      <c r="AJ1579" s="79"/>
      <c r="AK1579" s="84"/>
      <c r="AL1579" s="79"/>
      <c r="AM1579" s="84"/>
      <c r="AN1579" s="79"/>
      <c r="AO1579" s="84"/>
      <c r="AP1579" s="79"/>
      <c r="AQ1579" s="84"/>
      <c r="AR1579" s="79"/>
      <c r="AS1579" s="79"/>
      <c r="AT1579" s="79"/>
      <c r="AU1579" s="80"/>
      <c r="AV1579" s="79"/>
      <c r="AW1579" s="38"/>
      <c r="AX1579" s="79"/>
      <c r="AY1579" s="38"/>
      <c r="AZ1579" s="79"/>
      <c r="BA1579" s="80"/>
      <c r="BB1579" s="79"/>
      <c r="BC1579" s="80"/>
      <c r="BD1579" s="79"/>
      <c r="BE1579" s="38"/>
      <c r="BF1579" s="74"/>
      <c r="BG1579" s="1407"/>
      <c r="BH1579" s="1407"/>
      <c r="BI1579" s="1407"/>
      <c r="BJ1579" s="1407"/>
      <c r="BK1579" s="1407"/>
      <c r="BL1579" s="1407"/>
      <c r="BM1579" s="1407"/>
      <c r="BN1579" s="1407"/>
      <c r="BO1579" s="1407"/>
      <c r="BP1579" s="1407"/>
      <c r="BQ1579" s="1407"/>
      <c r="BR1579" s="1407"/>
      <c r="BS1579" s="1407"/>
      <c r="BT1579" s="1407"/>
      <c r="BU1579" s="1407"/>
      <c r="BV1579" s="1407"/>
      <c r="BW1579" s="1407"/>
      <c r="BX1579" s="1407"/>
      <c r="BY1579" s="1407"/>
      <c r="BZ1579" s="1407"/>
      <c r="CA1579" s="1407"/>
      <c r="CB1579" s="1407"/>
      <c r="CC1579" s="1407"/>
      <c r="CD1579" s="1407"/>
      <c r="CE1579" s="1407"/>
      <c r="CF1579" s="1407"/>
      <c r="CG1579" s="1407"/>
      <c r="CH1579" s="1407"/>
      <c r="CI1579" s="1407"/>
      <c r="CJ1579" s="1407"/>
      <c r="CK1579" s="1407"/>
      <c r="CL1579" s="1407"/>
      <c r="CM1579" s="1407"/>
      <c r="CN1579" s="1407"/>
      <c r="CO1579" s="1407"/>
      <c r="CP1579" s="1407"/>
    </row>
    <row r="1580" ht="15.75" customHeight="1">
      <c r="A1580" s="21" t="s">
        <v>7388</v>
      </c>
      <c r="B1580" s="26" t="s">
        <v>4081</v>
      </c>
      <c r="C1580" s="26" t="s">
        <v>84</v>
      </c>
      <c r="D1580" s="803" t="s">
        <v>7389</v>
      </c>
      <c r="E1580" s="337"/>
      <c r="F1580" s="154" t="s">
        <v>7390</v>
      </c>
      <c r="G1580" s="140" t="s">
        <v>7391</v>
      </c>
      <c r="H1580" s="140" t="s">
        <v>128</v>
      </c>
      <c r="I1580" s="74" t="s">
        <v>129</v>
      </c>
      <c r="J1580" s="72" t="s">
        <v>3000</v>
      </c>
      <c r="K1580" s="74" t="s">
        <v>723</v>
      </c>
      <c r="L1580" s="74" t="s">
        <v>723</v>
      </c>
      <c r="M1580" s="25" t="str">
        <f t="shared" si="789"/>
        <v>#VALUE!</v>
      </c>
      <c r="N1580" s="26">
        <f t="shared" si="790"/>
        <v>0</v>
      </c>
      <c r="O1580" s="27" t="str">
        <f t="shared" si="3"/>
        <v>#N/A</v>
      </c>
      <c r="P1580" s="28"/>
      <c r="Q1580" s="28"/>
      <c r="R1580" s="28"/>
      <c r="S1580" s="28"/>
      <c r="T1580" s="28" t="str">
        <f t="shared" si="791"/>
        <v>#VALUE!</v>
      </c>
      <c r="U1580" s="28"/>
      <c r="V1580" s="30">
        <f t="shared" si="425"/>
        <v>0</v>
      </c>
      <c r="W1580" s="30"/>
      <c r="X1580" s="32"/>
      <c r="Y1580" s="33" t="str">
        <f t="shared" si="792"/>
        <v>#DIV/0!</v>
      </c>
      <c r="Z1580" s="692"/>
      <c r="AA1580" s="665"/>
      <c r="AB1580" s="74"/>
      <c r="AC1580" s="74"/>
      <c r="AD1580" s="79"/>
      <c r="AE1580" s="84"/>
      <c r="AF1580" s="338"/>
      <c r="AG1580" s="84"/>
      <c r="AH1580" s="74"/>
      <c r="AI1580" s="78"/>
      <c r="AJ1580" s="79"/>
      <c r="AK1580" s="84"/>
      <c r="AL1580" s="79"/>
      <c r="AM1580" s="84"/>
      <c r="AN1580" s="79"/>
      <c r="AO1580" s="84"/>
      <c r="AP1580" s="79"/>
      <c r="AQ1580" s="84"/>
      <c r="AR1580" s="79"/>
      <c r="AS1580" s="79"/>
      <c r="AT1580" s="79"/>
      <c r="AU1580" s="80"/>
      <c r="AV1580" s="79"/>
      <c r="AW1580" s="38"/>
      <c r="AX1580" s="79"/>
      <c r="AY1580" s="38"/>
      <c r="AZ1580" s="79"/>
      <c r="BA1580" s="80"/>
      <c r="BB1580" s="79"/>
      <c r="BC1580" s="80"/>
      <c r="BD1580" s="79"/>
      <c r="BE1580" s="38"/>
      <c r="BF1580" s="74"/>
      <c r="BG1580" s="115"/>
      <c r="BH1580" s="115"/>
      <c r="BI1580" s="115"/>
      <c r="BJ1580" s="115"/>
      <c r="BK1580" s="115"/>
      <c r="BL1580" s="115"/>
      <c r="BM1580" s="115"/>
      <c r="BN1580" s="115"/>
      <c r="BO1580" s="115"/>
      <c r="BP1580" s="115"/>
      <c r="BQ1580" s="115"/>
      <c r="BR1580" s="115"/>
      <c r="BS1580" s="115"/>
      <c r="BT1580" s="115"/>
      <c r="BU1580" s="115"/>
      <c r="BV1580" s="115"/>
      <c r="BW1580" s="115"/>
      <c r="BX1580" s="115"/>
      <c r="BY1580" s="115"/>
      <c r="BZ1580" s="115"/>
      <c r="CA1580" s="115"/>
      <c r="CB1580" s="115"/>
      <c r="CC1580" s="115"/>
      <c r="CD1580" s="115"/>
      <c r="CE1580" s="115"/>
      <c r="CF1580" s="115"/>
      <c r="CG1580" s="115"/>
      <c r="CH1580" s="115"/>
      <c r="CI1580" s="115"/>
      <c r="CJ1580" s="115"/>
      <c r="CK1580" s="115"/>
      <c r="CL1580" s="115"/>
      <c r="CM1580" s="115"/>
      <c r="CN1580" s="115"/>
      <c r="CO1580" s="115"/>
      <c r="CP1580" s="115"/>
    </row>
    <row r="1581" ht="15.75" customHeight="1">
      <c r="A1581" s="1737" t="s">
        <v>7392</v>
      </c>
      <c r="B1581" s="1738"/>
      <c r="C1581" s="1739" t="s">
        <v>513</v>
      </c>
      <c r="D1581" s="1740" t="s">
        <v>4781</v>
      </c>
      <c r="E1581" s="1741" t="s">
        <v>4781</v>
      </c>
      <c r="F1581" s="1742" t="s">
        <v>7393</v>
      </c>
      <c r="G1581" s="1743" t="s">
        <v>7394</v>
      </c>
      <c r="H1581" s="1744" t="s">
        <v>450</v>
      </c>
      <c r="I1581" s="1739" t="s">
        <v>450</v>
      </c>
      <c r="J1581" s="1745" t="s">
        <v>7395</v>
      </c>
      <c r="K1581" s="1738"/>
      <c r="L1581" s="1739">
        <v>1960.0</v>
      </c>
      <c r="M1581" s="25">
        <f t="shared" si="789"/>
        <v>65</v>
      </c>
      <c r="N1581" s="26">
        <f t="shared" si="790"/>
        <v>0</v>
      </c>
      <c r="O1581" s="27" t="str">
        <f t="shared" si="3"/>
        <v>#N/A</v>
      </c>
      <c r="P1581" s="28"/>
      <c r="Q1581" s="28"/>
      <c r="R1581" s="28"/>
      <c r="S1581" s="28"/>
      <c r="T1581" s="29">
        <f t="shared" si="791"/>
        <v>0</v>
      </c>
      <c r="U1581" s="28"/>
      <c r="V1581" s="30">
        <f t="shared" si="425"/>
        <v>0</v>
      </c>
      <c r="W1581" s="30"/>
      <c r="X1581" s="1746"/>
      <c r="Y1581" s="33" t="str">
        <f t="shared" si="792"/>
        <v>#DIV/0!</v>
      </c>
      <c r="Z1581" s="692"/>
      <c r="AA1581" s="665"/>
      <c r="AB1581" s="1738"/>
      <c r="AC1581" s="1738"/>
      <c r="AD1581" s="1747"/>
      <c r="AE1581" s="1748"/>
      <c r="AF1581" s="1749"/>
      <c r="AG1581" s="1748"/>
      <c r="AH1581" s="1738"/>
      <c r="AI1581" s="1750"/>
      <c r="AJ1581" s="1747"/>
      <c r="AK1581" s="1748"/>
      <c r="AL1581" s="1747"/>
      <c r="AM1581" s="1748"/>
      <c r="AN1581" s="1747"/>
      <c r="AO1581" s="1748"/>
      <c r="AP1581" s="1747"/>
      <c r="AQ1581" s="1748"/>
      <c r="AR1581" s="1747"/>
      <c r="AS1581" s="1747"/>
      <c r="AT1581" s="1747"/>
      <c r="AU1581" s="1751"/>
      <c r="AV1581" s="1747"/>
      <c r="AW1581" s="38"/>
      <c r="AX1581" s="1747"/>
      <c r="AY1581" s="38"/>
      <c r="AZ1581" s="1747"/>
      <c r="BA1581" s="1751"/>
      <c r="BB1581" s="1747"/>
      <c r="BC1581" s="1751"/>
      <c r="BD1581" s="1747"/>
      <c r="BE1581" s="38"/>
      <c r="BF1581" s="1738"/>
      <c r="BG1581" s="115"/>
      <c r="BH1581" s="115"/>
      <c r="BI1581" s="115"/>
      <c r="BJ1581" s="115"/>
      <c r="BK1581" s="115"/>
      <c r="BL1581" s="115"/>
      <c r="BM1581" s="115"/>
      <c r="BN1581" s="115"/>
      <c r="BO1581" s="115"/>
      <c r="BP1581" s="115"/>
      <c r="BQ1581" s="115"/>
      <c r="BR1581" s="115"/>
      <c r="BS1581" s="115"/>
      <c r="BT1581" s="115"/>
      <c r="BU1581" s="115"/>
      <c r="BV1581" s="115"/>
      <c r="BW1581" s="115"/>
      <c r="BX1581" s="115"/>
      <c r="BY1581" s="115"/>
      <c r="BZ1581" s="115"/>
      <c r="CA1581" s="115"/>
      <c r="CB1581" s="115"/>
      <c r="CC1581" s="115"/>
      <c r="CD1581" s="115"/>
      <c r="CE1581" s="115"/>
      <c r="CF1581" s="115"/>
      <c r="CG1581" s="115"/>
      <c r="CH1581" s="115"/>
      <c r="CI1581" s="115"/>
      <c r="CJ1581" s="115"/>
      <c r="CK1581" s="115"/>
      <c r="CL1581" s="115"/>
      <c r="CM1581" s="115"/>
      <c r="CN1581" s="115"/>
      <c r="CO1581" s="115"/>
      <c r="CP1581" s="115"/>
    </row>
    <row r="1582" ht="15.75" customHeight="1">
      <c r="A1582" s="1719" t="s">
        <v>7396</v>
      </c>
      <c r="B1582" s="1474"/>
      <c r="C1582" s="1469" t="s">
        <v>276</v>
      </c>
      <c r="D1582" s="1752" t="s">
        <v>4781</v>
      </c>
      <c r="E1582" s="1720" t="s">
        <v>4781</v>
      </c>
      <c r="F1582" s="1753" t="s">
        <v>7397</v>
      </c>
      <c r="G1582" s="1468" t="s">
        <v>7398</v>
      </c>
      <c r="H1582" s="1468" t="s">
        <v>365</v>
      </c>
      <c r="I1582" s="1469" t="s">
        <v>65</v>
      </c>
      <c r="J1582" s="1470" t="s">
        <v>7348</v>
      </c>
      <c r="K1582" s="1474" t="s">
        <v>723</v>
      </c>
      <c r="L1582" s="1474" t="s">
        <v>723</v>
      </c>
      <c r="M1582" s="25" t="str">
        <f t="shared" si="789"/>
        <v>#VALUE!</v>
      </c>
      <c r="N1582" s="26">
        <f t="shared" si="790"/>
        <v>0</v>
      </c>
      <c r="O1582" s="27" t="str">
        <f t="shared" si="3"/>
        <v>#N/A</v>
      </c>
      <c r="P1582" s="28"/>
      <c r="Q1582" s="28"/>
      <c r="R1582" s="28"/>
      <c r="S1582" s="28"/>
      <c r="T1582" s="28" t="str">
        <f t="shared" si="791"/>
        <v>#VALUE!</v>
      </c>
      <c r="U1582" s="28"/>
      <c r="V1582" s="30">
        <f t="shared" si="425"/>
        <v>0</v>
      </c>
      <c r="W1582" s="30"/>
      <c r="X1582" s="1736"/>
      <c r="Y1582" s="33" t="str">
        <f t="shared" si="792"/>
        <v>#DIV/0!</v>
      </c>
      <c r="Z1582" s="692"/>
      <c r="AA1582" s="665"/>
      <c r="AB1582" s="1474"/>
      <c r="AC1582" s="1474"/>
      <c r="AD1582" s="1482"/>
      <c r="AE1582" s="1717"/>
      <c r="AF1582" s="1722"/>
      <c r="AG1582" s="1717"/>
      <c r="AH1582" s="1474"/>
      <c r="AI1582" s="1479"/>
      <c r="AJ1582" s="1482"/>
      <c r="AK1582" s="1717"/>
      <c r="AL1582" s="1482"/>
      <c r="AM1582" s="1717"/>
      <c r="AN1582" s="1482"/>
      <c r="AO1582" s="1717"/>
      <c r="AP1582" s="1482"/>
      <c r="AQ1582" s="1717"/>
      <c r="AR1582" s="1482"/>
      <c r="AS1582" s="1482"/>
      <c r="AT1582" s="1482"/>
      <c r="AU1582" s="1483"/>
      <c r="AV1582" s="1482"/>
      <c r="AW1582" s="38"/>
      <c r="AX1582" s="1482"/>
      <c r="AY1582" s="38"/>
      <c r="AZ1582" s="1482"/>
      <c r="BA1582" s="1483"/>
      <c r="BB1582" s="1482"/>
      <c r="BC1582" s="1483"/>
      <c r="BD1582" s="1482"/>
      <c r="BE1582" s="38"/>
      <c r="BF1582" s="1474"/>
      <c r="BG1582" s="115"/>
      <c r="BH1582" s="115"/>
      <c r="BI1582" s="115"/>
      <c r="BJ1582" s="115"/>
      <c r="BK1582" s="115"/>
      <c r="BL1582" s="115"/>
      <c r="BM1582" s="115"/>
      <c r="BN1582" s="115"/>
      <c r="BO1582" s="115"/>
      <c r="BP1582" s="115"/>
      <c r="BQ1582" s="115"/>
      <c r="BR1582" s="115"/>
      <c r="BS1582" s="115"/>
      <c r="BT1582" s="115"/>
      <c r="BU1582" s="115"/>
      <c r="BV1582" s="115"/>
      <c r="BW1582" s="115"/>
      <c r="BX1582" s="115"/>
      <c r="BY1582" s="115"/>
      <c r="BZ1582" s="115"/>
      <c r="CA1582" s="115"/>
      <c r="CB1582" s="115"/>
      <c r="CC1582" s="115"/>
      <c r="CD1582" s="115"/>
      <c r="CE1582" s="115"/>
      <c r="CF1582" s="115"/>
      <c r="CG1582" s="115"/>
      <c r="CH1582" s="115"/>
      <c r="CI1582" s="115"/>
      <c r="CJ1582" s="115"/>
      <c r="CK1582" s="115"/>
      <c r="CL1582" s="115"/>
      <c r="CM1582" s="115"/>
      <c r="CN1582" s="115"/>
      <c r="CO1582" s="115"/>
      <c r="CP1582" s="115"/>
    </row>
    <row r="1583" ht="15.75" customHeight="1">
      <c r="A1583" s="317" t="s">
        <v>7399</v>
      </c>
      <c r="B1583" s="74" t="s">
        <v>846</v>
      </c>
      <c r="C1583" s="26" t="s">
        <v>84</v>
      </c>
      <c r="D1583" s="185" t="s">
        <v>7400</v>
      </c>
      <c r="E1583" s="1703" t="s">
        <v>7401</v>
      </c>
      <c r="F1583" s="185" t="s">
        <v>7402</v>
      </c>
      <c r="G1583" s="186" t="s">
        <v>7403</v>
      </c>
      <c r="H1583" s="186" t="s">
        <v>128</v>
      </c>
      <c r="I1583" s="74" t="s">
        <v>156</v>
      </c>
      <c r="J1583" s="155" t="s">
        <v>550</v>
      </c>
      <c r="K1583" s="74">
        <v>3.0</v>
      </c>
      <c r="L1583" s="26">
        <v>2013.0</v>
      </c>
      <c r="M1583" s="25">
        <f t="shared" si="789"/>
        <v>12</v>
      </c>
      <c r="N1583" s="26">
        <f t="shared" si="790"/>
        <v>0</v>
      </c>
      <c r="O1583" s="27" t="str">
        <f t="shared" si="3"/>
        <v>#N/A</v>
      </c>
      <c r="P1583" s="28"/>
      <c r="Q1583" s="28"/>
      <c r="R1583" s="28"/>
      <c r="S1583" s="28"/>
      <c r="T1583" s="29">
        <f t="shared" si="791"/>
        <v>0</v>
      </c>
      <c r="U1583" s="28"/>
      <c r="V1583" s="30">
        <f t="shared" si="425"/>
        <v>0</v>
      </c>
      <c r="W1583" s="30"/>
      <c r="X1583" s="32"/>
      <c r="Y1583" s="33" t="str">
        <f t="shared" si="792"/>
        <v>#DIV/0!</v>
      </c>
      <c r="Z1583" s="692"/>
      <c r="AA1583" s="665"/>
      <c r="AB1583" s="74"/>
      <c r="AC1583" s="74"/>
      <c r="AD1583" s="79"/>
      <c r="AE1583" s="84"/>
      <c r="AF1583" s="338"/>
      <c r="AG1583" s="76"/>
      <c r="AH1583" s="74"/>
      <c r="AI1583" s="78"/>
      <c r="AJ1583" s="79"/>
      <c r="AK1583" s="84"/>
      <c r="AL1583" s="79"/>
      <c r="AM1583" s="84"/>
      <c r="AN1583" s="79"/>
      <c r="AO1583" s="84"/>
      <c r="AP1583" s="79"/>
      <c r="AQ1583" s="84"/>
      <c r="AR1583" s="79"/>
      <c r="AS1583" s="79"/>
      <c r="AT1583" s="79"/>
      <c r="AU1583" s="80"/>
      <c r="AV1583" s="79"/>
      <c r="AW1583" s="38"/>
      <c r="AX1583" s="79"/>
      <c r="AY1583" s="38"/>
      <c r="AZ1583" s="79"/>
      <c r="BA1583" s="80"/>
      <c r="BB1583" s="79"/>
      <c r="BC1583" s="80"/>
      <c r="BD1583" s="79"/>
      <c r="BE1583" s="38"/>
      <c r="BF1583" s="74"/>
      <c r="BG1583" s="115"/>
      <c r="BH1583" s="115"/>
      <c r="BI1583" s="115"/>
      <c r="BJ1583" s="115"/>
      <c r="BK1583" s="115"/>
      <c r="BL1583" s="115"/>
      <c r="BM1583" s="115"/>
      <c r="BN1583" s="115"/>
      <c r="BO1583" s="115"/>
      <c r="BP1583" s="115"/>
      <c r="BQ1583" s="115"/>
      <c r="BR1583" s="115"/>
      <c r="BS1583" s="115"/>
      <c r="BT1583" s="115"/>
      <c r="BU1583" s="115"/>
      <c r="BV1583" s="115"/>
      <c r="BW1583" s="115"/>
      <c r="BX1583" s="115"/>
      <c r="BY1583" s="115"/>
      <c r="BZ1583" s="115"/>
      <c r="CA1583" s="115"/>
      <c r="CB1583" s="115"/>
      <c r="CC1583" s="115"/>
      <c r="CD1583" s="115"/>
      <c r="CE1583" s="115"/>
      <c r="CF1583" s="115"/>
      <c r="CG1583" s="115"/>
      <c r="CH1583" s="115"/>
      <c r="CI1583" s="115"/>
      <c r="CJ1583" s="115"/>
      <c r="CK1583" s="115"/>
      <c r="CL1583" s="115"/>
      <c r="CM1583" s="115"/>
      <c r="CN1583" s="115"/>
      <c r="CO1583" s="115"/>
      <c r="CP1583" s="115"/>
    </row>
    <row r="1584" ht="15.75" customHeight="1">
      <c r="A1584" s="21" t="s">
        <v>7404</v>
      </c>
      <c r="B1584" s="69" t="s">
        <v>7405</v>
      </c>
      <c r="C1584" s="69" t="s">
        <v>84</v>
      </c>
      <c r="D1584" s="200" t="s">
        <v>7406</v>
      </c>
      <c r="E1584" s="200" t="s">
        <v>7407</v>
      </c>
      <c r="F1584" s="154" t="s">
        <v>7408</v>
      </c>
      <c r="G1584" s="140" t="s">
        <v>7409</v>
      </c>
      <c r="H1584" s="71" t="s">
        <v>7410</v>
      </c>
      <c r="I1584" s="26" t="s">
        <v>1384</v>
      </c>
      <c r="J1584" s="72" t="s">
        <v>7411</v>
      </c>
      <c r="K1584" s="26">
        <v>1.0</v>
      </c>
      <c r="L1584" s="26">
        <v>2008.0</v>
      </c>
      <c r="M1584" s="25">
        <f t="shared" si="789"/>
        <v>17</v>
      </c>
      <c r="N1584" s="26">
        <f t="shared" si="790"/>
        <v>0</v>
      </c>
      <c r="O1584" s="27" t="str">
        <f t="shared" si="3"/>
        <v>#N/A</v>
      </c>
      <c r="P1584" s="28"/>
      <c r="Q1584" s="28"/>
      <c r="R1584" s="28"/>
      <c r="S1584" s="28"/>
      <c r="T1584" s="29">
        <f t="shared" si="791"/>
        <v>0</v>
      </c>
      <c r="U1584" s="28"/>
      <c r="V1584" s="30">
        <f t="shared" si="425"/>
        <v>0</v>
      </c>
      <c r="W1584" s="30"/>
      <c r="X1584" s="73"/>
      <c r="Y1584" s="33" t="str">
        <f t="shared" si="792"/>
        <v>#DIV/0!</v>
      </c>
      <c r="Z1584" s="692"/>
      <c r="AA1584" s="665"/>
      <c r="AB1584" s="74"/>
      <c r="AC1584" s="74"/>
      <c r="AD1584" s="79"/>
      <c r="AE1584" s="84"/>
      <c r="AF1584" s="338"/>
      <c r="AG1584" s="84"/>
      <c r="AH1584" s="74"/>
      <c r="AI1584" s="78"/>
      <c r="AJ1584" s="79"/>
      <c r="AK1584" s="84"/>
      <c r="AL1584" s="79"/>
      <c r="AM1584" s="84"/>
      <c r="AN1584" s="79"/>
      <c r="AO1584" s="84"/>
      <c r="AP1584" s="79"/>
      <c r="AQ1584" s="84"/>
      <c r="AR1584" s="79"/>
      <c r="AS1584" s="79"/>
      <c r="AT1584" s="79"/>
      <c r="AU1584" s="80"/>
      <c r="AV1584" s="79"/>
      <c r="AW1584" s="38"/>
      <c r="AX1584" s="79"/>
      <c r="AY1584" s="38"/>
      <c r="AZ1584" s="79"/>
      <c r="BA1584" s="80"/>
      <c r="BB1584" s="79"/>
      <c r="BC1584" s="80"/>
      <c r="BD1584" s="79"/>
      <c r="BE1584" s="38"/>
      <c r="BF1584" s="74"/>
      <c r="BG1584" s="1407"/>
      <c r="BH1584" s="1407"/>
      <c r="BI1584" s="1407"/>
      <c r="BJ1584" s="1407"/>
      <c r="BK1584" s="1407"/>
      <c r="BL1584" s="1407"/>
      <c r="BM1584" s="1407"/>
      <c r="BN1584" s="1407"/>
      <c r="BO1584" s="1407"/>
      <c r="BP1584" s="1407"/>
      <c r="BQ1584" s="1407"/>
      <c r="BR1584" s="1407"/>
      <c r="BS1584" s="1407"/>
      <c r="BT1584" s="1407"/>
      <c r="BU1584" s="1407"/>
      <c r="BV1584" s="1407"/>
      <c r="BW1584" s="1407"/>
      <c r="BX1584" s="1407"/>
      <c r="BY1584" s="1407"/>
      <c r="BZ1584" s="1407"/>
      <c r="CA1584" s="1407"/>
      <c r="CB1584" s="1407"/>
      <c r="CC1584" s="1407"/>
      <c r="CD1584" s="1407"/>
      <c r="CE1584" s="1407"/>
      <c r="CF1584" s="1407"/>
      <c r="CG1584" s="1407"/>
      <c r="CH1584" s="1407"/>
      <c r="CI1584" s="1407"/>
      <c r="CJ1584" s="1407"/>
      <c r="CK1584" s="1407"/>
      <c r="CL1584" s="1407"/>
      <c r="CM1584" s="1407"/>
      <c r="CN1584" s="1407"/>
      <c r="CO1584" s="1407"/>
      <c r="CP1584" s="1407"/>
    </row>
    <row r="1585" ht="15.75" customHeight="1">
      <c r="A1585" s="21" t="s">
        <v>7412</v>
      </c>
      <c r="B1585" s="69" t="s">
        <v>944</v>
      </c>
      <c r="C1585" s="69" t="s">
        <v>84</v>
      </c>
      <c r="D1585" s="200" t="s">
        <v>7413</v>
      </c>
      <c r="E1585" s="200" t="s">
        <v>7414</v>
      </c>
      <c r="F1585" s="154" t="s">
        <v>7415</v>
      </c>
      <c r="G1585" s="140" t="s">
        <v>7416</v>
      </c>
      <c r="H1585" s="140" t="s">
        <v>99</v>
      </c>
      <c r="I1585" s="74"/>
      <c r="J1585" s="72" t="s">
        <v>100</v>
      </c>
      <c r="K1585" s="26">
        <v>2.0</v>
      </c>
      <c r="L1585" s="26">
        <v>2016.0</v>
      </c>
      <c r="M1585" s="25">
        <f t="shared" si="789"/>
        <v>9</v>
      </c>
      <c r="N1585" s="26">
        <f t="shared" si="790"/>
        <v>0</v>
      </c>
      <c r="O1585" s="27" t="str">
        <f t="shared" si="3"/>
        <v>#N/A</v>
      </c>
      <c r="P1585" s="28"/>
      <c r="Q1585" s="28"/>
      <c r="R1585" s="28"/>
      <c r="S1585" s="28"/>
      <c r="T1585" s="29">
        <f t="shared" si="791"/>
        <v>0</v>
      </c>
      <c r="U1585" s="28"/>
      <c r="V1585" s="30">
        <f t="shared" si="425"/>
        <v>0</v>
      </c>
      <c r="W1585" s="30"/>
      <c r="X1585" s="73"/>
      <c r="Y1585" s="33" t="str">
        <f t="shared" si="792"/>
        <v>#DIV/0!</v>
      </c>
      <c r="Z1585" s="692"/>
      <c r="AA1585" s="665"/>
      <c r="AB1585" s="74"/>
      <c r="AC1585" s="74"/>
      <c r="AD1585" s="79"/>
      <c r="AE1585" s="84"/>
      <c r="AF1585" s="338"/>
      <c r="AG1585" s="84"/>
      <c r="AH1585" s="74"/>
      <c r="AI1585" s="78"/>
      <c r="AJ1585" s="79"/>
      <c r="AK1585" s="84"/>
      <c r="AL1585" s="79"/>
      <c r="AM1585" s="84"/>
      <c r="AN1585" s="79"/>
      <c r="AO1585" s="84"/>
      <c r="AP1585" s="79"/>
      <c r="AQ1585" s="84"/>
      <c r="AR1585" s="79"/>
      <c r="AS1585" s="79"/>
      <c r="AT1585" s="79"/>
      <c r="AU1585" s="80"/>
      <c r="AV1585" s="79"/>
      <c r="AW1585" s="38"/>
      <c r="AX1585" s="79"/>
      <c r="AY1585" s="38"/>
      <c r="AZ1585" s="79"/>
      <c r="BA1585" s="80"/>
      <c r="BB1585" s="79"/>
      <c r="BC1585" s="80"/>
      <c r="BD1585" s="79"/>
      <c r="BE1585" s="38"/>
      <c r="BF1585" s="74"/>
      <c r="BG1585" s="115"/>
      <c r="BH1585" s="115"/>
      <c r="BI1585" s="115"/>
      <c r="BJ1585" s="115"/>
      <c r="BK1585" s="115"/>
      <c r="BL1585" s="115"/>
      <c r="BM1585" s="115"/>
      <c r="BN1585" s="115"/>
      <c r="BO1585" s="115"/>
      <c r="BP1585" s="115"/>
      <c r="BQ1585" s="115"/>
      <c r="BR1585" s="115"/>
      <c r="BS1585" s="115"/>
      <c r="BT1585" s="115"/>
      <c r="BU1585" s="115"/>
      <c r="BV1585" s="115"/>
      <c r="BW1585" s="115"/>
      <c r="BX1585" s="115"/>
      <c r="BY1585" s="115"/>
      <c r="BZ1585" s="115"/>
      <c r="CA1585" s="115"/>
      <c r="CB1585" s="115"/>
      <c r="CC1585" s="115"/>
      <c r="CD1585" s="115"/>
      <c r="CE1585" s="115"/>
      <c r="CF1585" s="115"/>
      <c r="CG1585" s="115"/>
      <c r="CH1585" s="115"/>
      <c r="CI1585" s="115"/>
      <c r="CJ1585" s="115"/>
      <c r="CK1585" s="115"/>
      <c r="CL1585" s="115"/>
      <c r="CM1585" s="115"/>
      <c r="CN1585" s="115"/>
      <c r="CO1585" s="115"/>
      <c r="CP1585" s="115"/>
    </row>
    <row r="1586" ht="15.75" customHeight="1">
      <c r="A1586" s="21" t="s">
        <v>7417</v>
      </c>
      <c r="B1586" s="68"/>
      <c r="C1586" s="69" t="s">
        <v>84</v>
      </c>
      <c r="D1586" s="138" t="s">
        <v>7418</v>
      </c>
      <c r="E1586" s="200" t="s">
        <v>7419</v>
      </c>
      <c r="F1586" s="173" t="s">
        <v>7420</v>
      </c>
      <c r="G1586" s="71" t="s">
        <v>7421</v>
      </c>
      <c r="H1586" s="71" t="s">
        <v>7422</v>
      </c>
      <c r="I1586" s="26" t="s">
        <v>1088</v>
      </c>
      <c r="J1586" s="72" t="s">
        <v>3372</v>
      </c>
      <c r="K1586" s="26">
        <v>1.0</v>
      </c>
      <c r="L1586" s="26">
        <v>2017.0</v>
      </c>
      <c r="M1586" s="25">
        <f t="shared" si="789"/>
        <v>8</v>
      </c>
      <c r="N1586" s="26">
        <f t="shared" si="790"/>
        <v>0</v>
      </c>
      <c r="O1586" s="27" t="str">
        <f t="shared" si="3"/>
        <v>#N/A</v>
      </c>
      <c r="P1586" s="28"/>
      <c r="Q1586" s="28"/>
      <c r="R1586" s="28"/>
      <c r="S1586" s="28"/>
      <c r="T1586" s="29">
        <f t="shared" si="791"/>
        <v>0</v>
      </c>
      <c r="U1586" s="28"/>
      <c r="V1586" s="30">
        <f t="shared" si="425"/>
        <v>0</v>
      </c>
      <c r="W1586" s="30"/>
      <c r="X1586" s="73"/>
      <c r="Y1586" s="33" t="str">
        <f t="shared" si="792"/>
        <v>#DIV/0!</v>
      </c>
      <c r="Z1586" s="692"/>
      <c r="AA1586" s="665"/>
      <c r="AB1586" s="74"/>
      <c r="AC1586" s="74"/>
      <c r="AD1586" s="79"/>
      <c r="AE1586" s="84"/>
      <c r="AF1586" s="338"/>
      <c r="AG1586" s="84"/>
      <c r="AH1586" s="74"/>
      <c r="AI1586" s="78"/>
      <c r="AJ1586" s="79"/>
      <c r="AK1586" s="84"/>
      <c r="AL1586" s="79"/>
      <c r="AM1586" s="84"/>
      <c r="AN1586" s="79"/>
      <c r="AO1586" s="84"/>
      <c r="AP1586" s="79"/>
      <c r="AQ1586" s="84"/>
      <c r="AR1586" s="79"/>
      <c r="AS1586" s="79"/>
      <c r="AT1586" s="79"/>
      <c r="AU1586" s="80"/>
      <c r="AV1586" s="79"/>
      <c r="AW1586" s="38"/>
      <c r="AX1586" s="79"/>
      <c r="AY1586" s="38"/>
      <c r="AZ1586" s="79"/>
      <c r="BA1586" s="80"/>
      <c r="BB1586" s="79"/>
      <c r="BC1586" s="80"/>
      <c r="BD1586" s="79"/>
      <c r="BE1586" s="38"/>
      <c r="BF1586" s="74"/>
      <c r="BG1586" s="115"/>
      <c r="BH1586" s="115"/>
      <c r="BI1586" s="115"/>
      <c r="BJ1586" s="115"/>
      <c r="BK1586" s="115"/>
      <c r="BL1586" s="115"/>
      <c r="BM1586" s="115"/>
      <c r="BN1586" s="115"/>
      <c r="BO1586" s="115"/>
      <c r="BP1586" s="115"/>
      <c r="BQ1586" s="115"/>
      <c r="BR1586" s="115"/>
      <c r="BS1586" s="115"/>
      <c r="BT1586" s="115"/>
      <c r="BU1586" s="115"/>
      <c r="BV1586" s="115"/>
      <c r="BW1586" s="115"/>
      <c r="BX1586" s="115"/>
      <c r="BY1586" s="115"/>
      <c r="BZ1586" s="115"/>
      <c r="CA1586" s="115"/>
      <c r="CB1586" s="115"/>
      <c r="CC1586" s="115"/>
      <c r="CD1586" s="115"/>
      <c r="CE1586" s="115"/>
      <c r="CF1586" s="115"/>
      <c r="CG1586" s="115"/>
      <c r="CH1586" s="115"/>
      <c r="CI1586" s="115"/>
      <c r="CJ1586" s="115"/>
      <c r="CK1586" s="115"/>
      <c r="CL1586" s="115"/>
      <c r="CM1586" s="115"/>
      <c r="CN1586" s="115"/>
      <c r="CO1586" s="115"/>
      <c r="CP1586" s="115"/>
    </row>
    <row r="1587" ht="15.75" customHeight="1">
      <c r="A1587" s="978" t="s">
        <v>7423</v>
      </c>
      <c r="B1587" s="979"/>
      <c r="C1587" s="980" t="s">
        <v>84</v>
      </c>
      <c r="D1587" s="1001" t="s">
        <v>7424</v>
      </c>
      <c r="E1587" s="991" t="s">
        <v>7425</v>
      </c>
      <c r="F1587" s="173" t="s">
        <v>7426</v>
      </c>
      <c r="G1587" s="71" t="s">
        <v>7427</v>
      </c>
      <c r="H1587" s="71" t="s">
        <v>1417</v>
      </c>
      <c r="I1587" s="26" t="s">
        <v>65</v>
      </c>
      <c r="J1587" s="72" t="s">
        <v>1418</v>
      </c>
      <c r="K1587" s="26">
        <v>1.0</v>
      </c>
      <c r="L1587" s="26">
        <v>2017.0</v>
      </c>
      <c r="M1587" s="25">
        <f t="shared" si="789"/>
        <v>8</v>
      </c>
      <c r="N1587" s="26">
        <f t="shared" si="790"/>
        <v>0</v>
      </c>
      <c r="O1587" s="27" t="str">
        <f t="shared" si="3"/>
        <v>#N/A</v>
      </c>
      <c r="P1587" s="28"/>
      <c r="Q1587" s="28"/>
      <c r="R1587" s="28"/>
      <c r="S1587" s="28"/>
      <c r="T1587" s="29">
        <f t="shared" si="791"/>
        <v>0</v>
      </c>
      <c r="U1587" s="28"/>
      <c r="V1587" s="30">
        <f t="shared" si="425"/>
        <v>0</v>
      </c>
      <c r="W1587" s="30"/>
      <c r="X1587" s="73"/>
      <c r="Y1587" s="33" t="str">
        <f t="shared" si="792"/>
        <v>#DIV/0!</v>
      </c>
      <c r="Z1587" s="692"/>
      <c r="AA1587" s="665"/>
      <c r="AB1587" s="74"/>
      <c r="AC1587" s="74"/>
      <c r="AD1587" s="79"/>
      <c r="AE1587" s="84"/>
      <c r="AF1587" s="338"/>
      <c r="AG1587" s="84"/>
      <c r="AH1587" s="74"/>
      <c r="AI1587" s="78"/>
      <c r="AJ1587" s="79"/>
      <c r="AK1587" s="84"/>
      <c r="AL1587" s="79"/>
      <c r="AM1587" s="84"/>
      <c r="AN1587" s="79"/>
      <c r="AO1587" s="84"/>
      <c r="AP1587" s="79"/>
      <c r="AQ1587" s="84"/>
      <c r="AR1587" s="79"/>
      <c r="AS1587" s="79"/>
      <c r="AT1587" s="79"/>
      <c r="AU1587" s="80"/>
      <c r="AV1587" s="79"/>
      <c r="AW1587" s="38"/>
      <c r="AX1587" s="79"/>
      <c r="AY1587" s="38"/>
      <c r="AZ1587" s="79"/>
      <c r="BA1587" s="80"/>
      <c r="BB1587" s="79"/>
      <c r="BC1587" s="80"/>
      <c r="BD1587" s="79"/>
      <c r="BE1587" s="38"/>
      <c r="BF1587" s="74"/>
      <c r="BG1587" s="115"/>
      <c r="BH1587" s="115"/>
      <c r="BI1587" s="115"/>
      <c r="BJ1587" s="115"/>
      <c r="BK1587" s="115"/>
      <c r="BL1587" s="115"/>
      <c r="BM1587" s="115"/>
      <c r="BN1587" s="115"/>
      <c r="BO1587" s="115"/>
      <c r="BP1587" s="115"/>
      <c r="BQ1587" s="115"/>
      <c r="BR1587" s="115"/>
      <c r="BS1587" s="115"/>
      <c r="BT1587" s="115"/>
      <c r="BU1587" s="115"/>
      <c r="BV1587" s="115"/>
      <c r="BW1587" s="115"/>
      <c r="BX1587" s="115"/>
      <c r="BY1587" s="115"/>
      <c r="BZ1587" s="115"/>
      <c r="CA1587" s="115"/>
      <c r="CB1587" s="115"/>
      <c r="CC1587" s="115"/>
      <c r="CD1587" s="115"/>
      <c r="CE1587" s="115"/>
      <c r="CF1587" s="115"/>
      <c r="CG1587" s="115"/>
      <c r="CH1587" s="115"/>
      <c r="CI1587" s="115"/>
      <c r="CJ1587" s="115"/>
      <c r="CK1587" s="115"/>
      <c r="CL1587" s="115"/>
      <c r="CM1587" s="115"/>
      <c r="CN1587" s="115"/>
      <c r="CO1587" s="115"/>
      <c r="CP1587" s="115"/>
    </row>
    <row r="1588" ht="15.75" customHeight="1">
      <c r="A1588" s="21" t="s">
        <v>7428</v>
      </c>
      <c r="B1588" s="68"/>
      <c r="C1588" s="69" t="s">
        <v>84</v>
      </c>
      <c r="D1588" s="138" t="s">
        <v>7429</v>
      </c>
      <c r="E1588" s="337"/>
      <c r="F1588" s="173" t="s">
        <v>7430</v>
      </c>
      <c r="G1588" s="186"/>
      <c r="H1588" s="186"/>
      <c r="I1588" s="74"/>
      <c r="J1588" s="155"/>
      <c r="K1588" s="26">
        <v>2.0</v>
      </c>
      <c r="L1588" s="74" t="s">
        <v>723</v>
      </c>
      <c r="M1588" s="25" t="str">
        <f t="shared" si="789"/>
        <v>#VALUE!</v>
      </c>
      <c r="N1588" s="26">
        <f t="shared" si="790"/>
        <v>0</v>
      </c>
      <c r="O1588" s="27" t="str">
        <f t="shared" si="3"/>
        <v>#N/A</v>
      </c>
      <c r="P1588" s="28"/>
      <c r="Q1588" s="28"/>
      <c r="R1588" s="28"/>
      <c r="S1588" s="28"/>
      <c r="T1588" s="28" t="str">
        <f t="shared" si="791"/>
        <v>#VALUE!</v>
      </c>
      <c r="U1588" s="28"/>
      <c r="V1588" s="30">
        <f t="shared" si="425"/>
        <v>0</v>
      </c>
      <c r="W1588" s="30"/>
      <c r="X1588" s="73"/>
      <c r="Y1588" s="33" t="str">
        <f t="shared" si="792"/>
        <v>#DIV/0!</v>
      </c>
      <c r="Z1588" s="692"/>
      <c r="AA1588" s="665"/>
      <c r="AB1588" s="74"/>
      <c r="AC1588" s="74"/>
      <c r="AD1588" s="79"/>
      <c r="AE1588" s="84"/>
      <c r="AF1588" s="338"/>
      <c r="AG1588" s="84"/>
      <c r="AH1588" s="74"/>
      <c r="AI1588" s="78"/>
      <c r="AJ1588" s="79"/>
      <c r="AK1588" s="84"/>
      <c r="AL1588" s="79"/>
      <c r="AM1588" s="84"/>
      <c r="AN1588" s="79"/>
      <c r="AO1588" s="84"/>
      <c r="AP1588" s="79"/>
      <c r="AQ1588" s="84"/>
      <c r="AR1588" s="79"/>
      <c r="AS1588" s="79"/>
      <c r="AT1588" s="79"/>
      <c r="AU1588" s="80"/>
      <c r="AV1588" s="79"/>
      <c r="AW1588" s="38"/>
      <c r="AX1588" s="79"/>
      <c r="AY1588" s="38"/>
      <c r="AZ1588" s="79"/>
      <c r="BA1588" s="80"/>
      <c r="BB1588" s="79"/>
      <c r="BC1588" s="80"/>
      <c r="BD1588" s="79"/>
      <c r="BE1588" s="38"/>
      <c r="BF1588" s="74"/>
      <c r="BG1588" s="68"/>
      <c r="BH1588" s="68"/>
      <c r="BI1588" s="68"/>
      <c r="BJ1588" s="68"/>
      <c r="BK1588" s="68"/>
      <c r="BL1588" s="68"/>
      <c r="BM1588" s="68"/>
      <c r="BN1588" s="68"/>
      <c r="BO1588" s="68"/>
      <c r="BP1588" s="68"/>
      <c r="BQ1588" s="68"/>
      <c r="BR1588" s="68"/>
      <c r="BS1588" s="68"/>
      <c r="BT1588" s="68"/>
      <c r="BU1588" s="68"/>
      <c r="BV1588" s="68"/>
      <c r="BW1588" s="68"/>
      <c r="BX1588" s="68"/>
      <c r="BY1588" s="68"/>
      <c r="BZ1588" s="68"/>
      <c r="CA1588" s="68"/>
      <c r="CB1588" s="68"/>
      <c r="CC1588" s="68"/>
      <c r="CD1588" s="68"/>
      <c r="CE1588" s="68"/>
      <c r="CF1588" s="68"/>
      <c r="CG1588" s="68"/>
      <c r="CH1588" s="68"/>
      <c r="CI1588" s="68"/>
      <c r="CJ1588" s="68"/>
      <c r="CK1588" s="68"/>
      <c r="CL1588" s="68"/>
      <c r="CM1588" s="68"/>
      <c r="CN1588" s="68"/>
      <c r="CO1588" s="68"/>
      <c r="CP1588" s="68"/>
    </row>
    <row r="1589" ht="15.75" customHeight="1">
      <c r="A1589" s="21" t="s">
        <v>7431</v>
      </c>
      <c r="B1589" s="68"/>
      <c r="C1589" s="69" t="s">
        <v>84</v>
      </c>
      <c r="D1589" s="138" t="s">
        <v>7432</v>
      </c>
      <c r="E1589" s="138" t="s">
        <v>7433</v>
      </c>
      <c r="F1589" s="173" t="s">
        <v>7434</v>
      </c>
      <c r="G1589" s="186"/>
      <c r="H1589" s="71" t="s">
        <v>7435</v>
      </c>
      <c r="I1589" s="26" t="s">
        <v>2171</v>
      </c>
      <c r="J1589" s="155"/>
      <c r="K1589" s="26">
        <v>2.0</v>
      </c>
      <c r="L1589" s="26">
        <v>1989.0</v>
      </c>
      <c r="M1589" s="25">
        <f t="shared" si="789"/>
        <v>36</v>
      </c>
      <c r="N1589" s="26">
        <f t="shared" si="790"/>
        <v>0</v>
      </c>
      <c r="O1589" s="27" t="str">
        <f t="shared" si="3"/>
        <v>#N/A</v>
      </c>
      <c r="P1589" s="28"/>
      <c r="Q1589" s="28"/>
      <c r="R1589" s="28"/>
      <c r="S1589" s="28"/>
      <c r="T1589" s="29">
        <f t="shared" si="791"/>
        <v>0</v>
      </c>
      <c r="U1589" s="28"/>
      <c r="V1589" s="30">
        <f t="shared" si="425"/>
        <v>0</v>
      </c>
      <c r="W1589" s="30"/>
      <c r="X1589" s="73"/>
      <c r="Y1589" s="33" t="str">
        <f t="shared" si="792"/>
        <v>#DIV/0!</v>
      </c>
      <c r="Z1589" s="692"/>
      <c r="AA1589" s="665"/>
      <c r="AB1589" s="74"/>
      <c r="AC1589" s="74"/>
      <c r="AD1589" s="79"/>
      <c r="AE1589" s="84"/>
      <c r="AF1589" s="338"/>
      <c r="AG1589" s="84"/>
      <c r="AH1589" s="74"/>
      <c r="AI1589" s="78"/>
      <c r="AJ1589" s="79"/>
      <c r="AK1589" s="76"/>
      <c r="AL1589" s="79"/>
      <c r="AM1589" s="76"/>
      <c r="AN1589" s="79"/>
      <c r="AO1589" s="84"/>
      <c r="AP1589" s="79"/>
      <c r="AQ1589" s="84"/>
      <c r="AR1589" s="79"/>
      <c r="AS1589" s="79"/>
      <c r="AT1589" s="79"/>
      <c r="AU1589" s="80"/>
      <c r="AV1589" s="79"/>
      <c r="AW1589" s="38"/>
      <c r="AX1589" s="79"/>
      <c r="AY1589" s="38"/>
      <c r="AZ1589" s="79"/>
      <c r="BA1589" s="80"/>
      <c r="BB1589" s="79"/>
      <c r="BC1589" s="80"/>
      <c r="BD1589" s="79"/>
      <c r="BE1589" s="38"/>
      <c r="BF1589" s="74"/>
      <c r="BG1589" s="1407"/>
      <c r="BH1589" s="1407"/>
      <c r="BI1589" s="1407"/>
      <c r="BJ1589" s="1407"/>
      <c r="BK1589" s="1407"/>
      <c r="BL1589" s="1407"/>
      <c r="BM1589" s="1407"/>
      <c r="BN1589" s="1407"/>
      <c r="BO1589" s="1407"/>
      <c r="BP1589" s="1407"/>
      <c r="BQ1589" s="1407"/>
      <c r="BR1589" s="1407"/>
      <c r="BS1589" s="1407"/>
      <c r="BT1589" s="1407"/>
      <c r="BU1589" s="1407"/>
      <c r="BV1589" s="1407"/>
      <c r="BW1589" s="1407"/>
      <c r="BX1589" s="1407"/>
      <c r="BY1589" s="1407"/>
      <c r="BZ1589" s="1407"/>
      <c r="CA1589" s="1407"/>
      <c r="CB1589" s="1407"/>
      <c r="CC1589" s="1407"/>
      <c r="CD1589" s="1407"/>
      <c r="CE1589" s="1407"/>
      <c r="CF1589" s="1407"/>
      <c r="CG1589" s="1407"/>
      <c r="CH1589" s="1407"/>
      <c r="CI1589" s="1407"/>
      <c r="CJ1589" s="1407"/>
      <c r="CK1589" s="1407"/>
      <c r="CL1589" s="1407"/>
      <c r="CM1589" s="1407"/>
      <c r="CN1589" s="1407"/>
      <c r="CO1589" s="1407"/>
      <c r="CP1589" s="1407"/>
    </row>
    <row r="1590" ht="15.75" customHeight="1">
      <c r="A1590" s="47" t="s">
        <v>7436</v>
      </c>
      <c r="B1590" s="68"/>
      <c r="C1590" s="69" t="s">
        <v>84</v>
      </c>
      <c r="D1590" s="192" t="s">
        <v>7437</v>
      </c>
      <c r="E1590" s="192" t="s">
        <v>7438</v>
      </c>
      <c r="F1590" s="756" t="s">
        <v>7439</v>
      </c>
      <c r="G1590" s="71"/>
      <c r="H1590" s="23" t="s">
        <v>128</v>
      </c>
      <c r="I1590" s="26" t="s">
        <v>156</v>
      </c>
      <c r="J1590" s="72"/>
      <c r="K1590" s="26">
        <v>1.0</v>
      </c>
      <c r="L1590" s="26">
        <v>2018.0</v>
      </c>
      <c r="M1590" s="25">
        <f t="shared" si="789"/>
        <v>7</v>
      </c>
      <c r="N1590" s="26">
        <f t="shared" si="790"/>
        <v>0</v>
      </c>
      <c r="O1590" s="27" t="str">
        <f t="shared" si="3"/>
        <v>#N/A</v>
      </c>
      <c r="P1590" s="28"/>
      <c r="Q1590" s="28"/>
      <c r="R1590" s="28"/>
      <c r="S1590" s="28"/>
      <c r="T1590" s="29">
        <f t="shared" si="791"/>
        <v>0</v>
      </c>
      <c r="U1590" s="28"/>
      <c r="V1590" s="30">
        <f t="shared" si="425"/>
        <v>0</v>
      </c>
      <c r="W1590" s="30"/>
      <c r="X1590" s="73"/>
      <c r="Y1590" s="33" t="str">
        <f t="shared" si="792"/>
        <v>#DIV/0!</v>
      </c>
      <c r="Z1590" s="692"/>
      <c r="AA1590" s="665"/>
      <c r="AB1590" s="74"/>
      <c r="AC1590" s="74"/>
      <c r="AD1590" s="79"/>
      <c r="AE1590" s="84"/>
      <c r="AF1590" s="338"/>
      <c r="AG1590" s="84"/>
      <c r="AH1590" s="77"/>
      <c r="AI1590" s="78"/>
      <c r="AJ1590" s="79"/>
      <c r="AK1590" s="84"/>
      <c r="AL1590" s="79"/>
      <c r="AM1590" s="84"/>
      <c r="AN1590" s="79"/>
      <c r="AO1590" s="84"/>
      <c r="AP1590" s="79"/>
      <c r="AQ1590" s="84"/>
      <c r="AR1590" s="79"/>
      <c r="AS1590" s="79"/>
      <c r="AT1590" s="79"/>
      <c r="AU1590" s="80"/>
      <c r="AV1590" s="79"/>
      <c r="AW1590" s="38"/>
      <c r="AX1590" s="79"/>
      <c r="AY1590" s="38"/>
      <c r="AZ1590" s="79"/>
      <c r="BA1590" s="80"/>
      <c r="BB1590" s="79"/>
      <c r="BC1590" s="80"/>
      <c r="BD1590" s="79"/>
      <c r="BE1590" s="38"/>
      <c r="BF1590" s="74"/>
      <c r="BG1590" s="68"/>
      <c r="BH1590" s="68"/>
      <c r="BI1590" s="68"/>
      <c r="BJ1590" s="68"/>
      <c r="BK1590" s="68"/>
      <c r="BL1590" s="68"/>
      <c r="BM1590" s="68"/>
      <c r="BN1590" s="68"/>
      <c r="BO1590" s="68"/>
      <c r="BP1590" s="68"/>
      <c r="BQ1590" s="68"/>
      <c r="BR1590" s="68"/>
      <c r="BS1590" s="68"/>
      <c r="BT1590" s="68"/>
      <c r="BU1590" s="68"/>
      <c r="BV1590" s="68"/>
      <c r="BW1590" s="68"/>
      <c r="BX1590" s="68"/>
      <c r="BY1590" s="68"/>
      <c r="BZ1590" s="68"/>
      <c r="CA1590" s="68"/>
      <c r="CB1590" s="68"/>
      <c r="CC1590" s="68"/>
      <c r="CD1590" s="68"/>
      <c r="CE1590" s="68"/>
      <c r="CF1590" s="68"/>
      <c r="CG1590" s="68"/>
      <c r="CH1590" s="68"/>
      <c r="CI1590" s="68"/>
      <c r="CJ1590" s="68"/>
      <c r="CK1590" s="68"/>
      <c r="CL1590" s="68"/>
      <c r="CM1590" s="68"/>
      <c r="CN1590" s="68"/>
      <c r="CO1590" s="68"/>
      <c r="CP1590" s="68"/>
    </row>
    <row r="1591" ht="15.75" customHeight="1">
      <c r="A1591" s="1754" t="s">
        <v>7440</v>
      </c>
      <c r="B1591" s="1755"/>
      <c r="C1591" s="1756" t="s">
        <v>132</v>
      </c>
      <c r="D1591" s="1757" t="s">
        <v>7441</v>
      </c>
      <c r="E1591" s="1758" t="s">
        <v>7442</v>
      </c>
      <c r="F1591" s="756" t="s">
        <v>7443</v>
      </c>
      <c r="G1591" s="71"/>
      <c r="H1591" s="23" t="s">
        <v>937</v>
      </c>
      <c r="I1591" s="26" t="s">
        <v>65</v>
      </c>
      <c r="J1591" s="72"/>
      <c r="K1591" s="26"/>
      <c r="L1591" s="26">
        <v>2014.0</v>
      </c>
      <c r="M1591" s="25">
        <f t="shared" si="789"/>
        <v>11</v>
      </c>
      <c r="N1591" s="26">
        <f t="shared" si="790"/>
        <v>0</v>
      </c>
      <c r="O1591" s="27" t="str">
        <f t="shared" si="3"/>
        <v>#N/A</v>
      </c>
      <c r="P1591" s="28"/>
      <c r="Q1591" s="28"/>
      <c r="R1591" s="28"/>
      <c r="S1591" s="28"/>
      <c r="T1591" s="29">
        <f t="shared" si="791"/>
        <v>0</v>
      </c>
      <c r="U1591" s="28"/>
      <c r="V1591" s="30">
        <f t="shared" si="425"/>
        <v>0</v>
      </c>
      <c r="W1591" s="30"/>
      <c r="X1591" s="73"/>
      <c r="Y1591" s="33" t="str">
        <f t="shared" si="792"/>
        <v>#DIV/0!</v>
      </c>
      <c r="Z1591" s="692"/>
      <c r="AA1591" s="665"/>
      <c r="AB1591" s="74"/>
      <c r="AC1591" s="74"/>
      <c r="AD1591" s="79"/>
      <c r="AE1591" s="84"/>
      <c r="AF1591" s="338"/>
      <c r="AG1591" s="84"/>
      <c r="AH1591" s="77"/>
      <c r="AI1591" s="78"/>
      <c r="AJ1591" s="79"/>
      <c r="AK1591" s="84"/>
      <c r="AL1591" s="79"/>
      <c r="AM1591" s="84"/>
      <c r="AN1591" s="79"/>
      <c r="AO1591" s="84"/>
      <c r="AP1591" s="79"/>
      <c r="AQ1591" s="84"/>
      <c r="AR1591" s="79"/>
      <c r="AS1591" s="79"/>
      <c r="AT1591" s="79"/>
      <c r="AU1591" s="80"/>
      <c r="AV1591" s="79"/>
      <c r="AW1591" s="38"/>
      <c r="AX1591" s="79"/>
      <c r="AY1591" s="38"/>
      <c r="AZ1591" s="79"/>
      <c r="BA1591" s="80"/>
      <c r="BB1591" s="79"/>
      <c r="BC1591" s="80"/>
      <c r="BD1591" s="79"/>
      <c r="BE1591" s="38"/>
      <c r="BF1591" s="74"/>
      <c r="BG1591" s="16"/>
      <c r="BH1591" s="16"/>
      <c r="BI1591" s="16"/>
      <c r="BJ1591" s="16"/>
      <c r="BK1591" s="16"/>
      <c r="BL1591" s="16"/>
      <c r="BM1591" s="16"/>
      <c r="BN1591" s="16"/>
      <c r="BO1591" s="16"/>
      <c r="BP1591" s="16"/>
      <c r="BQ1591" s="16"/>
      <c r="BR1591" s="16"/>
      <c r="BS1591" s="16"/>
      <c r="BT1591" s="16"/>
      <c r="BU1591" s="16"/>
      <c r="BV1591" s="16"/>
      <c r="BW1591" s="16"/>
      <c r="BX1591" s="16"/>
      <c r="BY1591" s="16"/>
      <c r="BZ1591" s="16"/>
      <c r="CA1591" s="16"/>
      <c r="CB1591" s="16"/>
      <c r="CC1591" s="16"/>
      <c r="CD1591" s="16"/>
      <c r="CE1591" s="16"/>
      <c r="CF1591" s="16"/>
      <c r="CG1591" s="16"/>
      <c r="CH1591" s="16"/>
      <c r="CI1591" s="16"/>
      <c r="CJ1591" s="16"/>
      <c r="CK1591" s="16"/>
      <c r="CL1591" s="16"/>
      <c r="CM1591" s="16"/>
      <c r="CN1591" s="16"/>
      <c r="CO1591" s="16"/>
      <c r="CP1591" s="16"/>
    </row>
    <row r="1592" ht="15.75" customHeight="1">
      <c r="A1592" s="47" t="s">
        <v>7444</v>
      </c>
      <c r="B1592" s="68"/>
      <c r="C1592" s="69" t="s">
        <v>123</v>
      </c>
      <c r="D1592" s="48"/>
      <c r="E1592" s="48"/>
      <c r="F1592" s="756" t="s">
        <v>7445</v>
      </c>
      <c r="G1592" s="71"/>
      <c r="H1592" s="23" t="s">
        <v>357</v>
      </c>
      <c r="I1592" s="26" t="s">
        <v>660</v>
      </c>
      <c r="J1592" s="72"/>
      <c r="K1592" s="26"/>
      <c r="L1592" s="26"/>
      <c r="M1592" s="25">
        <f t="shared" si="789"/>
        <v>2025</v>
      </c>
      <c r="N1592" s="26">
        <f t="shared" si="790"/>
        <v>0</v>
      </c>
      <c r="O1592" s="27" t="str">
        <f t="shared" si="3"/>
        <v>#N/A</v>
      </c>
      <c r="P1592" s="28"/>
      <c r="Q1592" s="28"/>
      <c r="R1592" s="28"/>
      <c r="S1592" s="28"/>
      <c r="T1592" s="29">
        <f t="shared" si="791"/>
        <v>0</v>
      </c>
      <c r="U1592" s="28"/>
      <c r="V1592" s="30">
        <f t="shared" si="425"/>
        <v>0</v>
      </c>
      <c r="W1592" s="30"/>
      <c r="X1592" s="73"/>
      <c r="Y1592" s="33" t="str">
        <f t="shared" si="792"/>
        <v>#DIV/0!</v>
      </c>
      <c r="Z1592" s="692"/>
      <c r="AA1592" s="665"/>
      <c r="AB1592" s="74"/>
      <c r="AC1592" s="74"/>
      <c r="AD1592" s="79"/>
      <c r="AE1592" s="84"/>
      <c r="AF1592" s="338"/>
      <c r="AG1592" s="84"/>
      <c r="AH1592" s="77"/>
      <c r="AI1592" s="78"/>
      <c r="AJ1592" s="79"/>
      <c r="AK1592" s="84"/>
      <c r="AL1592" s="79"/>
      <c r="AM1592" s="84"/>
      <c r="AN1592" s="79"/>
      <c r="AO1592" s="84"/>
      <c r="AP1592" s="79"/>
      <c r="AQ1592" s="84"/>
      <c r="AR1592" s="79"/>
      <c r="AS1592" s="79"/>
      <c r="AT1592" s="79"/>
      <c r="AU1592" s="80"/>
      <c r="AV1592" s="79"/>
      <c r="AW1592" s="38"/>
      <c r="AX1592" s="79"/>
      <c r="AY1592" s="38"/>
      <c r="AZ1592" s="79"/>
      <c r="BA1592" s="80"/>
      <c r="BB1592" s="79"/>
      <c r="BC1592" s="80"/>
      <c r="BD1592" s="79"/>
      <c r="BE1592" s="38"/>
      <c r="BF1592" s="74"/>
      <c r="BG1592" s="115"/>
      <c r="BH1592" s="115"/>
      <c r="BI1592" s="115"/>
      <c r="BJ1592" s="115"/>
      <c r="BK1592" s="115"/>
      <c r="BL1592" s="115"/>
      <c r="BM1592" s="115"/>
      <c r="BN1592" s="115"/>
      <c r="BO1592" s="115"/>
      <c r="BP1592" s="115"/>
      <c r="BQ1592" s="115"/>
      <c r="BR1592" s="115"/>
      <c r="BS1592" s="115"/>
      <c r="BT1592" s="115"/>
      <c r="BU1592" s="115"/>
      <c r="BV1592" s="115"/>
      <c r="BW1592" s="115"/>
      <c r="BX1592" s="115"/>
      <c r="BY1592" s="115"/>
      <c r="BZ1592" s="115"/>
      <c r="CA1592" s="115"/>
      <c r="CB1592" s="115"/>
      <c r="CC1592" s="115"/>
      <c r="CD1592" s="115"/>
      <c r="CE1592" s="115"/>
      <c r="CF1592" s="115"/>
      <c r="CG1592" s="115"/>
      <c r="CH1592" s="115"/>
      <c r="CI1592" s="115"/>
      <c r="CJ1592" s="115"/>
      <c r="CK1592" s="115"/>
      <c r="CL1592" s="115"/>
      <c r="CM1592" s="115"/>
      <c r="CN1592" s="115"/>
      <c r="CO1592" s="115"/>
      <c r="CP1592" s="115"/>
    </row>
    <row r="1593" ht="15.75" customHeight="1">
      <c r="A1593" s="21" t="s">
        <v>7446</v>
      </c>
      <c r="B1593" s="68"/>
      <c r="C1593" s="69" t="s">
        <v>513</v>
      </c>
      <c r="D1593" s="200" t="s">
        <v>7447</v>
      </c>
      <c r="E1593" s="138" t="s">
        <v>7448</v>
      </c>
      <c r="F1593" s="757" t="s">
        <v>7449</v>
      </c>
      <c r="G1593" s="71" t="s">
        <v>2791</v>
      </c>
      <c r="H1593" s="71" t="s">
        <v>365</v>
      </c>
      <c r="I1593" s="26" t="s">
        <v>2478</v>
      </c>
      <c r="J1593" s="155"/>
      <c r="K1593" s="74" t="s">
        <v>723</v>
      </c>
      <c r="L1593" s="74" t="s">
        <v>723</v>
      </c>
      <c r="M1593" s="25" t="str">
        <f t="shared" si="789"/>
        <v>#VALUE!</v>
      </c>
      <c r="N1593" s="26">
        <f t="shared" si="790"/>
        <v>0</v>
      </c>
      <c r="O1593" s="27" t="str">
        <f t="shared" si="3"/>
        <v>#N/A</v>
      </c>
      <c r="P1593" s="28"/>
      <c r="Q1593" s="28"/>
      <c r="R1593" s="28"/>
      <c r="S1593" s="28"/>
      <c r="T1593" s="28" t="str">
        <f t="shared" si="791"/>
        <v>#VALUE!</v>
      </c>
      <c r="U1593" s="28"/>
      <c r="V1593" s="30">
        <f t="shared" si="425"/>
        <v>0</v>
      </c>
      <c r="W1593" s="30"/>
      <c r="X1593" s="32"/>
      <c r="Y1593" s="33" t="str">
        <f t="shared" si="792"/>
        <v>#DIV/0!</v>
      </c>
      <c r="Z1593" s="692"/>
      <c r="AA1593" s="665"/>
      <c r="AB1593" s="74"/>
      <c r="AC1593" s="74"/>
      <c r="AD1593" s="79"/>
      <c r="AE1593" s="84"/>
      <c r="AF1593" s="338"/>
      <c r="AG1593" s="84"/>
      <c r="AH1593" s="77"/>
      <c r="AI1593" s="78"/>
      <c r="AJ1593" s="79"/>
      <c r="AK1593" s="84"/>
      <c r="AL1593" s="79"/>
      <c r="AM1593" s="84"/>
      <c r="AN1593" s="79"/>
      <c r="AO1593" s="84"/>
      <c r="AP1593" s="79"/>
      <c r="AQ1593" s="84"/>
      <c r="AR1593" s="79"/>
      <c r="AS1593" s="79"/>
      <c r="AT1593" s="79"/>
      <c r="AU1593" s="80"/>
      <c r="AV1593" s="79"/>
      <c r="AW1593" s="38"/>
      <c r="AX1593" s="79"/>
      <c r="AY1593" s="38"/>
      <c r="AZ1593" s="79"/>
      <c r="BA1593" s="80"/>
      <c r="BB1593" s="79"/>
      <c r="BC1593" s="80"/>
      <c r="BD1593" s="79"/>
      <c r="BE1593" s="38"/>
      <c r="BF1593" s="74"/>
      <c r="BG1593" s="68"/>
      <c r="BH1593" s="68"/>
      <c r="BI1593" s="68"/>
      <c r="BJ1593" s="68"/>
      <c r="BK1593" s="68"/>
      <c r="BL1593" s="68"/>
      <c r="BM1593" s="68"/>
      <c r="BN1593" s="68"/>
      <c r="BO1593" s="68"/>
      <c r="BP1593" s="68"/>
      <c r="BQ1593" s="68"/>
      <c r="BR1593" s="68"/>
      <c r="BS1593" s="68"/>
      <c r="BT1593" s="68"/>
      <c r="BU1593" s="68"/>
      <c r="BV1593" s="68"/>
      <c r="BW1593" s="68"/>
      <c r="BX1593" s="68"/>
      <c r="BY1593" s="68"/>
      <c r="BZ1593" s="68"/>
      <c r="CA1593" s="68"/>
      <c r="CB1593" s="68"/>
      <c r="CC1593" s="68"/>
      <c r="CD1593" s="68"/>
      <c r="CE1593" s="68"/>
      <c r="CF1593" s="68"/>
      <c r="CG1593" s="68"/>
      <c r="CH1593" s="68"/>
      <c r="CI1593" s="68"/>
      <c r="CJ1593" s="68"/>
      <c r="CK1593" s="68"/>
      <c r="CL1593" s="68"/>
      <c r="CM1593" s="68"/>
      <c r="CN1593" s="68"/>
      <c r="CO1593" s="68"/>
      <c r="CP1593" s="68"/>
    </row>
    <row r="1594" ht="15.75" customHeight="1">
      <c r="A1594" s="48" t="s">
        <v>7450</v>
      </c>
      <c r="B1594" s="69"/>
      <c r="C1594" s="69" t="s">
        <v>132</v>
      </c>
      <c r="D1594" s="385"/>
      <c r="E1594" s="192" t="s">
        <v>7451</v>
      </c>
      <c r="F1594" s="118" t="s">
        <v>7452</v>
      </c>
      <c r="G1594" s="71" t="s">
        <v>7453</v>
      </c>
      <c r="H1594" s="71" t="s">
        <v>365</v>
      </c>
      <c r="I1594" s="26" t="s">
        <v>65</v>
      </c>
      <c r="J1594" s="72" t="s">
        <v>7454</v>
      </c>
      <c r="K1594" s="26">
        <v>2.0</v>
      </c>
      <c r="L1594" s="26">
        <v>2010.0</v>
      </c>
      <c r="M1594" s="25">
        <f t="shared" si="789"/>
        <v>15</v>
      </c>
      <c r="N1594" s="26">
        <f t="shared" si="790"/>
        <v>0</v>
      </c>
      <c r="O1594" s="27" t="str">
        <f t="shared" si="3"/>
        <v>#N/A</v>
      </c>
      <c r="P1594" s="28"/>
      <c r="Q1594" s="28"/>
      <c r="R1594" s="28"/>
      <c r="S1594" s="28"/>
      <c r="T1594" s="29">
        <f t="shared" si="791"/>
        <v>0</v>
      </c>
      <c r="U1594" s="28"/>
      <c r="V1594" s="30">
        <f t="shared" si="425"/>
        <v>0</v>
      </c>
      <c r="W1594" s="30"/>
      <c r="X1594" s="73"/>
      <c r="Y1594" s="33" t="str">
        <f t="shared" si="792"/>
        <v>#DIV/0!</v>
      </c>
      <c r="Z1594" s="692"/>
      <c r="AA1594" s="665"/>
      <c r="AB1594" s="74"/>
      <c r="AC1594" s="74"/>
      <c r="AD1594" s="79"/>
      <c r="AE1594" s="84"/>
      <c r="AF1594" s="338"/>
      <c r="AG1594" s="76"/>
      <c r="AH1594" s="74"/>
      <c r="AI1594" s="78"/>
      <c r="AJ1594" s="79"/>
      <c r="AK1594" s="84"/>
      <c r="AL1594" s="79"/>
      <c r="AM1594" s="84"/>
      <c r="AN1594" s="79"/>
      <c r="AO1594" s="84"/>
      <c r="AP1594" s="79"/>
      <c r="AQ1594" s="84"/>
      <c r="AR1594" s="79"/>
      <c r="AS1594" s="79"/>
      <c r="AT1594" s="79"/>
      <c r="AU1594" s="80"/>
      <c r="AV1594" s="79"/>
      <c r="AW1594" s="38"/>
      <c r="AX1594" s="79"/>
      <c r="AY1594" s="38"/>
      <c r="AZ1594" s="79"/>
      <c r="BA1594" s="80"/>
      <c r="BB1594" s="79"/>
      <c r="BC1594" s="80"/>
      <c r="BD1594" s="79"/>
      <c r="BE1594" s="38"/>
      <c r="BF1594" s="74"/>
      <c r="BG1594" s="115"/>
      <c r="BH1594" s="115"/>
      <c r="BI1594" s="115"/>
      <c r="BJ1594" s="115"/>
      <c r="BK1594" s="115"/>
      <c r="BL1594" s="115"/>
      <c r="BM1594" s="115"/>
      <c r="BN1594" s="115"/>
      <c r="BO1594" s="115"/>
      <c r="BP1594" s="115"/>
      <c r="BQ1594" s="115"/>
      <c r="BR1594" s="115"/>
      <c r="BS1594" s="115"/>
      <c r="BT1594" s="115"/>
      <c r="BU1594" s="115"/>
      <c r="BV1594" s="115"/>
      <c r="BW1594" s="115"/>
      <c r="BX1594" s="115"/>
      <c r="BY1594" s="115"/>
      <c r="BZ1594" s="115"/>
      <c r="CA1594" s="115"/>
      <c r="CB1594" s="115"/>
      <c r="CC1594" s="115"/>
      <c r="CD1594" s="115"/>
      <c r="CE1594" s="115"/>
      <c r="CF1594" s="115"/>
      <c r="CG1594" s="115"/>
      <c r="CH1594" s="115"/>
      <c r="CI1594" s="115"/>
      <c r="CJ1594" s="115"/>
      <c r="CK1594" s="115"/>
      <c r="CL1594" s="115"/>
      <c r="CM1594" s="115"/>
      <c r="CN1594" s="115"/>
      <c r="CO1594" s="115"/>
      <c r="CP1594" s="115"/>
    </row>
    <row r="1595" ht="15.75" customHeight="1">
      <c r="A1595" s="892" t="s">
        <v>7455</v>
      </c>
      <c r="B1595" s="69"/>
      <c r="C1595" s="69" t="s">
        <v>132</v>
      </c>
      <c r="D1595" s="385"/>
      <c r="E1595" s="192" t="s">
        <v>7456</v>
      </c>
      <c r="F1595" s="756" t="s">
        <v>7457</v>
      </c>
      <c r="G1595" s="186"/>
      <c r="H1595" s="71" t="s">
        <v>7458</v>
      </c>
      <c r="I1595" s="26" t="s">
        <v>129</v>
      </c>
      <c r="J1595" s="155"/>
      <c r="K1595" s="74"/>
      <c r="L1595" s="26">
        <v>1991.0</v>
      </c>
      <c r="M1595" s="25">
        <f t="shared" si="789"/>
        <v>34</v>
      </c>
      <c r="N1595" s="26">
        <f t="shared" si="790"/>
        <v>0</v>
      </c>
      <c r="O1595" s="27" t="str">
        <f t="shared" si="3"/>
        <v>#N/A</v>
      </c>
      <c r="P1595" s="28"/>
      <c r="Q1595" s="28"/>
      <c r="R1595" s="28"/>
      <c r="S1595" s="28"/>
      <c r="T1595" s="29">
        <f t="shared" si="791"/>
        <v>0</v>
      </c>
      <c r="U1595" s="28"/>
      <c r="V1595" s="30">
        <f t="shared" si="425"/>
        <v>0</v>
      </c>
      <c r="W1595" s="30"/>
      <c r="X1595" s="32"/>
      <c r="Y1595" s="33" t="str">
        <f t="shared" si="792"/>
        <v>#DIV/0!</v>
      </c>
      <c r="Z1595" s="692"/>
      <c r="AA1595" s="665"/>
      <c r="AB1595" s="74"/>
      <c r="AC1595" s="74"/>
      <c r="AD1595" s="79"/>
      <c r="AE1595" s="84"/>
      <c r="AF1595" s="338"/>
      <c r="AG1595" s="76"/>
      <c r="AH1595" s="74"/>
      <c r="AI1595" s="78"/>
      <c r="AJ1595" s="79"/>
      <c r="AK1595" s="84"/>
      <c r="AL1595" s="79"/>
      <c r="AM1595" s="84"/>
      <c r="AN1595" s="79"/>
      <c r="AO1595" s="84"/>
      <c r="AP1595" s="79"/>
      <c r="AQ1595" s="84"/>
      <c r="AR1595" s="79"/>
      <c r="AS1595" s="79"/>
      <c r="AT1595" s="79"/>
      <c r="AU1595" s="80"/>
      <c r="AV1595" s="79"/>
      <c r="AW1595" s="38"/>
      <c r="AX1595" s="79"/>
      <c r="AY1595" s="38"/>
      <c r="AZ1595" s="79"/>
      <c r="BA1595" s="80"/>
      <c r="BB1595" s="79"/>
      <c r="BC1595" s="80"/>
      <c r="BD1595" s="79"/>
      <c r="BE1595" s="38"/>
      <c r="BF1595" s="74"/>
      <c r="BG1595" s="68"/>
      <c r="BH1595" s="68"/>
      <c r="BI1595" s="68"/>
      <c r="BJ1595" s="68"/>
      <c r="BK1595" s="68"/>
      <c r="BL1595" s="68"/>
      <c r="BM1595" s="68"/>
      <c r="BN1595" s="68"/>
      <c r="BO1595" s="68"/>
      <c r="BP1595" s="68"/>
      <c r="BQ1595" s="68"/>
      <c r="BR1595" s="68"/>
      <c r="BS1595" s="68"/>
      <c r="BT1595" s="68"/>
      <c r="BU1595" s="68"/>
      <c r="BV1595" s="68"/>
      <c r="BW1595" s="68"/>
      <c r="BX1595" s="68"/>
      <c r="BY1595" s="68"/>
      <c r="BZ1595" s="68"/>
      <c r="CA1595" s="68"/>
      <c r="CB1595" s="68"/>
      <c r="CC1595" s="68"/>
      <c r="CD1595" s="68"/>
      <c r="CE1595" s="68"/>
      <c r="CF1595" s="68"/>
      <c r="CG1595" s="68"/>
      <c r="CH1595" s="68"/>
      <c r="CI1595" s="68"/>
      <c r="CJ1595" s="68"/>
      <c r="CK1595" s="68"/>
      <c r="CL1595" s="68"/>
      <c r="CM1595" s="68"/>
      <c r="CN1595" s="68"/>
      <c r="CO1595" s="68"/>
      <c r="CP1595" s="68"/>
    </row>
    <row r="1596" ht="15.75" customHeight="1">
      <c r="A1596" s="48" t="s">
        <v>7459</v>
      </c>
      <c r="B1596" s="69" t="s">
        <v>68</v>
      </c>
      <c r="C1596" s="69" t="s">
        <v>7460</v>
      </c>
      <c r="D1596" s="385"/>
      <c r="E1596" s="48"/>
      <c r="F1596" s="756" t="s">
        <v>7461</v>
      </c>
      <c r="G1596" s="186"/>
      <c r="H1596" s="71" t="s">
        <v>357</v>
      </c>
      <c r="I1596" s="26" t="s">
        <v>358</v>
      </c>
      <c r="J1596" s="155"/>
      <c r="K1596" s="74"/>
      <c r="L1596" s="26"/>
      <c r="M1596" s="25">
        <f t="shared" si="789"/>
        <v>2025</v>
      </c>
      <c r="N1596" s="26">
        <f t="shared" si="790"/>
        <v>0</v>
      </c>
      <c r="O1596" s="27" t="str">
        <f t="shared" si="3"/>
        <v>#N/A</v>
      </c>
      <c r="P1596" s="28"/>
      <c r="Q1596" s="28"/>
      <c r="R1596" s="28"/>
      <c r="S1596" s="28"/>
      <c r="T1596" s="29">
        <f t="shared" si="791"/>
        <v>0</v>
      </c>
      <c r="U1596" s="28"/>
      <c r="V1596" s="30">
        <f t="shared" si="425"/>
        <v>0</v>
      </c>
      <c r="W1596" s="30"/>
      <c r="X1596" s="32"/>
      <c r="Y1596" s="33" t="str">
        <f t="shared" si="792"/>
        <v>#DIV/0!</v>
      </c>
      <c r="Z1596" s="692"/>
      <c r="AA1596" s="665"/>
      <c r="AB1596" s="74"/>
      <c r="AC1596" s="74"/>
      <c r="AD1596" s="79"/>
      <c r="AE1596" s="84"/>
      <c r="AF1596" s="338"/>
      <c r="AG1596" s="76"/>
      <c r="AH1596" s="74"/>
      <c r="AI1596" s="78"/>
      <c r="AJ1596" s="79"/>
      <c r="AK1596" s="84"/>
      <c r="AL1596" s="79"/>
      <c r="AM1596" s="84"/>
      <c r="AN1596" s="79"/>
      <c r="AO1596" s="84"/>
      <c r="AP1596" s="79"/>
      <c r="AQ1596" s="84"/>
      <c r="AR1596" s="79"/>
      <c r="AS1596" s="79"/>
      <c r="AT1596" s="79"/>
      <c r="AU1596" s="80"/>
      <c r="AV1596" s="79"/>
      <c r="AW1596" s="38"/>
      <c r="AX1596" s="79"/>
      <c r="AY1596" s="38"/>
      <c r="AZ1596" s="79"/>
      <c r="BA1596" s="80"/>
      <c r="BB1596" s="79"/>
      <c r="BC1596" s="80"/>
      <c r="BD1596" s="79"/>
      <c r="BE1596" s="38"/>
      <c r="BF1596" s="74"/>
      <c r="BG1596" s="760"/>
      <c r="BH1596" s="760"/>
      <c r="BI1596" s="760"/>
      <c r="BJ1596" s="760"/>
      <c r="BK1596" s="760"/>
      <c r="BL1596" s="760"/>
      <c r="BM1596" s="760"/>
      <c r="BN1596" s="760"/>
      <c r="BO1596" s="760"/>
      <c r="BP1596" s="760"/>
      <c r="BQ1596" s="760"/>
      <c r="BR1596" s="760"/>
      <c r="BS1596" s="760"/>
      <c r="BT1596" s="760"/>
      <c r="BU1596" s="760"/>
      <c r="BV1596" s="760"/>
      <c r="BW1596" s="760"/>
      <c r="BX1596" s="760"/>
      <c r="BY1596" s="760"/>
      <c r="BZ1596" s="760"/>
      <c r="CA1596" s="760"/>
      <c r="CB1596" s="760"/>
      <c r="CC1596" s="760"/>
      <c r="CD1596" s="760"/>
      <c r="CE1596" s="760"/>
      <c r="CF1596" s="760"/>
      <c r="CG1596" s="760"/>
      <c r="CH1596" s="760"/>
      <c r="CI1596" s="760"/>
      <c r="CJ1596" s="760"/>
      <c r="CK1596" s="760"/>
      <c r="CL1596" s="760"/>
      <c r="CM1596" s="760"/>
      <c r="CN1596" s="760"/>
      <c r="CO1596" s="760"/>
      <c r="CP1596" s="760"/>
    </row>
    <row r="1597" ht="15.75" customHeight="1">
      <c r="A1597" s="442" t="s">
        <v>7462</v>
      </c>
      <c r="B1597" s="68" t="s">
        <v>301</v>
      </c>
      <c r="C1597" s="69" t="s">
        <v>267</v>
      </c>
      <c r="D1597" s="337"/>
      <c r="E1597" s="184" t="s">
        <v>7463</v>
      </c>
      <c r="F1597" s="185" t="s">
        <v>7464</v>
      </c>
      <c r="G1597" s="186" t="s">
        <v>7465</v>
      </c>
      <c r="H1597" s="186" t="s">
        <v>7466</v>
      </c>
      <c r="I1597" s="74" t="s">
        <v>358</v>
      </c>
      <c r="J1597" s="155" t="s">
        <v>7467</v>
      </c>
      <c r="K1597" s="74" t="s">
        <v>723</v>
      </c>
      <c r="L1597" s="26">
        <v>1986.0</v>
      </c>
      <c r="M1597" s="25">
        <f t="shared" si="789"/>
        <v>39</v>
      </c>
      <c r="N1597" s="26">
        <f t="shared" si="790"/>
        <v>0</v>
      </c>
      <c r="O1597" s="27" t="str">
        <f t="shared" si="3"/>
        <v>#N/A</v>
      </c>
      <c r="P1597" s="28"/>
      <c r="Q1597" s="28"/>
      <c r="R1597" s="28"/>
      <c r="S1597" s="28"/>
      <c r="T1597" s="29">
        <f t="shared" si="791"/>
        <v>0</v>
      </c>
      <c r="U1597" s="28"/>
      <c r="V1597" s="30">
        <f t="shared" si="425"/>
        <v>0</v>
      </c>
      <c r="W1597" s="30"/>
      <c r="X1597" s="32"/>
      <c r="Y1597" s="33" t="str">
        <f t="shared" si="792"/>
        <v>#DIV/0!</v>
      </c>
      <c r="Z1597" s="692"/>
      <c r="AA1597" s="665"/>
      <c r="AB1597" s="74"/>
      <c r="AC1597" s="74"/>
      <c r="AD1597" s="79"/>
      <c r="AE1597" s="84"/>
      <c r="AF1597" s="338"/>
      <c r="AG1597" s="84"/>
      <c r="AH1597" s="74"/>
      <c r="AI1597" s="78"/>
      <c r="AJ1597" s="79"/>
      <c r="AK1597" s="84"/>
      <c r="AL1597" s="79"/>
      <c r="AM1597" s="807"/>
      <c r="AN1597" s="79"/>
      <c r="AO1597" s="84"/>
      <c r="AP1597" s="79"/>
      <c r="AQ1597" s="84"/>
      <c r="AR1597" s="79"/>
      <c r="AS1597" s="79"/>
      <c r="AT1597" s="79"/>
      <c r="AU1597" s="80"/>
      <c r="AV1597" s="79"/>
      <c r="AW1597" s="38"/>
      <c r="AX1597" s="79"/>
      <c r="AY1597" s="38"/>
      <c r="AZ1597" s="79"/>
      <c r="BA1597" s="80"/>
      <c r="BB1597" s="79"/>
      <c r="BC1597" s="80"/>
      <c r="BD1597" s="79"/>
      <c r="BE1597" s="38"/>
      <c r="BF1597" s="74"/>
      <c r="BG1597" s="68"/>
      <c r="BH1597" s="68"/>
      <c r="BI1597" s="68"/>
      <c r="BJ1597" s="68"/>
      <c r="BK1597" s="68"/>
      <c r="BL1597" s="68"/>
      <c r="BM1597" s="68"/>
      <c r="BN1597" s="68"/>
      <c r="BO1597" s="68"/>
      <c r="BP1597" s="68"/>
      <c r="BQ1597" s="68"/>
      <c r="BR1597" s="68"/>
      <c r="BS1597" s="68"/>
      <c r="BT1597" s="68"/>
      <c r="BU1597" s="68"/>
      <c r="BV1597" s="68"/>
      <c r="BW1597" s="68"/>
      <c r="BX1597" s="68"/>
      <c r="BY1597" s="68"/>
      <c r="BZ1597" s="68"/>
      <c r="CA1597" s="68"/>
      <c r="CB1597" s="68"/>
      <c r="CC1597" s="68"/>
      <c r="CD1597" s="68"/>
      <c r="CE1597" s="68"/>
      <c r="CF1597" s="68"/>
      <c r="CG1597" s="68"/>
      <c r="CH1597" s="68"/>
      <c r="CI1597" s="68"/>
      <c r="CJ1597" s="68"/>
      <c r="CK1597" s="68"/>
      <c r="CL1597" s="68"/>
      <c r="CM1597" s="68"/>
      <c r="CN1597" s="68"/>
      <c r="CO1597" s="68"/>
      <c r="CP1597" s="68"/>
    </row>
    <row r="1598" ht="15.75" customHeight="1">
      <c r="A1598" s="860" t="s">
        <v>7468</v>
      </c>
      <c r="B1598" s="68"/>
      <c r="C1598" s="69" t="s">
        <v>7469</v>
      </c>
      <c r="D1598" s="48"/>
      <c r="E1598" s="192" t="s">
        <v>7470</v>
      </c>
      <c r="F1598" s="386" t="s">
        <v>7471</v>
      </c>
      <c r="G1598" s="186"/>
      <c r="H1598" s="71" t="s">
        <v>3056</v>
      </c>
      <c r="I1598" s="26" t="s">
        <v>2640</v>
      </c>
      <c r="J1598" s="155"/>
      <c r="K1598" s="26"/>
      <c r="L1598" s="26">
        <v>1999.0</v>
      </c>
      <c r="M1598" s="25">
        <f t="shared" si="789"/>
        <v>26</v>
      </c>
      <c r="N1598" s="26">
        <f t="shared" si="790"/>
        <v>0</v>
      </c>
      <c r="O1598" s="27" t="str">
        <f t="shared" si="3"/>
        <v>#N/A</v>
      </c>
      <c r="P1598" s="28"/>
      <c r="Q1598" s="28"/>
      <c r="R1598" s="28"/>
      <c r="S1598" s="28"/>
      <c r="T1598" s="29">
        <f t="shared" si="791"/>
        <v>0</v>
      </c>
      <c r="U1598" s="28"/>
      <c r="V1598" s="30">
        <f t="shared" si="425"/>
        <v>0</v>
      </c>
      <c r="W1598" s="30"/>
      <c r="X1598" s="73"/>
      <c r="Y1598" s="33" t="str">
        <f t="shared" si="792"/>
        <v>#DIV/0!</v>
      </c>
      <c r="Z1598" s="692"/>
      <c r="AA1598" s="665"/>
      <c r="AB1598" s="74"/>
      <c r="AC1598" s="74"/>
      <c r="AD1598" s="79"/>
      <c r="AE1598" s="84"/>
      <c r="AF1598" s="338"/>
      <c r="AG1598" s="84"/>
      <c r="AH1598" s="74"/>
      <c r="AI1598" s="78"/>
      <c r="AJ1598" s="1759"/>
      <c r="AK1598" s="76"/>
      <c r="AL1598" s="79"/>
      <c r="AM1598" s="84"/>
      <c r="AN1598" s="79"/>
      <c r="AO1598" s="84"/>
      <c r="AP1598" s="79"/>
      <c r="AQ1598" s="84"/>
      <c r="AR1598" s="79"/>
      <c r="AS1598" s="79"/>
      <c r="AT1598" s="79"/>
      <c r="AU1598" s="80"/>
      <c r="AV1598" s="79"/>
      <c r="AW1598" s="38"/>
      <c r="AX1598" s="79"/>
      <c r="AY1598" s="38"/>
      <c r="AZ1598" s="79"/>
      <c r="BA1598" s="80"/>
      <c r="BB1598" s="79"/>
      <c r="BC1598" s="80"/>
      <c r="BD1598" s="79"/>
      <c r="BE1598" s="38"/>
      <c r="BF1598" s="74"/>
      <c r="BG1598" s="760"/>
      <c r="BH1598" s="760"/>
      <c r="BI1598" s="760"/>
      <c r="BJ1598" s="760"/>
      <c r="BK1598" s="760"/>
      <c r="BL1598" s="760"/>
      <c r="BM1598" s="760"/>
      <c r="BN1598" s="760"/>
      <c r="BO1598" s="760"/>
      <c r="BP1598" s="760"/>
      <c r="BQ1598" s="760"/>
      <c r="BR1598" s="760"/>
      <c r="BS1598" s="760"/>
      <c r="BT1598" s="760"/>
      <c r="BU1598" s="760"/>
      <c r="BV1598" s="760"/>
      <c r="BW1598" s="760"/>
      <c r="BX1598" s="760"/>
      <c r="BY1598" s="760"/>
      <c r="BZ1598" s="760"/>
      <c r="CA1598" s="760"/>
      <c r="CB1598" s="760"/>
      <c r="CC1598" s="760"/>
      <c r="CD1598" s="760"/>
      <c r="CE1598" s="760"/>
      <c r="CF1598" s="760"/>
      <c r="CG1598" s="760"/>
      <c r="CH1598" s="760"/>
      <c r="CI1598" s="760"/>
      <c r="CJ1598" s="760"/>
      <c r="CK1598" s="760"/>
      <c r="CL1598" s="760"/>
      <c r="CM1598" s="760"/>
      <c r="CN1598" s="760"/>
      <c r="CO1598" s="760"/>
      <c r="CP1598" s="760"/>
    </row>
    <row r="1599" ht="15.75" customHeight="1">
      <c r="A1599" s="866" t="s">
        <v>7472</v>
      </c>
      <c r="B1599" s="68"/>
      <c r="C1599" s="68"/>
      <c r="D1599" s="192" t="s">
        <v>7473</v>
      </c>
      <c r="E1599" s="192" t="s">
        <v>7474</v>
      </c>
      <c r="F1599" s="118" t="s">
        <v>7475</v>
      </c>
      <c r="G1599" s="186"/>
      <c r="H1599" s="71" t="s">
        <v>6210</v>
      </c>
      <c r="I1599" s="26" t="s">
        <v>257</v>
      </c>
      <c r="J1599" s="155"/>
      <c r="K1599" s="26"/>
      <c r="L1599" s="26">
        <v>2007.0</v>
      </c>
      <c r="M1599" s="25">
        <f t="shared" si="789"/>
        <v>18</v>
      </c>
      <c r="N1599" s="26">
        <f t="shared" si="790"/>
        <v>0</v>
      </c>
      <c r="O1599" s="27" t="str">
        <f t="shared" si="3"/>
        <v>#N/A</v>
      </c>
      <c r="P1599" s="28"/>
      <c r="Q1599" s="28"/>
      <c r="R1599" s="28"/>
      <c r="S1599" s="28"/>
      <c r="T1599" s="29">
        <f t="shared" si="791"/>
        <v>0</v>
      </c>
      <c r="U1599" s="28"/>
      <c r="V1599" s="30">
        <f t="shared" si="425"/>
        <v>0</v>
      </c>
      <c r="W1599" s="30"/>
      <c r="X1599" s="73"/>
      <c r="Y1599" s="33" t="str">
        <f t="shared" si="792"/>
        <v>#DIV/0!</v>
      </c>
      <c r="Z1599" s="692"/>
      <c r="AA1599" s="665"/>
      <c r="AB1599" s="74"/>
      <c r="AC1599" s="74"/>
      <c r="AD1599" s="79"/>
      <c r="AE1599" s="84"/>
      <c r="AF1599" s="338"/>
      <c r="AG1599" s="84"/>
      <c r="AH1599" s="74"/>
      <c r="AI1599" s="78"/>
      <c r="AJ1599" s="79"/>
      <c r="AK1599" s="84"/>
      <c r="AL1599" s="79"/>
      <c r="AM1599" s="84"/>
      <c r="AN1599" s="79"/>
      <c r="AO1599" s="84"/>
      <c r="AP1599" s="79"/>
      <c r="AQ1599" s="84"/>
      <c r="AR1599" s="79"/>
      <c r="AS1599" s="79"/>
      <c r="AT1599" s="79"/>
      <c r="AU1599" s="80"/>
      <c r="AV1599" s="79"/>
      <c r="AW1599" s="38"/>
      <c r="AX1599" s="79"/>
      <c r="AY1599" s="38"/>
      <c r="AZ1599" s="79"/>
      <c r="BA1599" s="80"/>
      <c r="BB1599" s="79"/>
      <c r="BC1599" s="80"/>
      <c r="BD1599" s="79"/>
      <c r="BE1599" s="38"/>
      <c r="BF1599" s="74"/>
      <c r="BG1599" s="68"/>
      <c r="BH1599" s="68"/>
      <c r="BI1599" s="68"/>
      <c r="BJ1599" s="68"/>
      <c r="BK1599" s="68"/>
      <c r="BL1599" s="68"/>
      <c r="BM1599" s="68"/>
      <c r="BN1599" s="68"/>
      <c r="BO1599" s="68"/>
      <c r="BP1599" s="68"/>
      <c r="BQ1599" s="68"/>
      <c r="BR1599" s="68"/>
      <c r="BS1599" s="68"/>
      <c r="BT1599" s="68"/>
      <c r="BU1599" s="68"/>
      <c r="BV1599" s="68"/>
      <c r="BW1599" s="68"/>
      <c r="BX1599" s="68"/>
      <c r="BY1599" s="68"/>
      <c r="BZ1599" s="68"/>
      <c r="CA1599" s="68"/>
      <c r="CB1599" s="68"/>
      <c r="CC1599" s="68"/>
      <c r="CD1599" s="68"/>
      <c r="CE1599" s="68"/>
      <c r="CF1599" s="68"/>
      <c r="CG1599" s="68"/>
      <c r="CH1599" s="68"/>
      <c r="CI1599" s="68"/>
      <c r="CJ1599" s="68"/>
      <c r="CK1599" s="68"/>
      <c r="CL1599" s="68"/>
      <c r="CM1599" s="68"/>
      <c r="CN1599" s="68"/>
      <c r="CO1599" s="68"/>
      <c r="CP1599" s="68"/>
    </row>
    <row r="1600" ht="15.75" customHeight="1">
      <c r="A1600" s="21" t="s">
        <v>7476</v>
      </c>
      <c r="B1600" s="68"/>
      <c r="C1600" s="69" t="s">
        <v>190</v>
      </c>
      <c r="D1600" s="192" t="s">
        <v>7477</v>
      </c>
      <c r="E1600" s="192" t="s">
        <v>7478</v>
      </c>
      <c r="F1600" s="118" t="s">
        <v>7479</v>
      </c>
      <c r="G1600" s="186"/>
      <c r="H1600" s="71" t="s">
        <v>1472</v>
      </c>
      <c r="I1600" s="26" t="s">
        <v>639</v>
      </c>
      <c r="J1600" s="155"/>
      <c r="K1600" s="26"/>
      <c r="L1600" s="26">
        <v>2015.0</v>
      </c>
      <c r="M1600" s="25">
        <f t="shared" si="789"/>
        <v>10</v>
      </c>
      <c r="N1600" s="26">
        <f t="shared" si="790"/>
        <v>0</v>
      </c>
      <c r="O1600" s="27" t="str">
        <f t="shared" si="3"/>
        <v>#N/A</v>
      </c>
      <c r="P1600" s="28"/>
      <c r="Q1600" s="28"/>
      <c r="R1600" s="28"/>
      <c r="S1600" s="28"/>
      <c r="T1600" s="29">
        <f t="shared" si="791"/>
        <v>0</v>
      </c>
      <c r="U1600" s="28"/>
      <c r="V1600" s="30">
        <f t="shared" si="425"/>
        <v>0</v>
      </c>
      <c r="W1600" s="30"/>
      <c r="X1600" s="73"/>
      <c r="Y1600" s="33" t="str">
        <f t="shared" si="792"/>
        <v>#DIV/0!</v>
      </c>
      <c r="Z1600" s="692"/>
      <c r="AA1600" s="665"/>
      <c r="AB1600" s="74"/>
      <c r="AC1600" s="74"/>
      <c r="AD1600" s="79"/>
      <c r="AE1600" s="84"/>
      <c r="AF1600" s="338"/>
      <c r="AG1600" s="84"/>
      <c r="AH1600" s="74"/>
      <c r="AI1600" s="78"/>
      <c r="AJ1600" s="79"/>
      <c r="AK1600" s="84"/>
      <c r="AL1600" s="79"/>
      <c r="AM1600" s="84"/>
      <c r="AN1600" s="79"/>
      <c r="AO1600" s="84"/>
      <c r="AP1600" s="79"/>
      <c r="AQ1600" s="84"/>
      <c r="AR1600" s="79"/>
      <c r="AS1600" s="79"/>
      <c r="AT1600" s="79"/>
      <c r="AU1600" s="80"/>
      <c r="AV1600" s="79"/>
      <c r="AW1600" s="38"/>
      <c r="AX1600" s="79"/>
      <c r="AY1600" s="38"/>
      <c r="AZ1600" s="79"/>
      <c r="BA1600" s="80"/>
      <c r="BB1600" s="79"/>
      <c r="BC1600" s="80"/>
      <c r="BD1600" s="79"/>
      <c r="BE1600" s="38"/>
      <c r="BF1600" s="74"/>
      <c r="BG1600" s="68"/>
      <c r="BH1600" s="68"/>
      <c r="BI1600" s="68"/>
      <c r="BJ1600" s="68"/>
      <c r="BK1600" s="68"/>
      <c r="BL1600" s="68"/>
      <c r="BM1600" s="68"/>
      <c r="BN1600" s="68"/>
      <c r="BO1600" s="68"/>
      <c r="BP1600" s="68"/>
      <c r="BQ1600" s="68"/>
      <c r="BR1600" s="68"/>
      <c r="BS1600" s="68"/>
      <c r="BT1600" s="68"/>
      <c r="BU1600" s="68"/>
      <c r="BV1600" s="68"/>
      <c r="BW1600" s="68"/>
      <c r="BX1600" s="68"/>
      <c r="BY1600" s="68"/>
      <c r="BZ1600" s="68"/>
      <c r="CA1600" s="68"/>
      <c r="CB1600" s="68"/>
      <c r="CC1600" s="68"/>
      <c r="CD1600" s="68"/>
      <c r="CE1600" s="68"/>
      <c r="CF1600" s="68"/>
      <c r="CG1600" s="68"/>
      <c r="CH1600" s="68"/>
      <c r="CI1600" s="68"/>
      <c r="CJ1600" s="68"/>
      <c r="CK1600" s="68"/>
      <c r="CL1600" s="68"/>
      <c r="CM1600" s="68"/>
      <c r="CN1600" s="68"/>
      <c r="CO1600" s="68"/>
      <c r="CP1600" s="68"/>
    </row>
    <row r="1601" ht="15.75" customHeight="1">
      <c r="A1601" s="860" t="s">
        <v>7480</v>
      </c>
      <c r="B1601" s="68"/>
      <c r="C1601" s="69" t="s">
        <v>123</v>
      </c>
      <c r="D1601" s="192" t="s">
        <v>7481</v>
      </c>
      <c r="E1601" s="192" t="s">
        <v>7482</v>
      </c>
      <c r="F1601" s="118" t="s">
        <v>7483</v>
      </c>
      <c r="G1601" s="186"/>
      <c r="H1601" s="71" t="s">
        <v>357</v>
      </c>
      <c r="I1601" s="26" t="s">
        <v>518</v>
      </c>
      <c r="J1601" s="155"/>
      <c r="K1601" s="26"/>
      <c r="L1601" s="26">
        <v>2012.0</v>
      </c>
      <c r="M1601" s="25">
        <f t="shared" si="789"/>
        <v>13</v>
      </c>
      <c r="N1601" s="26">
        <f t="shared" si="790"/>
        <v>0</v>
      </c>
      <c r="O1601" s="27" t="str">
        <f t="shared" si="3"/>
        <v>#N/A</v>
      </c>
      <c r="P1601" s="28"/>
      <c r="Q1601" s="28"/>
      <c r="R1601" s="28"/>
      <c r="S1601" s="28"/>
      <c r="T1601" s="29">
        <f t="shared" si="791"/>
        <v>0</v>
      </c>
      <c r="U1601" s="28"/>
      <c r="V1601" s="30">
        <f t="shared" si="425"/>
        <v>0</v>
      </c>
      <c r="W1601" s="30"/>
      <c r="X1601" s="73"/>
      <c r="Y1601" s="33" t="str">
        <f t="shared" si="792"/>
        <v>#DIV/0!</v>
      </c>
      <c r="Z1601" s="692"/>
      <c r="AA1601" s="665"/>
      <c r="AB1601" s="74"/>
      <c r="AC1601" s="74"/>
      <c r="AD1601" s="79"/>
      <c r="AE1601" s="84"/>
      <c r="AF1601" s="338"/>
      <c r="AG1601" s="84"/>
      <c r="AH1601" s="74"/>
      <c r="AI1601" s="78"/>
      <c r="AJ1601" s="79"/>
      <c r="AK1601" s="84"/>
      <c r="AL1601" s="79"/>
      <c r="AM1601" s="84"/>
      <c r="AN1601" s="79"/>
      <c r="AO1601" s="84"/>
      <c r="AP1601" s="79"/>
      <c r="AQ1601" s="84"/>
      <c r="AR1601" s="79"/>
      <c r="AS1601" s="79"/>
      <c r="AT1601" s="79"/>
      <c r="AU1601" s="80"/>
      <c r="AV1601" s="79"/>
      <c r="AW1601" s="38"/>
      <c r="AX1601" s="79"/>
      <c r="AY1601" s="38"/>
      <c r="AZ1601" s="79"/>
      <c r="BA1601" s="80"/>
      <c r="BB1601" s="79"/>
      <c r="BC1601" s="80"/>
      <c r="BD1601" s="79"/>
      <c r="BE1601" s="38"/>
      <c r="BF1601" s="74"/>
      <c r="BG1601" s="68"/>
      <c r="BH1601" s="68"/>
      <c r="BI1601" s="68"/>
      <c r="BJ1601" s="68"/>
      <c r="BK1601" s="68"/>
      <c r="BL1601" s="68"/>
      <c r="BM1601" s="68"/>
      <c r="BN1601" s="68"/>
      <c r="BO1601" s="68"/>
      <c r="BP1601" s="68"/>
      <c r="BQ1601" s="68"/>
      <c r="BR1601" s="68"/>
      <c r="BS1601" s="68"/>
      <c r="BT1601" s="68"/>
      <c r="BU1601" s="68"/>
      <c r="BV1601" s="68"/>
      <c r="BW1601" s="68"/>
      <c r="BX1601" s="68"/>
      <c r="BY1601" s="68"/>
      <c r="BZ1601" s="68"/>
      <c r="CA1601" s="68"/>
      <c r="CB1601" s="68"/>
      <c r="CC1601" s="68"/>
      <c r="CD1601" s="68"/>
      <c r="CE1601" s="68"/>
      <c r="CF1601" s="68"/>
      <c r="CG1601" s="68"/>
      <c r="CH1601" s="68"/>
      <c r="CI1601" s="68"/>
      <c r="CJ1601" s="68"/>
      <c r="CK1601" s="68"/>
      <c r="CL1601" s="68"/>
      <c r="CM1601" s="68"/>
      <c r="CN1601" s="68"/>
      <c r="CO1601" s="68"/>
      <c r="CP1601" s="68"/>
    </row>
    <row r="1602" ht="15.75" customHeight="1">
      <c r="A1602" s="21" t="s">
        <v>7484</v>
      </c>
      <c r="B1602" s="68"/>
      <c r="C1602" s="69" t="s">
        <v>7485</v>
      </c>
      <c r="D1602" s="192" t="s">
        <v>7486</v>
      </c>
      <c r="E1602" s="192" t="s">
        <v>7487</v>
      </c>
      <c r="F1602" s="118" t="s">
        <v>7488</v>
      </c>
      <c r="G1602" s="407" t="s">
        <v>7489</v>
      </c>
      <c r="H1602" s="71"/>
      <c r="I1602" s="26" t="s">
        <v>639</v>
      </c>
      <c r="J1602" s="514"/>
      <c r="K1602" s="26"/>
      <c r="L1602" s="26">
        <v>2013.0</v>
      </c>
      <c r="M1602" s="25">
        <f t="shared" si="789"/>
        <v>12</v>
      </c>
      <c r="N1602" s="26">
        <f t="shared" si="790"/>
        <v>0</v>
      </c>
      <c r="O1602" s="27" t="str">
        <f t="shared" si="3"/>
        <v>#N/A</v>
      </c>
      <c r="P1602" s="28"/>
      <c r="Q1602" s="28"/>
      <c r="R1602" s="28"/>
      <c r="S1602" s="28"/>
      <c r="T1602" s="29">
        <f t="shared" si="791"/>
        <v>0</v>
      </c>
      <c r="U1602" s="28"/>
      <c r="V1602" s="30">
        <f t="shared" si="425"/>
        <v>0</v>
      </c>
      <c r="W1602" s="30"/>
      <c r="X1602" s="73"/>
      <c r="Y1602" s="33" t="str">
        <f t="shared" si="792"/>
        <v>#DIV/0!</v>
      </c>
      <c r="Z1602" s="692"/>
      <c r="AA1602" s="665"/>
      <c r="AB1602" s="74"/>
      <c r="AC1602" s="74"/>
      <c r="AD1602" s="79"/>
      <c r="AE1602" s="84"/>
      <c r="AF1602" s="338"/>
      <c r="AG1602" s="84"/>
      <c r="AH1602" s="74"/>
      <c r="AI1602" s="78"/>
      <c r="AJ1602" s="79"/>
      <c r="AK1602" s="84"/>
      <c r="AL1602" s="79"/>
      <c r="AM1602" s="84"/>
      <c r="AN1602" s="79"/>
      <c r="AO1602" s="84"/>
      <c r="AP1602" s="79"/>
      <c r="AQ1602" s="84"/>
      <c r="AR1602" s="79"/>
      <c r="AS1602" s="79"/>
      <c r="AT1602" s="79"/>
      <c r="AU1602" s="80"/>
      <c r="AV1602" s="79"/>
      <c r="AW1602" s="38"/>
      <c r="AX1602" s="79"/>
      <c r="AY1602" s="38"/>
      <c r="AZ1602" s="79"/>
      <c r="BA1602" s="80"/>
      <c r="BB1602" s="79"/>
      <c r="BC1602" s="80"/>
      <c r="BD1602" s="79"/>
      <c r="BE1602" s="38"/>
      <c r="BF1602" s="74"/>
      <c r="BG1602" s="68"/>
      <c r="BH1602" s="68"/>
      <c r="BI1602" s="68"/>
      <c r="BJ1602" s="68"/>
      <c r="BK1602" s="68"/>
      <c r="BL1602" s="68"/>
      <c r="BM1602" s="68"/>
      <c r="BN1602" s="68"/>
      <c r="BO1602" s="68"/>
      <c r="BP1602" s="68"/>
      <c r="BQ1602" s="68"/>
      <c r="BR1602" s="68"/>
      <c r="BS1602" s="68"/>
      <c r="BT1602" s="68"/>
      <c r="BU1602" s="68"/>
      <c r="BV1602" s="68"/>
      <c r="BW1602" s="68"/>
      <c r="BX1602" s="68"/>
      <c r="BY1602" s="68"/>
      <c r="BZ1602" s="68"/>
      <c r="CA1602" s="68"/>
      <c r="CB1602" s="68"/>
      <c r="CC1602" s="68"/>
      <c r="CD1602" s="68"/>
      <c r="CE1602" s="68"/>
      <c r="CF1602" s="68"/>
      <c r="CG1602" s="68"/>
      <c r="CH1602" s="68"/>
      <c r="CI1602" s="68"/>
      <c r="CJ1602" s="68"/>
      <c r="CK1602" s="68"/>
      <c r="CL1602" s="68"/>
      <c r="CM1602" s="68"/>
      <c r="CN1602" s="68"/>
      <c r="CO1602" s="68"/>
      <c r="CP1602" s="68"/>
    </row>
    <row r="1603" ht="15.75" customHeight="1">
      <c r="A1603" s="21" t="s">
        <v>7490</v>
      </c>
      <c r="B1603" s="69" t="s">
        <v>7491</v>
      </c>
      <c r="C1603" s="69" t="s">
        <v>427</v>
      </c>
      <c r="D1603" s="337"/>
      <c r="E1603" s="138" t="s">
        <v>7492</v>
      </c>
      <c r="F1603" s="173" t="s">
        <v>7493</v>
      </c>
      <c r="G1603" s="186"/>
      <c r="H1603" s="71" t="s">
        <v>826</v>
      </c>
      <c r="I1603" s="26" t="s">
        <v>65</v>
      </c>
      <c r="J1603" s="155"/>
      <c r="K1603" s="74" t="s">
        <v>723</v>
      </c>
      <c r="L1603" s="26">
        <v>2013.0</v>
      </c>
      <c r="M1603" s="25">
        <f t="shared" si="789"/>
        <v>12</v>
      </c>
      <c r="N1603" s="26">
        <f t="shared" si="790"/>
        <v>0</v>
      </c>
      <c r="O1603" s="27" t="str">
        <f t="shared" si="3"/>
        <v>#N/A</v>
      </c>
      <c r="P1603" s="28"/>
      <c r="Q1603" s="28"/>
      <c r="R1603" s="28"/>
      <c r="S1603" s="28"/>
      <c r="T1603" s="29">
        <f t="shared" si="791"/>
        <v>0</v>
      </c>
      <c r="U1603" s="28"/>
      <c r="V1603" s="30">
        <f t="shared" si="425"/>
        <v>0</v>
      </c>
      <c r="W1603" s="30"/>
      <c r="X1603" s="32"/>
      <c r="Y1603" s="33" t="str">
        <f t="shared" si="792"/>
        <v>#DIV/0!</v>
      </c>
      <c r="Z1603" s="692"/>
      <c r="AA1603" s="665"/>
      <c r="AB1603" s="74"/>
      <c r="AC1603" s="74"/>
      <c r="AD1603" s="79"/>
      <c r="AE1603" s="84"/>
      <c r="AF1603" s="338"/>
      <c r="AG1603" s="84"/>
      <c r="AH1603" s="74"/>
      <c r="AI1603" s="78"/>
      <c r="AJ1603" s="79"/>
      <c r="AK1603" s="84"/>
      <c r="AL1603" s="79"/>
      <c r="AM1603" s="84"/>
      <c r="AN1603" s="79"/>
      <c r="AO1603" s="84"/>
      <c r="AP1603" s="79"/>
      <c r="AQ1603" s="84"/>
      <c r="AR1603" s="79"/>
      <c r="AS1603" s="79"/>
      <c r="AT1603" s="79"/>
      <c r="AU1603" s="80"/>
      <c r="AV1603" s="79"/>
      <c r="AW1603" s="38"/>
      <c r="AX1603" s="79"/>
      <c r="AY1603" s="38"/>
      <c r="AZ1603" s="79"/>
      <c r="BA1603" s="80"/>
      <c r="BB1603" s="79"/>
      <c r="BC1603" s="80"/>
      <c r="BD1603" s="79"/>
      <c r="BE1603" s="38"/>
      <c r="BF1603" s="74"/>
      <c r="BG1603" s="68"/>
      <c r="BH1603" s="68"/>
      <c r="BI1603" s="68"/>
      <c r="BJ1603" s="68"/>
      <c r="BK1603" s="68"/>
      <c r="BL1603" s="68"/>
      <c r="BM1603" s="68"/>
      <c r="BN1603" s="68"/>
      <c r="BO1603" s="68"/>
      <c r="BP1603" s="68"/>
      <c r="BQ1603" s="68"/>
      <c r="BR1603" s="68"/>
      <c r="BS1603" s="68"/>
      <c r="BT1603" s="68"/>
      <c r="BU1603" s="68"/>
      <c r="BV1603" s="68"/>
      <c r="BW1603" s="68"/>
      <c r="BX1603" s="68"/>
      <c r="BY1603" s="68"/>
      <c r="BZ1603" s="68"/>
      <c r="CA1603" s="68"/>
      <c r="CB1603" s="68"/>
      <c r="CC1603" s="68"/>
      <c r="CD1603" s="68"/>
      <c r="CE1603" s="68"/>
      <c r="CF1603" s="68"/>
      <c r="CG1603" s="68"/>
      <c r="CH1603" s="68"/>
      <c r="CI1603" s="68"/>
      <c r="CJ1603" s="68"/>
      <c r="CK1603" s="68"/>
      <c r="CL1603" s="68"/>
      <c r="CM1603" s="68"/>
      <c r="CN1603" s="68"/>
      <c r="CO1603" s="68"/>
      <c r="CP1603" s="68"/>
    </row>
    <row r="1604" ht="15.75" customHeight="1">
      <c r="A1604" s="860" t="s">
        <v>7494</v>
      </c>
      <c r="B1604" s="68"/>
      <c r="C1604" s="69" t="s">
        <v>123</v>
      </c>
      <c r="D1604" s="192" t="s">
        <v>7495</v>
      </c>
      <c r="E1604" s="192" t="s">
        <v>7496</v>
      </c>
      <c r="F1604" s="118" t="s">
        <v>7497</v>
      </c>
      <c r="G1604" s="71"/>
      <c r="H1604" s="71" t="s">
        <v>839</v>
      </c>
      <c r="I1604" s="26" t="s">
        <v>115</v>
      </c>
      <c r="J1604" s="72"/>
      <c r="K1604" s="74"/>
      <c r="L1604" s="26">
        <v>2016.0</v>
      </c>
      <c r="M1604" s="25">
        <f t="shared" si="789"/>
        <v>9</v>
      </c>
      <c r="N1604" s="26">
        <f t="shared" si="790"/>
        <v>0</v>
      </c>
      <c r="O1604" s="27" t="str">
        <f t="shared" si="3"/>
        <v>#N/A</v>
      </c>
      <c r="P1604" s="28"/>
      <c r="Q1604" s="28"/>
      <c r="R1604" s="28"/>
      <c r="S1604" s="28"/>
      <c r="T1604" s="29">
        <f t="shared" si="791"/>
        <v>0</v>
      </c>
      <c r="U1604" s="28"/>
      <c r="V1604" s="30">
        <f t="shared" si="425"/>
        <v>0</v>
      </c>
      <c r="W1604" s="30"/>
      <c r="X1604" s="32"/>
      <c r="Y1604" s="33" t="str">
        <f t="shared" si="792"/>
        <v>#DIV/0!</v>
      </c>
      <c r="Z1604" s="692"/>
      <c r="AA1604" s="665"/>
      <c r="AB1604" s="74"/>
      <c r="AC1604" s="74"/>
      <c r="AD1604" s="279"/>
      <c r="AE1604" s="76"/>
      <c r="AF1604" s="338"/>
      <c r="AG1604" s="84"/>
      <c r="AH1604" s="74"/>
      <c r="AI1604" s="78"/>
      <c r="AJ1604" s="79"/>
      <c r="AK1604" s="84"/>
      <c r="AL1604" s="79"/>
      <c r="AM1604" s="84"/>
      <c r="AN1604" s="79"/>
      <c r="AO1604" s="84"/>
      <c r="AP1604" s="79"/>
      <c r="AQ1604" s="84"/>
      <c r="AR1604" s="79"/>
      <c r="AS1604" s="79"/>
      <c r="AT1604" s="79"/>
      <c r="AU1604" s="80"/>
      <c r="AV1604" s="79"/>
      <c r="AW1604" s="38"/>
      <c r="AX1604" s="79"/>
      <c r="AY1604" s="38"/>
      <c r="AZ1604" s="79"/>
      <c r="BA1604" s="80"/>
      <c r="BB1604" s="79"/>
      <c r="BC1604" s="80"/>
      <c r="BD1604" s="79"/>
      <c r="BE1604" s="38"/>
      <c r="BF1604" s="74"/>
      <c r="BG1604" s="1407"/>
      <c r="BH1604" s="1407"/>
      <c r="BI1604" s="1407"/>
      <c r="BJ1604" s="1407"/>
      <c r="BK1604" s="1407"/>
      <c r="BL1604" s="1407"/>
      <c r="BM1604" s="1407"/>
      <c r="BN1604" s="1407"/>
      <c r="BO1604" s="1407"/>
      <c r="BP1604" s="1407"/>
      <c r="BQ1604" s="1407"/>
      <c r="BR1604" s="1407"/>
      <c r="BS1604" s="1407"/>
      <c r="BT1604" s="1407"/>
      <c r="BU1604" s="1407"/>
      <c r="BV1604" s="1407"/>
      <c r="BW1604" s="1407"/>
      <c r="BX1604" s="1407"/>
      <c r="BY1604" s="1407"/>
      <c r="BZ1604" s="1407"/>
      <c r="CA1604" s="1407"/>
      <c r="CB1604" s="1407"/>
      <c r="CC1604" s="1407"/>
      <c r="CD1604" s="1407"/>
      <c r="CE1604" s="1407"/>
      <c r="CF1604" s="1407"/>
      <c r="CG1604" s="1407"/>
      <c r="CH1604" s="1407"/>
      <c r="CI1604" s="1407"/>
      <c r="CJ1604" s="1407"/>
      <c r="CK1604" s="1407"/>
      <c r="CL1604" s="1407"/>
      <c r="CM1604" s="1407"/>
      <c r="CN1604" s="1407"/>
      <c r="CO1604" s="1407"/>
      <c r="CP1604" s="1407"/>
    </row>
    <row r="1605" ht="15.75" customHeight="1">
      <c r="A1605" s="462" t="s">
        <v>7498</v>
      </c>
      <c r="B1605" s="68"/>
      <c r="C1605" s="69" t="s">
        <v>207</v>
      </c>
      <c r="D1605" s="957" t="s">
        <v>7499</v>
      </c>
      <c r="E1605" s="192" t="s">
        <v>7500</v>
      </c>
      <c r="F1605" s="118" t="s">
        <v>7501</v>
      </c>
      <c r="G1605" s="55"/>
      <c r="H1605" s="71" t="s">
        <v>328</v>
      </c>
      <c r="I1605" s="26" t="s">
        <v>329</v>
      </c>
      <c r="J1605" s="72"/>
      <c r="K1605" s="74"/>
      <c r="L1605" s="26">
        <v>2017.0</v>
      </c>
      <c r="M1605" s="25">
        <f t="shared" si="789"/>
        <v>8</v>
      </c>
      <c r="N1605" s="26">
        <f t="shared" si="790"/>
        <v>0</v>
      </c>
      <c r="O1605" s="27" t="str">
        <f t="shared" si="3"/>
        <v>#N/A</v>
      </c>
      <c r="P1605" s="28"/>
      <c r="Q1605" s="28"/>
      <c r="R1605" s="28"/>
      <c r="S1605" s="28"/>
      <c r="T1605" s="29">
        <f t="shared" si="791"/>
        <v>0</v>
      </c>
      <c r="U1605" s="28"/>
      <c r="V1605" s="30">
        <f t="shared" si="425"/>
        <v>0</v>
      </c>
      <c r="W1605" s="30"/>
      <c r="X1605" s="32"/>
      <c r="Y1605" s="33" t="str">
        <f t="shared" si="792"/>
        <v>#DIV/0!</v>
      </c>
      <c r="Z1605" s="692"/>
      <c r="AA1605" s="665"/>
      <c r="AB1605" s="74"/>
      <c r="AC1605" s="74"/>
      <c r="AD1605" s="279"/>
      <c r="AE1605" s="76"/>
      <c r="AF1605" s="338"/>
      <c r="AG1605" s="84"/>
      <c r="AH1605" s="74"/>
      <c r="AI1605" s="78"/>
      <c r="AJ1605" s="79"/>
      <c r="AK1605" s="84"/>
      <c r="AL1605" s="79"/>
      <c r="AM1605" s="84"/>
      <c r="AN1605" s="79"/>
      <c r="AO1605" s="84"/>
      <c r="AP1605" s="79"/>
      <c r="AQ1605" s="84"/>
      <c r="AR1605" s="79"/>
      <c r="AS1605" s="79"/>
      <c r="AT1605" s="79"/>
      <c r="AU1605" s="80"/>
      <c r="AV1605" s="79"/>
      <c r="AW1605" s="38"/>
      <c r="AX1605" s="79"/>
      <c r="AY1605" s="38"/>
      <c r="AZ1605" s="79"/>
      <c r="BA1605" s="80"/>
      <c r="BB1605" s="79"/>
      <c r="BC1605" s="80"/>
      <c r="BD1605" s="79"/>
      <c r="BE1605" s="38"/>
      <c r="BF1605" s="74"/>
      <c r="BG1605" s="760"/>
      <c r="BH1605" s="760"/>
      <c r="BI1605" s="760"/>
      <c r="BJ1605" s="760"/>
      <c r="BK1605" s="760"/>
      <c r="BL1605" s="760"/>
      <c r="BM1605" s="760"/>
      <c r="BN1605" s="760"/>
      <c r="BO1605" s="760"/>
      <c r="BP1605" s="760"/>
      <c r="BQ1605" s="760"/>
      <c r="BR1605" s="760"/>
      <c r="BS1605" s="760"/>
      <c r="BT1605" s="760"/>
      <c r="BU1605" s="760"/>
      <c r="BV1605" s="760"/>
      <c r="BW1605" s="760"/>
      <c r="BX1605" s="760"/>
      <c r="BY1605" s="760"/>
      <c r="BZ1605" s="760"/>
      <c r="CA1605" s="760"/>
      <c r="CB1605" s="760"/>
      <c r="CC1605" s="760"/>
      <c r="CD1605" s="760"/>
      <c r="CE1605" s="760"/>
      <c r="CF1605" s="760"/>
      <c r="CG1605" s="760"/>
      <c r="CH1605" s="760"/>
      <c r="CI1605" s="760"/>
      <c r="CJ1605" s="760"/>
      <c r="CK1605" s="760"/>
      <c r="CL1605" s="760"/>
      <c r="CM1605" s="760"/>
      <c r="CN1605" s="760"/>
      <c r="CO1605" s="760"/>
      <c r="CP1605" s="760"/>
    </row>
    <row r="1606" ht="15.75" customHeight="1">
      <c r="A1606" s="21" t="s">
        <v>7502</v>
      </c>
      <c r="B1606" s="68"/>
      <c r="C1606" s="69" t="s">
        <v>180</v>
      </c>
      <c r="D1606" s="200" t="s">
        <v>7503</v>
      </c>
      <c r="E1606" s="138" t="s">
        <v>7504</v>
      </c>
      <c r="F1606" s="173" t="s">
        <v>7505</v>
      </c>
      <c r="G1606" s="71" t="s">
        <v>7506</v>
      </c>
      <c r="H1606" s="186"/>
      <c r="I1606" s="26" t="s">
        <v>65</v>
      </c>
      <c r="J1606" s="72" t="s">
        <v>7507</v>
      </c>
      <c r="K1606" s="74" t="s">
        <v>723</v>
      </c>
      <c r="L1606" s="26">
        <v>2016.0</v>
      </c>
      <c r="M1606" s="25">
        <f t="shared" si="789"/>
        <v>9</v>
      </c>
      <c r="N1606" s="26">
        <f t="shared" si="790"/>
        <v>0</v>
      </c>
      <c r="O1606" s="27" t="str">
        <f t="shared" si="3"/>
        <v>#N/A</v>
      </c>
      <c r="P1606" s="28"/>
      <c r="Q1606" s="28"/>
      <c r="R1606" s="28"/>
      <c r="S1606" s="28"/>
      <c r="T1606" s="29">
        <f t="shared" si="791"/>
        <v>0</v>
      </c>
      <c r="U1606" s="28"/>
      <c r="V1606" s="30">
        <f t="shared" si="425"/>
        <v>0</v>
      </c>
      <c r="W1606" s="30"/>
      <c r="X1606" s="32"/>
      <c r="Y1606" s="33" t="str">
        <f t="shared" si="792"/>
        <v>#DIV/0!</v>
      </c>
      <c r="Z1606" s="692"/>
      <c r="AA1606" s="665"/>
      <c r="AB1606" s="74"/>
      <c r="AC1606" s="74"/>
      <c r="AD1606" s="279"/>
      <c r="AE1606" s="76"/>
      <c r="AF1606" s="338"/>
      <c r="AG1606" s="84"/>
      <c r="AH1606" s="74"/>
      <c r="AI1606" s="78"/>
      <c r="AJ1606" s="79"/>
      <c r="AK1606" s="84"/>
      <c r="AL1606" s="79"/>
      <c r="AM1606" s="84"/>
      <c r="AN1606" s="79"/>
      <c r="AO1606" s="84"/>
      <c r="AP1606" s="79"/>
      <c r="AQ1606" s="84"/>
      <c r="AR1606" s="79"/>
      <c r="AS1606" s="79"/>
      <c r="AT1606" s="79"/>
      <c r="AU1606" s="80"/>
      <c r="AV1606" s="79"/>
      <c r="AW1606" s="38"/>
      <c r="AX1606" s="79"/>
      <c r="AY1606" s="38"/>
      <c r="AZ1606" s="79"/>
      <c r="BA1606" s="80"/>
      <c r="BB1606" s="79"/>
      <c r="BC1606" s="80"/>
      <c r="BD1606" s="79"/>
      <c r="BE1606" s="38"/>
      <c r="BF1606" s="74"/>
      <c r="BG1606" s="1407"/>
      <c r="BH1606" s="1407"/>
      <c r="BI1606" s="1407"/>
      <c r="BJ1606" s="1407"/>
      <c r="BK1606" s="1407"/>
      <c r="BL1606" s="1407"/>
      <c r="BM1606" s="1407"/>
      <c r="BN1606" s="1407"/>
      <c r="BO1606" s="1407"/>
      <c r="BP1606" s="1407"/>
      <c r="BQ1606" s="1407"/>
      <c r="BR1606" s="1407"/>
      <c r="BS1606" s="1407"/>
      <c r="BT1606" s="1407"/>
      <c r="BU1606" s="1407"/>
      <c r="BV1606" s="1407"/>
      <c r="BW1606" s="1407"/>
      <c r="BX1606" s="1407"/>
      <c r="BY1606" s="1407"/>
      <c r="BZ1606" s="1407"/>
      <c r="CA1606" s="1407"/>
      <c r="CB1606" s="1407"/>
      <c r="CC1606" s="1407"/>
      <c r="CD1606" s="1407"/>
      <c r="CE1606" s="1407"/>
      <c r="CF1606" s="1407"/>
      <c r="CG1606" s="1407"/>
      <c r="CH1606" s="1407"/>
      <c r="CI1606" s="1407"/>
      <c r="CJ1606" s="1407"/>
      <c r="CK1606" s="1407"/>
      <c r="CL1606" s="1407"/>
      <c r="CM1606" s="1407"/>
      <c r="CN1606" s="1407"/>
      <c r="CO1606" s="1407"/>
      <c r="CP1606" s="1407"/>
    </row>
    <row r="1607" ht="15.75" customHeight="1">
      <c r="A1607" s="400" t="s">
        <v>7508</v>
      </c>
      <c r="B1607" s="115"/>
      <c r="C1607" s="116" t="s">
        <v>4612</v>
      </c>
      <c r="D1607" s="161" t="s">
        <v>7509</v>
      </c>
      <c r="E1607" s="161" t="s">
        <v>7510</v>
      </c>
      <c r="F1607" s="402" t="s">
        <v>7511</v>
      </c>
      <c r="G1607" s="119" t="s">
        <v>7512</v>
      </c>
      <c r="H1607" s="119" t="s">
        <v>3996</v>
      </c>
      <c r="I1607" s="25" t="s">
        <v>257</v>
      </c>
      <c r="J1607" s="178" t="s">
        <v>7513</v>
      </c>
      <c r="K1607" s="25">
        <v>1.0</v>
      </c>
      <c r="L1607" s="25">
        <v>2015.0</v>
      </c>
      <c r="M1607" s="25">
        <f t="shared" si="789"/>
        <v>10</v>
      </c>
      <c r="N1607" s="26">
        <f t="shared" si="790"/>
        <v>0</v>
      </c>
      <c r="O1607" s="27" t="str">
        <f t="shared" si="3"/>
        <v>#N/A</v>
      </c>
      <c r="P1607" s="28"/>
      <c r="Q1607" s="28"/>
      <c r="R1607" s="28"/>
      <c r="S1607" s="28"/>
      <c r="T1607" s="29">
        <f t="shared" si="791"/>
        <v>0</v>
      </c>
      <c r="U1607" s="28"/>
      <c r="V1607" s="30">
        <f t="shared" si="425"/>
        <v>0</v>
      </c>
      <c r="W1607" s="30"/>
      <c r="X1607" s="597"/>
      <c r="Y1607" s="33" t="str">
        <f t="shared" si="792"/>
        <v>#DIV/0!</v>
      </c>
      <c r="Z1607" s="692"/>
      <c r="AA1607" s="665"/>
      <c r="AB1607" s="123"/>
      <c r="AC1607" s="123"/>
      <c r="AD1607" s="124"/>
      <c r="AE1607" s="125"/>
      <c r="AF1607" s="166"/>
      <c r="AG1607" s="125"/>
      <c r="AH1607" s="123"/>
      <c r="AI1607" s="128"/>
      <c r="AJ1607" s="124"/>
      <c r="AK1607" s="125"/>
      <c r="AL1607" s="124"/>
      <c r="AM1607" s="125"/>
      <c r="AN1607" s="124"/>
      <c r="AO1607" s="125"/>
      <c r="AP1607" s="124"/>
      <c r="AQ1607" s="125"/>
      <c r="AR1607" s="124"/>
      <c r="AS1607" s="124"/>
      <c r="AT1607" s="124"/>
      <c r="AU1607" s="137"/>
      <c r="AV1607" s="124"/>
      <c r="AW1607" s="38"/>
      <c r="AX1607" s="124"/>
      <c r="AY1607" s="38"/>
      <c r="AZ1607" s="124"/>
      <c r="BA1607" s="137"/>
      <c r="BB1607" s="124"/>
      <c r="BC1607" s="137"/>
      <c r="BD1607" s="124"/>
      <c r="BE1607" s="38"/>
      <c r="BF1607" s="123"/>
      <c r="BG1607" s="68"/>
      <c r="BH1607" s="68"/>
      <c r="BI1607" s="68"/>
      <c r="BJ1607" s="68"/>
      <c r="BK1607" s="68"/>
      <c r="BL1607" s="68"/>
      <c r="BM1607" s="68"/>
      <c r="BN1607" s="68"/>
      <c r="BO1607" s="68"/>
      <c r="BP1607" s="68"/>
      <c r="BQ1607" s="68"/>
      <c r="BR1607" s="68"/>
      <c r="BS1607" s="68"/>
      <c r="BT1607" s="68"/>
      <c r="BU1607" s="68"/>
      <c r="BV1607" s="68"/>
      <c r="BW1607" s="68"/>
      <c r="BX1607" s="68"/>
      <c r="BY1607" s="68"/>
      <c r="BZ1607" s="68"/>
      <c r="CA1607" s="68"/>
      <c r="CB1607" s="68"/>
      <c r="CC1607" s="68"/>
      <c r="CD1607" s="68"/>
      <c r="CE1607" s="68"/>
      <c r="CF1607" s="68"/>
      <c r="CG1607" s="68"/>
      <c r="CH1607" s="68"/>
      <c r="CI1607" s="68"/>
      <c r="CJ1607" s="68"/>
      <c r="CK1607" s="68"/>
      <c r="CL1607" s="68"/>
      <c r="CM1607" s="68"/>
      <c r="CN1607" s="68"/>
      <c r="CO1607" s="68"/>
      <c r="CP1607" s="68"/>
    </row>
    <row r="1608" ht="15.75" customHeight="1">
      <c r="A1608" s="666" t="s">
        <v>7514</v>
      </c>
      <c r="B1608" s="115"/>
      <c r="C1608" s="116" t="s">
        <v>123</v>
      </c>
      <c r="D1608" s="161" t="s">
        <v>7515</v>
      </c>
      <c r="E1608" s="161" t="s">
        <v>7516</v>
      </c>
      <c r="F1608" s="668" t="s">
        <v>7517</v>
      </c>
      <c r="G1608" s="119" t="s">
        <v>7518</v>
      </c>
      <c r="H1608" s="119" t="s">
        <v>328</v>
      </c>
      <c r="I1608" s="123"/>
      <c r="J1608" s="120" t="s">
        <v>7519</v>
      </c>
      <c r="K1608" s="25">
        <v>3.0</v>
      </c>
      <c r="L1608" s="25">
        <v>2012.0</v>
      </c>
      <c r="M1608" s="25">
        <f t="shared" si="789"/>
        <v>13</v>
      </c>
      <c r="N1608" s="26">
        <f t="shared" si="790"/>
        <v>0</v>
      </c>
      <c r="O1608" s="27" t="str">
        <f t="shared" si="3"/>
        <v>#N/A</v>
      </c>
      <c r="P1608" s="28"/>
      <c r="Q1608" s="28"/>
      <c r="R1608" s="28"/>
      <c r="S1608" s="28"/>
      <c r="T1608" s="29">
        <f t="shared" si="791"/>
        <v>0</v>
      </c>
      <c r="U1608" s="28"/>
      <c r="V1608" s="30">
        <f t="shared" si="425"/>
        <v>0</v>
      </c>
      <c r="W1608" s="30"/>
      <c r="X1608" s="597"/>
      <c r="Y1608" s="33" t="str">
        <f t="shared" si="792"/>
        <v>#DIV/0!</v>
      </c>
      <c r="Z1608" s="692"/>
      <c r="AA1608" s="665"/>
      <c r="AB1608" s="123"/>
      <c r="AC1608" s="123"/>
      <c r="AD1608" s="169"/>
      <c r="AE1608" s="894"/>
      <c r="AF1608" s="166"/>
      <c r="AG1608" s="127"/>
      <c r="AH1608" s="123"/>
      <c r="AI1608" s="128"/>
      <c r="AJ1608" s="169"/>
      <c r="AK1608" s="127"/>
      <c r="AL1608" s="169"/>
      <c r="AM1608" s="127"/>
      <c r="AN1608" s="169"/>
      <c r="AO1608" s="127"/>
      <c r="AP1608" s="169"/>
      <c r="AQ1608" s="973"/>
      <c r="AR1608" s="1368"/>
      <c r="AS1608" s="1368"/>
      <c r="AT1608" s="1368"/>
      <c r="AU1608" s="1760"/>
      <c r="AV1608" s="1368"/>
      <c r="AW1608" s="38"/>
      <c r="AX1608" s="1368"/>
      <c r="AY1608" s="38"/>
      <c r="AZ1608" s="1368"/>
      <c r="BA1608" s="1760"/>
      <c r="BB1608" s="1368"/>
      <c r="BC1608" s="1760"/>
      <c r="BD1608" s="1368"/>
      <c r="BE1608" s="38"/>
      <c r="BF1608" s="123"/>
      <c r="BG1608" s="68"/>
      <c r="BH1608" s="68"/>
      <c r="BI1608" s="68"/>
      <c r="BJ1608" s="68"/>
      <c r="BK1608" s="68"/>
      <c r="BL1608" s="68"/>
      <c r="BM1608" s="68"/>
      <c r="BN1608" s="68"/>
      <c r="BO1608" s="68"/>
      <c r="BP1608" s="68"/>
      <c r="BQ1608" s="68"/>
      <c r="BR1608" s="68"/>
      <c r="BS1608" s="68"/>
      <c r="BT1608" s="68"/>
      <c r="BU1608" s="68"/>
      <c r="BV1608" s="68"/>
      <c r="BW1608" s="68"/>
      <c r="BX1608" s="68"/>
      <c r="BY1608" s="68"/>
      <c r="BZ1608" s="68"/>
      <c r="CA1608" s="68"/>
      <c r="CB1608" s="68"/>
      <c r="CC1608" s="68"/>
      <c r="CD1608" s="68"/>
      <c r="CE1608" s="68"/>
      <c r="CF1608" s="68"/>
      <c r="CG1608" s="68"/>
      <c r="CH1608" s="68"/>
      <c r="CI1608" s="68"/>
      <c r="CJ1608" s="68"/>
      <c r="CK1608" s="68"/>
      <c r="CL1608" s="68"/>
      <c r="CM1608" s="68"/>
      <c r="CN1608" s="68"/>
      <c r="CO1608" s="68"/>
      <c r="CP1608" s="68"/>
    </row>
    <row r="1609" ht="15.75" customHeight="1">
      <c r="A1609" s="48" t="s">
        <v>7520</v>
      </c>
      <c r="B1609" s="115"/>
      <c r="C1609" s="116" t="s">
        <v>123</v>
      </c>
      <c r="D1609" s="449"/>
      <c r="E1609" s="192" t="s">
        <v>7521</v>
      </c>
      <c r="F1609" s="118" t="s">
        <v>7522</v>
      </c>
      <c r="G1609" s="286"/>
      <c r="H1609" s="1361" t="s">
        <v>7523</v>
      </c>
      <c r="I1609" s="25" t="s">
        <v>100</v>
      </c>
      <c r="J1609" s="287"/>
      <c r="K1609" s="123"/>
      <c r="L1609" s="25">
        <v>1989.0</v>
      </c>
      <c r="M1609" s="25">
        <f t="shared" si="789"/>
        <v>36</v>
      </c>
      <c r="N1609" s="26">
        <f t="shared" si="790"/>
        <v>0</v>
      </c>
      <c r="O1609" s="27" t="str">
        <f t="shared" si="3"/>
        <v>#N/A</v>
      </c>
      <c r="P1609" s="28"/>
      <c r="Q1609" s="28"/>
      <c r="R1609" s="28"/>
      <c r="S1609" s="28"/>
      <c r="T1609" s="29">
        <f t="shared" si="791"/>
        <v>0</v>
      </c>
      <c r="U1609" s="28"/>
      <c r="V1609" s="30">
        <f t="shared" si="425"/>
        <v>0</v>
      </c>
      <c r="W1609" s="30"/>
      <c r="X1609" s="403"/>
      <c r="Y1609" s="33" t="str">
        <f t="shared" si="792"/>
        <v>#DIV/0!</v>
      </c>
      <c r="Z1609" s="692"/>
      <c r="AA1609" s="665"/>
      <c r="AB1609" s="123"/>
      <c r="AC1609" s="123"/>
      <c r="AD1609" s="124"/>
      <c r="AE1609" s="807"/>
      <c r="AF1609" s="166"/>
      <c r="AG1609" s="127"/>
      <c r="AH1609" s="123"/>
      <c r="AI1609" s="128"/>
      <c r="AJ1609" s="124"/>
      <c r="AK1609" s="125"/>
      <c r="AL1609" s="124"/>
      <c r="AM1609" s="125"/>
      <c r="AN1609" s="124"/>
      <c r="AO1609" s="125"/>
      <c r="AP1609" s="124"/>
      <c r="AQ1609" s="807"/>
      <c r="AR1609" s="808"/>
      <c r="AS1609" s="808"/>
      <c r="AT1609" s="808"/>
      <c r="AU1609" s="809"/>
      <c r="AV1609" s="808"/>
      <c r="AW1609" s="38"/>
      <c r="AX1609" s="808"/>
      <c r="AY1609" s="38"/>
      <c r="AZ1609" s="808"/>
      <c r="BA1609" s="809"/>
      <c r="BB1609" s="808"/>
      <c r="BC1609" s="809"/>
      <c r="BD1609" s="808"/>
      <c r="BE1609" s="38"/>
      <c r="BF1609" s="123"/>
      <c r="BG1609" s="68"/>
      <c r="BH1609" s="68"/>
      <c r="BI1609" s="68"/>
      <c r="BJ1609" s="68"/>
      <c r="BK1609" s="68"/>
      <c r="BL1609" s="68"/>
      <c r="BM1609" s="68"/>
      <c r="BN1609" s="68"/>
      <c r="BO1609" s="68"/>
      <c r="BP1609" s="68"/>
      <c r="BQ1609" s="68"/>
      <c r="BR1609" s="68"/>
      <c r="BS1609" s="68"/>
      <c r="BT1609" s="68"/>
      <c r="BU1609" s="68"/>
      <c r="BV1609" s="68"/>
      <c r="BW1609" s="68"/>
      <c r="BX1609" s="68"/>
      <c r="BY1609" s="68"/>
      <c r="BZ1609" s="68"/>
      <c r="CA1609" s="68"/>
      <c r="CB1609" s="68"/>
      <c r="CC1609" s="68"/>
      <c r="CD1609" s="68"/>
      <c r="CE1609" s="68"/>
      <c r="CF1609" s="68"/>
      <c r="CG1609" s="68"/>
      <c r="CH1609" s="68"/>
      <c r="CI1609" s="68"/>
      <c r="CJ1609" s="68"/>
      <c r="CK1609" s="68"/>
      <c r="CL1609" s="68"/>
      <c r="CM1609" s="68"/>
      <c r="CN1609" s="68"/>
      <c r="CO1609" s="68"/>
      <c r="CP1609" s="68"/>
    </row>
    <row r="1610" ht="15.75" customHeight="1">
      <c r="A1610" s="860" t="s">
        <v>7524</v>
      </c>
      <c r="B1610" s="115"/>
      <c r="C1610" s="116" t="s">
        <v>207</v>
      </c>
      <c r="D1610" s="449"/>
      <c r="E1610" s="192" t="s">
        <v>7525</v>
      </c>
      <c r="F1610" s="118" t="s">
        <v>7526</v>
      </c>
      <c r="G1610" s="286"/>
      <c r="H1610" s="119" t="s">
        <v>2478</v>
      </c>
      <c r="I1610" s="25" t="s">
        <v>65</v>
      </c>
      <c r="J1610" s="287"/>
      <c r="K1610" s="123"/>
      <c r="L1610" s="25">
        <v>2007.0</v>
      </c>
      <c r="M1610" s="25">
        <f t="shared" si="789"/>
        <v>18</v>
      </c>
      <c r="N1610" s="26">
        <f t="shared" si="790"/>
        <v>0</v>
      </c>
      <c r="O1610" s="27" t="str">
        <f t="shared" si="3"/>
        <v>#N/A</v>
      </c>
      <c r="P1610" s="28"/>
      <c r="Q1610" s="28"/>
      <c r="R1610" s="28"/>
      <c r="S1610" s="28"/>
      <c r="T1610" s="29">
        <f t="shared" si="791"/>
        <v>0</v>
      </c>
      <c r="U1610" s="28"/>
      <c r="V1610" s="30">
        <f t="shared" si="425"/>
        <v>0</v>
      </c>
      <c r="W1610" s="30"/>
      <c r="X1610" s="403"/>
      <c r="Y1610" s="33" t="str">
        <f t="shared" si="792"/>
        <v>#DIV/0!</v>
      </c>
      <c r="Z1610" s="692"/>
      <c r="AA1610" s="665"/>
      <c r="AB1610" s="123"/>
      <c r="AC1610" s="123"/>
      <c r="AD1610" s="124"/>
      <c r="AE1610" s="807"/>
      <c r="AF1610" s="166"/>
      <c r="AG1610" s="127"/>
      <c r="AH1610" s="123"/>
      <c r="AI1610" s="128"/>
      <c r="AJ1610" s="124"/>
      <c r="AK1610" s="125"/>
      <c r="AL1610" s="124"/>
      <c r="AM1610" s="125"/>
      <c r="AN1610" s="124"/>
      <c r="AO1610" s="125"/>
      <c r="AP1610" s="124"/>
      <c r="AQ1610" s="807"/>
      <c r="AR1610" s="808"/>
      <c r="AS1610" s="808"/>
      <c r="AT1610" s="808"/>
      <c r="AU1610" s="809"/>
      <c r="AV1610" s="808"/>
      <c r="AW1610" s="38"/>
      <c r="AX1610" s="808"/>
      <c r="AY1610" s="38"/>
      <c r="AZ1610" s="808"/>
      <c r="BA1610" s="809"/>
      <c r="BB1610" s="808"/>
      <c r="BC1610" s="809"/>
      <c r="BD1610" s="808"/>
      <c r="BE1610" s="38"/>
      <c r="BF1610" s="123"/>
      <c r="BG1610" s="68"/>
      <c r="BH1610" s="68"/>
      <c r="BI1610" s="68"/>
      <c r="BJ1610" s="68"/>
      <c r="BK1610" s="68"/>
      <c r="BL1610" s="68"/>
      <c r="BM1610" s="68"/>
      <c r="BN1610" s="68"/>
      <c r="BO1610" s="68"/>
      <c r="BP1610" s="68"/>
      <c r="BQ1610" s="68"/>
      <c r="BR1610" s="68"/>
      <c r="BS1610" s="68"/>
      <c r="BT1610" s="68"/>
      <c r="BU1610" s="68"/>
      <c r="BV1610" s="68"/>
      <c r="BW1610" s="68"/>
      <c r="BX1610" s="68"/>
      <c r="BY1610" s="68"/>
      <c r="BZ1610" s="68"/>
      <c r="CA1610" s="68"/>
      <c r="CB1610" s="68"/>
      <c r="CC1610" s="68"/>
      <c r="CD1610" s="68"/>
      <c r="CE1610" s="68"/>
      <c r="CF1610" s="68"/>
      <c r="CG1610" s="68"/>
      <c r="CH1610" s="68"/>
      <c r="CI1610" s="68"/>
      <c r="CJ1610" s="68"/>
      <c r="CK1610" s="68"/>
      <c r="CL1610" s="68"/>
      <c r="CM1610" s="68"/>
      <c r="CN1610" s="68"/>
      <c r="CO1610" s="68"/>
      <c r="CP1610" s="68"/>
    </row>
    <row r="1611" ht="15.75" customHeight="1">
      <c r="A1611" s="1719" t="s">
        <v>7527</v>
      </c>
      <c r="B1611" s="1407"/>
      <c r="C1611" s="1463" t="s">
        <v>427</v>
      </c>
      <c r="D1611" s="1720" t="s">
        <v>4781</v>
      </c>
      <c r="E1611" s="1720" t="s">
        <v>4781</v>
      </c>
      <c r="F1611" s="1753" t="s">
        <v>7528</v>
      </c>
      <c r="G1611" s="1467" t="s">
        <v>7529</v>
      </c>
      <c r="H1611" s="1468" t="s">
        <v>99</v>
      </c>
      <c r="I1611" s="1469" t="s">
        <v>100</v>
      </c>
      <c r="J1611" s="1470" t="s">
        <v>7530</v>
      </c>
      <c r="K1611" s="1474" t="s">
        <v>723</v>
      </c>
      <c r="L1611" s="1761">
        <v>2007.0</v>
      </c>
      <c r="M1611" s="25">
        <f t="shared" si="789"/>
        <v>18</v>
      </c>
      <c r="N1611" s="26">
        <f t="shared" si="790"/>
        <v>0</v>
      </c>
      <c r="O1611" s="27" t="str">
        <f t="shared" si="3"/>
        <v>#N/A</v>
      </c>
      <c r="P1611" s="28"/>
      <c r="Q1611" s="28"/>
      <c r="R1611" s="28"/>
      <c r="S1611" s="28"/>
      <c r="T1611" s="29">
        <f t="shared" si="791"/>
        <v>0</v>
      </c>
      <c r="U1611" s="28"/>
      <c r="V1611" s="30">
        <f t="shared" si="425"/>
        <v>0</v>
      </c>
      <c r="W1611" s="30"/>
      <c r="X1611" s="1736"/>
      <c r="Y1611" s="33" t="str">
        <f t="shared" si="792"/>
        <v>#DIV/0!</v>
      </c>
      <c r="Z1611" s="692"/>
      <c r="AA1611" s="665"/>
      <c r="AB1611" s="1474"/>
      <c r="AC1611" s="1474"/>
      <c r="AD1611" s="1482"/>
      <c r="AE1611" s="1717"/>
      <c r="AF1611" s="1722"/>
      <c r="AG1611" s="1717"/>
      <c r="AH1611" s="1474"/>
      <c r="AI1611" s="1479"/>
      <c r="AJ1611" s="1482"/>
      <c r="AK1611" s="1717"/>
      <c r="AL1611" s="1482"/>
      <c r="AM1611" s="1717"/>
      <c r="AN1611" s="1482"/>
      <c r="AO1611" s="1717"/>
      <c r="AP1611" s="1482"/>
      <c r="AQ1611" s="1717"/>
      <c r="AR1611" s="1482"/>
      <c r="AS1611" s="1482"/>
      <c r="AT1611" s="1482"/>
      <c r="AU1611" s="1483"/>
      <c r="AV1611" s="1482"/>
      <c r="AW1611" s="38"/>
      <c r="AX1611" s="1482"/>
      <c r="AY1611" s="38"/>
      <c r="AZ1611" s="1482"/>
      <c r="BA1611" s="1483"/>
      <c r="BB1611" s="1482"/>
      <c r="BC1611" s="1483"/>
      <c r="BD1611" s="1482"/>
      <c r="BE1611" s="38"/>
      <c r="BF1611" s="1474"/>
      <c r="BG1611" s="68"/>
      <c r="BH1611" s="68"/>
      <c r="BI1611" s="68"/>
      <c r="BJ1611" s="68"/>
      <c r="BK1611" s="68"/>
      <c r="BL1611" s="68"/>
      <c r="BM1611" s="68"/>
      <c r="BN1611" s="68"/>
      <c r="BO1611" s="68"/>
      <c r="BP1611" s="68"/>
      <c r="BQ1611" s="68"/>
      <c r="BR1611" s="68"/>
      <c r="BS1611" s="68"/>
      <c r="BT1611" s="68"/>
      <c r="BU1611" s="68"/>
      <c r="BV1611" s="68"/>
      <c r="BW1611" s="68"/>
      <c r="BX1611" s="68"/>
      <c r="BY1611" s="68"/>
      <c r="BZ1611" s="68"/>
      <c r="CA1611" s="68"/>
      <c r="CB1611" s="68"/>
      <c r="CC1611" s="68"/>
      <c r="CD1611" s="68"/>
      <c r="CE1611" s="68"/>
      <c r="CF1611" s="68"/>
      <c r="CG1611" s="68"/>
      <c r="CH1611" s="68"/>
      <c r="CI1611" s="68"/>
      <c r="CJ1611" s="68"/>
      <c r="CK1611" s="68"/>
      <c r="CL1611" s="68"/>
      <c r="CM1611" s="68"/>
      <c r="CN1611" s="68"/>
      <c r="CO1611" s="68"/>
      <c r="CP1611" s="68"/>
    </row>
    <row r="1612" ht="15.75" customHeight="1">
      <c r="A1612" s="666" t="s">
        <v>7531</v>
      </c>
      <c r="B1612" s="115" t="s">
        <v>7532</v>
      </c>
      <c r="C1612" s="115" t="s">
        <v>207</v>
      </c>
      <c r="D1612" s="667" t="s">
        <v>7533</v>
      </c>
      <c r="E1612" s="192" t="s">
        <v>7534</v>
      </c>
      <c r="F1612" s="668" t="s">
        <v>7535</v>
      </c>
      <c r="G1612" s="286" t="s">
        <v>7536</v>
      </c>
      <c r="H1612" s="286" t="s">
        <v>839</v>
      </c>
      <c r="I1612" s="123" t="s">
        <v>1345</v>
      </c>
      <c r="J1612" s="287" t="s">
        <v>7537</v>
      </c>
      <c r="K1612" s="123">
        <v>1.0</v>
      </c>
      <c r="L1612" s="25">
        <v>2017.0</v>
      </c>
      <c r="M1612" s="25">
        <f t="shared" si="789"/>
        <v>8</v>
      </c>
      <c r="N1612" s="26">
        <f t="shared" si="790"/>
        <v>0</v>
      </c>
      <c r="O1612" s="27" t="str">
        <f t="shared" si="3"/>
        <v>#N/A</v>
      </c>
      <c r="P1612" s="28"/>
      <c r="Q1612" s="28"/>
      <c r="R1612" s="28"/>
      <c r="S1612" s="28"/>
      <c r="T1612" s="29">
        <f t="shared" si="791"/>
        <v>0</v>
      </c>
      <c r="U1612" s="28"/>
      <c r="V1612" s="30">
        <f t="shared" si="425"/>
        <v>0</v>
      </c>
      <c r="W1612" s="30"/>
      <c r="X1612" s="403"/>
      <c r="Y1612" s="33" t="str">
        <f t="shared" si="792"/>
        <v>#DIV/0!</v>
      </c>
      <c r="Z1612" s="692"/>
      <c r="AA1612" s="665"/>
      <c r="AB1612" s="123"/>
      <c r="AC1612" s="123"/>
      <c r="AD1612" s="124"/>
      <c r="AE1612" s="125"/>
      <c r="AF1612" s="166"/>
      <c r="AG1612" s="125"/>
      <c r="AH1612" s="123"/>
      <c r="AI1612" s="128"/>
      <c r="AJ1612" s="124"/>
      <c r="AK1612" s="125"/>
      <c r="AL1612" s="124"/>
      <c r="AM1612" s="125"/>
      <c r="AN1612" s="124"/>
      <c r="AO1612" s="125"/>
      <c r="AP1612" s="124"/>
      <c r="AQ1612" s="125"/>
      <c r="AR1612" s="124"/>
      <c r="AS1612" s="124"/>
      <c r="AT1612" s="124"/>
      <c r="AU1612" s="137"/>
      <c r="AV1612" s="124"/>
      <c r="AW1612" s="38"/>
      <c r="AX1612" s="124"/>
      <c r="AY1612" s="38"/>
      <c r="AZ1612" s="124"/>
      <c r="BA1612" s="137"/>
      <c r="BB1612" s="124"/>
      <c r="BC1612" s="137"/>
      <c r="BD1612" s="124"/>
      <c r="BE1612" s="38"/>
      <c r="BF1612" s="123"/>
      <c r="BG1612" s="1407"/>
      <c r="BH1612" s="1407"/>
      <c r="BI1612" s="1407"/>
      <c r="BJ1612" s="1407"/>
      <c r="BK1612" s="1407"/>
      <c r="BL1612" s="1407"/>
      <c r="BM1612" s="1407"/>
      <c r="BN1612" s="1407"/>
      <c r="BO1612" s="1407"/>
      <c r="BP1612" s="1407"/>
      <c r="BQ1612" s="1407"/>
      <c r="BR1612" s="1407"/>
      <c r="BS1612" s="1407"/>
      <c r="BT1612" s="1407"/>
      <c r="BU1612" s="1407"/>
      <c r="BV1612" s="1407"/>
      <c r="BW1612" s="1407"/>
      <c r="BX1612" s="1407"/>
      <c r="BY1612" s="1407"/>
      <c r="BZ1612" s="1407"/>
      <c r="CA1612" s="1407"/>
      <c r="CB1612" s="1407"/>
      <c r="CC1612" s="1407"/>
      <c r="CD1612" s="1407"/>
      <c r="CE1612" s="1407"/>
      <c r="CF1612" s="1407"/>
      <c r="CG1612" s="1407"/>
      <c r="CH1612" s="1407"/>
      <c r="CI1612" s="1407"/>
      <c r="CJ1612" s="1407"/>
      <c r="CK1612" s="1407"/>
      <c r="CL1612" s="1407"/>
      <c r="CM1612" s="1407"/>
      <c r="CN1612" s="1407"/>
      <c r="CO1612" s="1407"/>
      <c r="CP1612" s="1407"/>
    </row>
    <row r="1613" ht="15.75" customHeight="1">
      <c r="A1613" s="442" t="s">
        <v>7538</v>
      </c>
      <c r="B1613" s="68" t="s">
        <v>5092</v>
      </c>
      <c r="C1613" s="69" t="s">
        <v>427</v>
      </c>
      <c r="D1613" s="200" t="s">
        <v>7539</v>
      </c>
      <c r="E1613" s="200" t="s">
        <v>7540</v>
      </c>
      <c r="F1613" s="177" t="s">
        <v>7541</v>
      </c>
      <c r="G1613" s="71" t="s">
        <v>7542</v>
      </c>
      <c r="H1613" s="186" t="s">
        <v>7543</v>
      </c>
      <c r="I1613" s="74" t="s">
        <v>100</v>
      </c>
      <c r="J1613" s="72" t="s">
        <v>7544</v>
      </c>
      <c r="K1613" s="26">
        <v>3.0</v>
      </c>
      <c r="L1613" s="26">
        <v>2011.0</v>
      </c>
      <c r="M1613" s="25">
        <f t="shared" si="789"/>
        <v>14</v>
      </c>
      <c r="N1613" s="26">
        <f t="shared" si="790"/>
        <v>0</v>
      </c>
      <c r="O1613" s="27" t="str">
        <f t="shared" si="3"/>
        <v>#N/A</v>
      </c>
      <c r="P1613" s="28"/>
      <c r="Q1613" s="28"/>
      <c r="R1613" s="28"/>
      <c r="S1613" s="28"/>
      <c r="T1613" s="29">
        <f t="shared" si="791"/>
        <v>0</v>
      </c>
      <c r="U1613" s="28"/>
      <c r="V1613" s="30">
        <f t="shared" si="425"/>
        <v>0</v>
      </c>
      <c r="W1613" s="30"/>
      <c r="X1613" s="73"/>
      <c r="Y1613" s="33" t="str">
        <f t="shared" si="792"/>
        <v>#DIV/0!</v>
      </c>
      <c r="Z1613" s="692"/>
      <c r="AA1613" s="665"/>
      <c r="AB1613" s="74"/>
      <c r="AC1613" s="74"/>
      <c r="AD1613" s="79"/>
      <c r="AE1613" s="84"/>
      <c r="AF1613" s="338"/>
      <c r="AG1613" s="84"/>
      <c r="AH1613" s="74"/>
      <c r="AI1613" s="78"/>
      <c r="AJ1613" s="79"/>
      <c r="AK1613" s="84"/>
      <c r="AL1613" s="79"/>
      <c r="AM1613" s="84"/>
      <c r="AN1613" s="79"/>
      <c r="AO1613" s="84"/>
      <c r="AP1613" s="79"/>
      <c r="AQ1613" s="84"/>
      <c r="AR1613" s="79"/>
      <c r="AS1613" s="79"/>
      <c r="AT1613" s="79"/>
      <c r="AU1613" s="80"/>
      <c r="AV1613" s="79"/>
      <c r="AW1613" s="38"/>
      <c r="AX1613" s="79"/>
      <c r="AY1613" s="38"/>
      <c r="AZ1613" s="79"/>
      <c r="BA1613" s="80"/>
      <c r="BB1613" s="79"/>
      <c r="BC1613" s="80"/>
      <c r="BD1613" s="79"/>
      <c r="BE1613" s="38"/>
      <c r="BF1613" s="74"/>
      <c r="BG1613" s="68"/>
      <c r="BH1613" s="68"/>
      <c r="BI1613" s="68"/>
      <c r="BJ1613" s="68"/>
      <c r="BK1613" s="68"/>
      <c r="BL1613" s="68"/>
      <c r="BM1613" s="68"/>
      <c r="BN1613" s="68"/>
      <c r="BO1613" s="68"/>
      <c r="BP1613" s="68"/>
      <c r="BQ1613" s="68"/>
      <c r="BR1613" s="68"/>
      <c r="BS1613" s="68"/>
      <c r="BT1613" s="68"/>
      <c r="BU1613" s="68"/>
      <c r="BV1613" s="68"/>
      <c r="BW1613" s="68"/>
      <c r="BX1613" s="68"/>
      <c r="BY1613" s="68"/>
      <c r="BZ1613" s="68"/>
      <c r="CA1613" s="68"/>
      <c r="CB1613" s="68"/>
      <c r="CC1613" s="68"/>
      <c r="CD1613" s="68"/>
      <c r="CE1613" s="68"/>
      <c r="CF1613" s="68"/>
      <c r="CG1613" s="68"/>
      <c r="CH1613" s="68"/>
      <c r="CI1613" s="68"/>
      <c r="CJ1613" s="68"/>
      <c r="CK1613" s="68"/>
      <c r="CL1613" s="68"/>
      <c r="CM1613" s="68"/>
      <c r="CN1613" s="68"/>
      <c r="CO1613" s="68"/>
      <c r="CP1613" s="68"/>
    </row>
    <row r="1614" ht="15.75" customHeight="1">
      <c r="A1614" s="1737" t="s">
        <v>7545</v>
      </c>
      <c r="B1614" s="1762"/>
      <c r="C1614" s="1762" t="s">
        <v>7469</v>
      </c>
      <c r="D1614" s="1763" t="s">
        <v>4781</v>
      </c>
      <c r="E1614" s="1763" t="s">
        <v>4781</v>
      </c>
      <c r="F1614" s="1742" t="s">
        <v>7546</v>
      </c>
      <c r="G1614" s="1764" t="s">
        <v>7547</v>
      </c>
      <c r="H1614" s="1744" t="s">
        <v>163</v>
      </c>
      <c r="I1614" s="1739" t="s">
        <v>164</v>
      </c>
      <c r="J1614" s="1765"/>
      <c r="K1614" s="1738"/>
      <c r="L1614" s="1739">
        <v>2012.0</v>
      </c>
      <c r="M1614" s="25">
        <f t="shared" si="789"/>
        <v>13</v>
      </c>
      <c r="N1614" s="26">
        <f t="shared" si="790"/>
        <v>0</v>
      </c>
      <c r="O1614" s="27" t="str">
        <f t="shared" si="3"/>
        <v>#N/A</v>
      </c>
      <c r="P1614" s="28"/>
      <c r="Q1614" s="28"/>
      <c r="R1614" s="28"/>
      <c r="S1614" s="28"/>
      <c r="T1614" s="29">
        <f t="shared" si="791"/>
        <v>0</v>
      </c>
      <c r="U1614" s="28"/>
      <c r="V1614" s="30">
        <f t="shared" si="425"/>
        <v>0</v>
      </c>
      <c r="W1614" s="30"/>
      <c r="X1614" s="1746"/>
      <c r="Y1614" s="33" t="str">
        <f t="shared" si="792"/>
        <v>#DIV/0!</v>
      </c>
      <c r="Z1614" s="692"/>
      <c r="AA1614" s="665"/>
      <c r="AB1614" s="1738"/>
      <c r="AC1614" s="1738"/>
      <c r="AD1614" s="1747"/>
      <c r="AE1614" s="1748"/>
      <c r="AF1614" s="1749"/>
      <c r="AG1614" s="1766"/>
      <c r="AH1614" s="1738"/>
      <c r="AI1614" s="1750"/>
      <c r="AJ1614" s="1767"/>
      <c r="AK1614" s="1768"/>
      <c r="AL1614" s="1767"/>
      <c r="AM1614" s="1766"/>
      <c r="AN1614" s="1747"/>
      <c r="AO1614" s="1748"/>
      <c r="AP1614" s="1747"/>
      <c r="AQ1614" s="1748"/>
      <c r="AR1614" s="1747"/>
      <c r="AS1614" s="1747"/>
      <c r="AT1614" s="1747"/>
      <c r="AU1614" s="1751"/>
      <c r="AV1614" s="1747"/>
      <c r="AW1614" s="38"/>
      <c r="AX1614" s="1747"/>
      <c r="AY1614" s="38"/>
      <c r="AZ1614" s="1747"/>
      <c r="BA1614" s="1751"/>
      <c r="BB1614" s="1747"/>
      <c r="BC1614" s="1751"/>
      <c r="BD1614" s="1747"/>
      <c r="BE1614" s="38"/>
      <c r="BF1614" s="1738"/>
      <c r="BG1614" s="1644"/>
      <c r="BH1614" s="1644"/>
      <c r="BI1614" s="1644"/>
      <c r="BJ1614" s="1644"/>
      <c r="BK1614" s="1644"/>
      <c r="BL1614" s="1644"/>
      <c r="BM1614" s="1644"/>
      <c r="BN1614" s="1644"/>
      <c r="BO1614" s="1644"/>
      <c r="BP1614" s="1644"/>
      <c r="BQ1614" s="1644"/>
      <c r="BR1614" s="1644"/>
      <c r="BS1614" s="1644"/>
      <c r="BT1614" s="1644"/>
      <c r="BU1614" s="1644"/>
      <c r="BV1614" s="1644"/>
      <c r="BW1614" s="1644"/>
      <c r="BX1614" s="1644"/>
      <c r="BY1614" s="1644"/>
      <c r="BZ1614" s="1644"/>
      <c r="CA1614" s="1644"/>
      <c r="CB1614" s="1644"/>
      <c r="CC1614" s="1644"/>
      <c r="CD1614" s="1644"/>
      <c r="CE1614" s="1644"/>
      <c r="CF1614" s="1644"/>
      <c r="CG1614" s="1644"/>
      <c r="CH1614" s="1644"/>
      <c r="CI1614" s="1644"/>
      <c r="CJ1614" s="1644"/>
      <c r="CK1614" s="1644"/>
      <c r="CL1614" s="1644"/>
      <c r="CM1614" s="1644"/>
      <c r="CN1614" s="1644"/>
      <c r="CO1614" s="1644"/>
      <c r="CP1614" s="1644"/>
    </row>
    <row r="1615" ht="15.75" customHeight="1">
      <c r="A1615" s="860" t="s">
        <v>7548</v>
      </c>
      <c r="B1615" s="116"/>
      <c r="C1615" s="116" t="s">
        <v>207</v>
      </c>
      <c r="D1615" s="48"/>
      <c r="E1615" s="192" t="s">
        <v>7549</v>
      </c>
      <c r="F1615" s="386" t="s">
        <v>7550</v>
      </c>
      <c r="G1615" s="286"/>
      <c r="H1615" s="119" t="s">
        <v>328</v>
      </c>
      <c r="I1615" s="25" t="s">
        <v>329</v>
      </c>
      <c r="J1615" s="287"/>
      <c r="K1615" s="123"/>
      <c r="L1615" s="25">
        <v>1999.0</v>
      </c>
      <c r="M1615" s="25">
        <f t="shared" si="789"/>
        <v>26</v>
      </c>
      <c r="N1615" s="26">
        <f t="shared" si="790"/>
        <v>0</v>
      </c>
      <c r="O1615" s="27" t="str">
        <f t="shared" si="3"/>
        <v>#N/A</v>
      </c>
      <c r="P1615" s="28"/>
      <c r="Q1615" s="28"/>
      <c r="R1615" s="28"/>
      <c r="S1615" s="28"/>
      <c r="T1615" s="29">
        <f t="shared" si="791"/>
        <v>0</v>
      </c>
      <c r="U1615" s="28"/>
      <c r="V1615" s="30">
        <f t="shared" si="425"/>
        <v>0</v>
      </c>
      <c r="W1615" s="30"/>
      <c r="X1615" s="403"/>
      <c r="Y1615" s="33" t="str">
        <f t="shared" si="792"/>
        <v>#DIV/0!</v>
      </c>
      <c r="Z1615" s="692"/>
      <c r="AA1615" s="665"/>
      <c r="AB1615" s="123"/>
      <c r="AC1615" s="123"/>
      <c r="AD1615" s="124"/>
      <c r="AE1615" s="125"/>
      <c r="AF1615" s="166"/>
      <c r="AG1615" s="127"/>
      <c r="AH1615" s="123"/>
      <c r="AI1615" s="128"/>
      <c r="AJ1615" s="169"/>
      <c r="AK1615" s="165"/>
      <c r="AL1615" s="169"/>
      <c r="AM1615" s="127"/>
      <c r="AN1615" s="124"/>
      <c r="AO1615" s="125"/>
      <c r="AP1615" s="124"/>
      <c r="AQ1615" s="125"/>
      <c r="AR1615" s="124"/>
      <c r="AS1615" s="124"/>
      <c r="AT1615" s="124"/>
      <c r="AU1615" s="137"/>
      <c r="AV1615" s="124"/>
      <c r="AW1615" s="38"/>
      <c r="AX1615" s="124"/>
      <c r="AY1615" s="38"/>
      <c r="AZ1615" s="124"/>
      <c r="BA1615" s="137"/>
      <c r="BB1615" s="124"/>
      <c r="BC1615" s="137"/>
      <c r="BD1615" s="124"/>
      <c r="BE1615" s="38"/>
      <c r="BF1615" s="123"/>
      <c r="BG1615" s="760"/>
      <c r="BH1615" s="760"/>
      <c r="BI1615" s="760"/>
      <c r="BJ1615" s="760"/>
      <c r="BK1615" s="760"/>
      <c r="BL1615" s="760"/>
      <c r="BM1615" s="760"/>
      <c r="BN1615" s="760"/>
      <c r="BO1615" s="760"/>
      <c r="BP1615" s="760"/>
      <c r="BQ1615" s="760"/>
      <c r="BR1615" s="760"/>
      <c r="BS1615" s="760"/>
      <c r="BT1615" s="760"/>
      <c r="BU1615" s="760"/>
      <c r="BV1615" s="760"/>
      <c r="BW1615" s="760"/>
      <c r="BX1615" s="760"/>
      <c r="BY1615" s="760"/>
      <c r="BZ1615" s="760"/>
      <c r="CA1615" s="760"/>
      <c r="CB1615" s="760"/>
      <c r="CC1615" s="760"/>
      <c r="CD1615" s="760"/>
      <c r="CE1615" s="760"/>
      <c r="CF1615" s="760"/>
      <c r="CG1615" s="760"/>
      <c r="CH1615" s="760"/>
      <c r="CI1615" s="760"/>
      <c r="CJ1615" s="760"/>
      <c r="CK1615" s="760"/>
      <c r="CL1615" s="760"/>
      <c r="CM1615" s="760"/>
      <c r="CN1615" s="760"/>
      <c r="CO1615" s="760"/>
      <c r="CP1615" s="760"/>
    </row>
    <row r="1616" ht="15.75" customHeight="1">
      <c r="A1616" s="860" t="s">
        <v>7551</v>
      </c>
      <c r="B1616" s="116"/>
      <c r="C1616" s="116" t="s">
        <v>123</v>
      </c>
      <c r="D1616" s="192" t="s">
        <v>7552</v>
      </c>
      <c r="E1616" s="192" t="s">
        <v>7553</v>
      </c>
      <c r="F1616" s="118" t="s">
        <v>7554</v>
      </c>
      <c r="G1616" s="286"/>
      <c r="H1616" s="119" t="s">
        <v>7555</v>
      </c>
      <c r="I1616" s="25" t="s">
        <v>4984</v>
      </c>
      <c r="J1616" s="287"/>
      <c r="K1616" s="123"/>
      <c r="L1616" s="25">
        <v>1979.0</v>
      </c>
      <c r="M1616" s="25">
        <f t="shared" si="789"/>
        <v>46</v>
      </c>
      <c r="N1616" s="26">
        <f t="shared" si="790"/>
        <v>0</v>
      </c>
      <c r="O1616" s="27" t="str">
        <f t="shared" si="3"/>
        <v>#N/A</v>
      </c>
      <c r="P1616" s="28"/>
      <c r="Q1616" s="28"/>
      <c r="R1616" s="28"/>
      <c r="S1616" s="28"/>
      <c r="T1616" s="29">
        <f t="shared" si="791"/>
        <v>0</v>
      </c>
      <c r="U1616" s="28"/>
      <c r="V1616" s="30">
        <f t="shared" si="425"/>
        <v>0</v>
      </c>
      <c r="W1616" s="30"/>
      <c r="X1616" s="403"/>
      <c r="Y1616" s="33" t="str">
        <f t="shared" si="792"/>
        <v>#DIV/0!</v>
      </c>
      <c r="Z1616" s="692"/>
      <c r="AA1616" s="665"/>
      <c r="AB1616" s="123"/>
      <c r="AC1616" s="123"/>
      <c r="AD1616" s="124"/>
      <c r="AE1616" s="125"/>
      <c r="AF1616" s="166"/>
      <c r="AG1616" s="127"/>
      <c r="AH1616" s="123"/>
      <c r="AI1616" s="128"/>
      <c r="AJ1616" s="169"/>
      <c r="AK1616" s="165"/>
      <c r="AL1616" s="169"/>
      <c r="AM1616" s="127"/>
      <c r="AN1616" s="124"/>
      <c r="AO1616" s="125"/>
      <c r="AP1616" s="124"/>
      <c r="AQ1616" s="125"/>
      <c r="AR1616" s="124"/>
      <c r="AS1616" s="124"/>
      <c r="AT1616" s="124"/>
      <c r="AU1616" s="137"/>
      <c r="AV1616" s="124"/>
      <c r="AW1616" s="38"/>
      <c r="AX1616" s="124"/>
      <c r="AY1616" s="38"/>
      <c r="AZ1616" s="124"/>
      <c r="BA1616" s="137"/>
      <c r="BB1616" s="124"/>
      <c r="BC1616" s="137"/>
      <c r="BD1616" s="124"/>
      <c r="BE1616" s="38"/>
      <c r="BF1616" s="123"/>
      <c r="BG1616" s="115"/>
      <c r="BH1616" s="115"/>
      <c r="BI1616" s="115"/>
      <c r="BJ1616" s="115"/>
      <c r="BK1616" s="115"/>
      <c r="BL1616" s="115"/>
      <c r="BM1616" s="115"/>
      <c r="BN1616" s="115"/>
      <c r="BO1616" s="115"/>
      <c r="BP1616" s="115"/>
      <c r="BQ1616" s="115"/>
      <c r="BR1616" s="115"/>
      <c r="BS1616" s="115"/>
      <c r="BT1616" s="115"/>
      <c r="BU1616" s="115"/>
      <c r="BV1616" s="115"/>
      <c r="BW1616" s="115"/>
      <c r="BX1616" s="115"/>
      <c r="BY1616" s="115"/>
      <c r="BZ1616" s="115"/>
      <c r="CA1616" s="115"/>
      <c r="CB1616" s="115"/>
      <c r="CC1616" s="115"/>
      <c r="CD1616" s="115"/>
      <c r="CE1616" s="115"/>
      <c r="CF1616" s="115"/>
      <c r="CG1616" s="115"/>
      <c r="CH1616" s="115"/>
      <c r="CI1616" s="115"/>
      <c r="CJ1616" s="115"/>
      <c r="CK1616" s="115"/>
      <c r="CL1616" s="115"/>
      <c r="CM1616" s="115"/>
      <c r="CN1616" s="115"/>
      <c r="CO1616" s="115"/>
      <c r="CP1616" s="115"/>
    </row>
    <row r="1617" ht="15.75" customHeight="1">
      <c r="A1617" s="860" t="s">
        <v>7556</v>
      </c>
      <c r="B1617" s="116"/>
      <c r="C1617" s="116" t="s">
        <v>123</v>
      </c>
      <c r="D1617" s="192" t="s">
        <v>7557</v>
      </c>
      <c r="E1617" s="192" t="s">
        <v>7558</v>
      </c>
      <c r="F1617" s="118" t="s">
        <v>7559</v>
      </c>
      <c r="G1617" s="286"/>
      <c r="H1617" s="119" t="s">
        <v>7560</v>
      </c>
      <c r="I1617" s="25" t="s">
        <v>115</v>
      </c>
      <c r="J1617" s="287"/>
      <c r="K1617" s="123"/>
      <c r="L1617" s="25">
        <v>2008.0</v>
      </c>
      <c r="M1617" s="25">
        <f t="shared" si="789"/>
        <v>17</v>
      </c>
      <c r="N1617" s="26">
        <f t="shared" si="790"/>
        <v>0</v>
      </c>
      <c r="O1617" s="27" t="str">
        <f t="shared" si="3"/>
        <v>#N/A</v>
      </c>
      <c r="P1617" s="28"/>
      <c r="Q1617" s="28"/>
      <c r="R1617" s="28"/>
      <c r="S1617" s="28"/>
      <c r="T1617" s="29">
        <f t="shared" si="791"/>
        <v>0</v>
      </c>
      <c r="U1617" s="28"/>
      <c r="V1617" s="30">
        <f t="shared" si="425"/>
        <v>0</v>
      </c>
      <c r="W1617" s="30"/>
      <c r="X1617" s="403"/>
      <c r="Y1617" s="33" t="str">
        <f t="shared" si="792"/>
        <v>#DIV/0!</v>
      </c>
      <c r="Z1617" s="692"/>
      <c r="AA1617" s="665"/>
      <c r="AB1617" s="123"/>
      <c r="AC1617" s="123"/>
      <c r="AD1617" s="124"/>
      <c r="AE1617" s="125"/>
      <c r="AF1617" s="166"/>
      <c r="AG1617" s="127"/>
      <c r="AH1617" s="123"/>
      <c r="AI1617" s="128"/>
      <c r="AJ1617" s="169"/>
      <c r="AK1617" s="165"/>
      <c r="AL1617" s="169"/>
      <c r="AM1617" s="127"/>
      <c r="AN1617" s="124"/>
      <c r="AO1617" s="125"/>
      <c r="AP1617" s="124"/>
      <c r="AQ1617" s="125"/>
      <c r="AR1617" s="124"/>
      <c r="AS1617" s="124"/>
      <c r="AT1617" s="124"/>
      <c r="AU1617" s="137"/>
      <c r="AV1617" s="124"/>
      <c r="AW1617" s="38"/>
      <c r="AX1617" s="124"/>
      <c r="AY1617" s="38"/>
      <c r="AZ1617" s="124"/>
      <c r="BA1617" s="137"/>
      <c r="BB1617" s="124"/>
      <c r="BC1617" s="137"/>
      <c r="BD1617" s="124"/>
      <c r="BE1617" s="38"/>
      <c r="BF1617" s="123"/>
      <c r="BG1617" s="1407"/>
      <c r="BH1617" s="1407"/>
      <c r="BI1617" s="1407"/>
      <c r="BJ1617" s="1407"/>
      <c r="BK1617" s="1407"/>
      <c r="BL1617" s="1407"/>
      <c r="BM1617" s="1407"/>
      <c r="BN1617" s="1407"/>
      <c r="BO1617" s="1407"/>
      <c r="BP1617" s="1407"/>
      <c r="BQ1617" s="1407"/>
      <c r="BR1617" s="1407"/>
      <c r="BS1617" s="1407"/>
      <c r="BT1617" s="1407"/>
      <c r="BU1617" s="1407"/>
      <c r="BV1617" s="1407"/>
      <c r="BW1617" s="1407"/>
      <c r="BX1617" s="1407"/>
      <c r="BY1617" s="1407"/>
      <c r="BZ1617" s="1407"/>
      <c r="CA1617" s="1407"/>
      <c r="CB1617" s="1407"/>
      <c r="CC1617" s="1407"/>
      <c r="CD1617" s="1407"/>
      <c r="CE1617" s="1407"/>
      <c r="CF1617" s="1407"/>
      <c r="CG1617" s="1407"/>
      <c r="CH1617" s="1407"/>
      <c r="CI1617" s="1407"/>
      <c r="CJ1617" s="1407"/>
      <c r="CK1617" s="1407"/>
      <c r="CL1617" s="1407"/>
      <c r="CM1617" s="1407"/>
      <c r="CN1617" s="1407"/>
      <c r="CO1617" s="1407"/>
      <c r="CP1617" s="1407"/>
    </row>
    <row r="1618" ht="15.75" customHeight="1">
      <c r="A1618" s="400" t="s">
        <v>7561</v>
      </c>
      <c r="B1618" s="116"/>
      <c r="C1618" s="116" t="s">
        <v>123</v>
      </c>
      <c r="D1618" s="192" t="s">
        <v>7562</v>
      </c>
      <c r="E1618" s="192" t="s">
        <v>7563</v>
      </c>
      <c r="F1618" s="402" t="s">
        <v>7564</v>
      </c>
      <c r="G1618" s="286"/>
      <c r="H1618" s="119" t="s">
        <v>262</v>
      </c>
      <c r="I1618" s="25" t="s">
        <v>5145</v>
      </c>
      <c r="J1618" s="287"/>
      <c r="K1618" s="123"/>
      <c r="L1618" s="25">
        <v>2015.0</v>
      </c>
      <c r="M1618" s="25">
        <f t="shared" si="789"/>
        <v>10</v>
      </c>
      <c r="N1618" s="26">
        <f t="shared" si="790"/>
        <v>0</v>
      </c>
      <c r="O1618" s="27" t="str">
        <f t="shared" si="3"/>
        <v>#N/A</v>
      </c>
      <c r="P1618" s="28"/>
      <c r="Q1618" s="28"/>
      <c r="R1618" s="28"/>
      <c r="S1618" s="28"/>
      <c r="T1618" s="29">
        <f t="shared" si="791"/>
        <v>0</v>
      </c>
      <c r="U1618" s="28"/>
      <c r="V1618" s="30">
        <f t="shared" si="425"/>
        <v>0</v>
      </c>
      <c r="W1618" s="30"/>
      <c r="X1618" s="403"/>
      <c r="Y1618" s="33" t="str">
        <f t="shared" si="792"/>
        <v>#DIV/0!</v>
      </c>
      <c r="Z1618" s="692"/>
      <c r="AA1618" s="665"/>
      <c r="AB1618" s="123"/>
      <c r="AC1618" s="123"/>
      <c r="AD1618" s="124"/>
      <c r="AE1618" s="125"/>
      <c r="AF1618" s="166"/>
      <c r="AG1618" s="127"/>
      <c r="AH1618" s="123"/>
      <c r="AI1618" s="128"/>
      <c r="AJ1618" s="169"/>
      <c r="AK1618" s="165"/>
      <c r="AL1618" s="169"/>
      <c r="AM1618" s="127"/>
      <c r="AN1618" s="124"/>
      <c r="AO1618" s="125"/>
      <c r="AP1618" s="124"/>
      <c r="AQ1618" s="125"/>
      <c r="AR1618" s="124"/>
      <c r="AS1618" s="124"/>
      <c r="AT1618" s="124"/>
      <c r="AU1618" s="137"/>
      <c r="AV1618" s="124"/>
      <c r="AW1618" s="38"/>
      <c r="AX1618" s="124"/>
      <c r="AY1618" s="38"/>
      <c r="AZ1618" s="124"/>
      <c r="BA1618" s="137"/>
      <c r="BB1618" s="124"/>
      <c r="BC1618" s="137"/>
      <c r="BD1618" s="124"/>
      <c r="BE1618" s="38"/>
      <c r="BF1618" s="123"/>
      <c r="BG1618" s="68"/>
      <c r="BH1618" s="68"/>
      <c r="BI1618" s="68"/>
      <c r="BJ1618" s="68"/>
      <c r="BK1618" s="68"/>
      <c r="BL1618" s="68"/>
      <c r="BM1618" s="68"/>
      <c r="BN1618" s="68"/>
      <c r="BO1618" s="68"/>
      <c r="BP1618" s="68"/>
      <c r="BQ1618" s="68"/>
      <c r="BR1618" s="68"/>
      <c r="BS1618" s="68"/>
      <c r="BT1618" s="68"/>
      <c r="BU1618" s="68"/>
      <c r="BV1618" s="68"/>
      <c r="BW1618" s="68"/>
      <c r="BX1618" s="68"/>
      <c r="BY1618" s="68"/>
      <c r="BZ1618" s="68"/>
      <c r="CA1618" s="68"/>
      <c r="CB1618" s="68"/>
      <c r="CC1618" s="68"/>
      <c r="CD1618" s="68"/>
      <c r="CE1618" s="68"/>
      <c r="CF1618" s="68"/>
      <c r="CG1618" s="68"/>
      <c r="CH1618" s="68"/>
      <c r="CI1618" s="68"/>
      <c r="CJ1618" s="68"/>
      <c r="CK1618" s="68"/>
      <c r="CL1618" s="68"/>
      <c r="CM1618" s="68"/>
      <c r="CN1618" s="68"/>
      <c r="CO1618" s="68"/>
      <c r="CP1618" s="68"/>
    </row>
    <row r="1619" ht="15.75" customHeight="1">
      <c r="A1619" s="860" t="s">
        <v>7565</v>
      </c>
      <c r="B1619" s="116"/>
      <c r="C1619" s="116" t="s">
        <v>123</v>
      </c>
      <c r="D1619" s="449"/>
      <c r="E1619" s="192" t="s">
        <v>7566</v>
      </c>
      <c r="F1619" s="118" t="s">
        <v>7567</v>
      </c>
      <c r="G1619" s="286"/>
      <c r="H1619" s="119" t="s">
        <v>129</v>
      </c>
      <c r="I1619" s="25" t="s">
        <v>129</v>
      </c>
      <c r="J1619" s="287"/>
      <c r="K1619" s="123"/>
      <c r="L1619" s="25">
        <v>2019.0</v>
      </c>
      <c r="M1619" s="25">
        <f t="shared" si="789"/>
        <v>6</v>
      </c>
      <c r="N1619" s="26">
        <f t="shared" si="790"/>
        <v>0</v>
      </c>
      <c r="O1619" s="27" t="str">
        <f t="shared" si="3"/>
        <v>#N/A</v>
      </c>
      <c r="P1619" s="28"/>
      <c r="Q1619" s="28"/>
      <c r="R1619" s="28"/>
      <c r="S1619" s="28"/>
      <c r="T1619" s="29">
        <f t="shared" si="791"/>
        <v>0</v>
      </c>
      <c r="U1619" s="28"/>
      <c r="V1619" s="30">
        <f t="shared" si="425"/>
        <v>0</v>
      </c>
      <c r="W1619" s="30"/>
      <c r="X1619" s="403"/>
      <c r="Y1619" s="33" t="str">
        <f t="shared" si="792"/>
        <v>#DIV/0!</v>
      </c>
      <c r="Z1619" s="692"/>
      <c r="AA1619" s="665"/>
      <c r="AB1619" s="123"/>
      <c r="AC1619" s="123"/>
      <c r="AD1619" s="124"/>
      <c r="AE1619" s="125"/>
      <c r="AF1619" s="166"/>
      <c r="AG1619" s="127"/>
      <c r="AH1619" s="123"/>
      <c r="AI1619" s="128"/>
      <c r="AJ1619" s="169"/>
      <c r="AK1619" s="165"/>
      <c r="AL1619" s="169"/>
      <c r="AM1619" s="127"/>
      <c r="AN1619" s="124"/>
      <c r="AO1619" s="125"/>
      <c r="AP1619" s="124"/>
      <c r="AQ1619" s="125"/>
      <c r="AR1619" s="124"/>
      <c r="AS1619" s="124"/>
      <c r="AT1619" s="124"/>
      <c r="AU1619" s="137"/>
      <c r="AV1619" s="124"/>
      <c r="AW1619" s="38"/>
      <c r="AX1619" s="124"/>
      <c r="AY1619" s="38"/>
      <c r="AZ1619" s="124"/>
      <c r="BA1619" s="137"/>
      <c r="BB1619" s="124"/>
      <c r="BC1619" s="137"/>
      <c r="BD1619" s="124"/>
      <c r="BE1619" s="38"/>
      <c r="BF1619" s="123"/>
      <c r="BG1619" s="115"/>
      <c r="BH1619" s="115"/>
      <c r="BI1619" s="115"/>
      <c r="BJ1619" s="115"/>
      <c r="BK1619" s="115"/>
      <c r="BL1619" s="115"/>
      <c r="BM1619" s="115"/>
      <c r="BN1619" s="115"/>
      <c r="BO1619" s="115"/>
      <c r="BP1619" s="115"/>
      <c r="BQ1619" s="115"/>
      <c r="BR1619" s="115"/>
      <c r="BS1619" s="115"/>
      <c r="BT1619" s="115"/>
      <c r="BU1619" s="115"/>
      <c r="BV1619" s="115"/>
      <c r="BW1619" s="115"/>
      <c r="BX1619" s="115"/>
      <c r="BY1619" s="115"/>
      <c r="BZ1619" s="115"/>
      <c r="CA1619" s="115"/>
      <c r="CB1619" s="115"/>
      <c r="CC1619" s="115"/>
      <c r="CD1619" s="115"/>
      <c r="CE1619" s="115"/>
      <c r="CF1619" s="115"/>
      <c r="CG1619" s="115"/>
      <c r="CH1619" s="115"/>
      <c r="CI1619" s="115"/>
      <c r="CJ1619" s="115"/>
      <c r="CK1619" s="115"/>
      <c r="CL1619" s="115"/>
      <c r="CM1619" s="115"/>
      <c r="CN1619" s="115"/>
      <c r="CO1619" s="115"/>
      <c r="CP1619" s="115"/>
    </row>
    <row r="1620" ht="15.75" customHeight="1">
      <c r="A1620" s="860" t="s">
        <v>7568</v>
      </c>
      <c r="B1620" s="116"/>
      <c r="C1620" s="116" t="s">
        <v>1972</v>
      </c>
      <c r="D1620" s="449"/>
      <c r="E1620" s="192" t="s">
        <v>7569</v>
      </c>
      <c r="F1620" s="118" t="s">
        <v>7570</v>
      </c>
      <c r="G1620" s="286"/>
      <c r="H1620" s="119" t="s">
        <v>592</v>
      </c>
      <c r="I1620" s="25" t="s">
        <v>2954</v>
      </c>
      <c r="J1620" s="287"/>
      <c r="K1620" s="123"/>
      <c r="L1620" s="25">
        <v>2013.0</v>
      </c>
      <c r="M1620" s="25">
        <f t="shared" si="789"/>
        <v>12</v>
      </c>
      <c r="N1620" s="26">
        <f t="shared" si="790"/>
        <v>0</v>
      </c>
      <c r="O1620" s="27" t="str">
        <f t="shared" si="3"/>
        <v>#N/A</v>
      </c>
      <c r="P1620" s="28"/>
      <c r="Q1620" s="28"/>
      <c r="R1620" s="28"/>
      <c r="S1620" s="28"/>
      <c r="T1620" s="29">
        <f t="shared" si="791"/>
        <v>0</v>
      </c>
      <c r="U1620" s="28"/>
      <c r="V1620" s="30">
        <f t="shared" si="425"/>
        <v>0</v>
      </c>
      <c r="W1620" s="30"/>
      <c r="X1620" s="403"/>
      <c r="Y1620" s="33" t="str">
        <f t="shared" si="792"/>
        <v>#DIV/0!</v>
      </c>
      <c r="Z1620" s="692"/>
      <c r="AA1620" s="665"/>
      <c r="AB1620" s="123"/>
      <c r="AC1620" s="123"/>
      <c r="AD1620" s="124"/>
      <c r="AE1620" s="125"/>
      <c r="AF1620" s="166"/>
      <c r="AG1620" s="127"/>
      <c r="AH1620" s="123"/>
      <c r="AI1620" s="128"/>
      <c r="AJ1620" s="169"/>
      <c r="AK1620" s="165"/>
      <c r="AL1620" s="169"/>
      <c r="AM1620" s="127"/>
      <c r="AN1620" s="124"/>
      <c r="AO1620" s="125"/>
      <c r="AP1620" s="124"/>
      <c r="AQ1620" s="125"/>
      <c r="AR1620" s="124"/>
      <c r="AS1620" s="124"/>
      <c r="AT1620" s="124"/>
      <c r="AU1620" s="137"/>
      <c r="AV1620" s="124"/>
      <c r="AW1620" s="38"/>
      <c r="AX1620" s="124"/>
      <c r="AY1620" s="38"/>
      <c r="AZ1620" s="124"/>
      <c r="BA1620" s="137"/>
      <c r="BB1620" s="124"/>
      <c r="BC1620" s="137"/>
      <c r="BD1620" s="124"/>
      <c r="BE1620" s="38"/>
      <c r="BF1620" s="123"/>
      <c r="BG1620" s="115"/>
      <c r="BH1620" s="115"/>
      <c r="BI1620" s="115"/>
      <c r="BJ1620" s="115"/>
      <c r="BK1620" s="115"/>
      <c r="BL1620" s="115"/>
      <c r="BM1620" s="115"/>
      <c r="BN1620" s="115"/>
      <c r="BO1620" s="115"/>
      <c r="BP1620" s="115"/>
      <c r="BQ1620" s="115"/>
      <c r="BR1620" s="115"/>
      <c r="BS1620" s="115"/>
      <c r="BT1620" s="115"/>
      <c r="BU1620" s="115"/>
      <c r="BV1620" s="115"/>
      <c r="BW1620" s="115"/>
      <c r="BX1620" s="115"/>
      <c r="BY1620" s="115"/>
      <c r="BZ1620" s="115"/>
      <c r="CA1620" s="115"/>
      <c r="CB1620" s="115"/>
      <c r="CC1620" s="115"/>
      <c r="CD1620" s="115"/>
      <c r="CE1620" s="115"/>
      <c r="CF1620" s="115"/>
      <c r="CG1620" s="115"/>
      <c r="CH1620" s="115"/>
      <c r="CI1620" s="115"/>
      <c r="CJ1620" s="115"/>
      <c r="CK1620" s="115"/>
      <c r="CL1620" s="115"/>
      <c r="CM1620" s="115"/>
      <c r="CN1620" s="115"/>
      <c r="CO1620" s="115"/>
      <c r="CP1620" s="115"/>
    </row>
    <row r="1621" ht="15.75" customHeight="1">
      <c r="A1621" s="1769" t="s">
        <v>7571</v>
      </c>
      <c r="B1621" s="1762"/>
      <c r="C1621" s="1762" t="s">
        <v>1046</v>
      </c>
      <c r="D1621" s="1741" t="s">
        <v>4781</v>
      </c>
      <c r="E1621" s="1741" t="s">
        <v>4781</v>
      </c>
      <c r="F1621" s="1742" t="s">
        <v>7572</v>
      </c>
      <c r="G1621" s="1770"/>
      <c r="H1621" s="1744" t="s">
        <v>309</v>
      </c>
      <c r="I1621" s="1739" t="s">
        <v>115</v>
      </c>
      <c r="J1621" s="1765"/>
      <c r="K1621" s="1738"/>
      <c r="L1621" s="1739"/>
      <c r="M1621" s="25">
        <f t="shared" si="789"/>
        <v>2025</v>
      </c>
      <c r="N1621" s="26">
        <f t="shared" si="790"/>
        <v>0</v>
      </c>
      <c r="O1621" s="27" t="str">
        <f t="shared" si="3"/>
        <v>#N/A</v>
      </c>
      <c r="P1621" s="28"/>
      <c r="Q1621" s="28"/>
      <c r="R1621" s="28"/>
      <c r="S1621" s="28"/>
      <c r="T1621" s="29">
        <f t="shared" si="791"/>
        <v>0</v>
      </c>
      <c r="U1621" s="28"/>
      <c r="V1621" s="30">
        <f t="shared" si="425"/>
        <v>0</v>
      </c>
      <c r="W1621" s="30"/>
      <c r="X1621" s="1746"/>
      <c r="Y1621" s="33" t="str">
        <f t="shared" si="792"/>
        <v>#DIV/0!</v>
      </c>
      <c r="Z1621" s="692"/>
      <c r="AA1621" s="665"/>
      <c r="AB1621" s="1738"/>
      <c r="AC1621" s="1738"/>
      <c r="AD1621" s="1747"/>
      <c r="AE1621" s="1748"/>
      <c r="AF1621" s="1749"/>
      <c r="AG1621" s="1766"/>
      <c r="AH1621" s="1738"/>
      <c r="AI1621" s="1750"/>
      <c r="AJ1621" s="1767"/>
      <c r="AK1621" s="1768"/>
      <c r="AL1621" s="1767"/>
      <c r="AM1621" s="1766"/>
      <c r="AN1621" s="1747"/>
      <c r="AO1621" s="1748"/>
      <c r="AP1621" s="1747"/>
      <c r="AQ1621" s="1748"/>
      <c r="AR1621" s="1747"/>
      <c r="AS1621" s="1747"/>
      <c r="AT1621" s="1747"/>
      <c r="AU1621" s="1751"/>
      <c r="AV1621" s="1747"/>
      <c r="AW1621" s="38"/>
      <c r="AX1621" s="1747"/>
      <c r="AY1621" s="38"/>
      <c r="AZ1621" s="1747"/>
      <c r="BA1621" s="1751"/>
      <c r="BB1621" s="1747"/>
      <c r="BC1621" s="1751"/>
      <c r="BD1621" s="1747"/>
      <c r="BE1621" s="38"/>
      <c r="BF1621" s="1738"/>
      <c r="BG1621" s="115"/>
      <c r="BH1621" s="115"/>
      <c r="BI1621" s="115"/>
      <c r="BJ1621" s="115"/>
      <c r="BK1621" s="115"/>
      <c r="BL1621" s="115"/>
      <c r="BM1621" s="115"/>
      <c r="BN1621" s="115"/>
      <c r="BO1621" s="115"/>
      <c r="BP1621" s="115"/>
      <c r="BQ1621" s="115"/>
      <c r="BR1621" s="115"/>
      <c r="BS1621" s="115"/>
      <c r="BT1621" s="115"/>
      <c r="BU1621" s="115"/>
      <c r="BV1621" s="115"/>
      <c r="BW1621" s="115"/>
      <c r="BX1621" s="115"/>
      <c r="BY1621" s="115"/>
      <c r="BZ1621" s="115"/>
      <c r="CA1621" s="115"/>
      <c r="CB1621" s="115"/>
      <c r="CC1621" s="115"/>
      <c r="CD1621" s="115"/>
      <c r="CE1621" s="115"/>
      <c r="CF1621" s="115"/>
      <c r="CG1621" s="115"/>
      <c r="CH1621" s="115"/>
      <c r="CI1621" s="115"/>
      <c r="CJ1621" s="115"/>
      <c r="CK1621" s="115"/>
      <c r="CL1621" s="115"/>
      <c r="CM1621" s="115"/>
      <c r="CN1621" s="115"/>
      <c r="CO1621" s="115"/>
      <c r="CP1621" s="115"/>
    </row>
    <row r="1622" ht="15.75" customHeight="1">
      <c r="A1622" s="860" t="s">
        <v>7573</v>
      </c>
      <c r="B1622" s="115"/>
      <c r="C1622" s="116" t="s">
        <v>267</v>
      </c>
      <c r="D1622" s="161" t="s">
        <v>7574</v>
      </c>
      <c r="E1622" s="161" t="s">
        <v>7575</v>
      </c>
      <c r="F1622" s="118" t="s">
        <v>7576</v>
      </c>
      <c r="G1622" s="54" t="s">
        <v>7577</v>
      </c>
      <c r="H1622" s="119" t="s">
        <v>7578</v>
      </c>
      <c r="I1622" s="25" t="s">
        <v>188</v>
      </c>
      <c r="J1622" s="178" t="s">
        <v>7579</v>
      </c>
      <c r="K1622" s="123"/>
      <c r="L1622" s="25">
        <v>2018.0</v>
      </c>
      <c r="M1622" s="25">
        <f t="shared" si="789"/>
        <v>7</v>
      </c>
      <c r="N1622" s="26">
        <f t="shared" si="790"/>
        <v>0</v>
      </c>
      <c r="O1622" s="27" t="str">
        <f t="shared" si="3"/>
        <v>#N/A</v>
      </c>
      <c r="P1622" s="28"/>
      <c r="Q1622" s="28"/>
      <c r="R1622" s="28"/>
      <c r="S1622" s="28"/>
      <c r="T1622" s="29">
        <f t="shared" si="791"/>
        <v>0</v>
      </c>
      <c r="U1622" s="28"/>
      <c r="V1622" s="30">
        <f t="shared" si="425"/>
        <v>0</v>
      </c>
      <c r="W1622" s="30"/>
      <c r="X1622" s="403"/>
      <c r="Y1622" s="33" t="str">
        <f t="shared" si="792"/>
        <v>#DIV/0!</v>
      </c>
      <c r="Z1622" s="692"/>
      <c r="AA1622" s="665"/>
      <c r="AB1622" s="123"/>
      <c r="AC1622" s="123"/>
      <c r="AD1622" s="124"/>
      <c r="AE1622" s="125"/>
      <c r="AF1622" s="166"/>
      <c r="AG1622" s="125"/>
      <c r="AH1622" s="115"/>
      <c r="AI1622" s="1771"/>
      <c r="AJ1622" s="169"/>
      <c r="AK1622" s="127"/>
      <c r="AL1622" s="169"/>
      <c r="AM1622" s="127"/>
      <c r="AN1622" s="124"/>
      <c r="AO1622" s="125"/>
      <c r="AP1622" s="124"/>
      <c r="AQ1622" s="125"/>
      <c r="AR1622" s="124"/>
      <c r="AS1622" s="124"/>
      <c r="AT1622" s="124"/>
      <c r="AU1622" s="137"/>
      <c r="AV1622" s="124"/>
      <c r="AW1622" s="38"/>
      <c r="AX1622" s="124"/>
      <c r="AY1622" s="38"/>
      <c r="AZ1622" s="124"/>
      <c r="BA1622" s="137"/>
      <c r="BB1622" s="124"/>
      <c r="BC1622" s="137"/>
      <c r="BD1622" s="124"/>
      <c r="BE1622" s="38"/>
      <c r="BF1622" s="123"/>
      <c r="BG1622" s="1644"/>
      <c r="BH1622" s="1644"/>
      <c r="BI1622" s="1644"/>
      <c r="BJ1622" s="1644"/>
      <c r="BK1622" s="1644"/>
      <c r="BL1622" s="1644"/>
      <c r="BM1622" s="1644"/>
      <c r="BN1622" s="1644"/>
      <c r="BO1622" s="1644"/>
      <c r="BP1622" s="1644"/>
      <c r="BQ1622" s="1644"/>
      <c r="BR1622" s="1644"/>
      <c r="BS1622" s="1644"/>
      <c r="BT1622" s="1644"/>
      <c r="BU1622" s="1644"/>
      <c r="BV1622" s="1644"/>
      <c r="BW1622" s="1644"/>
      <c r="BX1622" s="1644"/>
      <c r="BY1622" s="1644"/>
      <c r="BZ1622" s="1644"/>
      <c r="CA1622" s="1644"/>
      <c r="CB1622" s="1644"/>
      <c r="CC1622" s="1644"/>
      <c r="CD1622" s="1644"/>
      <c r="CE1622" s="1644"/>
      <c r="CF1622" s="1644"/>
      <c r="CG1622" s="1644"/>
      <c r="CH1622" s="1644"/>
      <c r="CI1622" s="1644"/>
      <c r="CJ1622" s="1644"/>
      <c r="CK1622" s="1644"/>
      <c r="CL1622" s="1644"/>
      <c r="CM1622" s="1644"/>
      <c r="CN1622" s="1644"/>
      <c r="CO1622" s="1644"/>
      <c r="CP1622" s="1644"/>
    </row>
    <row r="1623" ht="15.75" customHeight="1">
      <c r="A1623" s="860" t="s">
        <v>7580</v>
      </c>
      <c r="B1623" s="115"/>
      <c r="C1623" s="116" t="s">
        <v>276</v>
      </c>
      <c r="D1623" s="192" t="s">
        <v>7581</v>
      </c>
      <c r="E1623" s="192" t="s">
        <v>7582</v>
      </c>
      <c r="F1623" s="386" t="s">
        <v>7583</v>
      </c>
      <c r="G1623" s="286"/>
      <c r="H1623" s="119" t="s">
        <v>7584</v>
      </c>
      <c r="I1623" s="25" t="s">
        <v>329</v>
      </c>
      <c r="J1623" s="287"/>
      <c r="K1623" s="74"/>
      <c r="L1623" s="25">
        <v>1989.0</v>
      </c>
      <c r="M1623" s="25">
        <f t="shared" si="789"/>
        <v>36</v>
      </c>
      <c r="N1623" s="26">
        <f t="shared" si="790"/>
        <v>0</v>
      </c>
      <c r="O1623" s="27" t="str">
        <f t="shared" si="3"/>
        <v>#N/A</v>
      </c>
      <c r="P1623" s="28"/>
      <c r="Q1623" s="28"/>
      <c r="R1623" s="28"/>
      <c r="S1623" s="28"/>
      <c r="T1623" s="29">
        <f t="shared" si="791"/>
        <v>0</v>
      </c>
      <c r="U1623" s="28"/>
      <c r="V1623" s="30">
        <f t="shared" si="425"/>
        <v>0</v>
      </c>
      <c r="W1623" s="30"/>
      <c r="X1623" s="32"/>
      <c r="Y1623" s="33" t="str">
        <f t="shared" si="792"/>
        <v>#DIV/0!</v>
      </c>
      <c r="Z1623" s="692"/>
      <c r="AA1623" s="665"/>
      <c r="AB1623" s="123"/>
      <c r="AC1623" s="123"/>
      <c r="AD1623" s="1368"/>
      <c r="AE1623" s="1369"/>
      <c r="AF1623" s="166"/>
      <c r="AG1623" s="125"/>
      <c r="AH1623" s="115"/>
      <c r="AI1623" s="1771"/>
      <c r="AJ1623" s="124"/>
      <c r="AK1623" s="125"/>
      <c r="AL1623" s="124"/>
      <c r="AM1623" s="125"/>
      <c r="AN1623" s="124"/>
      <c r="AO1623" s="125"/>
      <c r="AP1623" s="124"/>
      <c r="AQ1623" s="125"/>
      <c r="AR1623" s="124"/>
      <c r="AS1623" s="124"/>
      <c r="AT1623" s="124"/>
      <c r="AU1623" s="137"/>
      <c r="AV1623" s="124"/>
      <c r="AW1623" s="38"/>
      <c r="AX1623" s="124"/>
      <c r="AY1623" s="38"/>
      <c r="AZ1623" s="124"/>
      <c r="BA1623" s="137"/>
      <c r="BB1623" s="124"/>
      <c r="BC1623" s="137"/>
      <c r="BD1623" s="124"/>
      <c r="BE1623" s="38"/>
      <c r="BF1623" s="123"/>
      <c r="BG1623" s="115"/>
      <c r="BH1623" s="115"/>
      <c r="BI1623" s="115"/>
      <c r="BJ1623" s="115"/>
      <c r="BK1623" s="115"/>
      <c r="BL1623" s="115"/>
      <c r="BM1623" s="115"/>
      <c r="BN1623" s="115"/>
      <c r="BO1623" s="115"/>
      <c r="BP1623" s="115"/>
      <c r="BQ1623" s="115"/>
      <c r="BR1623" s="115"/>
      <c r="BS1623" s="115"/>
      <c r="BT1623" s="115"/>
      <c r="BU1623" s="115"/>
      <c r="BV1623" s="115"/>
      <c r="BW1623" s="115"/>
      <c r="BX1623" s="115"/>
      <c r="BY1623" s="115"/>
      <c r="BZ1623" s="115"/>
      <c r="CA1623" s="115"/>
      <c r="CB1623" s="115"/>
      <c r="CC1623" s="115"/>
      <c r="CD1623" s="115"/>
      <c r="CE1623" s="115"/>
      <c r="CF1623" s="115"/>
      <c r="CG1623" s="115"/>
      <c r="CH1623" s="115"/>
      <c r="CI1623" s="115"/>
      <c r="CJ1623" s="115"/>
      <c r="CK1623" s="115"/>
      <c r="CL1623" s="115"/>
      <c r="CM1623" s="115"/>
      <c r="CN1623" s="115"/>
      <c r="CO1623" s="115"/>
      <c r="CP1623" s="115"/>
    </row>
    <row r="1624" ht="15.75" customHeight="1">
      <c r="A1624" s="666" t="s">
        <v>7585</v>
      </c>
      <c r="B1624" s="115" t="s">
        <v>4800</v>
      </c>
      <c r="C1624" s="116" t="s">
        <v>207</v>
      </c>
      <c r="D1624" s="449"/>
      <c r="E1624" s="667" t="s">
        <v>7586</v>
      </c>
      <c r="F1624" s="668" t="s">
        <v>7587</v>
      </c>
      <c r="G1624" s="286" t="s">
        <v>7588</v>
      </c>
      <c r="H1624" s="286" t="s">
        <v>2117</v>
      </c>
      <c r="I1624" s="123" t="s">
        <v>128</v>
      </c>
      <c r="J1624" s="287" t="s">
        <v>7589</v>
      </c>
      <c r="K1624" s="74" t="s">
        <v>723</v>
      </c>
      <c r="L1624" s="25">
        <v>2015.0</v>
      </c>
      <c r="M1624" s="25">
        <f t="shared" si="789"/>
        <v>10</v>
      </c>
      <c r="N1624" s="26">
        <f t="shared" si="790"/>
        <v>0</v>
      </c>
      <c r="O1624" s="27" t="str">
        <f t="shared" si="3"/>
        <v>#N/A</v>
      </c>
      <c r="P1624" s="28"/>
      <c r="Q1624" s="28"/>
      <c r="R1624" s="28"/>
      <c r="S1624" s="28"/>
      <c r="T1624" s="29">
        <f t="shared" si="791"/>
        <v>0</v>
      </c>
      <c r="U1624" s="28"/>
      <c r="V1624" s="30">
        <f t="shared" si="425"/>
        <v>0</v>
      </c>
      <c r="W1624" s="30"/>
      <c r="X1624" s="32"/>
      <c r="Y1624" s="33" t="str">
        <f t="shared" si="792"/>
        <v>#DIV/0!</v>
      </c>
      <c r="Z1624" s="692"/>
      <c r="AA1624" s="665"/>
      <c r="AB1624" s="123"/>
      <c r="AC1624" s="123"/>
      <c r="AD1624" s="1027" t="str">
        <f>HYPERLINK("https://www.crunchbase.com/organization/jabbrrbox"," Sep 13, 2018")</f>
        <v> Sep 13, 2018</v>
      </c>
      <c r="AE1624" s="1772"/>
      <c r="AF1624" s="166"/>
      <c r="AG1624" s="125"/>
      <c r="AH1624" s="123"/>
      <c r="AI1624" s="128"/>
      <c r="AJ1624" s="124"/>
      <c r="AK1624" s="125"/>
      <c r="AL1624" s="124"/>
      <c r="AM1624" s="125"/>
      <c r="AN1624" s="124"/>
      <c r="AO1624" s="125"/>
      <c r="AP1624" s="124"/>
      <c r="AQ1624" s="125"/>
      <c r="AR1624" s="124"/>
      <c r="AS1624" s="124"/>
      <c r="AT1624" s="124"/>
      <c r="AU1624" s="137"/>
      <c r="AV1624" s="124"/>
      <c r="AW1624" s="38"/>
      <c r="AX1624" s="124"/>
      <c r="AY1624" s="38"/>
      <c r="AZ1624" s="124"/>
      <c r="BA1624" s="137"/>
      <c r="BB1624" s="124"/>
      <c r="BC1624" s="137"/>
      <c r="BD1624" s="124"/>
      <c r="BE1624" s="38"/>
      <c r="BF1624" s="123"/>
      <c r="BG1624" s="115"/>
      <c r="BH1624" s="115"/>
      <c r="BI1624" s="115"/>
      <c r="BJ1624" s="115"/>
      <c r="BK1624" s="115"/>
      <c r="BL1624" s="115"/>
      <c r="BM1624" s="115"/>
      <c r="BN1624" s="115"/>
      <c r="BO1624" s="115"/>
      <c r="BP1624" s="115"/>
      <c r="BQ1624" s="115"/>
      <c r="BR1624" s="115"/>
      <c r="BS1624" s="115"/>
      <c r="BT1624" s="115"/>
      <c r="BU1624" s="115"/>
      <c r="BV1624" s="115"/>
      <c r="BW1624" s="115"/>
      <c r="BX1624" s="115"/>
      <c r="BY1624" s="115"/>
      <c r="BZ1624" s="115"/>
      <c r="CA1624" s="115"/>
      <c r="CB1624" s="115"/>
      <c r="CC1624" s="115"/>
      <c r="CD1624" s="115"/>
      <c r="CE1624" s="115"/>
      <c r="CF1624" s="115"/>
      <c r="CG1624" s="115"/>
      <c r="CH1624" s="115"/>
      <c r="CI1624" s="115"/>
      <c r="CJ1624" s="115"/>
      <c r="CK1624" s="115"/>
      <c r="CL1624" s="115"/>
      <c r="CM1624" s="115"/>
      <c r="CN1624" s="115"/>
      <c r="CO1624" s="115"/>
      <c r="CP1624" s="115"/>
    </row>
    <row r="1625" ht="15.75" customHeight="1">
      <c r="A1625" s="840" t="s">
        <v>7590</v>
      </c>
      <c r="B1625" s="69" t="s">
        <v>4081</v>
      </c>
      <c r="C1625" s="69" t="s">
        <v>755</v>
      </c>
      <c r="D1625" s="138" t="s">
        <v>7591</v>
      </c>
      <c r="E1625" s="138" t="s">
        <v>7592</v>
      </c>
      <c r="F1625" s="173" t="s">
        <v>7593</v>
      </c>
      <c r="G1625" s="71" t="s">
        <v>7594</v>
      </c>
      <c r="H1625" s="71" t="s">
        <v>2927</v>
      </c>
      <c r="I1625" s="26" t="s">
        <v>7595</v>
      </c>
      <c r="J1625" s="72" t="s">
        <v>7596</v>
      </c>
      <c r="K1625" s="26">
        <v>1.0</v>
      </c>
      <c r="L1625" s="26">
        <v>2016.0</v>
      </c>
      <c r="M1625" s="25">
        <f t="shared" si="789"/>
        <v>9</v>
      </c>
      <c r="N1625" s="26">
        <f t="shared" si="790"/>
        <v>0</v>
      </c>
      <c r="O1625" s="27" t="str">
        <f t="shared" si="3"/>
        <v>#N/A</v>
      </c>
      <c r="P1625" s="28"/>
      <c r="Q1625" s="28"/>
      <c r="R1625" s="28"/>
      <c r="S1625" s="28"/>
      <c r="T1625" s="29">
        <f t="shared" si="791"/>
        <v>0</v>
      </c>
      <c r="U1625" s="28"/>
      <c r="V1625" s="30">
        <f t="shared" si="425"/>
        <v>0</v>
      </c>
      <c r="W1625" s="30"/>
      <c r="X1625" s="73"/>
      <c r="Y1625" s="33" t="str">
        <f t="shared" si="792"/>
        <v>#DIV/0!</v>
      </c>
      <c r="Z1625" s="692"/>
      <c r="AA1625" s="665"/>
      <c r="AB1625" s="74"/>
      <c r="AC1625" s="74"/>
      <c r="AD1625" s="79"/>
      <c r="AE1625" s="84"/>
      <c r="AF1625" s="338"/>
      <c r="AG1625" s="84"/>
      <c r="AH1625" s="74"/>
      <c r="AI1625" s="78"/>
      <c r="AJ1625" s="79"/>
      <c r="AK1625" s="84"/>
      <c r="AL1625" s="79"/>
      <c r="AM1625" s="84"/>
      <c r="AN1625" s="79"/>
      <c r="AO1625" s="84"/>
      <c r="AP1625" s="79"/>
      <c r="AQ1625" s="84"/>
      <c r="AR1625" s="79"/>
      <c r="AS1625" s="79"/>
      <c r="AT1625" s="79"/>
      <c r="AU1625" s="80"/>
      <c r="AV1625" s="79"/>
      <c r="AW1625" s="38"/>
      <c r="AX1625" s="79"/>
      <c r="AY1625" s="38"/>
      <c r="AZ1625" s="79"/>
      <c r="BA1625" s="80"/>
      <c r="BB1625" s="79"/>
      <c r="BC1625" s="80"/>
      <c r="BD1625" s="79"/>
      <c r="BE1625" s="38"/>
      <c r="BF1625" s="74"/>
      <c r="BG1625" s="115"/>
      <c r="BH1625" s="115"/>
      <c r="BI1625" s="115"/>
      <c r="BJ1625" s="115"/>
      <c r="BK1625" s="115"/>
      <c r="BL1625" s="115"/>
      <c r="BM1625" s="115"/>
      <c r="BN1625" s="115"/>
      <c r="BO1625" s="115"/>
      <c r="BP1625" s="115"/>
      <c r="BQ1625" s="115"/>
      <c r="BR1625" s="115"/>
      <c r="BS1625" s="115"/>
      <c r="BT1625" s="115"/>
      <c r="BU1625" s="115"/>
      <c r="BV1625" s="115"/>
      <c r="BW1625" s="115"/>
      <c r="BX1625" s="115"/>
      <c r="BY1625" s="115"/>
      <c r="BZ1625" s="115"/>
      <c r="CA1625" s="115"/>
      <c r="CB1625" s="115"/>
      <c r="CC1625" s="115"/>
      <c r="CD1625" s="115"/>
      <c r="CE1625" s="115"/>
      <c r="CF1625" s="115"/>
      <c r="CG1625" s="115"/>
      <c r="CH1625" s="115"/>
      <c r="CI1625" s="115"/>
      <c r="CJ1625" s="115"/>
      <c r="CK1625" s="115"/>
      <c r="CL1625" s="115"/>
      <c r="CM1625" s="115"/>
      <c r="CN1625" s="115"/>
      <c r="CO1625" s="115"/>
      <c r="CP1625" s="115"/>
    </row>
    <row r="1626" ht="15.75" customHeight="1">
      <c r="A1626" s="860" t="s">
        <v>7597</v>
      </c>
      <c r="B1626" s="115"/>
      <c r="C1626" s="116" t="s">
        <v>123</v>
      </c>
      <c r="D1626" s="161" t="s">
        <v>7598</v>
      </c>
      <c r="E1626" s="731"/>
      <c r="F1626" s="118" t="s">
        <v>7599</v>
      </c>
      <c r="G1626" s="119" t="s">
        <v>7600</v>
      </c>
      <c r="H1626" s="119" t="s">
        <v>7601</v>
      </c>
      <c r="I1626" s="25" t="s">
        <v>7602</v>
      </c>
      <c r="J1626" s="120"/>
      <c r="K1626" s="123"/>
      <c r="L1626" s="25">
        <v>2006.0</v>
      </c>
      <c r="M1626" s="25">
        <f t="shared" si="789"/>
        <v>19</v>
      </c>
      <c r="N1626" s="26">
        <f t="shared" si="790"/>
        <v>0</v>
      </c>
      <c r="O1626" s="27" t="str">
        <f t="shared" si="3"/>
        <v>#N/A</v>
      </c>
      <c r="P1626" s="28"/>
      <c r="Q1626" s="28"/>
      <c r="R1626" s="28"/>
      <c r="S1626" s="28"/>
      <c r="T1626" s="29">
        <f t="shared" si="791"/>
        <v>0</v>
      </c>
      <c r="U1626" s="28"/>
      <c r="V1626" s="30">
        <f t="shared" si="425"/>
        <v>0</v>
      </c>
      <c r="W1626" s="30"/>
      <c r="X1626" s="403"/>
      <c r="Y1626" s="33" t="str">
        <f t="shared" si="792"/>
        <v>#DIV/0!</v>
      </c>
      <c r="Z1626" s="692"/>
      <c r="AA1626" s="665"/>
      <c r="AB1626" s="123"/>
      <c r="AC1626" s="123"/>
      <c r="AD1626" s="124"/>
      <c r="AE1626" s="125"/>
      <c r="AF1626" s="166"/>
      <c r="AG1626" s="125"/>
      <c r="AH1626" s="123"/>
      <c r="AI1626" s="128"/>
      <c r="AJ1626" s="124"/>
      <c r="AK1626" s="125"/>
      <c r="AL1626" s="124"/>
      <c r="AM1626" s="125"/>
      <c r="AN1626" s="124"/>
      <c r="AO1626" s="125"/>
      <c r="AP1626" s="124"/>
      <c r="AQ1626" s="125"/>
      <c r="AR1626" s="124"/>
      <c r="AS1626" s="124"/>
      <c r="AT1626" s="124"/>
      <c r="AU1626" s="137"/>
      <c r="AV1626" s="124"/>
      <c r="AW1626" s="38"/>
      <c r="AX1626" s="124"/>
      <c r="AY1626" s="38"/>
      <c r="AZ1626" s="124"/>
      <c r="BA1626" s="137"/>
      <c r="BB1626" s="124"/>
      <c r="BC1626" s="137"/>
      <c r="BD1626" s="124"/>
      <c r="BE1626" s="38"/>
      <c r="BF1626" s="123"/>
      <c r="BG1626" s="115"/>
      <c r="BH1626" s="115"/>
      <c r="BI1626" s="115"/>
      <c r="BJ1626" s="115"/>
      <c r="BK1626" s="115"/>
      <c r="BL1626" s="115"/>
      <c r="BM1626" s="115"/>
      <c r="BN1626" s="115"/>
      <c r="BO1626" s="115"/>
      <c r="BP1626" s="115"/>
      <c r="BQ1626" s="115"/>
      <c r="BR1626" s="115"/>
      <c r="BS1626" s="115"/>
      <c r="BT1626" s="115"/>
      <c r="BU1626" s="115"/>
      <c r="BV1626" s="115"/>
      <c r="BW1626" s="115"/>
      <c r="BX1626" s="115"/>
      <c r="BY1626" s="115"/>
      <c r="BZ1626" s="115"/>
      <c r="CA1626" s="115"/>
      <c r="CB1626" s="115"/>
      <c r="CC1626" s="115"/>
      <c r="CD1626" s="115"/>
      <c r="CE1626" s="115"/>
      <c r="CF1626" s="115"/>
      <c r="CG1626" s="115"/>
      <c r="CH1626" s="115"/>
      <c r="CI1626" s="115"/>
      <c r="CJ1626" s="115"/>
      <c r="CK1626" s="115"/>
      <c r="CL1626" s="115"/>
      <c r="CM1626" s="115"/>
      <c r="CN1626" s="115"/>
      <c r="CO1626" s="115"/>
      <c r="CP1626" s="115"/>
    </row>
    <row r="1627" ht="15.75" customHeight="1">
      <c r="A1627" s="866" t="s">
        <v>7603</v>
      </c>
      <c r="B1627" s="68"/>
      <c r="C1627" s="69" t="s">
        <v>207</v>
      </c>
      <c r="D1627" s="236" t="s">
        <v>7604</v>
      </c>
      <c r="E1627" s="337"/>
      <c r="F1627" s="803" t="s">
        <v>7605</v>
      </c>
      <c r="G1627" s="186"/>
      <c r="H1627" s="186"/>
      <c r="I1627" s="74"/>
      <c r="J1627" s="155"/>
      <c r="K1627" s="74"/>
      <c r="L1627" s="26"/>
      <c r="M1627" s="25">
        <f t="shared" si="789"/>
        <v>2025</v>
      </c>
      <c r="N1627" s="26">
        <f t="shared" si="790"/>
        <v>0</v>
      </c>
      <c r="O1627" s="27" t="str">
        <f t="shared" si="3"/>
        <v>#N/A</v>
      </c>
      <c r="P1627" s="28"/>
      <c r="Q1627" s="28"/>
      <c r="R1627" s="28"/>
      <c r="S1627" s="28"/>
      <c r="T1627" s="29">
        <f t="shared" si="791"/>
        <v>0</v>
      </c>
      <c r="U1627" s="28"/>
      <c r="V1627" s="30">
        <f t="shared" si="425"/>
        <v>0</v>
      </c>
      <c r="W1627" s="30"/>
      <c r="X1627" s="32"/>
      <c r="Y1627" s="33" t="str">
        <f t="shared" si="792"/>
        <v>#DIV/0!</v>
      </c>
      <c r="Z1627" s="692"/>
      <c r="AA1627" s="665"/>
      <c r="AB1627" s="74"/>
      <c r="AC1627" s="74"/>
      <c r="AD1627" s="79"/>
      <c r="AE1627" s="84"/>
      <c r="AF1627" s="338"/>
      <c r="AG1627" s="84"/>
      <c r="AH1627" s="77"/>
      <c r="AI1627" s="78"/>
      <c r="AJ1627" s="79"/>
      <c r="AK1627" s="84"/>
      <c r="AL1627" s="79"/>
      <c r="AM1627" s="84"/>
      <c r="AN1627" s="79"/>
      <c r="AO1627" s="84"/>
      <c r="AP1627" s="79"/>
      <c r="AQ1627" s="84"/>
      <c r="AR1627" s="79"/>
      <c r="AS1627" s="79"/>
      <c r="AT1627" s="79"/>
      <c r="AU1627" s="80"/>
      <c r="AV1627" s="79"/>
      <c r="AW1627" s="38"/>
      <c r="AX1627" s="79"/>
      <c r="AY1627" s="38"/>
      <c r="AZ1627" s="79"/>
      <c r="BA1627" s="80"/>
      <c r="BB1627" s="79"/>
      <c r="BC1627" s="80"/>
      <c r="BD1627" s="79"/>
      <c r="BE1627" s="38"/>
      <c r="BF1627" s="74"/>
      <c r="BG1627" s="115"/>
      <c r="BH1627" s="115"/>
      <c r="BI1627" s="115"/>
      <c r="BJ1627" s="115"/>
      <c r="BK1627" s="115"/>
      <c r="BL1627" s="115"/>
      <c r="BM1627" s="115"/>
      <c r="BN1627" s="115"/>
      <c r="BO1627" s="115"/>
      <c r="BP1627" s="115"/>
      <c r="BQ1627" s="115"/>
      <c r="BR1627" s="115"/>
      <c r="BS1627" s="115"/>
      <c r="BT1627" s="115"/>
      <c r="BU1627" s="115"/>
      <c r="BV1627" s="115"/>
      <c r="BW1627" s="115"/>
      <c r="BX1627" s="115"/>
      <c r="BY1627" s="115"/>
      <c r="BZ1627" s="115"/>
      <c r="CA1627" s="115"/>
      <c r="CB1627" s="115"/>
      <c r="CC1627" s="115"/>
      <c r="CD1627" s="115"/>
      <c r="CE1627" s="115"/>
      <c r="CF1627" s="115"/>
      <c r="CG1627" s="115"/>
      <c r="CH1627" s="115"/>
      <c r="CI1627" s="115"/>
      <c r="CJ1627" s="115"/>
      <c r="CK1627" s="115"/>
      <c r="CL1627" s="115"/>
      <c r="CM1627" s="115"/>
      <c r="CN1627" s="115"/>
      <c r="CO1627" s="115"/>
      <c r="CP1627" s="115"/>
    </row>
    <row r="1628" ht="15.75" customHeight="1">
      <c r="A1628" s="21" t="s">
        <v>7606</v>
      </c>
      <c r="B1628" s="69"/>
      <c r="C1628" s="69" t="s">
        <v>123</v>
      </c>
      <c r="D1628" s="337"/>
      <c r="E1628" s="192" t="s">
        <v>7607</v>
      </c>
      <c r="F1628" s="118" t="s">
        <v>7608</v>
      </c>
      <c r="G1628" s="71" t="s">
        <v>7609</v>
      </c>
      <c r="H1628" s="1409" t="s">
        <v>5617</v>
      </c>
      <c r="I1628" s="26" t="s">
        <v>2130</v>
      </c>
      <c r="J1628" s="72"/>
      <c r="K1628" s="26"/>
      <c r="L1628" s="26">
        <v>2011.0</v>
      </c>
      <c r="M1628" s="25">
        <f t="shared" si="789"/>
        <v>14</v>
      </c>
      <c r="N1628" s="26">
        <f t="shared" si="790"/>
        <v>0</v>
      </c>
      <c r="O1628" s="27" t="str">
        <f t="shared" si="3"/>
        <v>#N/A</v>
      </c>
      <c r="P1628" s="28"/>
      <c r="Q1628" s="28"/>
      <c r="R1628" s="28"/>
      <c r="S1628" s="28"/>
      <c r="T1628" s="29">
        <f t="shared" si="791"/>
        <v>0</v>
      </c>
      <c r="U1628" s="28"/>
      <c r="V1628" s="30">
        <f t="shared" si="425"/>
        <v>0</v>
      </c>
      <c r="W1628" s="30"/>
      <c r="X1628" s="73"/>
      <c r="Y1628" s="33" t="str">
        <f t="shared" si="792"/>
        <v>#DIV/0!</v>
      </c>
      <c r="Z1628" s="692"/>
      <c r="AA1628" s="665"/>
      <c r="AB1628" s="74"/>
      <c r="AC1628" s="74"/>
      <c r="AD1628" s="79"/>
      <c r="AE1628" s="84"/>
      <c r="AF1628" s="338"/>
      <c r="AG1628" s="84"/>
      <c r="AH1628" s="77"/>
      <c r="AI1628" s="78"/>
      <c r="AJ1628" s="79"/>
      <c r="AK1628" s="84"/>
      <c r="AL1628" s="79"/>
      <c r="AM1628" s="84"/>
      <c r="AN1628" s="79"/>
      <c r="AO1628" s="84"/>
      <c r="AP1628" s="79"/>
      <c r="AQ1628" s="84"/>
      <c r="AR1628" s="79"/>
      <c r="AS1628" s="79"/>
      <c r="AT1628" s="79"/>
      <c r="AU1628" s="80"/>
      <c r="AV1628" s="79"/>
      <c r="AW1628" s="38"/>
      <c r="AX1628" s="79"/>
      <c r="AY1628" s="38"/>
      <c r="AZ1628" s="79"/>
      <c r="BA1628" s="80"/>
      <c r="BB1628" s="79"/>
      <c r="BC1628" s="80"/>
      <c r="BD1628" s="79"/>
      <c r="BE1628" s="38"/>
      <c r="BF1628" s="74"/>
      <c r="BG1628" s="115"/>
      <c r="BH1628" s="115"/>
      <c r="BI1628" s="115"/>
      <c r="BJ1628" s="115"/>
      <c r="BK1628" s="115"/>
      <c r="BL1628" s="115"/>
      <c r="BM1628" s="115"/>
      <c r="BN1628" s="115"/>
      <c r="BO1628" s="115"/>
      <c r="BP1628" s="115"/>
      <c r="BQ1628" s="115"/>
      <c r="BR1628" s="115"/>
      <c r="BS1628" s="115"/>
      <c r="BT1628" s="115"/>
      <c r="BU1628" s="115"/>
      <c r="BV1628" s="115"/>
      <c r="BW1628" s="115"/>
      <c r="BX1628" s="115"/>
      <c r="BY1628" s="115"/>
      <c r="BZ1628" s="115"/>
      <c r="CA1628" s="115"/>
      <c r="CB1628" s="115"/>
      <c r="CC1628" s="115"/>
      <c r="CD1628" s="115"/>
      <c r="CE1628" s="115"/>
      <c r="CF1628" s="115"/>
      <c r="CG1628" s="115"/>
      <c r="CH1628" s="115"/>
      <c r="CI1628" s="115"/>
      <c r="CJ1628" s="115"/>
      <c r="CK1628" s="115"/>
      <c r="CL1628" s="115"/>
      <c r="CM1628" s="115"/>
      <c r="CN1628" s="115"/>
      <c r="CO1628" s="115"/>
      <c r="CP1628" s="115"/>
    </row>
    <row r="1629" ht="15.75" customHeight="1">
      <c r="A1629" s="21" t="s">
        <v>7610</v>
      </c>
      <c r="B1629" s="69" t="s">
        <v>7611</v>
      </c>
      <c r="C1629" s="69" t="s">
        <v>123</v>
      </c>
      <c r="D1629" s="337"/>
      <c r="E1629" s="138" t="s">
        <v>7612</v>
      </c>
      <c r="F1629" s="154" t="s">
        <v>7613</v>
      </c>
      <c r="G1629" s="71" t="s">
        <v>7614</v>
      </c>
      <c r="H1629" s="1409" t="s">
        <v>64</v>
      </c>
      <c r="I1629" s="26" t="s">
        <v>65</v>
      </c>
      <c r="J1629" s="72" t="s">
        <v>566</v>
      </c>
      <c r="K1629" s="26" t="s">
        <v>723</v>
      </c>
      <c r="L1629" s="26">
        <v>2017.0</v>
      </c>
      <c r="M1629" s="25">
        <f t="shared" si="789"/>
        <v>8</v>
      </c>
      <c r="N1629" s="26">
        <f t="shared" si="790"/>
        <v>0</v>
      </c>
      <c r="O1629" s="27" t="str">
        <f t="shared" si="3"/>
        <v>#N/A</v>
      </c>
      <c r="P1629" s="28"/>
      <c r="Q1629" s="28"/>
      <c r="R1629" s="28"/>
      <c r="S1629" s="28"/>
      <c r="T1629" s="29">
        <f t="shared" si="791"/>
        <v>0</v>
      </c>
      <c r="U1629" s="28"/>
      <c r="V1629" s="30">
        <f t="shared" si="425"/>
        <v>0</v>
      </c>
      <c r="W1629" s="30"/>
      <c r="X1629" s="73"/>
      <c r="Y1629" s="33" t="str">
        <f t="shared" si="792"/>
        <v>#DIV/0!</v>
      </c>
      <c r="Z1629" s="692"/>
      <c r="AA1629" s="665"/>
      <c r="AB1629" s="74"/>
      <c r="AC1629" s="74"/>
      <c r="AD1629" s="79"/>
      <c r="AE1629" s="84"/>
      <c r="AF1629" s="338"/>
      <c r="AG1629" s="84"/>
      <c r="AH1629" s="77"/>
      <c r="AI1629" s="78"/>
      <c r="AJ1629" s="79"/>
      <c r="AK1629" s="84"/>
      <c r="AL1629" s="79"/>
      <c r="AM1629" s="84"/>
      <c r="AN1629" s="79"/>
      <c r="AO1629" s="84"/>
      <c r="AP1629" s="79"/>
      <c r="AQ1629" s="84"/>
      <c r="AR1629" s="79"/>
      <c r="AS1629" s="79"/>
      <c r="AT1629" s="79"/>
      <c r="AU1629" s="80"/>
      <c r="AV1629" s="79"/>
      <c r="AW1629" s="38"/>
      <c r="AX1629" s="79"/>
      <c r="AY1629" s="38"/>
      <c r="AZ1629" s="79"/>
      <c r="BA1629" s="80"/>
      <c r="BB1629" s="79"/>
      <c r="BC1629" s="80"/>
      <c r="BD1629" s="79"/>
      <c r="BE1629" s="38"/>
      <c r="BF1629" s="74"/>
      <c r="BG1629" s="115"/>
      <c r="BH1629" s="115"/>
      <c r="BI1629" s="115"/>
      <c r="BJ1629" s="115"/>
      <c r="BK1629" s="115"/>
      <c r="BL1629" s="115"/>
      <c r="BM1629" s="115"/>
      <c r="BN1629" s="115"/>
      <c r="BO1629" s="115"/>
      <c r="BP1629" s="115"/>
      <c r="BQ1629" s="115"/>
      <c r="BR1629" s="115"/>
      <c r="BS1629" s="115"/>
      <c r="BT1629" s="115"/>
      <c r="BU1629" s="115"/>
      <c r="BV1629" s="115"/>
      <c r="BW1629" s="115"/>
      <c r="BX1629" s="115"/>
      <c r="BY1629" s="115"/>
      <c r="BZ1629" s="115"/>
      <c r="CA1629" s="115"/>
      <c r="CB1629" s="115"/>
      <c r="CC1629" s="115"/>
      <c r="CD1629" s="115"/>
      <c r="CE1629" s="115"/>
      <c r="CF1629" s="115"/>
      <c r="CG1629" s="115"/>
      <c r="CH1629" s="115"/>
      <c r="CI1629" s="115"/>
      <c r="CJ1629" s="115"/>
      <c r="CK1629" s="115"/>
      <c r="CL1629" s="115"/>
      <c r="CM1629" s="115"/>
      <c r="CN1629" s="115"/>
      <c r="CO1629" s="115"/>
      <c r="CP1629" s="115"/>
    </row>
    <row r="1630" ht="15.75" customHeight="1">
      <c r="A1630" s="860" t="s">
        <v>7615</v>
      </c>
      <c r="B1630" s="68"/>
      <c r="C1630" s="68"/>
      <c r="D1630" s="192" t="s">
        <v>7616</v>
      </c>
      <c r="E1630" s="380"/>
      <c r="F1630" s="118" t="s">
        <v>7617</v>
      </c>
      <c r="G1630" s="71"/>
      <c r="H1630" s="912"/>
      <c r="I1630" s="913"/>
      <c r="J1630" s="155"/>
      <c r="K1630" s="26"/>
      <c r="L1630" s="26"/>
      <c r="M1630" s="25">
        <f t="shared" si="789"/>
        <v>2025</v>
      </c>
      <c r="N1630" s="26">
        <f t="shared" si="790"/>
        <v>0</v>
      </c>
      <c r="O1630" s="27" t="str">
        <f t="shared" si="3"/>
        <v>#N/A</v>
      </c>
      <c r="P1630" s="28"/>
      <c r="Q1630" s="28"/>
      <c r="R1630" s="28"/>
      <c r="S1630" s="28"/>
      <c r="T1630" s="29">
        <f t="shared" si="791"/>
        <v>0</v>
      </c>
      <c r="U1630" s="28"/>
      <c r="V1630" s="30">
        <f t="shared" si="425"/>
        <v>0</v>
      </c>
      <c r="W1630" s="30"/>
      <c r="X1630" s="73"/>
      <c r="Y1630" s="33" t="str">
        <f t="shared" si="792"/>
        <v>#DIV/0!</v>
      </c>
      <c r="Z1630" s="692"/>
      <c r="AA1630" s="665"/>
      <c r="AB1630" s="74"/>
      <c r="AC1630" s="74"/>
      <c r="AD1630" s="79"/>
      <c r="AE1630" s="84"/>
      <c r="AF1630" s="338"/>
      <c r="AG1630" s="76"/>
      <c r="AH1630" s="77"/>
      <c r="AI1630" s="78"/>
      <c r="AJ1630" s="79"/>
      <c r="AK1630" s="84"/>
      <c r="AL1630" s="79"/>
      <c r="AM1630" s="84"/>
      <c r="AN1630" s="79"/>
      <c r="AO1630" s="84"/>
      <c r="AP1630" s="79"/>
      <c r="AQ1630" s="84"/>
      <c r="AR1630" s="79"/>
      <c r="AS1630" s="79"/>
      <c r="AT1630" s="79"/>
      <c r="AU1630" s="80"/>
      <c r="AV1630" s="79"/>
      <c r="AW1630" s="38"/>
      <c r="AX1630" s="79"/>
      <c r="AY1630" s="38"/>
      <c r="AZ1630" s="79"/>
      <c r="BA1630" s="80"/>
      <c r="BB1630" s="79"/>
      <c r="BC1630" s="80"/>
      <c r="BD1630" s="79"/>
      <c r="BE1630" s="38"/>
      <c r="BF1630" s="74"/>
      <c r="BG1630" s="68"/>
      <c r="BH1630" s="68"/>
      <c r="BI1630" s="68"/>
      <c r="BJ1630" s="68"/>
      <c r="BK1630" s="68"/>
      <c r="BL1630" s="68"/>
      <c r="BM1630" s="68"/>
      <c r="BN1630" s="68"/>
      <c r="BO1630" s="68"/>
      <c r="BP1630" s="68"/>
      <c r="BQ1630" s="68"/>
      <c r="BR1630" s="68"/>
      <c r="BS1630" s="68"/>
      <c r="BT1630" s="68"/>
      <c r="BU1630" s="68"/>
      <c r="BV1630" s="68"/>
      <c r="BW1630" s="68"/>
      <c r="BX1630" s="68"/>
      <c r="BY1630" s="68"/>
      <c r="BZ1630" s="68"/>
      <c r="CA1630" s="68"/>
      <c r="CB1630" s="68"/>
      <c r="CC1630" s="68"/>
      <c r="CD1630" s="68"/>
      <c r="CE1630" s="68"/>
      <c r="CF1630" s="68"/>
      <c r="CG1630" s="68"/>
      <c r="CH1630" s="68"/>
      <c r="CI1630" s="68"/>
      <c r="CJ1630" s="68"/>
      <c r="CK1630" s="68"/>
      <c r="CL1630" s="68"/>
      <c r="CM1630" s="68"/>
      <c r="CN1630" s="68"/>
      <c r="CO1630" s="68"/>
      <c r="CP1630" s="68"/>
    </row>
    <row r="1631" ht="15.75" customHeight="1">
      <c r="A1631" s="21" t="s">
        <v>2721</v>
      </c>
      <c r="B1631" s="68"/>
      <c r="C1631" s="69" t="s">
        <v>84</v>
      </c>
      <c r="D1631" s="337"/>
      <c r="E1631" s="138" t="s">
        <v>7618</v>
      </c>
      <c r="F1631" s="154" t="s">
        <v>7619</v>
      </c>
      <c r="G1631" s="71" t="s">
        <v>7620</v>
      </c>
      <c r="H1631" s="71" t="s">
        <v>1109</v>
      </c>
      <c r="I1631" s="74"/>
      <c r="J1631" s="72" t="s">
        <v>7621</v>
      </c>
      <c r="K1631" s="74" t="s">
        <v>723</v>
      </c>
      <c r="L1631" s="142">
        <v>1992.0</v>
      </c>
      <c r="M1631" s="25">
        <f t="shared" si="789"/>
        <v>33</v>
      </c>
      <c r="N1631" s="26">
        <f t="shared" si="790"/>
        <v>0</v>
      </c>
      <c r="O1631" s="27" t="str">
        <f t="shared" si="3"/>
        <v>#N/A</v>
      </c>
      <c r="P1631" s="28"/>
      <c r="Q1631" s="28"/>
      <c r="R1631" s="28"/>
      <c r="S1631" s="28"/>
      <c r="T1631" s="29">
        <f t="shared" si="791"/>
        <v>0</v>
      </c>
      <c r="U1631" s="28"/>
      <c r="V1631" s="30">
        <f t="shared" si="425"/>
        <v>0</v>
      </c>
      <c r="W1631" s="30"/>
      <c r="X1631" s="32"/>
      <c r="Y1631" s="33" t="str">
        <f t="shared" si="792"/>
        <v>#DIV/0!</v>
      </c>
      <c r="Z1631" s="692"/>
      <c r="AA1631" s="665"/>
      <c r="AB1631" s="74"/>
      <c r="AC1631" s="74"/>
      <c r="AD1631" s="279"/>
      <c r="AE1631" s="84"/>
      <c r="AF1631" s="338"/>
      <c r="AG1631" s="84"/>
      <c r="AH1631" s="77"/>
      <c r="AI1631" s="78"/>
      <c r="AJ1631" s="79"/>
      <c r="AK1631" s="84"/>
      <c r="AL1631" s="79"/>
      <c r="AM1631" s="84"/>
      <c r="AN1631" s="79"/>
      <c r="AO1631" s="84"/>
      <c r="AP1631" s="79"/>
      <c r="AQ1631" s="84"/>
      <c r="AR1631" s="79"/>
      <c r="AS1631" s="79"/>
      <c r="AT1631" s="79"/>
      <c r="AU1631" s="80"/>
      <c r="AV1631" s="79"/>
      <c r="AW1631" s="38"/>
      <c r="AX1631" s="79"/>
      <c r="AY1631" s="38"/>
      <c r="AZ1631" s="79"/>
      <c r="BA1631" s="80"/>
      <c r="BB1631" s="79"/>
      <c r="BC1631" s="80"/>
      <c r="BD1631" s="79"/>
      <c r="BE1631" s="38"/>
      <c r="BF1631" s="74"/>
      <c r="BG1631" s="115"/>
      <c r="BH1631" s="115"/>
      <c r="BI1631" s="115"/>
      <c r="BJ1631" s="115"/>
      <c r="BK1631" s="115"/>
      <c r="BL1631" s="115"/>
      <c r="BM1631" s="115"/>
      <c r="BN1631" s="115"/>
      <c r="BO1631" s="115"/>
      <c r="BP1631" s="115"/>
      <c r="BQ1631" s="115"/>
      <c r="BR1631" s="115"/>
      <c r="BS1631" s="115"/>
      <c r="BT1631" s="115"/>
      <c r="BU1631" s="115"/>
      <c r="BV1631" s="115"/>
      <c r="BW1631" s="115"/>
      <c r="BX1631" s="115"/>
      <c r="BY1631" s="115"/>
      <c r="BZ1631" s="115"/>
      <c r="CA1631" s="115"/>
      <c r="CB1631" s="115"/>
      <c r="CC1631" s="115"/>
      <c r="CD1631" s="115"/>
      <c r="CE1631" s="115"/>
      <c r="CF1631" s="115"/>
      <c r="CG1631" s="115"/>
      <c r="CH1631" s="115"/>
      <c r="CI1631" s="115"/>
      <c r="CJ1631" s="115"/>
      <c r="CK1631" s="115"/>
      <c r="CL1631" s="115"/>
      <c r="CM1631" s="115"/>
      <c r="CN1631" s="115"/>
      <c r="CO1631" s="115"/>
      <c r="CP1631" s="115"/>
    </row>
    <row r="1632" ht="15.75" customHeight="1">
      <c r="A1632" s="860" t="s">
        <v>7622</v>
      </c>
      <c r="B1632" s="69" t="s">
        <v>2754</v>
      </c>
      <c r="C1632" s="69" t="s">
        <v>123</v>
      </c>
      <c r="D1632" s="380"/>
      <c r="E1632" s="192" t="s">
        <v>7623</v>
      </c>
      <c r="F1632" s="118" t="s">
        <v>7624</v>
      </c>
      <c r="G1632" s="71"/>
      <c r="H1632" s="71" t="s">
        <v>6578</v>
      </c>
      <c r="I1632" s="26" t="s">
        <v>1395</v>
      </c>
      <c r="J1632" s="72"/>
      <c r="K1632" s="74"/>
      <c r="L1632" s="26">
        <v>2009.0</v>
      </c>
      <c r="M1632" s="25">
        <f t="shared" si="789"/>
        <v>16</v>
      </c>
      <c r="N1632" s="26">
        <f t="shared" si="790"/>
        <v>0</v>
      </c>
      <c r="O1632" s="27" t="str">
        <f t="shared" si="3"/>
        <v>#N/A</v>
      </c>
      <c r="P1632" s="28"/>
      <c r="Q1632" s="28"/>
      <c r="R1632" s="28"/>
      <c r="S1632" s="28"/>
      <c r="T1632" s="29">
        <f t="shared" si="791"/>
        <v>0</v>
      </c>
      <c r="U1632" s="28"/>
      <c r="V1632" s="30">
        <f t="shared" si="425"/>
        <v>0</v>
      </c>
      <c r="W1632" s="30"/>
      <c r="X1632" s="32"/>
      <c r="Y1632" s="33" t="str">
        <f t="shared" si="792"/>
        <v>#DIV/0!</v>
      </c>
      <c r="Z1632" s="692"/>
      <c r="AA1632" s="665"/>
      <c r="AB1632" s="74"/>
      <c r="AC1632" s="74"/>
      <c r="AD1632" s="79"/>
      <c r="AE1632" s="84"/>
      <c r="AF1632" s="338"/>
      <c r="AG1632" s="807"/>
      <c r="AH1632" s="74"/>
      <c r="AI1632" s="78"/>
      <c r="AJ1632" s="279"/>
      <c r="AK1632" s="76"/>
      <c r="AL1632" s="79"/>
      <c r="AM1632" s="84"/>
      <c r="AN1632" s="79"/>
      <c r="AO1632" s="84"/>
      <c r="AP1632" s="79"/>
      <c r="AQ1632" s="84"/>
      <c r="AR1632" s="79"/>
      <c r="AS1632" s="79"/>
      <c r="AT1632" s="79"/>
      <c r="AU1632" s="80"/>
      <c r="AV1632" s="79"/>
      <c r="AW1632" s="38"/>
      <c r="AX1632" s="79"/>
      <c r="AY1632" s="38"/>
      <c r="AZ1632" s="79"/>
      <c r="BA1632" s="80"/>
      <c r="BB1632" s="79"/>
      <c r="BC1632" s="80"/>
      <c r="BD1632" s="79"/>
      <c r="BE1632" s="38"/>
      <c r="BF1632" s="74"/>
      <c r="BG1632" s="115"/>
      <c r="BH1632" s="115"/>
      <c r="BI1632" s="115"/>
      <c r="BJ1632" s="115"/>
      <c r="BK1632" s="115"/>
      <c r="BL1632" s="115"/>
      <c r="BM1632" s="115"/>
      <c r="BN1632" s="115"/>
      <c r="BO1632" s="115"/>
      <c r="BP1632" s="115"/>
      <c r="BQ1632" s="115"/>
      <c r="BR1632" s="115"/>
      <c r="BS1632" s="115"/>
      <c r="BT1632" s="115"/>
      <c r="BU1632" s="115"/>
      <c r="BV1632" s="115"/>
      <c r="BW1632" s="115"/>
      <c r="BX1632" s="115"/>
      <c r="BY1632" s="115"/>
      <c r="BZ1632" s="115"/>
      <c r="CA1632" s="115"/>
      <c r="CB1632" s="115"/>
      <c r="CC1632" s="115"/>
      <c r="CD1632" s="115"/>
      <c r="CE1632" s="115"/>
      <c r="CF1632" s="115"/>
      <c r="CG1632" s="115"/>
      <c r="CH1632" s="115"/>
      <c r="CI1632" s="115"/>
      <c r="CJ1632" s="115"/>
      <c r="CK1632" s="115"/>
      <c r="CL1632" s="115"/>
      <c r="CM1632" s="115"/>
      <c r="CN1632" s="115"/>
      <c r="CO1632" s="115"/>
      <c r="CP1632" s="115"/>
    </row>
    <row r="1633" ht="15.75" customHeight="1">
      <c r="A1633" s="21" t="s">
        <v>7625</v>
      </c>
      <c r="B1633" s="69"/>
      <c r="C1633" s="69" t="s">
        <v>1007</v>
      </c>
      <c r="D1633" s="48"/>
      <c r="E1633" s="1773"/>
      <c r="F1633" s="118" t="s">
        <v>7626</v>
      </c>
      <c r="G1633" s="71"/>
      <c r="H1633" s="71" t="s">
        <v>357</v>
      </c>
      <c r="I1633" s="26" t="s">
        <v>358</v>
      </c>
      <c r="J1633" s="72"/>
      <c r="K1633" s="74"/>
      <c r="L1633" s="26"/>
      <c r="M1633" s="25">
        <f t="shared" si="789"/>
        <v>2025</v>
      </c>
      <c r="N1633" s="26">
        <f t="shared" si="790"/>
        <v>0</v>
      </c>
      <c r="O1633" s="27" t="str">
        <f t="shared" si="3"/>
        <v>#N/A</v>
      </c>
      <c r="P1633" s="28"/>
      <c r="Q1633" s="28"/>
      <c r="R1633" s="28"/>
      <c r="S1633" s="28"/>
      <c r="T1633" s="29">
        <f t="shared" si="791"/>
        <v>0</v>
      </c>
      <c r="U1633" s="28"/>
      <c r="V1633" s="30">
        <f t="shared" si="425"/>
        <v>0</v>
      </c>
      <c r="W1633" s="30"/>
      <c r="X1633" s="32"/>
      <c r="Y1633" s="33" t="str">
        <f t="shared" si="792"/>
        <v>#DIV/0!</v>
      </c>
      <c r="Z1633" s="692"/>
      <c r="AA1633" s="665"/>
      <c r="AB1633" s="74"/>
      <c r="AC1633" s="74"/>
      <c r="AD1633" s="79"/>
      <c r="AE1633" s="84"/>
      <c r="AF1633" s="338"/>
      <c r="AG1633" s="807"/>
      <c r="AH1633" s="74"/>
      <c r="AI1633" s="78"/>
      <c r="AJ1633" s="914"/>
      <c r="AK1633" s="76"/>
      <c r="AL1633" s="42"/>
      <c r="AM1633" s="76"/>
      <c r="AN1633" s="79"/>
      <c r="AO1633" s="84"/>
      <c r="AP1633" s="79"/>
      <c r="AQ1633" s="84"/>
      <c r="AR1633" s="79"/>
      <c r="AS1633" s="79"/>
      <c r="AT1633" s="79"/>
      <c r="AU1633" s="80"/>
      <c r="AV1633" s="79"/>
      <c r="AW1633" s="38"/>
      <c r="AX1633" s="79"/>
      <c r="AY1633" s="38"/>
      <c r="AZ1633" s="79"/>
      <c r="BA1633" s="80"/>
      <c r="BB1633" s="79"/>
      <c r="BC1633" s="80"/>
      <c r="BD1633" s="79"/>
      <c r="BE1633" s="38"/>
      <c r="BF1633" s="74"/>
      <c r="BG1633" s="115"/>
      <c r="BH1633" s="115"/>
      <c r="BI1633" s="115"/>
      <c r="BJ1633" s="115"/>
      <c r="BK1633" s="115"/>
      <c r="BL1633" s="115"/>
      <c r="BM1633" s="115"/>
      <c r="BN1633" s="115"/>
      <c r="BO1633" s="115"/>
      <c r="BP1633" s="115"/>
      <c r="BQ1633" s="115"/>
      <c r="BR1633" s="115"/>
      <c r="BS1633" s="115"/>
      <c r="BT1633" s="115"/>
      <c r="BU1633" s="115"/>
      <c r="BV1633" s="115"/>
      <c r="BW1633" s="115"/>
      <c r="BX1633" s="115"/>
      <c r="BY1633" s="115"/>
      <c r="BZ1633" s="115"/>
      <c r="CA1633" s="115"/>
      <c r="CB1633" s="115"/>
      <c r="CC1633" s="115"/>
      <c r="CD1633" s="115"/>
      <c r="CE1633" s="115"/>
      <c r="CF1633" s="115"/>
      <c r="CG1633" s="115"/>
      <c r="CH1633" s="115"/>
      <c r="CI1633" s="115"/>
      <c r="CJ1633" s="115"/>
      <c r="CK1633" s="115"/>
      <c r="CL1633" s="115"/>
      <c r="CM1633" s="115"/>
      <c r="CN1633" s="115"/>
      <c r="CO1633" s="115"/>
      <c r="CP1633" s="115"/>
    </row>
    <row r="1634" ht="15.75" customHeight="1">
      <c r="A1634" s="21" t="s">
        <v>7627</v>
      </c>
      <c r="B1634" s="69"/>
      <c r="C1634" s="69" t="s">
        <v>132</v>
      </c>
      <c r="D1634" s="200" t="s">
        <v>7628</v>
      </c>
      <c r="E1634" s="200" t="s">
        <v>7629</v>
      </c>
      <c r="F1634" s="154" t="s">
        <v>7630</v>
      </c>
      <c r="G1634" s="71"/>
      <c r="H1634" s="71" t="s">
        <v>2095</v>
      </c>
      <c r="I1634" s="26" t="s">
        <v>748</v>
      </c>
      <c r="J1634" s="72"/>
      <c r="K1634" s="26">
        <v>1.0</v>
      </c>
      <c r="L1634" s="26">
        <v>1997.0</v>
      </c>
      <c r="M1634" s="25">
        <f t="shared" si="789"/>
        <v>28</v>
      </c>
      <c r="N1634" s="26">
        <f t="shared" si="790"/>
        <v>0</v>
      </c>
      <c r="O1634" s="27" t="str">
        <f t="shared" si="3"/>
        <v>#N/A</v>
      </c>
      <c r="P1634" s="28"/>
      <c r="Q1634" s="28"/>
      <c r="R1634" s="28"/>
      <c r="S1634" s="28"/>
      <c r="T1634" s="29">
        <f t="shared" si="791"/>
        <v>0</v>
      </c>
      <c r="U1634" s="28"/>
      <c r="V1634" s="30">
        <f t="shared" si="425"/>
        <v>0</v>
      </c>
      <c r="W1634" s="30"/>
      <c r="X1634" s="73"/>
      <c r="Y1634" s="33" t="str">
        <f t="shared" si="792"/>
        <v>#DIV/0!</v>
      </c>
      <c r="Z1634" s="692"/>
      <c r="AA1634" s="665"/>
      <c r="AB1634" s="74"/>
      <c r="AC1634" s="74"/>
      <c r="AD1634" s="79"/>
      <c r="AE1634" s="84"/>
      <c r="AF1634" s="338"/>
      <c r="AG1634" s="807"/>
      <c r="AH1634" s="74"/>
      <c r="AI1634" s="78"/>
      <c r="AJ1634" s="426" t="str">
        <f>HYPERLINK("https://www.crunchbase.com/funding_round/kebony-series-a--ee4102be","Mar 1, 2012")</f>
        <v>Mar 1, 2012</v>
      </c>
      <c r="AK1634" s="76"/>
      <c r="AL1634" s="79"/>
      <c r="AM1634" s="84"/>
      <c r="AN1634" s="79"/>
      <c r="AO1634" s="84"/>
      <c r="AP1634" s="79"/>
      <c r="AQ1634" s="84"/>
      <c r="AR1634" s="79"/>
      <c r="AS1634" s="79"/>
      <c r="AT1634" s="79"/>
      <c r="AU1634" s="80"/>
      <c r="AV1634" s="79"/>
      <c r="AW1634" s="38"/>
      <c r="AX1634" s="79"/>
      <c r="AY1634" s="38"/>
      <c r="AZ1634" s="79"/>
      <c r="BA1634" s="80"/>
      <c r="BB1634" s="79"/>
      <c r="BC1634" s="80"/>
      <c r="BD1634" s="79"/>
      <c r="BE1634" s="38"/>
      <c r="BF1634" s="74"/>
      <c r="BG1634" s="115"/>
      <c r="BH1634" s="115"/>
      <c r="BI1634" s="115"/>
      <c r="BJ1634" s="115"/>
      <c r="BK1634" s="115"/>
      <c r="BL1634" s="115"/>
      <c r="BM1634" s="115"/>
      <c r="BN1634" s="115"/>
      <c r="BO1634" s="115"/>
      <c r="BP1634" s="115"/>
      <c r="BQ1634" s="115"/>
      <c r="BR1634" s="115"/>
      <c r="BS1634" s="115"/>
      <c r="BT1634" s="115"/>
      <c r="BU1634" s="115"/>
      <c r="BV1634" s="115"/>
      <c r="BW1634" s="115"/>
      <c r="BX1634" s="115"/>
      <c r="BY1634" s="115"/>
      <c r="BZ1634" s="115"/>
      <c r="CA1634" s="115"/>
      <c r="CB1634" s="115"/>
      <c r="CC1634" s="115"/>
      <c r="CD1634" s="115"/>
      <c r="CE1634" s="115"/>
      <c r="CF1634" s="115"/>
      <c r="CG1634" s="115"/>
      <c r="CH1634" s="115"/>
      <c r="CI1634" s="115"/>
      <c r="CJ1634" s="115"/>
      <c r="CK1634" s="115"/>
      <c r="CL1634" s="115"/>
      <c r="CM1634" s="115"/>
      <c r="CN1634" s="115"/>
      <c r="CO1634" s="115"/>
      <c r="CP1634" s="115"/>
    </row>
    <row r="1635" ht="15.75" customHeight="1">
      <c r="A1635" s="21" t="s">
        <v>7631</v>
      </c>
      <c r="B1635" s="69" t="s">
        <v>2541</v>
      </c>
      <c r="C1635" s="69" t="s">
        <v>1007</v>
      </c>
      <c r="D1635" s="200" t="s">
        <v>7632</v>
      </c>
      <c r="E1635" s="200" t="s">
        <v>7633</v>
      </c>
      <c r="F1635" s="154" t="s">
        <v>7634</v>
      </c>
      <c r="G1635" s="71" t="s">
        <v>7635</v>
      </c>
      <c r="H1635" s="71" t="s">
        <v>271</v>
      </c>
      <c r="I1635" s="74"/>
      <c r="J1635" s="72" t="s">
        <v>7636</v>
      </c>
      <c r="K1635" s="74" t="s">
        <v>723</v>
      </c>
      <c r="L1635" s="26">
        <v>2014.0</v>
      </c>
      <c r="M1635" s="25">
        <f t="shared" si="789"/>
        <v>11</v>
      </c>
      <c r="N1635" s="26">
        <f t="shared" si="790"/>
        <v>0</v>
      </c>
      <c r="O1635" s="27" t="str">
        <f t="shared" si="3"/>
        <v>#N/A</v>
      </c>
      <c r="P1635" s="28"/>
      <c r="Q1635" s="28"/>
      <c r="R1635" s="28"/>
      <c r="S1635" s="28"/>
      <c r="T1635" s="29">
        <f t="shared" si="791"/>
        <v>0</v>
      </c>
      <c r="U1635" s="28"/>
      <c r="V1635" s="30">
        <f t="shared" si="425"/>
        <v>0</v>
      </c>
      <c r="W1635" s="30"/>
      <c r="X1635" s="32"/>
      <c r="Y1635" s="33" t="str">
        <f t="shared" si="792"/>
        <v>#DIV/0!</v>
      </c>
      <c r="Z1635" s="692"/>
      <c r="AA1635" s="665"/>
      <c r="AB1635" s="74"/>
      <c r="AC1635" s="74"/>
      <c r="AD1635" s="79"/>
      <c r="AE1635" s="84"/>
      <c r="AF1635" s="338"/>
      <c r="AG1635" s="807"/>
      <c r="AH1635" s="74"/>
      <c r="AI1635" s="78"/>
      <c r="AJ1635" s="279"/>
      <c r="AK1635" s="76"/>
      <c r="AL1635" s="79"/>
      <c r="AM1635" s="84"/>
      <c r="AN1635" s="79"/>
      <c r="AO1635" s="84"/>
      <c r="AP1635" s="79"/>
      <c r="AQ1635" s="84"/>
      <c r="AR1635" s="79"/>
      <c r="AS1635" s="79"/>
      <c r="AT1635" s="79"/>
      <c r="AU1635" s="80"/>
      <c r="AV1635" s="79"/>
      <c r="AW1635" s="38"/>
      <c r="AX1635" s="79"/>
      <c r="AY1635" s="38"/>
      <c r="AZ1635" s="79"/>
      <c r="BA1635" s="80"/>
      <c r="BB1635" s="79"/>
      <c r="BC1635" s="80"/>
      <c r="BD1635" s="79"/>
      <c r="BE1635" s="38"/>
      <c r="BF1635" s="74"/>
      <c r="BG1635" s="1407"/>
      <c r="BH1635" s="1407"/>
      <c r="BI1635" s="1407"/>
      <c r="BJ1635" s="1407"/>
      <c r="BK1635" s="1407"/>
      <c r="BL1635" s="1407"/>
      <c r="BM1635" s="1407"/>
      <c r="BN1635" s="1407"/>
      <c r="BO1635" s="1407"/>
      <c r="BP1635" s="1407"/>
      <c r="BQ1635" s="1407"/>
      <c r="BR1635" s="1407"/>
      <c r="BS1635" s="1407"/>
      <c r="BT1635" s="1407"/>
      <c r="BU1635" s="1407"/>
      <c r="BV1635" s="1407"/>
      <c r="BW1635" s="1407"/>
      <c r="BX1635" s="1407"/>
      <c r="BY1635" s="1407"/>
      <c r="BZ1635" s="1407"/>
      <c r="CA1635" s="1407"/>
      <c r="CB1635" s="1407"/>
      <c r="CC1635" s="1407"/>
      <c r="CD1635" s="1407"/>
      <c r="CE1635" s="1407"/>
      <c r="CF1635" s="1407"/>
      <c r="CG1635" s="1407"/>
      <c r="CH1635" s="1407"/>
      <c r="CI1635" s="1407"/>
      <c r="CJ1635" s="1407"/>
      <c r="CK1635" s="1407"/>
      <c r="CL1635" s="1407"/>
      <c r="CM1635" s="1407"/>
      <c r="CN1635" s="1407"/>
      <c r="CO1635" s="1407"/>
      <c r="CP1635" s="1407"/>
    </row>
    <row r="1636" ht="15.75" customHeight="1">
      <c r="A1636" s="21" t="s">
        <v>7637</v>
      </c>
      <c r="B1636" s="69" t="s">
        <v>944</v>
      </c>
      <c r="C1636" s="69" t="s">
        <v>1007</v>
      </c>
      <c r="D1636" s="192" t="s">
        <v>7638</v>
      </c>
      <c r="E1636" s="192" t="s">
        <v>7639</v>
      </c>
      <c r="F1636" s="118" t="s">
        <v>7640</v>
      </c>
      <c r="G1636" s="71"/>
      <c r="H1636" s="71"/>
      <c r="I1636" s="26"/>
      <c r="J1636" s="72"/>
      <c r="K1636" s="26"/>
      <c r="L1636" s="26">
        <v>2017.0</v>
      </c>
      <c r="M1636" s="25">
        <f t="shared" si="789"/>
        <v>8</v>
      </c>
      <c r="N1636" s="26">
        <f t="shared" si="790"/>
        <v>0</v>
      </c>
      <c r="O1636" s="27" t="str">
        <f t="shared" si="3"/>
        <v>#N/A</v>
      </c>
      <c r="P1636" s="28"/>
      <c r="Q1636" s="28"/>
      <c r="R1636" s="28"/>
      <c r="S1636" s="28"/>
      <c r="T1636" s="29">
        <f t="shared" si="791"/>
        <v>0</v>
      </c>
      <c r="U1636" s="28"/>
      <c r="V1636" s="30">
        <f t="shared" si="425"/>
        <v>0</v>
      </c>
      <c r="W1636" s="30"/>
      <c r="X1636" s="73"/>
      <c r="Y1636" s="33" t="str">
        <f t="shared" si="792"/>
        <v>#DIV/0!</v>
      </c>
      <c r="Z1636" s="692"/>
      <c r="AA1636" s="665"/>
      <c r="AB1636" s="74"/>
      <c r="AC1636" s="74"/>
      <c r="AD1636" s="227">
        <v>43078.0</v>
      </c>
      <c r="AE1636" s="84"/>
      <c r="AF1636" s="338"/>
      <c r="AG1636" s="84"/>
      <c r="AH1636" s="74"/>
      <c r="AI1636" s="78"/>
      <c r="AJ1636" s="279"/>
      <c r="AK1636" s="76"/>
      <c r="AL1636" s="279"/>
      <c r="AM1636" s="928"/>
      <c r="AN1636" s="79"/>
      <c r="AO1636" s="84"/>
      <c r="AP1636" s="79"/>
      <c r="AQ1636" s="84"/>
      <c r="AR1636" s="79"/>
      <c r="AS1636" s="79"/>
      <c r="AT1636" s="79"/>
      <c r="AU1636" s="80"/>
      <c r="AV1636" s="79"/>
      <c r="AW1636" s="38"/>
      <c r="AX1636" s="79"/>
      <c r="AY1636" s="38"/>
      <c r="AZ1636" s="79"/>
      <c r="BA1636" s="80"/>
      <c r="BB1636" s="79"/>
      <c r="BC1636" s="80"/>
      <c r="BD1636" s="79"/>
      <c r="BE1636" s="38"/>
      <c r="BF1636" s="74"/>
      <c r="BG1636" s="115"/>
      <c r="BH1636" s="115"/>
      <c r="BI1636" s="115"/>
      <c r="BJ1636" s="115"/>
      <c r="BK1636" s="115"/>
      <c r="BL1636" s="115"/>
      <c r="BM1636" s="115"/>
      <c r="BN1636" s="115"/>
      <c r="BO1636" s="115"/>
      <c r="BP1636" s="115"/>
      <c r="BQ1636" s="115"/>
      <c r="BR1636" s="115"/>
      <c r="BS1636" s="115"/>
      <c r="BT1636" s="115"/>
      <c r="BU1636" s="115"/>
      <c r="BV1636" s="115"/>
      <c r="BW1636" s="115"/>
      <c r="BX1636" s="115"/>
      <c r="BY1636" s="115"/>
      <c r="BZ1636" s="115"/>
      <c r="CA1636" s="115"/>
      <c r="CB1636" s="115"/>
      <c r="CC1636" s="115"/>
      <c r="CD1636" s="115"/>
      <c r="CE1636" s="115"/>
      <c r="CF1636" s="115"/>
      <c r="CG1636" s="115"/>
      <c r="CH1636" s="115"/>
      <c r="CI1636" s="115"/>
      <c r="CJ1636" s="115"/>
      <c r="CK1636" s="115"/>
      <c r="CL1636" s="115"/>
      <c r="CM1636" s="115"/>
      <c r="CN1636" s="115"/>
      <c r="CO1636" s="115"/>
      <c r="CP1636" s="115"/>
    </row>
    <row r="1637" ht="15.75" customHeight="1">
      <c r="A1637" s="860" t="s">
        <v>7641</v>
      </c>
      <c r="B1637" s="69" t="s">
        <v>4660</v>
      </c>
      <c r="C1637" s="69" t="s">
        <v>123</v>
      </c>
      <c r="D1637" s="192" t="s">
        <v>7642</v>
      </c>
      <c r="E1637" s="192" t="s">
        <v>7643</v>
      </c>
      <c r="F1637" s="118" t="s">
        <v>7644</v>
      </c>
      <c r="G1637" s="186"/>
      <c r="H1637" s="71" t="s">
        <v>1994</v>
      </c>
      <c r="I1637" s="26" t="s">
        <v>639</v>
      </c>
      <c r="J1637" s="155"/>
      <c r="K1637" s="74"/>
      <c r="L1637" s="26">
        <v>2017.0</v>
      </c>
      <c r="M1637" s="25">
        <f t="shared" si="789"/>
        <v>8</v>
      </c>
      <c r="N1637" s="26">
        <f t="shared" si="790"/>
        <v>0</v>
      </c>
      <c r="O1637" s="27" t="str">
        <f t="shared" si="3"/>
        <v>#N/A</v>
      </c>
      <c r="P1637" s="28"/>
      <c r="Q1637" s="28"/>
      <c r="R1637" s="28"/>
      <c r="S1637" s="28"/>
      <c r="T1637" s="29">
        <f t="shared" si="791"/>
        <v>0</v>
      </c>
      <c r="U1637" s="28"/>
      <c r="V1637" s="30">
        <f t="shared" si="425"/>
        <v>0</v>
      </c>
      <c r="W1637" s="30"/>
      <c r="X1637" s="32"/>
      <c r="Y1637" s="33" t="str">
        <f t="shared" si="792"/>
        <v>#DIV/0!</v>
      </c>
      <c r="Z1637" s="692"/>
      <c r="AA1637" s="665"/>
      <c r="AB1637" s="74"/>
      <c r="AC1637" s="74"/>
      <c r="AD1637" s="79"/>
      <c r="AE1637" s="84"/>
      <c r="AF1637" s="338"/>
      <c r="AG1637" s="84"/>
      <c r="AH1637" s="74"/>
      <c r="AI1637" s="78"/>
      <c r="AJ1637" s="79"/>
      <c r="AK1637" s="84"/>
      <c r="AL1637" s="79"/>
      <c r="AM1637" s="84"/>
      <c r="AN1637" s="279"/>
      <c r="AO1637" s="928"/>
      <c r="AP1637" s="279"/>
      <c r="AQ1637" s="928"/>
      <c r="AR1637" s="79"/>
      <c r="AS1637" s="79"/>
      <c r="AT1637" s="79"/>
      <c r="AU1637" s="80"/>
      <c r="AV1637" s="79"/>
      <c r="AW1637" s="38"/>
      <c r="AX1637" s="79"/>
      <c r="AY1637" s="38"/>
      <c r="AZ1637" s="79"/>
      <c r="BA1637" s="80"/>
      <c r="BB1637" s="79"/>
      <c r="BC1637" s="80"/>
      <c r="BD1637" s="79"/>
      <c r="BE1637" s="38"/>
      <c r="BF1637" s="74"/>
      <c r="BG1637" s="115"/>
      <c r="BH1637" s="115"/>
      <c r="BI1637" s="115"/>
      <c r="BJ1637" s="115"/>
      <c r="BK1637" s="115"/>
      <c r="BL1637" s="115"/>
      <c r="BM1637" s="115"/>
      <c r="BN1637" s="115"/>
      <c r="BO1637" s="115"/>
      <c r="BP1637" s="115"/>
      <c r="BQ1637" s="115"/>
      <c r="BR1637" s="115"/>
      <c r="BS1637" s="115"/>
      <c r="BT1637" s="115"/>
      <c r="BU1637" s="115"/>
      <c r="BV1637" s="115"/>
      <c r="BW1637" s="115"/>
      <c r="BX1637" s="115"/>
      <c r="BY1637" s="115"/>
      <c r="BZ1637" s="115"/>
      <c r="CA1637" s="115"/>
      <c r="CB1637" s="115"/>
      <c r="CC1637" s="115"/>
      <c r="CD1637" s="115"/>
      <c r="CE1637" s="115"/>
      <c r="CF1637" s="115"/>
      <c r="CG1637" s="115"/>
      <c r="CH1637" s="115"/>
      <c r="CI1637" s="115"/>
      <c r="CJ1637" s="115"/>
      <c r="CK1637" s="115"/>
      <c r="CL1637" s="115"/>
      <c r="CM1637" s="115"/>
      <c r="CN1637" s="115"/>
      <c r="CO1637" s="115"/>
      <c r="CP1637" s="115"/>
    </row>
    <row r="1638" ht="15.75" customHeight="1">
      <c r="A1638" s="442" t="s">
        <v>7645</v>
      </c>
      <c r="B1638" s="68" t="s">
        <v>2234</v>
      </c>
      <c r="C1638" s="69" t="s">
        <v>207</v>
      </c>
      <c r="D1638" s="184" t="s">
        <v>7646</v>
      </c>
      <c r="E1638" s="200" t="s">
        <v>7647</v>
      </c>
      <c r="F1638" s="185" t="s">
        <v>7648</v>
      </c>
      <c r="G1638" s="186" t="s">
        <v>7649</v>
      </c>
      <c r="H1638" s="186" t="s">
        <v>7650</v>
      </c>
      <c r="I1638" s="74" t="s">
        <v>287</v>
      </c>
      <c r="J1638" s="155" t="s">
        <v>7651</v>
      </c>
      <c r="K1638" s="74" t="s">
        <v>723</v>
      </c>
      <c r="L1638" s="26">
        <v>2016.0</v>
      </c>
      <c r="M1638" s="25">
        <f t="shared" si="789"/>
        <v>9</v>
      </c>
      <c r="N1638" s="26">
        <f t="shared" si="790"/>
        <v>0</v>
      </c>
      <c r="O1638" s="27" t="str">
        <f t="shared" si="3"/>
        <v>#N/A</v>
      </c>
      <c r="P1638" s="28"/>
      <c r="Q1638" s="28"/>
      <c r="R1638" s="28"/>
      <c r="S1638" s="28"/>
      <c r="T1638" s="29">
        <f t="shared" si="791"/>
        <v>0</v>
      </c>
      <c r="U1638" s="28"/>
      <c r="V1638" s="30">
        <f t="shared" si="425"/>
        <v>0</v>
      </c>
      <c r="W1638" s="30"/>
      <c r="X1638" s="32"/>
      <c r="Y1638" s="33" t="str">
        <f t="shared" si="792"/>
        <v>#DIV/0!</v>
      </c>
      <c r="Z1638" s="692"/>
      <c r="AA1638" s="665"/>
      <c r="AB1638" s="74"/>
      <c r="AC1638" s="74"/>
      <c r="AD1638" s="79"/>
      <c r="AE1638" s="84"/>
      <c r="AF1638" s="338"/>
      <c r="AG1638" s="84"/>
      <c r="AH1638" s="74"/>
      <c r="AI1638" s="78"/>
      <c r="AJ1638" s="79"/>
      <c r="AK1638" s="84"/>
      <c r="AL1638" s="79"/>
      <c r="AM1638" s="84"/>
      <c r="AN1638" s="79"/>
      <c r="AO1638" s="84"/>
      <c r="AP1638" s="79"/>
      <c r="AQ1638" s="84"/>
      <c r="AR1638" s="79"/>
      <c r="AS1638" s="79"/>
      <c r="AT1638" s="79"/>
      <c r="AU1638" s="80"/>
      <c r="AV1638" s="79"/>
      <c r="AW1638" s="38"/>
      <c r="AX1638" s="79"/>
      <c r="AY1638" s="38"/>
      <c r="AZ1638" s="79"/>
      <c r="BA1638" s="80"/>
      <c r="BB1638" s="79"/>
      <c r="BC1638" s="80"/>
      <c r="BD1638" s="79"/>
      <c r="BE1638" s="38"/>
      <c r="BF1638" s="74"/>
      <c r="BG1638" s="115"/>
      <c r="BH1638" s="115"/>
      <c r="BI1638" s="115"/>
      <c r="BJ1638" s="115"/>
      <c r="BK1638" s="115"/>
      <c r="BL1638" s="115"/>
      <c r="BM1638" s="115"/>
      <c r="BN1638" s="115"/>
      <c r="BO1638" s="115"/>
      <c r="BP1638" s="115"/>
      <c r="BQ1638" s="115"/>
      <c r="BR1638" s="115"/>
      <c r="BS1638" s="115"/>
      <c r="BT1638" s="115"/>
      <c r="BU1638" s="115"/>
      <c r="BV1638" s="115"/>
      <c r="BW1638" s="115"/>
      <c r="BX1638" s="115"/>
      <c r="BY1638" s="115"/>
      <c r="BZ1638" s="115"/>
      <c r="CA1638" s="115"/>
      <c r="CB1638" s="115"/>
      <c r="CC1638" s="115"/>
      <c r="CD1638" s="115"/>
      <c r="CE1638" s="115"/>
      <c r="CF1638" s="115"/>
      <c r="CG1638" s="115"/>
      <c r="CH1638" s="115"/>
      <c r="CI1638" s="115"/>
      <c r="CJ1638" s="115"/>
      <c r="CK1638" s="115"/>
      <c r="CL1638" s="115"/>
      <c r="CM1638" s="115"/>
      <c r="CN1638" s="115"/>
      <c r="CO1638" s="115"/>
      <c r="CP1638" s="115"/>
    </row>
    <row r="1639" ht="15.75" customHeight="1">
      <c r="A1639" s="666" t="s">
        <v>7652</v>
      </c>
      <c r="B1639" s="116" t="s">
        <v>7653</v>
      </c>
      <c r="C1639" s="116" t="s">
        <v>123</v>
      </c>
      <c r="D1639" s="667" t="s">
        <v>7654</v>
      </c>
      <c r="E1639" s="667" t="s">
        <v>7655</v>
      </c>
      <c r="F1639" s="668" t="s">
        <v>7656</v>
      </c>
      <c r="G1639" s="286" t="s">
        <v>7657</v>
      </c>
      <c r="H1639" s="286" t="s">
        <v>1833</v>
      </c>
      <c r="I1639" s="123" t="s">
        <v>4391</v>
      </c>
      <c r="J1639" s="287" t="s">
        <v>7658</v>
      </c>
      <c r="K1639" s="123">
        <v>1.0</v>
      </c>
      <c r="L1639" s="25">
        <v>2017.0</v>
      </c>
      <c r="M1639" s="25">
        <f t="shared" si="789"/>
        <v>8</v>
      </c>
      <c r="N1639" s="26">
        <f t="shared" si="790"/>
        <v>0</v>
      </c>
      <c r="O1639" s="27" t="str">
        <f t="shared" si="3"/>
        <v>#N/A</v>
      </c>
      <c r="P1639" s="28"/>
      <c r="Q1639" s="28"/>
      <c r="R1639" s="28"/>
      <c r="S1639" s="28"/>
      <c r="T1639" s="29">
        <f t="shared" si="791"/>
        <v>0</v>
      </c>
      <c r="U1639" s="28"/>
      <c r="V1639" s="30">
        <f t="shared" si="425"/>
        <v>0</v>
      </c>
      <c r="W1639" s="30"/>
      <c r="X1639" s="403"/>
      <c r="Y1639" s="33" t="str">
        <f t="shared" si="792"/>
        <v>#DIV/0!</v>
      </c>
      <c r="Z1639" s="692"/>
      <c r="AA1639" s="665"/>
      <c r="AB1639" s="123"/>
      <c r="AC1639" s="123"/>
      <c r="AD1639" s="124"/>
      <c r="AE1639" s="125"/>
      <c r="AF1639" s="126" t="str">
        <f>HYPERLINK("https://www.crunchbase.com/organization/kognition#section-funding-rounds"," Jul 9, 2018        
")</f>
        <v> Jul 9, 2018        
</v>
      </c>
      <c r="AG1639" s="125"/>
      <c r="AH1639" s="123"/>
      <c r="AI1639" s="128"/>
      <c r="AJ1639" s="124"/>
      <c r="AK1639" s="125"/>
      <c r="AL1639" s="124"/>
      <c r="AM1639" s="125"/>
      <c r="AN1639" s="124"/>
      <c r="AO1639" s="125"/>
      <c r="AP1639" s="124"/>
      <c r="AQ1639" s="125"/>
      <c r="AR1639" s="124"/>
      <c r="AS1639" s="124"/>
      <c r="AT1639" s="124"/>
      <c r="AU1639" s="137"/>
      <c r="AV1639" s="124"/>
      <c r="AW1639" s="38"/>
      <c r="AX1639" s="124"/>
      <c r="AY1639" s="38"/>
      <c r="AZ1639" s="124"/>
      <c r="BA1639" s="137"/>
      <c r="BB1639" s="124"/>
      <c r="BC1639" s="137"/>
      <c r="BD1639" s="124"/>
      <c r="BE1639" s="38"/>
      <c r="BF1639" s="123"/>
      <c r="BG1639" s="115"/>
      <c r="BH1639" s="115"/>
      <c r="BI1639" s="115"/>
      <c r="BJ1639" s="115"/>
      <c r="BK1639" s="115"/>
      <c r="BL1639" s="115"/>
      <c r="BM1639" s="115"/>
      <c r="BN1639" s="115"/>
      <c r="BO1639" s="115"/>
      <c r="BP1639" s="115"/>
      <c r="BQ1639" s="115"/>
      <c r="BR1639" s="115"/>
      <c r="BS1639" s="115"/>
      <c r="BT1639" s="115"/>
      <c r="BU1639" s="115"/>
      <c r="BV1639" s="115"/>
      <c r="BW1639" s="115"/>
      <c r="BX1639" s="115"/>
      <c r="BY1639" s="115"/>
      <c r="BZ1639" s="115"/>
      <c r="CA1639" s="115"/>
      <c r="CB1639" s="115"/>
      <c r="CC1639" s="115"/>
      <c r="CD1639" s="115"/>
      <c r="CE1639" s="115"/>
      <c r="CF1639" s="115"/>
      <c r="CG1639" s="115"/>
      <c r="CH1639" s="115"/>
      <c r="CI1639" s="115"/>
      <c r="CJ1639" s="115"/>
      <c r="CK1639" s="115"/>
      <c r="CL1639" s="115"/>
      <c r="CM1639" s="115"/>
      <c r="CN1639" s="115"/>
      <c r="CO1639" s="115"/>
      <c r="CP1639" s="115"/>
    </row>
    <row r="1640" ht="15.75" customHeight="1">
      <c r="A1640" s="21" t="s">
        <v>7659</v>
      </c>
      <c r="B1640" s="69" t="s">
        <v>2234</v>
      </c>
      <c r="C1640" s="69" t="s">
        <v>207</v>
      </c>
      <c r="D1640" s="337"/>
      <c r="E1640" s="192" t="s">
        <v>7660</v>
      </c>
      <c r="F1640" s="173" t="s">
        <v>7661</v>
      </c>
      <c r="G1640" s="186"/>
      <c r="H1640" s="71" t="s">
        <v>365</v>
      </c>
      <c r="I1640" s="26" t="s">
        <v>65</v>
      </c>
      <c r="J1640" s="155"/>
      <c r="K1640" s="74"/>
      <c r="L1640" s="26">
        <v>2016.0</v>
      </c>
      <c r="M1640" s="25">
        <f t="shared" si="789"/>
        <v>9</v>
      </c>
      <c r="N1640" s="26">
        <f t="shared" si="790"/>
        <v>0</v>
      </c>
      <c r="O1640" s="27" t="str">
        <f t="shared" si="3"/>
        <v>#N/A</v>
      </c>
      <c r="P1640" s="28"/>
      <c r="Q1640" s="28"/>
      <c r="R1640" s="28"/>
      <c r="S1640" s="28"/>
      <c r="T1640" s="29">
        <f t="shared" si="791"/>
        <v>0</v>
      </c>
      <c r="U1640" s="28"/>
      <c r="V1640" s="30">
        <f t="shared" si="425"/>
        <v>0</v>
      </c>
      <c r="W1640" s="30"/>
      <c r="X1640" s="32"/>
      <c r="Y1640" s="33" t="str">
        <f t="shared" si="792"/>
        <v>#DIV/0!</v>
      </c>
      <c r="Z1640" s="692"/>
      <c r="AA1640" s="665"/>
      <c r="AB1640" s="74"/>
      <c r="AC1640" s="74"/>
      <c r="AD1640" s="79"/>
      <c r="AE1640" s="84"/>
      <c r="AF1640" s="338"/>
      <c r="AG1640" s="84"/>
      <c r="AH1640" s="74"/>
      <c r="AI1640" s="78"/>
      <c r="AJ1640" s="79"/>
      <c r="AK1640" s="84"/>
      <c r="AL1640" s="79"/>
      <c r="AM1640" s="84"/>
      <c r="AN1640" s="79"/>
      <c r="AO1640" s="84"/>
      <c r="AP1640" s="79"/>
      <c r="AQ1640" s="84"/>
      <c r="AR1640" s="79"/>
      <c r="AS1640" s="79"/>
      <c r="AT1640" s="79"/>
      <c r="AU1640" s="80"/>
      <c r="AV1640" s="79"/>
      <c r="AW1640" s="38"/>
      <c r="AX1640" s="79"/>
      <c r="AY1640" s="38"/>
      <c r="AZ1640" s="79"/>
      <c r="BA1640" s="80"/>
      <c r="BB1640" s="79"/>
      <c r="BC1640" s="80"/>
      <c r="BD1640" s="79"/>
      <c r="BE1640" s="38"/>
      <c r="BF1640" s="74"/>
      <c r="BG1640" s="115"/>
      <c r="BH1640" s="115"/>
      <c r="BI1640" s="115"/>
      <c r="BJ1640" s="115"/>
      <c r="BK1640" s="115"/>
      <c r="BL1640" s="115"/>
      <c r="BM1640" s="115"/>
      <c r="BN1640" s="115"/>
      <c r="BO1640" s="115"/>
      <c r="BP1640" s="115"/>
      <c r="BQ1640" s="115"/>
      <c r="BR1640" s="115"/>
      <c r="BS1640" s="115"/>
      <c r="BT1640" s="115"/>
      <c r="BU1640" s="115"/>
      <c r="BV1640" s="115"/>
      <c r="BW1640" s="115"/>
      <c r="BX1640" s="115"/>
      <c r="BY1640" s="115"/>
      <c r="BZ1640" s="115"/>
      <c r="CA1640" s="115"/>
      <c r="CB1640" s="115"/>
      <c r="CC1640" s="115"/>
      <c r="CD1640" s="115"/>
      <c r="CE1640" s="115"/>
      <c r="CF1640" s="115"/>
      <c r="CG1640" s="115"/>
      <c r="CH1640" s="115"/>
      <c r="CI1640" s="115"/>
      <c r="CJ1640" s="115"/>
      <c r="CK1640" s="115"/>
      <c r="CL1640" s="115"/>
      <c r="CM1640" s="115"/>
      <c r="CN1640" s="115"/>
      <c r="CO1640" s="115"/>
      <c r="CP1640" s="115"/>
    </row>
    <row r="1641" ht="15.75" customHeight="1">
      <c r="A1641" s="442" t="s">
        <v>7662</v>
      </c>
      <c r="B1641" s="68" t="s">
        <v>2234</v>
      </c>
      <c r="C1641" s="69" t="s">
        <v>207</v>
      </c>
      <c r="D1641" s="337"/>
      <c r="E1641" s="337"/>
      <c r="F1641" s="173" t="s">
        <v>7663</v>
      </c>
      <c r="G1641" s="186"/>
      <c r="H1641" s="186"/>
      <c r="I1641" s="74"/>
      <c r="J1641" s="155"/>
      <c r="K1641" s="74"/>
      <c r="L1641" s="79"/>
      <c r="M1641" s="169">
        <f t="shared" si="789"/>
        <v>2025</v>
      </c>
      <c r="N1641" s="26">
        <f t="shared" si="790"/>
        <v>0</v>
      </c>
      <c r="O1641" s="27" t="str">
        <f t="shared" si="3"/>
        <v>#N/A</v>
      </c>
      <c r="P1641" s="28"/>
      <c r="Q1641" s="28"/>
      <c r="R1641" s="28"/>
      <c r="S1641" s="28"/>
      <c r="T1641" s="28">
        <f t="shared" si="791"/>
        <v>0</v>
      </c>
      <c r="U1641" s="28"/>
      <c r="V1641" s="30">
        <f t="shared" si="425"/>
        <v>0</v>
      </c>
      <c r="W1641" s="30"/>
      <c r="X1641" s="32"/>
      <c r="Y1641" s="33" t="str">
        <f t="shared" si="792"/>
        <v>#DIV/0!</v>
      </c>
      <c r="Z1641" s="692"/>
      <c r="AA1641" s="665"/>
      <c r="AB1641" s="74"/>
      <c r="AC1641" s="74"/>
      <c r="AD1641" s="79"/>
      <c r="AE1641" s="84"/>
      <c r="AF1641" s="338"/>
      <c r="AG1641" s="84"/>
      <c r="AH1641" s="74"/>
      <c r="AI1641" s="78"/>
      <c r="AJ1641" s="79"/>
      <c r="AK1641" s="84"/>
      <c r="AL1641" s="79"/>
      <c r="AM1641" s="84"/>
      <c r="AN1641" s="79"/>
      <c r="AO1641" s="84"/>
      <c r="AP1641" s="79"/>
      <c r="AQ1641" s="84"/>
      <c r="AR1641" s="79"/>
      <c r="AS1641" s="79"/>
      <c r="AT1641" s="79"/>
      <c r="AU1641" s="80"/>
      <c r="AV1641" s="79"/>
      <c r="AW1641" s="38"/>
      <c r="AX1641" s="79"/>
      <c r="AY1641" s="38"/>
      <c r="AZ1641" s="79"/>
      <c r="BA1641" s="80"/>
      <c r="BB1641" s="79"/>
      <c r="BC1641" s="80"/>
      <c r="BD1641" s="79"/>
      <c r="BE1641" s="38"/>
      <c r="BF1641" s="74"/>
      <c r="BG1641" s="115"/>
      <c r="BH1641" s="115"/>
      <c r="BI1641" s="115"/>
      <c r="BJ1641" s="115"/>
      <c r="BK1641" s="115"/>
      <c r="BL1641" s="115"/>
      <c r="BM1641" s="115"/>
      <c r="BN1641" s="115"/>
      <c r="BO1641" s="115"/>
      <c r="BP1641" s="115"/>
      <c r="BQ1641" s="115"/>
      <c r="BR1641" s="115"/>
      <c r="BS1641" s="115"/>
      <c r="BT1641" s="115"/>
      <c r="BU1641" s="115"/>
      <c r="BV1641" s="115"/>
      <c r="BW1641" s="115"/>
      <c r="BX1641" s="115"/>
      <c r="BY1641" s="115"/>
      <c r="BZ1641" s="115"/>
      <c r="CA1641" s="115"/>
      <c r="CB1641" s="115"/>
      <c r="CC1641" s="115"/>
      <c r="CD1641" s="115"/>
      <c r="CE1641" s="115"/>
      <c r="CF1641" s="115"/>
      <c r="CG1641" s="115"/>
      <c r="CH1641" s="115"/>
      <c r="CI1641" s="115"/>
      <c r="CJ1641" s="115"/>
      <c r="CK1641" s="115"/>
      <c r="CL1641" s="115"/>
      <c r="CM1641" s="115"/>
      <c r="CN1641" s="115"/>
      <c r="CO1641" s="115"/>
      <c r="CP1641" s="115"/>
    </row>
    <row r="1642" ht="15.75" customHeight="1">
      <c r="A1642" s="47" t="s">
        <v>7664</v>
      </c>
      <c r="B1642" s="116" t="s">
        <v>2234</v>
      </c>
      <c r="C1642" s="116" t="s">
        <v>123</v>
      </c>
      <c r="D1642" s="192" t="s">
        <v>7665</v>
      </c>
      <c r="E1642" s="192" t="s">
        <v>7666</v>
      </c>
      <c r="F1642" s="1690" t="s">
        <v>7667</v>
      </c>
      <c r="G1642" s="286"/>
      <c r="H1642" s="119" t="s">
        <v>129</v>
      </c>
      <c r="I1642" s="25" t="s">
        <v>156</v>
      </c>
      <c r="J1642" s="287"/>
      <c r="K1642" s="123"/>
      <c r="L1642" s="25">
        <v>2017.0</v>
      </c>
      <c r="M1642" s="25">
        <f t="shared" si="789"/>
        <v>8</v>
      </c>
      <c r="N1642" s="26">
        <f t="shared" si="790"/>
        <v>0</v>
      </c>
      <c r="O1642" s="27" t="str">
        <f t="shared" si="3"/>
        <v>#N/A</v>
      </c>
      <c r="P1642" s="28"/>
      <c r="Q1642" s="28"/>
      <c r="R1642" s="28"/>
      <c r="S1642" s="28"/>
      <c r="T1642" s="29">
        <f t="shared" si="791"/>
        <v>0</v>
      </c>
      <c r="U1642" s="28"/>
      <c r="V1642" s="30">
        <f t="shared" si="425"/>
        <v>0</v>
      </c>
      <c r="W1642" s="30"/>
      <c r="X1642" s="403"/>
      <c r="Y1642" s="33" t="str">
        <f t="shared" si="792"/>
        <v>#DIV/0!</v>
      </c>
      <c r="Z1642" s="692"/>
      <c r="AA1642" s="665"/>
      <c r="AB1642" s="123"/>
      <c r="AC1642" s="123"/>
      <c r="AD1642" s="124"/>
      <c r="AE1642" s="125"/>
      <c r="AF1642" s="166"/>
      <c r="AG1642" s="125"/>
      <c r="AH1642" s="123"/>
      <c r="AI1642" s="128"/>
      <c r="AJ1642" s="124"/>
      <c r="AK1642" s="127"/>
      <c r="AL1642" s="124"/>
      <c r="AM1642" s="125"/>
      <c r="AN1642" s="124"/>
      <c r="AO1642" s="125"/>
      <c r="AP1642" s="124"/>
      <c r="AQ1642" s="125"/>
      <c r="AR1642" s="124"/>
      <c r="AS1642" s="124"/>
      <c r="AT1642" s="124"/>
      <c r="AU1642" s="137"/>
      <c r="AV1642" s="124"/>
      <c r="AW1642" s="38"/>
      <c r="AX1642" s="124"/>
      <c r="AY1642" s="38"/>
      <c r="AZ1642" s="124"/>
      <c r="BA1642" s="137"/>
      <c r="BB1642" s="124"/>
      <c r="BC1642" s="137"/>
      <c r="BD1642" s="124"/>
      <c r="BE1642" s="38"/>
      <c r="BF1642" s="123"/>
      <c r="BG1642" s="115"/>
      <c r="BH1642" s="115"/>
      <c r="BI1642" s="115"/>
      <c r="BJ1642" s="115"/>
      <c r="BK1642" s="115"/>
      <c r="BL1642" s="115"/>
      <c r="BM1642" s="115"/>
      <c r="BN1642" s="115"/>
      <c r="BO1642" s="115"/>
      <c r="BP1642" s="115"/>
      <c r="BQ1642" s="115"/>
      <c r="BR1642" s="115"/>
      <c r="BS1642" s="115"/>
      <c r="BT1642" s="115"/>
      <c r="BU1642" s="115"/>
      <c r="BV1642" s="115"/>
      <c r="BW1642" s="115"/>
      <c r="BX1642" s="115"/>
      <c r="BY1642" s="115"/>
      <c r="BZ1642" s="115"/>
      <c r="CA1642" s="115"/>
      <c r="CB1642" s="115"/>
      <c r="CC1642" s="115"/>
      <c r="CD1642" s="115"/>
      <c r="CE1642" s="115"/>
      <c r="CF1642" s="115"/>
      <c r="CG1642" s="115"/>
      <c r="CH1642" s="115"/>
      <c r="CI1642" s="115"/>
      <c r="CJ1642" s="115"/>
      <c r="CK1642" s="115"/>
      <c r="CL1642" s="115"/>
      <c r="CM1642" s="115"/>
      <c r="CN1642" s="115"/>
      <c r="CO1642" s="115"/>
      <c r="CP1642" s="115"/>
    </row>
    <row r="1643" ht="15.75" customHeight="1">
      <c r="A1643" s="1462" t="s">
        <v>7668</v>
      </c>
      <c r="B1643" s="1463" t="s">
        <v>4660</v>
      </c>
      <c r="C1643" s="1463" t="s">
        <v>513</v>
      </c>
      <c r="D1643" s="1774" t="s">
        <v>4781</v>
      </c>
      <c r="E1643" s="1774" t="s">
        <v>4781</v>
      </c>
      <c r="F1643" s="1721" t="s">
        <v>7669</v>
      </c>
      <c r="G1643" s="1468" t="s">
        <v>7670</v>
      </c>
      <c r="H1643" s="1467" t="s">
        <v>7671</v>
      </c>
      <c r="I1643" s="1469" t="s">
        <v>395</v>
      </c>
      <c r="J1643" s="1470" t="s">
        <v>7672</v>
      </c>
      <c r="K1643" s="1474"/>
      <c r="L1643" s="1469"/>
      <c r="M1643" s="25">
        <f t="shared" si="789"/>
        <v>2025</v>
      </c>
      <c r="N1643" s="26">
        <f t="shared" si="790"/>
        <v>0</v>
      </c>
      <c r="O1643" s="27" t="str">
        <f t="shared" si="3"/>
        <v>#N/A</v>
      </c>
      <c r="P1643" s="28"/>
      <c r="Q1643" s="28"/>
      <c r="R1643" s="28"/>
      <c r="S1643" s="28"/>
      <c r="T1643" s="29">
        <f t="shared" si="791"/>
        <v>0</v>
      </c>
      <c r="U1643" s="28"/>
      <c r="V1643" s="30">
        <f t="shared" si="425"/>
        <v>0</v>
      </c>
      <c r="W1643" s="30"/>
      <c r="X1643" s="1736"/>
      <c r="Y1643" s="33" t="str">
        <f t="shared" si="792"/>
        <v>#DIV/0!</v>
      </c>
      <c r="Z1643" s="692"/>
      <c r="AA1643" s="665"/>
      <c r="AB1643" s="1474"/>
      <c r="AC1643" s="1474"/>
      <c r="AD1643" s="1482"/>
      <c r="AE1643" s="1717"/>
      <c r="AF1643" s="1775"/>
      <c r="AG1643" s="1476"/>
      <c r="AH1643" s="1474"/>
      <c r="AI1643" s="1479"/>
      <c r="AJ1643" s="1482"/>
      <c r="AK1643" s="1476"/>
      <c r="AL1643" s="1482"/>
      <c r="AM1643" s="1717"/>
      <c r="AN1643" s="1482"/>
      <c r="AO1643" s="1717"/>
      <c r="AP1643" s="1482"/>
      <c r="AQ1643" s="1717"/>
      <c r="AR1643" s="1482"/>
      <c r="AS1643" s="1482"/>
      <c r="AT1643" s="1482"/>
      <c r="AU1643" s="1483"/>
      <c r="AV1643" s="1482"/>
      <c r="AW1643" s="38"/>
      <c r="AX1643" s="1482"/>
      <c r="AY1643" s="38"/>
      <c r="AZ1643" s="1482"/>
      <c r="BA1643" s="1483"/>
      <c r="BB1643" s="1482"/>
      <c r="BC1643" s="1483"/>
      <c r="BD1643" s="1482"/>
      <c r="BE1643" s="38"/>
      <c r="BF1643" s="1474"/>
      <c r="BG1643" s="115"/>
      <c r="BH1643" s="115"/>
      <c r="BI1643" s="115"/>
      <c r="BJ1643" s="115"/>
      <c r="BK1643" s="115"/>
      <c r="BL1643" s="115"/>
      <c r="BM1643" s="115"/>
      <c r="BN1643" s="115"/>
      <c r="BO1643" s="115"/>
      <c r="BP1643" s="115"/>
      <c r="BQ1643" s="115"/>
      <c r="BR1643" s="115"/>
      <c r="BS1643" s="115"/>
      <c r="BT1643" s="115"/>
      <c r="BU1643" s="115"/>
      <c r="BV1643" s="115"/>
      <c r="BW1643" s="115"/>
      <c r="BX1643" s="115"/>
      <c r="BY1643" s="115"/>
      <c r="BZ1643" s="115"/>
      <c r="CA1643" s="115"/>
      <c r="CB1643" s="115"/>
      <c r="CC1643" s="115"/>
      <c r="CD1643" s="115"/>
      <c r="CE1643" s="115"/>
      <c r="CF1643" s="115"/>
      <c r="CG1643" s="115"/>
      <c r="CH1643" s="115"/>
      <c r="CI1643" s="115"/>
      <c r="CJ1643" s="115"/>
      <c r="CK1643" s="115"/>
      <c r="CL1643" s="115"/>
      <c r="CM1643" s="115"/>
      <c r="CN1643" s="115"/>
      <c r="CO1643" s="115"/>
      <c r="CP1643" s="115"/>
    </row>
    <row r="1644" ht="15.75" customHeight="1">
      <c r="A1644" s="860" t="s">
        <v>7673</v>
      </c>
      <c r="B1644" s="115"/>
      <c r="C1644" s="116" t="s">
        <v>132</v>
      </c>
      <c r="D1644" s="192" t="s">
        <v>7674</v>
      </c>
      <c r="E1644" s="192" t="s">
        <v>7675</v>
      </c>
      <c r="F1644" s="118" t="s">
        <v>7676</v>
      </c>
      <c r="G1644" s="286"/>
      <c r="H1644" s="286"/>
      <c r="I1644" s="123"/>
      <c r="J1644" s="287"/>
      <c r="K1644" s="123"/>
      <c r="L1644" s="25">
        <v>2015.0</v>
      </c>
      <c r="M1644" s="25">
        <f t="shared" si="789"/>
        <v>10</v>
      </c>
      <c r="N1644" s="26">
        <f t="shared" si="790"/>
        <v>0</v>
      </c>
      <c r="O1644" s="27" t="str">
        <f t="shared" si="3"/>
        <v>#N/A</v>
      </c>
      <c r="P1644" s="28"/>
      <c r="Q1644" s="28"/>
      <c r="R1644" s="28"/>
      <c r="S1644" s="28"/>
      <c r="T1644" s="29">
        <f t="shared" si="791"/>
        <v>0</v>
      </c>
      <c r="U1644" s="28"/>
      <c r="V1644" s="30">
        <f t="shared" si="425"/>
        <v>0</v>
      </c>
      <c r="W1644" s="30"/>
      <c r="X1644" s="403"/>
      <c r="Y1644" s="33" t="str">
        <f t="shared" si="792"/>
        <v>#DIV/0!</v>
      </c>
      <c r="Z1644" s="692"/>
      <c r="AA1644" s="665"/>
      <c r="AB1644" s="123"/>
      <c r="AC1644" s="123"/>
      <c r="AD1644" s="124"/>
      <c r="AE1644" s="125"/>
      <c r="AF1644" s="166"/>
      <c r="AG1644" s="125"/>
      <c r="AH1644" s="123"/>
      <c r="AI1644" s="128"/>
      <c r="AJ1644" s="124"/>
      <c r="AK1644" s="1656"/>
      <c r="AL1644" s="124"/>
      <c r="AM1644" s="125"/>
      <c r="AN1644" s="124"/>
      <c r="AO1644" s="125"/>
      <c r="AP1644" s="124"/>
      <c r="AQ1644" s="125"/>
      <c r="AR1644" s="124"/>
      <c r="AS1644" s="124"/>
      <c r="AT1644" s="124"/>
      <c r="AU1644" s="137"/>
      <c r="AV1644" s="124"/>
      <c r="AW1644" s="38"/>
      <c r="AX1644" s="124"/>
      <c r="AY1644" s="38"/>
      <c r="AZ1644" s="124"/>
      <c r="BA1644" s="137"/>
      <c r="BB1644" s="124"/>
      <c r="BC1644" s="137"/>
      <c r="BD1644" s="124"/>
      <c r="BE1644" s="38"/>
      <c r="BF1644" s="123"/>
      <c r="BG1644" s="115"/>
      <c r="BH1644" s="115"/>
      <c r="BI1644" s="115"/>
      <c r="BJ1644" s="115"/>
      <c r="BK1644" s="115"/>
      <c r="BL1644" s="115"/>
      <c r="BM1644" s="115"/>
      <c r="BN1644" s="115"/>
      <c r="BO1644" s="115"/>
      <c r="BP1644" s="115"/>
      <c r="BQ1644" s="115"/>
      <c r="BR1644" s="115"/>
      <c r="BS1644" s="115"/>
      <c r="BT1644" s="115"/>
      <c r="BU1644" s="115"/>
      <c r="BV1644" s="115"/>
      <c r="BW1644" s="115"/>
      <c r="BX1644" s="115"/>
      <c r="BY1644" s="115"/>
      <c r="BZ1644" s="115"/>
      <c r="CA1644" s="115"/>
      <c r="CB1644" s="115"/>
      <c r="CC1644" s="115"/>
      <c r="CD1644" s="115"/>
      <c r="CE1644" s="115"/>
      <c r="CF1644" s="115"/>
      <c r="CG1644" s="115"/>
      <c r="CH1644" s="115"/>
      <c r="CI1644" s="115"/>
      <c r="CJ1644" s="115"/>
      <c r="CK1644" s="115"/>
      <c r="CL1644" s="115"/>
      <c r="CM1644" s="115"/>
      <c r="CN1644" s="115"/>
      <c r="CO1644" s="115"/>
      <c r="CP1644" s="115"/>
    </row>
    <row r="1645" ht="15.75" customHeight="1">
      <c r="A1645" s="860" t="s">
        <v>7677</v>
      </c>
      <c r="B1645" s="116"/>
      <c r="C1645" s="116" t="s">
        <v>123</v>
      </c>
      <c r="D1645" s="192" t="s">
        <v>7678</v>
      </c>
      <c r="E1645" s="192" t="s">
        <v>7679</v>
      </c>
      <c r="F1645" s="1487" t="s">
        <v>7680</v>
      </c>
      <c r="G1645" s="119"/>
      <c r="H1645" s="119" t="s">
        <v>3019</v>
      </c>
      <c r="I1645" s="25" t="s">
        <v>1547</v>
      </c>
      <c r="J1645" s="120"/>
      <c r="K1645" s="25"/>
      <c r="L1645" s="25">
        <v>2016.0</v>
      </c>
      <c r="M1645" s="25">
        <f t="shared" si="789"/>
        <v>9</v>
      </c>
      <c r="N1645" s="26">
        <f t="shared" si="790"/>
        <v>0</v>
      </c>
      <c r="O1645" s="27" t="str">
        <f t="shared" si="3"/>
        <v>#N/A</v>
      </c>
      <c r="P1645" s="28"/>
      <c r="Q1645" s="28"/>
      <c r="R1645" s="28"/>
      <c r="S1645" s="28"/>
      <c r="T1645" s="29">
        <f t="shared" si="791"/>
        <v>0</v>
      </c>
      <c r="U1645" s="28"/>
      <c r="V1645" s="30">
        <f t="shared" si="425"/>
        <v>0</v>
      </c>
      <c r="W1645" s="30"/>
      <c r="X1645" s="597"/>
      <c r="Y1645" s="33" t="str">
        <f t="shared" si="792"/>
        <v>#DIV/0!</v>
      </c>
      <c r="Z1645" s="692"/>
      <c r="AA1645" s="665"/>
      <c r="AB1645" s="123"/>
      <c r="AC1645" s="123"/>
      <c r="AD1645" s="124"/>
      <c r="AE1645" s="125"/>
      <c r="AF1645" s="166"/>
      <c r="AG1645" s="1776"/>
      <c r="AH1645" s="123"/>
      <c r="AI1645" s="128"/>
      <c r="AJ1645" s="169"/>
      <c r="AK1645" s="165"/>
      <c r="AL1645" s="169"/>
      <c r="AM1645" s="165"/>
      <c r="AN1645" s="124"/>
      <c r="AO1645" s="125"/>
      <c r="AP1645" s="124"/>
      <c r="AQ1645" s="125"/>
      <c r="AR1645" s="124"/>
      <c r="AS1645" s="124"/>
      <c r="AT1645" s="124"/>
      <c r="AU1645" s="137"/>
      <c r="AV1645" s="124"/>
      <c r="AW1645" s="38"/>
      <c r="AX1645" s="124"/>
      <c r="AY1645" s="38"/>
      <c r="AZ1645" s="124"/>
      <c r="BA1645" s="137"/>
      <c r="BB1645" s="124"/>
      <c r="BC1645" s="137"/>
      <c r="BD1645" s="124"/>
      <c r="BE1645" s="38"/>
      <c r="BF1645" s="123"/>
      <c r="BG1645" s="115"/>
      <c r="BH1645" s="115"/>
      <c r="BI1645" s="115"/>
      <c r="BJ1645" s="115"/>
      <c r="BK1645" s="115"/>
      <c r="BL1645" s="115"/>
      <c r="BM1645" s="115"/>
      <c r="BN1645" s="115"/>
      <c r="BO1645" s="115"/>
      <c r="BP1645" s="115"/>
      <c r="BQ1645" s="115"/>
      <c r="BR1645" s="115"/>
      <c r="BS1645" s="115"/>
      <c r="BT1645" s="115"/>
      <c r="BU1645" s="115"/>
      <c r="BV1645" s="115"/>
      <c r="BW1645" s="115"/>
      <c r="BX1645" s="115"/>
      <c r="BY1645" s="115"/>
      <c r="BZ1645" s="115"/>
      <c r="CA1645" s="115"/>
      <c r="CB1645" s="115"/>
      <c r="CC1645" s="115"/>
      <c r="CD1645" s="115"/>
      <c r="CE1645" s="115"/>
      <c r="CF1645" s="115"/>
      <c r="CG1645" s="115"/>
      <c r="CH1645" s="115"/>
      <c r="CI1645" s="115"/>
      <c r="CJ1645" s="115"/>
      <c r="CK1645" s="115"/>
      <c r="CL1645" s="115"/>
      <c r="CM1645" s="115"/>
      <c r="CN1645" s="115"/>
      <c r="CO1645" s="115"/>
      <c r="CP1645" s="115"/>
    </row>
    <row r="1646" ht="15.75" customHeight="1">
      <c r="A1646" s="860" t="s">
        <v>7681</v>
      </c>
      <c r="B1646" s="116"/>
      <c r="C1646" s="116" t="s">
        <v>84</v>
      </c>
      <c r="D1646" s="192" t="s">
        <v>7682</v>
      </c>
      <c r="E1646" s="192" t="s">
        <v>7683</v>
      </c>
      <c r="F1646" s="1487" t="s">
        <v>7684</v>
      </c>
      <c r="G1646" s="119"/>
      <c r="H1646" s="119" t="s">
        <v>129</v>
      </c>
      <c r="I1646" s="25" t="s">
        <v>156</v>
      </c>
      <c r="J1646" s="120"/>
      <c r="K1646" s="25"/>
      <c r="L1646" s="25">
        <v>1994.0</v>
      </c>
      <c r="M1646" s="25">
        <f t="shared" si="789"/>
        <v>31</v>
      </c>
      <c r="N1646" s="26">
        <f t="shared" si="790"/>
        <v>0</v>
      </c>
      <c r="O1646" s="27" t="str">
        <f t="shared" si="3"/>
        <v>#N/A</v>
      </c>
      <c r="P1646" s="28"/>
      <c r="Q1646" s="28"/>
      <c r="R1646" s="28"/>
      <c r="S1646" s="28"/>
      <c r="T1646" s="29">
        <f t="shared" si="791"/>
        <v>0</v>
      </c>
      <c r="U1646" s="28"/>
      <c r="V1646" s="30">
        <f t="shared" si="425"/>
        <v>0</v>
      </c>
      <c r="W1646" s="30"/>
      <c r="X1646" s="597"/>
      <c r="Y1646" s="33" t="str">
        <f t="shared" si="792"/>
        <v>#DIV/0!</v>
      </c>
      <c r="Z1646" s="692"/>
      <c r="AA1646" s="665"/>
      <c r="AB1646" s="123"/>
      <c r="AC1646" s="123"/>
      <c r="AD1646" s="164"/>
      <c r="AE1646" s="165"/>
      <c r="AF1646" s="166"/>
      <c r="AG1646" s="127"/>
      <c r="AH1646" s="123"/>
      <c r="AI1646" s="128"/>
      <c r="AJ1646" s="169"/>
      <c r="AK1646" s="168"/>
      <c r="AL1646" s="169"/>
      <c r="AM1646" s="127"/>
      <c r="AN1646" s="124"/>
      <c r="AO1646" s="125"/>
      <c r="AP1646" s="124"/>
      <c r="AQ1646" s="125"/>
      <c r="AR1646" s="169"/>
      <c r="AS1646" s="169"/>
      <c r="AT1646" s="169"/>
      <c r="AU1646" s="170"/>
      <c r="AV1646" s="169"/>
      <c r="AW1646" s="38"/>
      <c r="AX1646" s="169"/>
      <c r="AY1646" s="38"/>
      <c r="AZ1646" s="169"/>
      <c r="BA1646" s="170"/>
      <c r="BB1646" s="169"/>
      <c r="BC1646" s="170"/>
      <c r="BD1646" s="169"/>
      <c r="BE1646" s="38"/>
      <c r="BF1646" s="172"/>
      <c r="BG1646" s="115"/>
      <c r="BH1646" s="115"/>
      <c r="BI1646" s="115"/>
      <c r="BJ1646" s="115"/>
      <c r="BK1646" s="115"/>
      <c r="BL1646" s="115"/>
      <c r="BM1646" s="115"/>
      <c r="BN1646" s="115"/>
      <c r="BO1646" s="115"/>
      <c r="BP1646" s="115"/>
      <c r="BQ1646" s="115"/>
      <c r="BR1646" s="115"/>
      <c r="BS1646" s="115"/>
      <c r="BT1646" s="115"/>
      <c r="BU1646" s="115"/>
      <c r="BV1646" s="115"/>
      <c r="BW1646" s="115"/>
      <c r="BX1646" s="115"/>
      <c r="BY1646" s="115"/>
      <c r="BZ1646" s="115"/>
      <c r="CA1646" s="115"/>
      <c r="CB1646" s="115"/>
      <c r="CC1646" s="115"/>
      <c r="CD1646" s="115"/>
      <c r="CE1646" s="115"/>
      <c r="CF1646" s="115"/>
      <c r="CG1646" s="115"/>
      <c r="CH1646" s="115"/>
      <c r="CI1646" s="115"/>
      <c r="CJ1646" s="115"/>
      <c r="CK1646" s="115"/>
      <c r="CL1646" s="115"/>
      <c r="CM1646" s="115"/>
      <c r="CN1646" s="115"/>
      <c r="CO1646" s="115"/>
      <c r="CP1646" s="115"/>
    </row>
    <row r="1647" ht="15.75" customHeight="1">
      <c r="A1647" s="400" t="s">
        <v>7685</v>
      </c>
      <c r="B1647" s="115"/>
      <c r="C1647" s="116" t="s">
        <v>755</v>
      </c>
      <c r="D1647" s="192" t="s">
        <v>7686</v>
      </c>
      <c r="E1647" s="192" t="s">
        <v>7687</v>
      </c>
      <c r="F1647" s="402" t="s">
        <v>7688</v>
      </c>
      <c r="G1647" s="286"/>
      <c r="H1647" s="119" t="s">
        <v>937</v>
      </c>
      <c r="I1647" s="25" t="s">
        <v>65</v>
      </c>
      <c r="J1647" s="287"/>
      <c r="K1647" s="123"/>
      <c r="L1647" s="25">
        <v>2010.0</v>
      </c>
      <c r="M1647" s="25">
        <f t="shared" si="789"/>
        <v>15</v>
      </c>
      <c r="N1647" s="26">
        <f t="shared" si="790"/>
        <v>0</v>
      </c>
      <c r="O1647" s="27" t="str">
        <f t="shared" si="3"/>
        <v>#N/A</v>
      </c>
      <c r="P1647" s="28"/>
      <c r="Q1647" s="28"/>
      <c r="R1647" s="28"/>
      <c r="S1647" s="28"/>
      <c r="T1647" s="29">
        <f t="shared" si="791"/>
        <v>0</v>
      </c>
      <c r="U1647" s="28"/>
      <c r="V1647" s="30">
        <f t="shared" si="425"/>
        <v>0</v>
      </c>
      <c r="W1647" s="30"/>
      <c r="X1647" s="403"/>
      <c r="Y1647" s="33" t="str">
        <f t="shared" si="792"/>
        <v>#DIV/0!</v>
      </c>
      <c r="Z1647" s="692"/>
      <c r="AA1647" s="665"/>
      <c r="AB1647" s="123"/>
      <c r="AC1647" s="123"/>
      <c r="AD1647" s="124"/>
      <c r="AE1647" s="127"/>
      <c r="AF1647" s="721"/>
      <c r="AG1647" s="127"/>
      <c r="AH1647" s="123"/>
      <c r="AI1647" s="128"/>
      <c r="AJ1647" s="124"/>
      <c r="AK1647" s="127"/>
      <c r="AL1647" s="124"/>
      <c r="AM1647" s="125"/>
      <c r="AN1647" s="124"/>
      <c r="AO1647" s="125"/>
      <c r="AP1647" s="124"/>
      <c r="AQ1647" s="125"/>
      <c r="AR1647" s="124"/>
      <c r="AS1647" s="124"/>
      <c r="AT1647" s="124"/>
      <c r="AU1647" s="137"/>
      <c r="AV1647" s="124"/>
      <c r="AW1647" s="38"/>
      <c r="AX1647" s="124"/>
      <c r="AY1647" s="38"/>
      <c r="AZ1647" s="124"/>
      <c r="BA1647" s="137"/>
      <c r="BB1647" s="124"/>
      <c r="BC1647" s="137"/>
      <c r="BD1647" s="124"/>
      <c r="BE1647" s="38"/>
      <c r="BF1647" s="123"/>
      <c r="BG1647" s="115"/>
      <c r="BH1647" s="115"/>
      <c r="BI1647" s="115"/>
      <c r="BJ1647" s="115"/>
      <c r="BK1647" s="115"/>
      <c r="BL1647" s="115"/>
      <c r="BM1647" s="115"/>
      <c r="BN1647" s="115"/>
      <c r="BO1647" s="115"/>
      <c r="BP1647" s="115"/>
      <c r="BQ1647" s="115"/>
      <c r="BR1647" s="115"/>
      <c r="BS1647" s="115"/>
      <c r="BT1647" s="115"/>
      <c r="BU1647" s="115"/>
      <c r="BV1647" s="115"/>
      <c r="BW1647" s="115"/>
      <c r="BX1647" s="115"/>
      <c r="BY1647" s="115"/>
      <c r="BZ1647" s="115"/>
      <c r="CA1647" s="115"/>
      <c r="CB1647" s="115"/>
      <c r="CC1647" s="115"/>
      <c r="CD1647" s="115"/>
      <c r="CE1647" s="115"/>
      <c r="CF1647" s="115"/>
      <c r="CG1647" s="115"/>
      <c r="CH1647" s="115"/>
      <c r="CI1647" s="115"/>
      <c r="CJ1647" s="115"/>
      <c r="CK1647" s="115"/>
      <c r="CL1647" s="115"/>
      <c r="CM1647" s="115"/>
      <c r="CN1647" s="115"/>
      <c r="CO1647" s="115"/>
      <c r="CP1647" s="115"/>
    </row>
    <row r="1648" ht="15.75" customHeight="1">
      <c r="A1648" s="860" t="s">
        <v>7689</v>
      </c>
      <c r="B1648" s="115"/>
      <c r="C1648" s="116" t="s">
        <v>755</v>
      </c>
      <c r="D1648" s="449"/>
      <c r="E1648" s="192" t="s">
        <v>7690</v>
      </c>
      <c r="F1648" s="118" t="s">
        <v>7691</v>
      </c>
      <c r="G1648" s="930"/>
      <c r="H1648" s="286"/>
      <c r="I1648" s="123"/>
      <c r="J1648" s="1326"/>
      <c r="K1648" s="123"/>
      <c r="L1648" s="25">
        <v>2005.0</v>
      </c>
      <c r="M1648" s="25">
        <f t="shared" si="789"/>
        <v>20</v>
      </c>
      <c r="N1648" s="26">
        <f t="shared" si="790"/>
        <v>0</v>
      </c>
      <c r="O1648" s="27" t="str">
        <f t="shared" si="3"/>
        <v>#N/A</v>
      </c>
      <c r="P1648" s="28"/>
      <c r="Q1648" s="28"/>
      <c r="R1648" s="28"/>
      <c r="S1648" s="28"/>
      <c r="T1648" s="29">
        <f t="shared" si="791"/>
        <v>0</v>
      </c>
      <c r="U1648" s="28"/>
      <c r="V1648" s="30">
        <f t="shared" si="425"/>
        <v>0</v>
      </c>
      <c r="W1648" s="30"/>
      <c r="X1648" s="403"/>
      <c r="Y1648" s="33" t="str">
        <f t="shared" si="792"/>
        <v>#DIV/0!</v>
      </c>
      <c r="Z1648" s="692"/>
      <c r="AA1648" s="665"/>
      <c r="AB1648" s="123"/>
      <c r="AC1648" s="123"/>
      <c r="AD1648" s="124"/>
      <c r="AE1648" s="127"/>
      <c r="AF1648" s="721"/>
      <c r="AG1648" s="127"/>
      <c r="AH1648" s="123"/>
      <c r="AI1648" s="128"/>
      <c r="AJ1648" s="124"/>
      <c r="AK1648" s="127"/>
      <c r="AL1648" s="124"/>
      <c r="AM1648" s="125"/>
      <c r="AN1648" s="124"/>
      <c r="AO1648" s="125"/>
      <c r="AP1648" s="124"/>
      <c r="AQ1648" s="125"/>
      <c r="AR1648" s="124"/>
      <c r="AS1648" s="124"/>
      <c r="AT1648" s="124"/>
      <c r="AU1648" s="137"/>
      <c r="AV1648" s="124"/>
      <c r="AW1648" s="38"/>
      <c r="AX1648" s="124"/>
      <c r="AY1648" s="38"/>
      <c r="AZ1648" s="124"/>
      <c r="BA1648" s="137"/>
      <c r="BB1648" s="124"/>
      <c r="BC1648" s="137"/>
      <c r="BD1648" s="124"/>
      <c r="BE1648" s="38"/>
      <c r="BF1648" s="123"/>
      <c r="BG1648" s="115"/>
      <c r="BH1648" s="115"/>
      <c r="BI1648" s="115"/>
      <c r="BJ1648" s="115"/>
      <c r="BK1648" s="115"/>
      <c r="BL1648" s="115"/>
      <c r="BM1648" s="115"/>
      <c r="BN1648" s="115"/>
      <c r="BO1648" s="115"/>
      <c r="BP1648" s="115"/>
      <c r="BQ1648" s="115"/>
      <c r="BR1648" s="115"/>
      <c r="BS1648" s="115"/>
      <c r="BT1648" s="115"/>
      <c r="BU1648" s="115"/>
      <c r="BV1648" s="115"/>
      <c r="BW1648" s="115"/>
      <c r="BX1648" s="115"/>
      <c r="BY1648" s="115"/>
      <c r="BZ1648" s="115"/>
      <c r="CA1648" s="115"/>
      <c r="CB1648" s="115"/>
      <c r="CC1648" s="115"/>
      <c r="CD1648" s="115"/>
      <c r="CE1648" s="115"/>
      <c r="CF1648" s="115"/>
      <c r="CG1648" s="115"/>
      <c r="CH1648" s="115"/>
      <c r="CI1648" s="115"/>
      <c r="CJ1648" s="115"/>
      <c r="CK1648" s="115"/>
      <c r="CL1648" s="115"/>
      <c r="CM1648" s="115"/>
      <c r="CN1648" s="115"/>
      <c r="CO1648" s="115"/>
      <c r="CP1648" s="115"/>
    </row>
    <row r="1649" ht="15.75" customHeight="1">
      <c r="A1649" s="400" t="s">
        <v>7692</v>
      </c>
      <c r="B1649" s="116"/>
      <c r="C1649" s="116" t="s">
        <v>132</v>
      </c>
      <c r="D1649" s="192" t="s">
        <v>7693</v>
      </c>
      <c r="E1649" s="192" t="s">
        <v>7694</v>
      </c>
      <c r="F1649" s="402" t="s">
        <v>7695</v>
      </c>
      <c r="G1649" s="119"/>
      <c r="H1649" s="119" t="s">
        <v>271</v>
      </c>
      <c r="I1649" s="25"/>
      <c r="J1649" s="120"/>
      <c r="K1649" s="25"/>
      <c r="L1649" s="25">
        <v>2017.0</v>
      </c>
      <c r="M1649" s="25">
        <f t="shared" si="789"/>
        <v>8</v>
      </c>
      <c r="N1649" s="26">
        <f t="shared" si="790"/>
        <v>0</v>
      </c>
      <c r="O1649" s="27" t="str">
        <f t="shared" si="3"/>
        <v>#N/A</v>
      </c>
      <c r="P1649" s="28"/>
      <c r="Q1649" s="28"/>
      <c r="R1649" s="28"/>
      <c r="S1649" s="28"/>
      <c r="T1649" s="29">
        <f t="shared" si="791"/>
        <v>0</v>
      </c>
      <c r="U1649" s="28"/>
      <c r="V1649" s="30">
        <f t="shared" si="425"/>
        <v>0</v>
      </c>
      <c r="W1649" s="30"/>
      <c r="X1649" s="597"/>
      <c r="Y1649" s="33" t="str">
        <f t="shared" si="792"/>
        <v>#DIV/0!</v>
      </c>
      <c r="Z1649" s="692"/>
      <c r="AA1649" s="665"/>
      <c r="AB1649" s="123"/>
      <c r="AC1649" s="123"/>
      <c r="AD1649" s="164"/>
      <c r="AE1649" s="165"/>
      <c r="AF1649" s="166"/>
      <c r="AG1649" s="127"/>
      <c r="AH1649" s="123"/>
      <c r="AI1649" s="128"/>
      <c r="AJ1649" s="169"/>
      <c r="AK1649" s="168"/>
      <c r="AL1649" s="169"/>
      <c r="AM1649" s="127"/>
      <c r="AN1649" s="124"/>
      <c r="AO1649" s="125"/>
      <c r="AP1649" s="124"/>
      <c r="AQ1649" s="125"/>
      <c r="AR1649" s="169"/>
      <c r="AS1649" s="169"/>
      <c r="AT1649" s="169"/>
      <c r="AU1649" s="170"/>
      <c r="AV1649" s="169"/>
      <c r="AW1649" s="38"/>
      <c r="AX1649" s="169"/>
      <c r="AY1649" s="38"/>
      <c r="AZ1649" s="169"/>
      <c r="BA1649" s="170"/>
      <c r="BB1649" s="169"/>
      <c r="BC1649" s="170"/>
      <c r="BD1649" s="169"/>
      <c r="BE1649" s="38"/>
      <c r="BF1649" s="172"/>
      <c r="BG1649" s="115"/>
      <c r="BH1649" s="115"/>
      <c r="BI1649" s="115"/>
      <c r="BJ1649" s="115"/>
      <c r="BK1649" s="115"/>
      <c r="BL1649" s="115"/>
      <c r="BM1649" s="115"/>
      <c r="BN1649" s="115"/>
      <c r="BO1649" s="115"/>
      <c r="BP1649" s="115"/>
      <c r="BQ1649" s="115"/>
      <c r="BR1649" s="115"/>
      <c r="BS1649" s="115"/>
      <c r="BT1649" s="115"/>
      <c r="BU1649" s="115"/>
      <c r="BV1649" s="115"/>
      <c r="BW1649" s="115"/>
      <c r="BX1649" s="115"/>
      <c r="BY1649" s="115"/>
      <c r="BZ1649" s="115"/>
      <c r="CA1649" s="115"/>
      <c r="CB1649" s="115"/>
      <c r="CC1649" s="115"/>
      <c r="CD1649" s="115"/>
      <c r="CE1649" s="115"/>
      <c r="CF1649" s="115"/>
      <c r="CG1649" s="115"/>
      <c r="CH1649" s="115"/>
      <c r="CI1649" s="115"/>
      <c r="CJ1649" s="115"/>
      <c r="CK1649" s="115"/>
      <c r="CL1649" s="115"/>
      <c r="CM1649" s="115"/>
      <c r="CN1649" s="115"/>
      <c r="CO1649" s="115"/>
      <c r="CP1649" s="115"/>
    </row>
    <row r="1650" ht="15.75" customHeight="1">
      <c r="A1650" s="1723" t="s">
        <v>7696</v>
      </c>
      <c r="B1650" s="1463"/>
      <c r="C1650" s="1463" t="s">
        <v>755</v>
      </c>
      <c r="D1650" s="1720" t="s">
        <v>4781</v>
      </c>
      <c r="E1650" s="1777" t="s">
        <v>4781</v>
      </c>
      <c r="F1650" s="1721" t="s">
        <v>7697</v>
      </c>
      <c r="G1650" s="1468"/>
      <c r="H1650" s="1468" t="s">
        <v>3056</v>
      </c>
      <c r="I1650" s="1469" t="s">
        <v>1384</v>
      </c>
      <c r="J1650" s="1470" t="s">
        <v>7698</v>
      </c>
      <c r="K1650" s="1469"/>
      <c r="L1650" s="1469"/>
      <c r="M1650" s="25">
        <f t="shared" si="789"/>
        <v>2025</v>
      </c>
      <c r="N1650" s="26">
        <f t="shared" si="790"/>
        <v>0</v>
      </c>
      <c r="O1650" s="27" t="str">
        <f t="shared" si="3"/>
        <v>#N/A</v>
      </c>
      <c r="P1650" s="28"/>
      <c r="Q1650" s="28"/>
      <c r="R1650" s="28"/>
      <c r="S1650" s="28"/>
      <c r="T1650" s="29">
        <f t="shared" si="791"/>
        <v>0</v>
      </c>
      <c r="U1650" s="28"/>
      <c r="V1650" s="30">
        <f t="shared" si="425"/>
        <v>0</v>
      </c>
      <c r="W1650" s="30"/>
      <c r="X1650" s="1473"/>
      <c r="Y1650" s="33" t="str">
        <f t="shared" si="792"/>
        <v>#DIV/0!</v>
      </c>
      <c r="Z1650" s="692"/>
      <c r="AA1650" s="665"/>
      <c r="AB1650" s="1474"/>
      <c r="AC1650" s="1474"/>
      <c r="AD1650" s="1778"/>
      <c r="AE1650" s="1779"/>
      <c r="AF1650" s="1722"/>
      <c r="AG1650" s="1476"/>
      <c r="AH1650" s="1474"/>
      <c r="AI1650" s="1479"/>
      <c r="AJ1650" s="1715"/>
      <c r="AK1650" s="1780"/>
      <c r="AL1650" s="1715"/>
      <c r="AM1650" s="1476"/>
      <c r="AN1650" s="1482"/>
      <c r="AO1650" s="1717"/>
      <c r="AP1650" s="1482"/>
      <c r="AQ1650" s="1717"/>
      <c r="AR1650" s="1715"/>
      <c r="AS1650" s="1715"/>
      <c r="AT1650" s="1715"/>
      <c r="AU1650" s="1781"/>
      <c r="AV1650" s="1715"/>
      <c r="AW1650" s="38"/>
      <c r="AX1650" s="1715"/>
      <c r="AY1650" s="38"/>
      <c r="AZ1650" s="1715"/>
      <c r="BA1650" s="1781"/>
      <c r="BB1650" s="1715"/>
      <c r="BC1650" s="1781"/>
      <c r="BD1650" s="1715"/>
      <c r="BE1650" s="38"/>
      <c r="BF1650" s="1782"/>
      <c r="BG1650" s="1407"/>
      <c r="BH1650" s="1407"/>
      <c r="BI1650" s="1407"/>
      <c r="BJ1650" s="1407"/>
      <c r="BK1650" s="1407"/>
      <c r="BL1650" s="1407"/>
      <c r="BM1650" s="1407"/>
      <c r="BN1650" s="1407"/>
      <c r="BO1650" s="1407"/>
      <c r="BP1650" s="1407"/>
      <c r="BQ1650" s="1407"/>
      <c r="BR1650" s="1407"/>
      <c r="BS1650" s="1407"/>
      <c r="BT1650" s="1407"/>
      <c r="BU1650" s="1407"/>
      <c r="BV1650" s="1407"/>
      <c r="BW1650" s="1407"/>
      <c r="BX1650" s="1407"/>
      <c r="BY1650" s="1407"/>
      <c r="BZ1650" s="1407"/>
      <c r="CA1650" s="1407"/>
      <c r="CB1650" s="1407"/>
      <c r="CC1650" s="1407"/>
      <c r="CD1650" s="1407"/>
      <c r="CE1650" s="1407"/>
      <c r="CF1650" s="1407"/>
      <c r="CG1650" s="1407"/>
      <c r="CH1650" s="1407"/>
      <c r="CI1650" s="1407"/>
      <c r="CJ1650" s="1407"/>
      <c r="CK1650" s="1407"/>
      <c r="CL1650" s="1407"/>
      <c r="CM1650" s="1407"/>
      <c r="CN1650" s="1407"/>
      <c r="CO1650" s="1407"/>
      <c r="CP1650" s="1407"/>
    </row>
    <row r="1651" ht="15.75" customHeight="1">
      <c r="A1651" s="860" t="s">
        <v>7699</v>
      </c>
      <c r="B1651" s="116"/>
      <c r="C1651" s="116" t="s">
        <v>207</v>
      </c>
      <c r="D1651" s="449"/>
      <c r="E1651" s="192" t="s">
        <v>7700</v>
      </c>
      <c r="F1651" s="118" t="s">
        <v>7701</v>
      </c>
      <c r="G1651" s="119"/>
      <c r="H1651" s="119" t="s">
        <v>328</v>
      </c>
      <c r="I1651" s="25" t="s">
        <v>1788</v>
      </c>
      <c r="J1651" s="120"/>
      <c r="K1651" s="25"/>
      <c r="L1651" s="25">
        <v>2010.0</v>
      </c>
      <c r="M1651" s="25">
        <f t="shared" si="789"/>
        <v>15</v>
      </c>
      <c r="N1651" s="26">
        <f t="shared" si="790"/>
        <v>0</v>
      </c>
      <c r="O1651" s="27" t="str">
        <f t="shared" si="3"/>
        <v>#N/A</v>
      </c>
      <c r="P1651" s="28"/>
      <c r="Q1651" s="28"/>
      <c r="R1651" s="28"/>
      <c r="S1651" s="28"/>
      <c r="T1651" s="29">
        <f t="shared" si="791"/>
        <v>0</v>
      </c>
      <c r="U1651" s="28"/>
      <c r="V1651" s="30">
        <f t="shared" si="425"/>
        <v>0</v>
      </c>
      <c r="W1651" s="30"/>
      <c r="X1651" s="597"/>
      <c r="Y1651" s="33" t="str">
        <f t="shared" si="792"/>
        <v>#DIV/0!</v>
      </c>
      <c r="Z1651" s="692"/>
      <c r="AA1651" s="665"/>
      <c r="AB1651" s="123"/>
      <c r="AC1651" s="123"/>
      <c r="AD1651" s="164"/>
      <c r="AE1651" s="165"/>
      <c r="AF1651" s="166"/>
      <c r="AG1651" s="127"/>
      <c r="AH1651" s="123"/>
      <c r="AI1651" s="128"/>
      <c r="AJ1651" s="169"/>
      <c r="AK1651" s="168"/>
      <c r="AL1651" s="169"/>
      <c r="AM1651" s="127"/>
      <c r="AN1651" s="124"/>
      <c r="AO1651" s="125"/>
      <c r="AP1651" s="124"/>
      <c r="AQ1651" s="125"/>
      <c r="AR1651" s="169"/>
      <c r="AS1651" s="169"/>
      <c r="AT1651" s="169"/>
      <c r="AU1651" s="170"/>
      <c r="AV1651" s="169"/>
      <c r="AW1651" s="38"/>
      <c r="AX1651" s="169"/>
      <c r="AY1651" s="38"/>
      <c r="AZ1651" s="169"/>
      <c r="BA1651" s="170"/>
      <c r="BB1651" s="169"/>
      <c r="BC1651" s="170"/>
      <c r="BD1651" s="169"/>
      <c r="BE1651" s="38"/>
      <c r="BF1651" s="172"/>
      <c r="BG1651" s="115"/>
      <c r="BH1651" s="115"/>
      <c r="BI1651" s="115"/>
      <c r="BJ1651" s="115"/>
      <c r="BK1651" s="115"/>
      <c r="BL1651" s="115"/>
      <c r="BM1651" s="115"/>
      <c r="BN1651" s="115"/>
      <c r="BO1651" s="115"/>
      <c r="BP1651" s="115"/>
      <c r="BQ1651" s="115"/>
      <c r="BR1651" s="115"/>
      <c r="BS1651" s="115"/>
      <c r="BT1651" s="115"/>
      <c r="BU1651" s="115"/>
      <c r="BV1651" s="115"/>
      <c r="BW1651" s="115"/>
      <c r="BX1651" s="115"/>
      <c r="BY1651" s="115"/>
      <c r="BZ1651" s="115"/>
      <c r="CA1651" s="115"/>
      <c r="CB1651" s="115"/>
      <c r="CC1651" s="115"/>
      <c r="CD1651" s="115"/>
      <c r="CE1651" s="115"/>
      <c r="CF1651" s="115"/>
      <c r="CG1651" s="115"/>
      <c r="CH1651" s="115"/>
      <c r="CI1651" s="115"/>
      <c r="CJ1651" s="115"/>
      <c r="CK1651" s="115"/>
      <c r="CL1651" s="115"/>
      <c r="CM1651" s="115"/>
      <c r="CN1651" s="115"/>
      <c r="CO1651" s="115"/>
      <c r="CP1651" s="115"/>
    </row>
    <row r="1652" ht="15.75" customHeight="1">
      <c r="A1652" s="400" t="s">
        <v>7702</v>
      </c>
      <c r="B1652" s="116" t="s">
        <v>7703</v>
      </c>
      <c r="C1652" s="116" t="s">
        <v>84</v>
      </c>
      <c r="D1652" s="192" t="s">
        <v>7704</v>
      </c>
      <c r="E1652" s="161" t="s">
        <v>7705</v>
      </c>
      <c r="F1652" s="402" t="s">
        <v>7706</v>
      </c>
      <c r="G1652" s="119" t="s">
        <v>7707</v>
      </c>
      <c r="H1652" s="119" t="s">
        <v>1272</v>
      </c>
      <c r="I1652" s="25" t="s">
        <v>65</v>
      </c>
      <c r="J1652" s="120" t="s">
        <v>3912</v>
      </c>
      <c r="K1652" s="25">
        <v>2.0</v>
      </c>
      <c r="L1652" s="25">
        <v>2016.0</v>
      </c>
      <c r="M1652" s="25">
        <f t="shared" si="789"/>
        <v>9</v>
      </c>
      <c r="N1652" s="26">
        <f t="shared" si="790"/>
        <v>0</v>
      </c>
      <c r="O1652" s="27" t="str">
        <f t="shared" si="3"/>
        <v>#N/A</v>
      </c>
      <c r="P1652" s="28"/>
      <c r="Q1652" s="28"/>
      <c r="R1652" s="28"/>
      <c r="S1652" s="28"/>
      <c r="T1652" s="29">
        <f t="shared" si="791"/>
        <v>0</v>
      </c>
      <c r="U1652" s="28"/>
      <c r="V1652" s="30">
        <f t="shared" si="425"/>
        <v>0</v>
      </c>
      <c r="W1652" s="30"/>
      <c r="X1652" s="597"/>
      <c r="Y1652" s="33" t="str">
        <f t="shared" si="792"/>
        <v>#DIV/0!</v>
      </c>
      <c r="Z1652" s="692"/>
      <c r="AA1652" s="665"/>
      <c r="AB1652" s="123"/>
      <c r="AC1652" s="123"/>
      <c r="AD1652" s="164"/>
      <c r="AE1652" s="165"/>
      <c r="AF1652" s="166"/>
      <c r="AG1652" s="125"/>
      <c r="AH1652" s="123"/>
      <c r="AI1652" s="128"/>
      <c r="AJ1652" s="169"/>
      <c r="AK1652" s="168"/>
      <c r="AL1652" s="169"/>
      <c r="AM1652" s="127"/>
      <c r="AN1652" s="124"/>
      <c r="AO1652" s="125"/>
      <c r="AP1652" s="124"/>
      <c r="AQ1652" s="125"/>
      <c r="AR1652" s="169"/>
      <c r="AS1652" s="169"/>
      <c r="AT1652" s="169"/>
      <c r="AU1652" s="170"/>
      <c r="AV1652" s="169"/>
      <c r="AW1652" s="38"/>
      <c r="AX1652" s="169"/>
      <c r="AY1652" s="38"/>
      <c r="AZ1652" s="169"/>
      <c r="BA1652" s="170"/>
      <c r="BB1652" s="169"/>
      <c r="BC1652" s="170"/>
      <c r="BD1652" s="169"/>
      <c r="BE1652" s="38"/>
      <c r="BF1652" s="172"/>
      <c r="BG1652" s="115"/>
      <c r="BH1652" s="115"/>
      <c r="BI1652" s="115"/>
      <c r="BJ1652" s="115"/>
      <c r="BK1652" s="115"/>
      <c r="BL1652" s="115"/>
      <c r="BM1652" s="115"/>
      <c r="BN1652" s="115"/>
      <c r="BO1652" s="115"/>
      <c r="BP1652" s="115"/>
      <c r="BQ1652" s="115"/>
      <c r="BR1652" s="115"/>
      <c r="BS1652" s="115"/>
      <c r="BT1652" s="115"/>
      <c r="BU1652" s="115"/>
      <c r="BV1652" s="115"/>
      <c r="BW1652" s="115"/>
      <c r="BX1652" s="115"/>
      <c r="BY1652" s="115"/>
      <c r="BZ1652" s="115"/>
      <c r="CA1652" s="115"/>
      <c r="CB1652" s="115"/>
      <c r="CC1652" s="115"/>
      <c r="CD1652" s="115"/>
      <c r="CE1652" s="115"/>
      <c r="CF1652" s="115"/>
      <c r="CG1652" s="115"/>
      <c r="CH1652" s="115"/>
      <c r="CI1652" s="115"/>
      <c r="CJ1652" s="115"/>
      <c r="CK1652" s="115"/>
      <c r="CL1652" s="115"/>
      <c r="CM1652" s="115"/>
      <c r="CN1652" s="115"/>
      <c r="CO1652" s="115"/>
      <c r="CP1652" s="115"/>
    </row>
    <row r="1653" ht="15.75" customHeight="1">
      <c r="A1653" s="860" t="s">
        <v>7708</v>
      </c>
      <c r="B1653" s="115"/>
      <c r="C1653" s="116" t="s">
        <v>132</v>
      </c>
      <c r="D1653" s="161"/>
      <c r="E1653" s="192" t="s">
        <v>7709</v>
      </c>
      <c r="F1653" s="118" t="s">
        <v>7710</v>
      </c>
      <c r="G1653" s="119"/>
      <c r="H1653" s="119" t="s">
        <v>1918</v>
      </c>
      <c r="I1653" s="25" t="s">
        <v>1384</v>
      </c>
      <c r="J1653" s="120"/>
      <c r="K1653" s="25"/>
      <c r="L1653" s="25">
        <v>2015.0</v>
      </c>
      <c r="M1653" s="25">
        <f t="shared" si="789"/>
        <v>10</v>
      </c>
      <c r="N1653" s="26">
        <f t="shared" si="790"/>
        <v>0</v>
      </c>
      <c r="O1653" s="27" t="str">
        <f t="shared" si="3"/>
        <v>#N/A</v>
      </c>
      <c r="P1653" s="28"/>
      <c r="Q1653" s="28"/>
      <c r="R1653" s="28"/>
      <c r="S1653" s="28"/>
      <c r="T1653" s="29">
        <f t="shared" si="791"/>
        <v>0</v>
      </c>
      <c r="U1653" s="28"/>
      <c r="V1653" s="30">
        <f t="shared" si="425"/>
        <v>0</v>
      </c>
      <c r="W1653" s="30"/>
      <c r="X1653" s="597"/>
      <c r="Y1653" s="33" t="str">
        <f t="shared" si="792"/>
        <v>#DIV/0!</v>
      </c>
      <c r="Z1653" s="692"/>
      <c r="AA1653" s="665"/>
      <c r="AB1653" s="123"/>
      <c r="AC1653" s="123"/>
      <c r="AD1653" s="124"/>
      <c r="AE1653" s="125"/>
      <c r="AF1653" s="721"/>
      <c r="AG1653" s="127"/>
      <c r="AH1653" s="123"/>
      <c r="AI1653" s="128"/>
      <c r="AJ1653" s="1324"/>
      <c r="AK1653" s="127"/>
      <c r="AL1653" s="169"/>
      <c r="AM1653" s="127"/>
      <c r="AN1653" s="124"/>
      <c r="AO1653" s="125"/>
      <c r="AP1653" s="124"/>
      <c r="AQ1653" s="125"/>
      <c r="AR1653" s="124"/>
      <c r="AS1653" s="124"/>
      <c r="AT1653" s="124"/>
      <c r="AU1653" s="137"/>
      <c r="AV1653" s="124"/>
      <c r="AW1653" s="38"/>
      <c r="AX1653" s="124"/>
      <c r="AY1653" s="38"/>
      <c r="AZ1653" s="124"/>
      <c r="BA1653" s="137"/>
      <c r="BB1653" s="124"/>
      <c r="BC1653" s="137"/>
      <c r="BD1653" s="124"/>
      <c r="BE1653" s="38"/>
      <c r="BF1653" s="123"/>
      <c r="BG1653" s="115"/>
      <c r="BH1653" s="115"/>
      <c r="BI1653" s="115"/>
      <c r="BJ1653" s="115"/>
      <c r="BK1653" s="115"/>
      <c r="BL1653" s="115"/>
      <c r="BM1653" s="115"/>
      <c r="BN1653" s="115"/>
      <c r="BO1653" s="115"/>
      <c r="BP1653" s="115"/>
      <c r="BQ1653" s="115"/>
      <c r="BR1653" s="115"/>
      <c r="BS1653" s="115"/>
      <c r="BT1653" s="115"/>
      <c r="BU1653" s="115"/>
      <c r="BV1653" s="115"/>
      <c r="BW1653" s="115"/>
      <c r="BX1653" s="115"/>
      <c r="BY1653" s="115"/>
      <c r="BZ1653" s="115"/>
      <c r="CA1653" s="115"/>
      <c r="CB1653" s="115"/>
      <c r="CC1653" s="115"/>
      <c r="CD1653" s="115"/>
      <c r="CE1653" s="115"/>
      <c r="CF1653" s="115"/>
      <c r="CG1653" s="115"/>
      <c r="CH1653" s="115"/>
      <c r="CI1653" s="115"/>
      <c r="CJ1653" s="115"/>
      <c r="CK1653" s="115"/>
      <c r="CL1653" s="115"/>
      <c r="CM1653" s="115"/>
      <c r="CN1653" s="115"/>
      <c r="CO1653" s="115"/>
      <c r="CP1653" s="115"/>
    </row>
    <row r="1654" ht="15.75" customHeight="1">
      <c r="A1654" s="860" t="s">
        <v>7711</v>
      </c>
      <c r="B1654" s="115"/>
      <c r="C1654" s="116" t="s">
        <v>84</v>
      </c>
      <c r="D1654" s="667"/>
      <c r="E1654" s="192" t="s">
        <v>7712</v>
      </c>
      <c r="F1654" s="118" t="s">
        <v>7713</v>
      </c>
      <c r="G1654" s="119"/>
      <c r="H1654" s="119" t="s">
        <v>7714</v>
      </c>
      <c r="I1654" s="25" t="s">
        <v>639</v>
      </c>
      <c r="J1654" s="120"/>
      <c r="K1654" s="25"/>
      <c r="L1654" s="25">
        <v>2018.0</v>
      </c>
      <c r="M1654" s="25">
        <f t="shared" si="789"/>
        <v>7</v>
      </c>
      <c r="N1654" s="26">
        <f t="shared" si="790"/>
        <v>0</v>
      </c>
      <c r="O1654" s="27" t="str">
        <f t="shared" si="3"/>
        <v>#N/A</v>
      </c>
      <c r="P1654" s="28"/>
      <c r="Q1654" s="28"/>
      <c r="R1654" s="28"/>
      <c r="S1654" s="28"/>
      <c r="T1654" s="29">
        <f t="shared" si="791"/>
        <v>0</v>
      </c>
      <c r="U1654" s="28"/>
      <c r="V1654" s="30">
        <f t="shared" si="425"/>
        <v>0</v>
      </c>
      <c r="W1654" s="30"/>
      <c r="X1654" s="597"/>
      <c r="Y1654" s="33" t="str">
        <f t="shared" si="792"/>
        <v>#DIV/0!</v>
      </c>
      <c r="Z1654" s="692"/>
      <c r="AA1654" s="665"/>
      <c r="AB1654" s="123"/>
      <c r="AC1654" s="123"/>
      <c r="AD1654" s="124"/>
      <c r="AE1654" s="125"/>
      <c r="AF1654" s="721"/>
      <c r="AG1654" s="127"/>
      <c r="AH1654" s="123"/>
      <c r="AI1654" s="128"/>
      <c r="AJ1654" s="1324"/>
      <c r="AK1654" s="127"/>
      <c r="AL1654" s="169"/>
      <c r="AM1654" s="127"/>
      <c r="AN1654" s="124"/>
      <c r="AO1654" s="125"/>
      <c r="AP1654" s="124"/>
      <c r="AQ1654" s="125"/>
      <c r="AR1654" s="124"/>
      <c r="AS1654" s="124"/>
      <c r="AT1654" s="124"/>
      <c r="AU1654" s="137"/>
      <c r="AV1654" s="124"/>
      <c r="AW1654" s="38"/>
      <c r="AX1654" s="124"/>
      <c r="AY1654" s="38"/>
      <c r="AZ1654" s="124"/>
      <c r="BA1654" s="137"/>
      <c r="BB1654" s="124"/>
      <c r="BC1654" s="137"/>
      <c r="BD1654" s="124"/>
      <c r="BE1654" s="38"/>
      <c r="BF1654" s="123"/>
      <c r="BG1654" s="1644"/>
      <c r="BH1654" s="1644"/>
      <c r="BI1654" s="1644"/>
      <c r="BJ1654" s="1644"/>
      <c r="BK1654" s="1644"/>
      <c r="BL1654" s="1644"/>
      <c r="BM1654" s="1644"/>
      <c r="BN1654" s="1644"/>
      <c r="BO1654" s="1644"/>
      <c r="BP1654" s="1644"/>
      <c r="BQ1654" s="1644"/>
      <c r="BR1654" s="1644"/>
      <c r="BS1654" s="1644"/>
      <c r="BT1654" s="1644"/>
      <c r="BU1654" s="1644"/>
      <c r="BV1654" s="1644"/>
      <c r="BW1654" s="1644"/>
      <c r="BX1654" s="1644"/>
      <c r="BY1654" s="1644"/>
      <c r="BZ1654" s="1644"/>
      <c r="CA1654" s="1644"/>
      <c r="CB1654" s="1644"/>
      <c r="CC1654" s="1644"/>
      <c r="CD1654" s="1644"/>
      <c r="CE1654" s="1644"/>
      <c r="CF1654" s="1644"/>
      <c r="CG1654" s="1644"/>
      <c r="CH1654" s="1644"/>
      <c r="CI1654" s="1644"/>
      <c r="CJ1654" s="1644"/>
      <c r="CK1654" s="1644"/>
      <c r="CL1654" s="1644"/>
      <c r="CM1654" s="1644"/>
      <c r="CN1654" s="1644"/>
      <c r="CO1654" s="1644"/>
      <c r="CP1654" s="1644"/>
    </row>
    <row r="1655" ht="15.75" customHeight="1">
      <c r="A1655" s="666" t="s">
        <v>7715</v>
      </c>
      <c r="B1655" s="115" t="s">
        <v>676</v>
      </c>
      <c r="C1655" s="116" t="s">
        <v>123</v>
      </c>
      <c r="D1655" s="667"/>
      <c r="E1655" s="192" t="s">
        <v>7716</v>
      </c>
      <c r="F1655" s="668" t="s">
        <v>7717</v>
      </c>
      <c r="G1655" s="604" t="s">
        <v>7718</v>
      </c>
      <c r="H1655" s="119" t="s">
        <v>262</v>
      </c>
      <c r="I1655" s="25" t="s">
        <v>263</v>
      </c>
      <c r="J1655" s="287"/>
      <c r="K1655" s="25">
        <v>1.0</v>
      </c>
      <c r="L1655" s="25">
        <v>2017.0</v>
      </c>
      <c r="M1655" s="25">
        <f t="shared" si="789"/>
        <v>8</v>
      </c>
      <c r="N1655" s="26">
        <f t="shared" si="790"/>
        <v>0</v>
      </c>
      <c r="O1655" s="27" t="str">
        <f t="shared" si="3"/>
        <v>#N/A</v>
      </c>
      <c r="P1655" s="28"/>
      <c r="Q1655" s="28"/>
      <c r="R1655" s="28"/>
      <c r="S1655" s="28"/>
      <c r="T1655" s="29">
        <f t="shared" si="791"/>
        <v>0</v>
      </c>
      <c r="U1655" s="28"/>
      <c r="V1655" s="30">
        <f t="shared" si="425"/>
        <v>0</v>
      </c>
      <c r="W1655" s="30"/>
      <c r="X1655" s="597"/>
      <c r="Y1655" s="33" t="str">
        <f t="shared" si="792"/>
        <v>#DIV/0!</v>
      </c>
      <c r="Z1655" s="692"/>
      <c r="AA1655" s="665"/>
      <c r="AB1655" s="123"/>
      <c r="AC1655" s="123"/>
      <c r="AD1655" s="124"/>
      <c r="AE1655" s="125"/>
      <c r="AF1655" s="721"/>
      <c r="AG1655" s="127"/>
      <c r="AH1655" s="123"/>
      <c r="AI1655" s="128"/>
      <c r="AJ1655" s="169"/>
      <c r="AK1655" s="127"/>
      <c r="AL1655" s="169"/>
      <c r="AM1655" s="127"/>
      <c r="AN1655" s="124"/>
      <c r="AO1655" s="125"/>
      <c r="AP1655" s="124"/>
      <c r="AQ1655" s="125"/>
      <c r="AR1655" s="124"/>
      <c r="AS1655" s="124"/>
      <c r="AT1655" s="124"/>
      <c r="AU1655" s="137"/>
      <c r="AV1655" s="124"/>
      <c r="AW1655" s="38"/>
      <c r="AX1655" s="124"/>
      <c r="AY1655" s="38"/>
      <c r="AZ1655" s="124"/>
      <c r="BA1655" s="137"/>
      <c r="BB1655" s="124"/>
      <c r="BC1655" s="137"/>
      <c r="BD1655" s="124"/>
      <c r="BE1655" s="38"/>
      <c r="BF1655" s="123"/>
      <c r="BG1655" s="68"/>
      <c r="BH1655" s="68"/>
      <c r="BI1655" s="68"/>
      <c r="BJ1655" s="68"/>
      <c r="BK1655" s="68"/>
      <c r="BL1655" s="68"/>
      <c r="BM1655" s="68"/>
      <c r="BN1655" s="68"/>
      <c r="BO1655" s="68"/>
      <c r="BP1655" s="68"/>
      <c r="BQ1655" s="68"/>
      <c r="BR1655" s="68"/>
      <c r="BS1655" s="68"/>
      <c r="BT1655" s="68"/>
      <c r="BU1655" s="68"/>
      <c r="BV1655" s="68"/>
      <c r="BW1655" s="68"/>
      <c r="BX1655" s="68"/>
      <c r="BY1655" s="68"/>
      <c r="BZ1655" s="68"/>
      <c r="CA1655" s="68"/>
      <c r="CB1655" s="68"/>
      <c r="CC1655" s="68"/>
      <c r="CD1655" s="68"/>
      <c r="CE1655" s="68"/>
      <c r="CF1655" s="68"/>
      <c r="CG1655" s="68"/>
      <c r="CH1655" s="68"/>
      <c r="CI1655" s="68"/>
      <c r="CJ1655" s="68"/>
      <c r="CK1655" s="68"/>
      <c r="CL1655" s="68"/>
      <c r="CM1655" s="68"/>
      <c r="CN1655" s="68"/>
      <c r="CO1655" s="68"/>
      <c r="CP1655" s="68"/>
    </row>
    <row r="1656" ht="15.75" customHeight="1">
      <c r="A1656" s="860" t="s">
        <v>7719</v>
      </c>
      <c r="B1656" s="115"/>
      <c r="C1656" s="116" t="s">
        <v>123</v>
      </c>
      <c r="D1656" s="540" t="s">
        <v>7720</v>
      </c>
      <c r="E1656" s="1199"/>
      <c r="F1656" s="118" t="s">
        <v>7721</v>
      </c>
      <c r="G1656" s="54" t="s">
        <v>7722</v>
      </c>
      <c r="H1656" s="119" t="s">
        <v>262</v>
      </c>
      <c r="I1656" s="25" t="s">
        <v>263</v>
      </c>
      <c r="J1656" s="178" t="s">
        <v>7723</v>
      </c>
      <c r="K1656" s="25"/>
      <c r="L1656" s="222"/>
      <c r="M1656" s="25">
        <f t="shared" si="789"/>
        <v>2025</v>
      </c>
      <c r="N1656" s="26">
        <f t="shared" si="790"/>
        <v>0</v>
      </c>
      <c r="O1656" s="27" t="str">
        <f t="shared" si="3"/>
        <v>#N/A</v>
      </c>
      <c r="P1656" s="28"/>
      <c r="Q1656" s="28"/>
      <c r="R1656" s="28"/>
      <c r="S1656" s="28"/>
      <c r="T1656" s="29">
        <f t="shared" si="791"/>
        <v>0</v>
      </c>
      <c r="U1656" s="28"/>
      <c r="V1656" s="30">
        <f t="shared" si="425"/>
        <v>0</v>
      </c>
      <c r="W1656" s="30"/>
      <c r="X1656" s="597"/>
      <c r="Y1656" s="33" t="str">
        <f t="shared" si="792"/>
        <v>#DIV/0!</v>
      </c>
      <c r="Z1656" s="692"/>
      <c r="AA1656" s="665"/>
      <c r="AB1656" s="123"/>
      <c r="AC1656" s="123"/>
      <c r="AD1656" s="124"/>
      <c r="AE1656" s="125"/>
      <c r="AF1656" s="166"/>
      <c r="AG1656" s="127"/>
      <c r="AH1656" s="123"/>
      <c r="AI1656" s="128"/>
      <c r="AJ1656" s="124"/>
      <c r="AK1656" s="125"/>
      <c r="AL1656" s="124"/>
      <c r="AM1656" s="125"/>
      <c r="AN1656" s="124"/>
      <c r="AO1656" s="125"/>
      <c r="AP1656" s="124"/>
      <c r="AQ1656" s="125"/>
      <c r="AR1656" s="124"/>
      <c r="AS1656" s="124"/>
      <c r="AT1656" s="124"/>
      <c r="AU1656" s="137"/>
      <c r="AV1656" s="124"/>
      <c r="AW1656" s="38"/>
      <c r="AX1656" s="124"/>
      <c r="AY1656" s="38"/>
      <c r="AZ1656" s="124"/>
      <c r="BA1656" s="137"/>
      <c r="BB1656" s="124"/>
      <c r="BC1656" s="137"/>
      <c r="BD1656" s="124"/>
      <c r="BE1656" s="38"/>
      <c r="BF1656" s="123"/>
      <c r="BG1656" s="115"/>
      <c r="BH1656" s="115"/>
      <c r="BI1656" s="115"/>
      <c r="BJ1656" s="115"/>
      <c r="BK1656" s="115"/>
      <c r="BL1656" s="115"/>
      <c r="BM1656" s="115"/>
      <c r="BN1656" s="115"/>
      <c r="BO1656" s="115"/>
      <c r="BP1656" s="115"/>
      <c r="BQ1656" s="115"/>
      <c r="BR1656" s="115"/>
      <c r="BS1656" s="115"/>
      <c r="BT1656" s="115"/>
      <c r="BU1656" s="115"/>
      <c r="BV1656" s="115"/>
      <c r="BW1656" s="115"/>
      <c r="BX1656" s="115"/>
      <c r="BY1656" s="115"/>
      <c r="BZ1656" s="115"/>
      <c r="CA1656" s="115"/>
      <c r="CB1656" s="115"/>
      <c r="CC1656" s="115"/>
      <c r="CD1656" s="115"/>
      <c r="CE1656" s="115"/>
      <c r="CF1656" s="115"/>
      <c r="CG1656" s="115"/>
      <c r="CH1656" s="115"/>
      <c r="CI1656" s="115"/>
      <c r="CJ1656" s="115"/>
      <c r="CK1656" s="115"/>
      <c r="CL1656" s="115"/>
      <c r="CM1656" s="115"/>
      <c r="CN1656" s="115"/>
      <c r="CO1656" s="115"/>
      <c r="CP1656" s="115"/>
    </row>
    <row r="1657" ht="15.75" customHeight="1">
      <c r="A1657" s="400" t="s">
        <v>7724</v>
      </c>
      <c r="B1657" s="116"/>
      <c r="C1657" s="116" t="s">
        <v>276</v>
      </c>
      <c r="D1657" s="192" t="s">
        <v>7725</v>
      </c>
      <c r="E1657" s="192" t="s">
        <v>7726</v>
      </c>
      <c r="F1657" s="386" t="s">
        <v>7727</v>
      </c>
      <c r="G1657" s="286"/>
      <c r="H1657" s="119" t="s">
        <v>64</v>
      </c>
      <c r="I1657" s="25" t="s">
        <v>65</v>
      </c>
      <c r="J1657" s="287"/>
      <c r="K1657" s="25"/>
      <c r="L1657" s="25">
        <v>2014.0</v>
      </c>
      <c r="M1657" s="25">
        <f t="shared" si="789"/>
        <v>11</v>
      </c>
      <c r="N1657" s="26">
        <f t="shared" si="790"/>
        <v>0</v>
      </c>
      <c r="O1657" s="27" t="str">
        <f t="shared" si="3"/>
        <v>#N/A</v>
      </c>
      <c r="P1657" s="28"/>
      <c r="Q1657" s="28"/>
      <c r="R1657" s="28"/>
      <c r="S1657" s="28"/>
      <c r="T1657" s="29">
        <f t="shared" si="791"/>
        <v>0</v>
      </c>
      <c r="U1657" s="28"/>
      <c r="V1657" s="30">
        <f t="shared" si="425"/>
        <v>0</v>
      </c>
      <c r="W1657" s="30"/>
      <c r="X1657" s="597"/>
      <c r="Y1657" s="33" t="str">
        <f t="shared" si="792"/>
        <v>#DIV/0!</v>
      </c>
      <c r="Z1657" s="692"/>
      <c r="AA1657" s="665"/>
      <c r="AB1657" s="123"/>
      <c r="AC1657" s="123"/>
      <c r="AD1657" s="124"/>
      <c r="AE1657" s="125"/>
      <c r="AF1657" s="1783">
        <v>41862.0</v>
      </c>
      <c r="AG1657" s="127"/>
      <c r="AH1657" s="123"/>
      <c r="AI1657" s="128"/>
      <c r="AJ1657" s="124"/>
      <c r="AK1657" s="127"/>
      <c r="AL1657" s="124"/>
      <c r="AM1657" s="125"/>
      <c r="AN1657" s="124"/>
      <c r="AO1657" s="125"/>
      <c r="AP1657" s="124"/>
      <c r="AQ1657" s="125"/>
      <c r="AR1657" s="124"/>
      <c r="AS1657" s="124"/>
      <c r="AT1657" s="124"/>
      <c r="AU1657" s="137"/>
      <c r="AV1657" s="124"/>
      <c r="AW1657" s="38"/>
      <c r="AX1657" s="124"/>
      <c r="AY1657" s="38"/>
      <c r="AZ1657" s="124"/>
      <c r="BA1657" s="137"/>
      <c r="BB1657" s="124"/>
      <c r="BC1657" s="137"/>
      <c r="BD1657" s="124"/>
      <c r="BE1657" s="38"/>
      <c r="BF1657" s="123"/>
      <c r="BG1657" s="115"/>
      <c r="BH1657" s="115"/>
      <c r="BI1657" s="115"/>
      <c r="BJ1657" s="115"/>
      <c r="BK1657" s="115"/>
      <c r="BL1657" s="115"/>
      <c r="BM1657" s="115"/>
      <c r="BN1657" s="115"/>
      <c r="BO1657" s="115"/>
      <c r="BP1657" s="115"/>
      <c r="BQ1657" s="115"/>
      <c r="BR1657" s="115"/>
      <c r="BS1657" s="115"/>
      <c r="BT1657" s="115"/>
      <c r="BU1657" s="115"/>
      <c r="BV1657" s="115"/>
      <c r="BW1657" s="115"/>
      <c r="BX1657" s="115"/>
      <c r="BY1657" s="115"/>
      <c r="BZ1657" s="115"/>
      <c r="CA1657" s="115"/>
      <c r="CB1657" s="115"/>
      <c r="CC1657" s="115"/>
      <c r="CD1657" s="115"/>
      <c r="CE1657" s="115"/>
      <c r="CF1657" s="115"/>
      <c r="CG1657" s="115"/>
      <c r="CH1657" s="115"/>
      <c r="CI1657" s="115"/>
      <c r="CJ1657" s="115"/>
      <c r="CK1657" s="115"/>
      <c r="CL1657" s="115"/>
      <c r="CM1657" s="115"/>
      <c r="CN1657" s="115"/>
      <c r="CO1657" s="115"/>
      <c r="CP1657" s="115"/>
    </row>
    <row r="1658" ht="15.75" customHeight="1">
      <c r="A1658" s="21" t="s">
        <v>7728</v>
      </c>
      <c r="B1658" s="68"/>
      <c r="C1658" s="69" t="s">
        <v>123</v>
      </c>
      <c r="D1658" s="200" t="s">
        <v>7729</v>
      </c>
      <c r="E1658" s="200" t="s">
        <v>7730</v>
      </c>
      <c r="F1658" s="173" t="s">
        <v>7731</v>
      </c>
      <c r="G1658" s="140" t="s">
        <v>7732</v>
      </c>
      <c r="H1658" s="140" t="s">
        <v>187</v>
      </c>
      <c r="I1658" s="26" t="s">
        <v>188</v>
      </c>
      <c r="J1658" s="72" t="s">
        <v>1804</v>
      </c>
      <c r="K1658" s="74" t="s">
        <v>723</v>
      </c>
      <c r="L1658" s="26">
        <v>2015.0</v>
      </c>
      <c r="M1658" s="25">
        <f t="shared" si="789"/>
        <v>10</v>
      </c>
      <c r="N1658" s="26">
        <f t="shared" si="790"/>
        <v>0</v>
      </c>
      <c r="O1658" s="27" t="str">
        <f t="shared" si="3"/>
        <v>#N/A</v>
      </c>
      <c r="P1658" s="28"/>
      <c r="Q1658" s="28"/>
      <c r="R1658" s="28"/>
      <c r="S1658" s="28"/>
      <c r="T1658" s="29">
        <f t="shared" si="791"/>
        <v>0</v>
      </c>
      <c r="U1658" s="28"/>
      <c r="V1658" s="30">
        <f t="shared" si="425"/>
        <v>0</v>
      </c>
      <c r="W1658" s="30"/>
      <c r="X1658" s="32"/>
      <c r="Y1658" s="33" t="str">
        <f t="shared" si="792"/>
        <v>#DIV/0!</v>
      </c>
      <c r="Z1658" s="692"/>
      <c r="AA1658" s="665"/>
      <c r="AB1658" s="74"/>
      <c r="AC1658" s="74"/>
      <c r="AD1658" s="79"/>
      <c r="AE1658" s="84"/>
      <c r="AF1658" s="338"/>
      <c r="AG1658" s="84"/>
      <c r="AH1658" s="74"/>
      <c r="AI1658" s="78"/>
      <c r="AJ1658" s="79"/>
      <c r="AK1658" s="84"/>
      <c r="AL1658" s="79"/>
      <c r="AM1658" s="84"/>
      <c r="AN1658" s="79"/>
      <c r="AO1658" s="84"/>
      <c r="AP1658" s="79"/>
      <c r="AQ1658" s="84"/>
      <c r="AR1658" s="79"/>
      <c r="AS1658" s="79"/>
      <c r="AT1658" s="79"/>
      <c r="AU1658" s="80"/>
      <c r="AV1658" s="79"/>
      <c r="AW1658" s="38"/>
      <c r="AX1658" s="79"/>
      <c r="AY1658" s="38"/>
      <c r="AZ1658" s="79"/>
      <c r="BA1658" s="80"/>
      <c r="BB1658" s="79"/>
      <c r="BC1658" s="80"/>
      <c r="BD1658" s="79"/>
      <c r="BE1658" s="38"/>
      <c r="BF1658" s="74"/>
      <c r="BG1658" s="68"/>
      <c r="BH1658" s="68"/>
      <c r="BI1658" s="68"/>
      <c r="BJ1658" s="68"/>
      <c r="BK1658" s="68"/>
      <c r="BL1658" s="68"/>
      <c r="BM1658" s="68"/>
      <c r="BN1658" s="68"/>
      <c r="BO1658" s="68"/>
      <c r="BP1658" s="68"/>
      <c r="BQ1658" s="68"/>
      <c r="BR1658" s="68"/>
      <c r="BS1658" s="68"/>
      <c r="BT1658" s="68"/>
      <c r="BU1658" s="68"/>
      <c r="BV1658" s="68"/>
      <c r="BW1658" s="68"/>
      <c r="BX1658" s="68"/>
      <c r="BY1658" s="68"/>
      <c r="BZ1658" s="68"/>
      <c r="CA1658" s="68"/>
      <c r="CB1658" s="68"/>
      <c r="CC1658" s="68"/>
      <c r="CD1658" s="68"/>
      <c r="CE1658" s="68"/>
      <c r="CF1658" s="68"/>
      <c r="CG1658" s="68"/>
      <c r="CH1658" s="68"/>
      <c r="CI1658" s="68"/>
      <c r="CJ1658" s="68"/>
      <c r="CK1658" s="68"/>
      <c r="CL1658" s="68"/>
      <c r="CM1658" s="68"/>
      <c r="CN1658" s="68"/>
      <c r="CO1658" s="68"/>
      <c r="CP1658" s="68"/>
    </row>
    <row r="1659" ht="15.75" customHeight="1">
      <c r="A1659" s="1784" t="s">
        <v>7733</v>
      </c>
      <c r="B1659" s="1662"/>
      <c r="C1659" s="1785" t="s">
        <v>123</v>
      </c>
      <c r="D1659" s="1786" t="s">
        <v>7734</v>
      </c>
      <c r="E1659" s="1787" t="s">
        <v>7735</v>
      </c>
      <c r="F1659" s="1788" t="s">
        <v>7736</v>
      </c>
      <c r="G1659" s="1789" t="s">
        <v>7737</v>
      </c>
      <c r="H1659" s="1790"/>
      <c r="I1659" s="1791"/>
      <c r="J1659" s="1792"/>
      <c r="K1659" s="1793">
        <v>1.0</v>
      </c>
      <c r="L1659" s="1793">
        <v>2001.0</v>
      </c>
      <c r="M1659" s="25">
        <f t="shared" si="789"/>
        <v>24</v>
      </c>
      <c r="N1659" s="26">
        <f t="shared" si="790"/>
        <v>0</v>
      </c>
      <c r="O1659" s="27" t="str">
        <f t="shared" si="3"/>
        <v>#N/A</v>
      </c>
      <c r="P1659" s="28"/>
      <c r="Q1659" s="28"/>
      <c r="R1659" s="28"/>
      <c r="S1659" s="28"/>
      <c r="T1659" s="29">
        <f t="shared" si="791"/>
        <v>0</v>
      </c>
      <c r="U1659" s="28"/>
      <c r="V1659" s="30">
        <f t="shared" si="425"/>
        <v>0</v>
      </c>
      <c r="W1659" s="30"/>
      <c r="X1659" s="1794"/>
      <c r="Y1659" s="33" t="str">
        <f t="shared" si="792"/>
        <v>#DIV/0!</v>
      </c>
      <c r="Z1659" s="692"/>
      <c r="AA1659" s="665"/>
      <c r="AB1659" s="1791"/>
      <c r="AC1659" s="1791"/>
      <c r="AD1659" s="1795"/>
      <c r="AE1659" s="1796"/>
      <c r="AF1659" s="1797"/>
      <c r="AG1659" s="1796"/>
      <c r="AH1659" s="1791"/>
      <c r="AI1659" s="1798"/>
      <c r="AJ1659" s="1795"/>
      <c r="AK1659" s="1796"/>
      <c r="AL1659" s="1795"/>
      <c r="AM1659" s="1796"/>
      <c r="AN1659" s="1795"/>
      <c r="AO1659" s="1796"/>
      <c r="AP1659" s="1795"/>
      <c r="AQ1659" s="1796"/>
      <c r="AR1659" s="1795"/>
      <c r="AS1659" s="1795"/>
      <c r="AT1659" s="1795"/>
      <c r="AU1659" s="1799"/>
      <c r="AV1659" s="1795"/>
      <c r="AW1659" s="38"/>
      <c r="AX1659" s="1795"/>
      <c r="AY1659" s="38"/>
      <c r="AZ1659" s="1795"/>
      <c r="BA1659" s="1799"/>
      <c r="BB1659" s="1795"/>
      <c r="BC1659" s="1799"/>
      <c r="BD1659" s="1795"/>
      <c r="BE1659" s="38"/>
      <c r="BF1659" s="1791"/>
      <c r="BG1659" s="68"/>
      <c r="BH1659" s="68"/>
      <c r="BI1659" s="68"/>
      <c r="BJ1659" s="68"/>
      <c r="BK1659" s="68"/>
      <c r="BL1659" s="68"/>
      <c r="BM1659" s="68"/>
      <c r="BN1659" s="68"/>
      <c r="BO1659" s="68"/>
      <c r="BP1659" s="68"/>
      <c r="BQ1659" s="68"/>
      <c r="BR1659" s="68"/>
      <c r="BS1659" s="68"/>
      <c r="BT1659" s="68"/>
      <c r="BU1659" s="68"/>
      <c r="BV1659" s="68"/>
      <c r="BW1659" s="68"/>
      <c r="BX1659" s="68"/>
      <c r="BY1659" s="68"/>
      <c r="BZ1659" s="68"/>
      <c r="CA1659" s="68"/>
      <c r="CB1659" s="68"/>
      <c r="CC1659" s="68"/>
      <c r="CD1659" s="68"/>
      <c r="CE1659" s="68"/>
      <c r="CF1659" s="68"/>
      <c r="CG1659" s="68"/>
      <c r="CH1659" s="68"/>
      <c r="CI1659" s="68"/>
      <c r="CJ1659" s="68"/>
      <c r="CK1659" s="68"/>
      <c r="CL1659" s="68"/>
      <c r="CM1659" s="68"/>
      <c r="CN1659" s="68"/>
      <c r="CO1659" s="68"/>
      <c r="CP1659" s="68"/>
    </row>
    <row r="1660" ht="15.75" customHeight="1">
      <c r="A1660" s="860" t="s">
        <v>7738</v>
      </c>
      <c r="B1660" s="68"/>
      <c r="C1660" s="69" t="s">
        <v>276</v>
      </c>
      <c r="D1660" s="337"/>
      <c r="E1660" s="192" t="s">
        <v>7739</v>
      </c>
      <c r="F1660" s="386" t="s">
        <v>7740</v>
      </c>
      <c r="G1660" s="186"/>
      <c r="H1660" s="71" t="s">
        <v>7741</v>
      </c>
      <c r="I1660" s="26" t="s">
        <v>329</v>
      </c>
      <c r="J1660" s="155"/>
      <c r="K1660" s="74"/>
      <c r="L1660" s="26">
        <v>2000.0</v>
      </c>
      <c r="M1660" s="25">
        <f t="shared" si="789"/>
        <v>25</v>
      </c>
      <c r="N1660" s="26">
        <f t="shared" si="790"/>
        <v>0</v>
      </c>
      <c r="O1660" s="27" t="str">
        <f t="shared" si="3"/>
        <v>#N/A</v>
      </c>
      <c r="P1660" s="28"/>
      <c r="Q1660" s="28"/>
      <c r="R1660" s="28"/>
      <c r="S1660" s="28"/>
      <c r="T1660" s="29">
        <f t="shared" si="791"/>
        <v>0</v>
      </c>
      <c r="U1660" s="28"/>
      <c r="V1660" s="30">
        <f t="shared" si="425"/>
        <v>0</v>
      </c>
      <c r="W1660" s="30"/>
      <c r="X1660" s="32"/>
      <c r="Y1660" s="33" t="str">
        <f t="shared" si="792"/>
        <v>#DIV/0!</v>
      </c>
      <c r="Z1660" s="692"/>
      <c r="AA1660" s="665"/>
      <c r="AB1660" s="74"/>
      <c r="AC1660" s="74"/>
      <c r="AD1660" s="79"/>
      <c r="AE1660" s="84"/>
      <c r="AF1660" s="338"/>
      <c r="AG1660" s="84"/>
      <c r="AH1660" s="74"/>
      <c r="AI1660" s="78"/>
      <c r="AJ1660" s="79"/>
      <c r="AK1660" s="84"/>
      <c r="AL1660" s="279"/>
      <c r="AM1660" s="84"/>
      <c r="AN1660" s="79"/>
      <c r="AO1660" s="84"/>
      <c r="AP1660" s="79"/>
      <c r="AQ1660" s="84"/>
      <c r="AR1660" s="79"/>
      <c r="AS1660" s="79"/>
      <c r="AT1660" s="79"/>
      <c r="AU1660" s="80"/>
      <c r="AV1660" s="79"/>
      <c r="AW1660" s="38"/>
      <c r="AX1660" s="79"/>
      <c r="AY1660" s="38"/>
      <c r="AZ1660" s="79"/>
      <c r="BA1660" s="80"/>
      <c r="BB1660" s="79"/>
      <c r="BC1660" s="80"/>
      <c r="BD1660" s="79"/>
      <c r="BE1660" s="38"/>
      <c r="BF1660" s="74"/>
      <c r="BG1660" s="68"/>
      <c r="BH1660" s="68"/>
      <c r="BI1660" s="68"/>
      <c r="BJ1660" s="68"/>
      <c r="BK1660" s="68"/>
      <c r="BL1660" s="68"/>
      <c r="BM1660" s="68"/>
      <c r="BN1660" s="68"/>
      <c r="BO1660" s="68"/>
      <c r="BP1660" s="68"/>
      <c r="BQ1660" s="68"/>
      <c r="BR1660" s="68"/>
      <c r="BS1660" s="68"/>
      <c r="BT1660" s="68"/>
      <c r="BU1660" s="68"/>
      <c r="BV1660" s="68"/>
      <c r="BW1660" s="68"/>
      <c r="BX1660" s="68"/>
      <c r="BY1660" s="68"/>
      <c r="BZ1660" s="68"/>
      <c r="CA1660" s="68"/>
      <c r="CB1660" s="68"/>
      <c r="CC1660" s="68"/>
      <c r="CD1660" s="68"/>
      <c r="CE1660" s="68"/>
      <c r="CF1660" s="68"/>
      <c r="CG1660" s="68"/>
      <c r="CH1660" s="68"/>
      <c r="CI1660" s="68"/>
      <c r="CJ1660" s="68"/>
      <c r="CK1660" s="68"/>
      <c r="CL1660" s="68"/>
      <c r="CM1660" s="68"/>
      <c r="CN1660" s="68"/>
      <c r="CO1660" s="68"/>
      <c r="CP1660" s="68"/>
    </row>
    <row r="1661" ht="15.75" customHeight="1">
      <c r="A1661" s="1579" t="s">
        <v>7742</v>
      </c>
      <c r="B1661" s="723"/>
      <c r="C1661" s="723"/>
      <c r="D1661" s="1640"/>
      <c r="E1661" s="767" t="s">
        <v>7743</v>
      </c>
      <c r="F1661" s="1344" t="s">
        <v>7744</v>
      </c>
      <c r="G1661" s="1800"/>
      <c r="H1661" s="770" t="s">
        <v>1984</v>
      </c>
      <c r="I1661" s="771" t="s">
        <v>1985</v>
      </c>
      <c r="J1661" s="1801"/>
      <c r="K1661" s="771"/>
      <c r="L1661" s="771">
        <v>2014.0</v>
      </c>
      <c r="M1661" s="25">
        <f t="shared" si="789"/>
        <v>11</v>
      </c>
      <c r="N1661" s="26">
        <f t="shared" si="790"/>
        <v>0</v>
      </c>
      <c r="O1661" s="27" t="str">
        <f t="shared" si="3"/>
        <v>#N/A</v>
      </c>
      <c r="P1661" s="28"/>
      <c r="Q1661" s="28"/>
      <c r="R1661" s="28"/>
      <c r="S1661" s="28"/>
      <c r="T1661" s="29">
        <f t="shared" si="791"/>
        <v>0</v>
      </c>
      <c r="U1661" s="28"/>
      <c r="V1661" s="30">
        <f t="shared" si="425"/>
        <v>0</v>
      </c>
      <c r="W1661" s="30"/>
      <c r="X1661" s="1345"/>
      <c r="Y1661" s="33" t="str">
        <f t="shared" si="792"/>
        <v>#DIV/0!</v>
      </c>
      <c r="Z1661" s="692"/>
      <c r="AA1661" s="665"/>
      <c r="AB1661" s="773"/>
      <c r="AC1661" s="773"/>
      <c r="AD1661" s="784"/>
      <c r="AE1661" s="785"/>
      <c r="AF1661" s="1802"/>
      <c r="AG1661" s="785"/>
      <c r="AH1661" s="773"/>
      <c r="AI1661" s="1348"/>
      <c r="AJ1661" s="784"/>
      <c r="AK1661" s="785"/>
      <c r="AL1661" s="784"/>
      <c r="AM1661" s="785"/>
      <c r="AN1661" s="784"/>
      <c r="AO1661" s="785"/>
      <c r="AP1661" s="784"/>
      <c r="AQ1661" s="785"/>
      <c r="AR1661" s="784"/>
      <c r="AS1661" s="784"/>
      <c r="AT1661" s="784"/>
      <c r="AU1661" s="1351"/>
      <c r="AV1661" s="784"/>
      <c r="AW1661" s="38"/>
      <c r="AX1661" s="784"/>
      <c r="AY1661" s="38"/>
      <c r="AZ1661" s="784"/>
      <c r="BA1661" s="1351"/>
      <c r="BB1661" s="784"/>
      <c r="BC1661" s="1351"/>
      <c r="BD1661" s="784"/>
      <c r="BE1661" s="38"/>
      <c r="BF1661" s="773"/>
      <c r="BG1661" s="115"/>
      <c r="BH1661" s="115"/>
      <c r="BI1661" s="115"/>
      <c r="BJ1661" s="115"/>
      <c r="BK1661" s="115"/>
      <c r="BL1661" s="115"/>
      <c r="BM1661" s="115"/>
      <c r="BN1661" s="115"/>
      <c r="BO1661" s="115"/>
      <c r="BP1661" s="115"/>
      <c r="BQ1661" s="115"/>
      <c r="BR1661" s="115"/>
      <c r="BS1661" s="115"/>
      <c r="BT1661" s="115"/>
      <c r="BU1661" s="115"/>
      <c r="BV1661" s="115"/>
      <c r="BW1661" s="115"/>
      <c r="BX1661" s="115"/>
      <c r="BY1661" s="115"/>
      <c r="BZ1661" s="115"/>
      <c r="CA1661" s="115"/>
      <c r="CB1661" s="115"/>
      <c r="CC1661" s="115"/>
      <c r="CD1661" s="115"/>
      <c r="CE1661" s="115"/>
      <c r="CF1661" s="115"/>
      <c r="CG1661" s="115"/>
      <c r="CH1661" s="115"/>
      <c r="CI1661" s="115"/>
      <c r="CJ1661" s="115"/>
      <c r="CK1661" s="115"/>
      <c r="CL1661" s="115"/>
      <c r="CM1661" s="115"/>
      <c r="CN1661" s="115"/>
      <c r="CO1661" s="115"/>
      <c r="CP1661" s="115"/>
    </row>
    <row r="1662" ht="15.75" customHeight="1">
      <c r="A1662" s="860" t="s">
        <v>7745</v>
      </c>
      <c r="B1662" s="68"/>
      <c r="C1662" s="69" t="s">
        <v>7746</v>
      </c>
      <c r="D1662" s="184"/>
      <c r="E1662" s="192" t="s">
        <v>7747</v>
      </c>
      <c r="F1662" s="118" t="s">
        <v>7748</v>
      </c>
      <c r="G1662" s="186"/>
      <c r="H1662" s="71" t="s">
        <v>7749</v>
      </c>
      <c r="I1662" s="26" t="s">
        <v>257</v>
      </c>
      <c r="J1662" s="155"/>
      <c r="K1662" s="26"/>
      <c r="L1662" s="26">
        <v>2010.0</v>
      </c>
      <c r="M1662" s="25">
        <f t="shared" si="789"/>
        <v>15</v>
      </c>
      <c r="N1662" s="26">
        <f t="shared" si="790"/>
        <v>0</v>
      </c>
      <c r="O1662" s="27" t="str">
        <f t="shared" si="3"/>
        <v>#N/A</v>
      </c>
      <c r="P1662" s="28"/>
      <c r="Q1662" s="28"/>
      <c r="R1662" s="28"/>
      <c r="S1662" s="28"/>
      <c r="T1662" s="29">
        <f t="shared" si="791"/>
        <v>0</v>
      </c>
      <c r="U1662" s="28"/>
      <c r="V1662" s="30">
        <f t="shared" si="425"/>
        <v>0</v>
      </c>
      <c r="W1662" s="30"/>
      <c r="X1662" s="73"/>
      <c r="Y1662" s="33" t="str">
        <f t="shared" si="792"/>
        <v>#DIV/0!</v>
      </c>
      <c r="Z1662" s="692"/>
      <c r="AA1662" s="665"/>
      <c r="AB1662" s="74"/>
      <c r="AC1662" s="74"/>
      <c r="AD1662" s="79"/>
      <c r="AE1662" s="84"/>
      <c r="AF1662" s="338"/>
      <c r="AG1662" s="84"/>
      <c r="AH1662" s="74"/>
      <c r="AI1662" s="78"/>
      <c r="AJ1662" s="79"/>
      <c r="AK1662" s="84"/>
      <c r="AL1662" s="79"/>
      <c r="AM1662" s="84"/>
      <c r="AN1662" s="79"/>
      <c r="AO1662" s="84"/>
      <c r="AP1662" s="79"/>
      <c r="AQ1662" s="84"/>
      <c r="AR1662" s="79"/>
      <c r="AS1662" s="79"/>
      <c r="AT1662" s="79"/>
      <c r="AU1662" s="80"/>
      <c r="AV1662" s="79"/>
      <c r="AW1662" s="38"/>
      <c r="AX1662" s="79"/>
      <c r="AY1662" s="38"/>
      <c r="AZ1662" s="79"/>
      <c r="BA1662" s="80"/>
      <c r="BB1662" s="79"/>
      <c r="BC1662" s="80"/>
      <c r="BD1662" s="79"/>
      <c r="BE1662" s="38"/>
      <c r="BF1662" s="74"/>
      <c r="BG1662" s="68"/>
      <c r="BH1662" s="68"/>
      <c r="BI1662" s="68"/>
      <c r="BJ1662" s="68"/>
      <c r="BK1662" s="68"/>
      <c r="BL1662" s="68"/>
      <c r="BM1662" s="68"/>
      <c r="BN1662" s="68"/>
      <c r="BO1662" s="68"/>
      <c r="BP1662" s="68"/>
      <c r="BQ1662" s="68"/>
      <c r="BR1662" s="68"/>
      <c r="BS1662" s="68"/>
      <c r="BT1662" s="68"/>
      <c r="BU1662" s="68"/>
      <c r="BV1662" s="68"/>
      <c r="BW1662" s="68"/>
      <c r="BX1662" s="68"/>
      <c r="BY1662" s="68"/>
      <c r="BZ1662" s="68"/>
      <c r="CA1662" s="68"/>
      <c r="CB1662" s="68"/>
      <c r="CC1662" s="68"/>
      <c r="CD1662" s="68"/>
      <c r="CE1662" s="68"/>
      <c r="CF1662" s="68"/>
      <c r="CG1662" s="68"/>
      <c r="CH1662" s="68"/>
      <c r="CI1662" s="68"/>
      <c r="CJ1662" s="68"/>
      <c r="CK1662" s="68"/>
      <c r="CL1662" s="68"/>
      <c r="CM1662" s="68"/>
      <c r="CN1662" s="68"/>
      <c r="CO1662" s="68"/>
      <c r="CP1662" s="68"/>
    </row>
    <row r="1663" ht="15.75" customHeight="1">
      <c r="A1663" s="860" t="s">
        <v>7750</v>
      </c>
      <c r="B1663" s="68"/>
      <c r="C1663" s="69" t="s">
        <v>132</v>
      </c>
      <c r="D1663" s="192" t="s">
        <v>7751</v>
      </c>
      <c r="E1663" s="192" t="s">
        <v>7752</v>
      </c>
      <c r="F1663" s="118" t="s">
        <v>7753</v>
      </c>
      <c r="G1663" s="186"/>
      <c r="H1663" s="71" t="s">
        <v>187</v>
      </c>
      <c r="I1663" s="26" t="s">
        <v>188</v>
      </c>
      <c r="J1663" s="155"/>
      <c r="K1663" s="26"/>
      <c r="L1663" s="26">
        <v>2018.0</v>
      </c>
      <c r="M1663" s="25">
        <f t="shared" si="789"/>
        <v>7</v>
      </c>
      <c r="N1663" s="26">
        <f t="shared" si="790"/>
        <v>0</v>
      </c>
      <c r="O1663" s="27" t="str">
        <f t="shared" si="3"/>
        <v>#N/A</v>
      </c>
      <c r="P1663" s="28"/>
      <c r="Q1663" s="28"/>
      <c r="R1663" s="28"/>
      <c r="S1663" s="28"/>
      <c r="T1663" s="29">
        <f t="shared" si="791"/>
        <v>0</v>
      </c>
      <c r="U1663" s="28"/>
      <c r="V1663" s="30">
        <f t="shared" si="425"/>
        <v>0</v>
      </c>
      <c r="W1663" s="30"/>
      <c r="X1663" s="73"/>
      <c r="Y1663" s="33" t="str">
        <f t="shared" si="792"/>
        <v>#DIV/0!</v>
      </c>
      <c r="Z1663" s="692"/>
      <c r="AA1663" s="665"/>
      <c r="AB1663" s="74"/>
      <c r="AC1663" s="74"/>
      <c r="AD1663" s="79"/>
      <c r="AE1663" s="84"/>
      <c r="AF1663" s="338"/>
      <c r="AG1663" s="84"/>
      <c r="AH1663" s="74"/>
      <c r="AI1663" s="78"/>
      <c r="AJ1663" s="79"/>
      <c r="AK1663" s="84"/>
      <c r="AL1663" s="79"/>
      <c r="AM1663" s="84"/>
      <c r="AN1663" s="79"/>
      <c r="AO1663" s="84"/>
      <c r="AP1663" s="79"/>
      <c r="AQ1663" s="84"/>
      <c r="AR1663" s="79"/>
      <c r="AS1663" s="79"/>
      <c r="AT1663" s="79"/>
      <c r="AU1663" s="80"/>
      <c r="AV1663" s="79"/>
      <c r="AW1663" s="38"/>
      <c r="AX1663" s="79"/>
      <c r="AY1663" s="38"/>
      <c r="AZ1663" s="79"/>
      <c r="BA1663" s="80"/>
      <c r="BB1663" s="79"/>
      <c r="BC1663" s="80"/>
      <c r="BD1663" s="79"/>
      <c r="BE1663" s="38"/>
      <c r="BF1663" s="74"/>
      <c r="BG1663" s="68"/>
      <c r="BH1663" s="68"/>
      <c r="BI1663" s="68"/>
      <c r="BJ1663" s="68"/>
      <c r="BK1663" s="68"/>
      <c r="BL1663" s="68"/>
      <c r="BM1663" s="68"/>
      <c r="BN1663" s="68"/>
      <c r="BO1663" s="68"/>
      <c r="BP1663" s="68"/>
      <c r="BQ1663" s="68"/>
      <c r="BR1663" s="68"/>
      <c r="BS1663" s="68"/>
      <c r="BT1663" s="68"/>
      <c r="BU1663" s="68"/>
      <c r="BV1663" s="68"/>
      <c r="BW1663" s="68"/>
      <c r="BX1663" s="68"/>
      <c r="BY1663" s="68"/>
      <c r="BZ1663" s="68"/>
      <c r="CA1663" s="68"/>
      <c r="CB1663" s="68"/>
      <c r="CC1663" s="68"/>
      <c r="CD1663" s="68"/>
      <c r="CE1663" s="68"/>
      <c r="CF1663" s="68"/>
      <c r="CG1663" s="68"/>
      <c r="CH1663" s="68"/>
      <c r="CI1663" s="68"/>
      <c r="CJ1663" s="68"/>
      <c r="CK1663" s="68"/>
      <c r="CL1663" s="68"/>
      <c r="CM1663" s="68"/>
      <c r="CN1663" s="68"/>
      <c r="CO1663" s="68"/>
      <c r="CP1663" s="68"/>
    </row>
    <row r="1664" ht="15.75" customHeight="1">
      <c r="A1664" s="860" t="s">
        <v>7754</v>
      </c>
      <c r="B1664" s="68"/>
      <c r="C1664" s="69" t="s">
        <v>123</v>
      </c>
      <c r="D1664" s="192" t="s">
        <v>7755</v>
      </c>
      <c r="E1664" s="192" t="s">
        <v>7756</v>
      </c>
      <c r="F1664" s="1487" t="s">
        <v>7757</v>
      </c>
      <c r="G1664" s="186"/>
      <c r="H1664" s="71" t="s">
        <v>256</v>
      </c>
      <c r="I1664" s="26" t="s">
        <v>257</v>
      </c>
      <c r="J1664" s="155"/>
      <c r="K1664" s="26"/>
      <c r="L1664" s="26">
        <v>1993.0</v>
      </c>
      <c r="M1664" s="25">
        <f t="shared" si="789"/>
        <v>32</v>
      </c>
      <c r="N1664" s="26">
        <f t="shared" si="790"/>
        <v>0</v>
      </c>
      <c r="O1664" s="27" t="str">
        <f t="shared" si="3"/>
        <v>#N/A</v>
      </c>
      <c r="P1664" s="28"/>
      <c r="Q1664" s="28"/>
      <c r="R1664" s="28"/>
      <c r="S1664" s="28"/>
      <c r="T1664" s="29">
        <f t="shared" si="791"/>
        <v>0</v>
      </c>
      <c r="U1664" s="28"/>
      <c r="V1664" s="30">
        <f t="shared" si="425"/>
        <v>0</v>
      </c>
      <c r="W1664" s="30"/>
      <c r="X1664" s="73"/>
      <c r="Y1664" s="33" t="str">
        <f t="shared" si="792"/>
        <v>#DIV/0!</v>
      </c>
      <c r="Z1664" s="692"/>
      <c r="AA1664" s="665"/>
      <c r="AB1664" s="74"/>
      <c r="AC1664" s="74"/>
      <c r="AD1664" s="79"/>
      <c r="AE1664" s="84"/>
      <c r="AF1664" s="338"/>
      <c r="AG1664" s="84"/>
      <c r="AH1664" s="74"/>
      <c r="AI1664" s="78"/>
      <c r="AJ1664" s="79"/>
      <c r="AK1664" s="84"/>
      <c r="AL1664" s="79"/>
      <c r="AM1664" s="84"/>
      <c r="AN1664" s="79"/>
      <c r="AO1664" s="84"/>
      <c r="AP1664" s="79"/>
      <c r="AQ1664" s="84"/>
      <c r="AR1664" s="79"/>
      <c r="AS1664" s="79"/>
      <c r="AT1664" s="79"/>
      <c r="AU1664" s="80"/>
      <c r="AV1664" s="79"/>
      <c r="AW1664" s="38"/>
      <c r="AX1664" s="79"/>
      <c r="AY1664" s="38"/>
      <c r="AZ1664" s="79"/>
      <c r="BA1664" s="80"/>
      <c r="BB1664" s="79"/>
      <c r="BC1664" s="80"/>
      <c r="BD1664" s="79"/>
      <c r="BE1664" s="38"/>
      <c r="BF1664" s="74"/>
      <c r="BG1664" s="68"/>
      <c r="BH1664" s="68"/>
      <c r="BI1664" s="68"/>
      <c r="BJ1664" s="68"/>
      <c r="BK1664" s="68"/>
      <c r="BL1664" s="68"/>
      <c r="BM1664" s="68"/>
      <c r="BN1664" s="68"/>
      <c r="BO1664" s="68"/>
      <c r="BP1664" s="68"/>
      <c r="BQ1664" s="68"/>
      <c r="BR1664" s="68"/>
      <c r="BS1664" s="68"/>
      <c r="BT1664" s="68"/>
      <c r="BU1664" s="68"/>
      <c r="BV1664" s="68"/>
      <c r="BW1664" s="68"/>
      <c r="BX1664" s="68"/>
      <c r="BY1664" s="68"/>
      <c r="BZ1664" s="68"/>
      <c r="CA1664" s="68"/>
      <c r="CB1664" s="68"/>
      <c r="CC1664" s="68"/>
      <c r="CD1664" s="68"/>
      <c r="CE1664" s="68"/>
      <c r="CF1664" s="68"/>
      <c r="CG1664" s="68"/>
      <c r="CH1664" s="68"/>
      <c r="CI1664" s="68"/>
      <c r="CJ1664" s="68"/>
      <c r="CK1664" s="68"/>
      <c r="CL1664" s="68"/>
      <c r="CM1664" s="68"/>
      <c r="CN1664" s="68"/>
      <c r="CO1664" s="68"/>
      <c r="CP1664" s="68"/>
    </row>
    <row r="1665" ht="15.75" customHeight="1">
      <c r="A1665" s="442" t="s">
        <v>7758</v>
      </c>
      <c r="B1665" s="68" t="s">
        <v>4758</v>
      </c>
      <c r="C1665" s="68" t="s">
        <v>59</v>
      </c>
      <c r="D1665" s="184" t="s">
        <v>7759</v>
      </c>
      <c r="E1665" s="200" t="s">
        <v>7760</v>
      </c>
      <c r="F1665" s="185" t="s">
        <v>7761</v>
      </c>
      <c r="G1665" s="186"/>
      <c r="H1665" s="186" t="s">
        <v>1065</v>
      </c>
      <c r="I1665" s="74" t="s">
        <v>1935</v>
      </c>
      <c r="J1665" s="155"/>
      <c r="K1665" s="26">
        <v>2.0</v>
      </c>
      <c r="L1665" s="26">
        <v>2015.0</v>
      </c>
      <c r="M1665" s="25">
        <f t="shared" si="789"/>
        <v>10</v>
      </c>
      <c r="N1665" s="26">
        <f t="shared" si="790"/>
        <v>0</v>
      </c>
      <c r="O1665" s="27" t="str">
        <f t="shared" si="3"/>
        <v>#N/A</v>
      </c>
      <c r="P1665" s="28"/>
      <c r="Q1665" s="28"/>
      <c r="R1665" s="28"/>
      <c r="S1665" s="28"/>
      <c r="T1665" s="29">
        <f t="shared" si="791"/>
        <v>0</v>
      </c>
      <c r="U1665" s="28"/>
      <c r="V1665" s="30">
        <f t="shared" si="425"/>
        <v>0</v>
      </c>
      <c r="W1665" s="30"/>
      <c r="X1665" s="73"/>
      <c r="Y1665" s="33" t="str">
        <f t="shared" si="792"/>
        <v>#DIV/0!</v>
      </c>
      <c r="Z1665" s="692"/>
      <c r="AA1665" s="665"/>
      <c r="AB1665" s="74" t="s">
        <v>3073</v>
      </c>
      <c r="AC1665" s="74"/>
      <c r="AD1665" s="79"/>
      <c r="AE1665" s="84"/>
      <c r="AF1665" s="338"/>
      <c r="AG1665" s="84"/>
      <c r="AH1665" s="74"/>
      <c r="AI1665" s="78"/>
      <c r="AJ1665" s="79"/>
      <c r="AK1665" s="84"/>
      <c r="AL1665" s="79"/>
      <c r="AM1665" s="84"/>
      <c r="AN1665" s="79"/>
      <c r="AO1665" s="84"/>
      <c r="AP1665" s="79"/>
      <c r="AQ1665" s="84"/>
      <c r="AR1665" s="79"/>
      <c r="AS1665" s="79"/>
      <c r="AT1665" s="79"/>
      <c r="AU1665" s="80"/>
      <c r="AV1665" s="79"/>
      <c r="AW1665" s="38"/>
      <c r="AX1665" s="79"/>
      <c r="AY1665" s="38"/>
      <c r="AZ1665" s="79"/>
      <c r="BA1665" s="80"/>
      <c r="BB1665" s="79"/>
      <c r="BC1665" s="80"/>
      <c r="BD1665" s="79"/>
      <c r="BE1665" s="38"/>
      <c r="BF1665" s="74"/>
      <c r="BG1665" s="68"/>
      <c r="BH1665" s="68"/>
      <c r="BI1665" s="68"/>
      <c r="BJ1665" s="68"/>
      <c r="BK1665" s="68"/>
      <c r="BL1665" s="68"/>
      <c r="BM1665" s="68"/>
      <c r="BN1665" s="68"/>
      <c r="BO1665" s="68"/>
      <c r="BP1665" s="68"/>
      <c r="BQ1665" s="68"/>
      <c r="BR1665" s="68"/>
      <c r="BS1665" s="68"/>
      <c r="BT1665" s="68"/>
      <c r="BU1665" s="68"/>
      <c r="BV1665" s="68"/>
      <c r="BW1665" s="68"/>
      <c r="BX1665" s="68"/>
      <c r="BY1665" s="68"/>
      <c r="BZ1665" s="68"/>
      <c r="CA1665" s="68"/>
      <c r="CB1665" s="68"/>
      <c r="CC1665" s="68"/>
      <c r="CD1665" s="68"/>
      <c r="CE1665" s="68"/>
      <c r="CF1665" s="68"/>
      <c r="CG1665" s="68"/>
      <c r="CH1665" s="68"/>
      <c r="CI1665" s="68"/>
      <c r="CJ1665" s="68"/>
      <c r="CK1665" s="68"/>
      <c r="CL1665" s="68"/>
      <c r="CM1665" s="68"/>
      <c r="CN1665" s="68"/>
      <c r="CO1665" s="68"/>
      <c r="CP1665" s="68"/>
    </row>
    <row r="1666" ht="15.75" customHeight="1">
      <c r="A1666" s="400" t="s">
        <v>7762</v>
      </c>
      <c r="B1666" s="115"/>
      <c r="C1666" s="116" t="s">
        <v>7763</v>
      </c>
      <c r="D1666" s="161" t="s">
        <v>7764</v>
      </c>
      <c r="E1666" s="161" t="s">
        <v>7765</v>
      </c>
      <c r="F1666" s="744" t="s">
        <v>7766</v>
      </c>
      <c r="G1666" s="54" t="s">
        <v>7767</v>
      </c>
      <c r="H1666" s="119" t="s">
        <v>533</v>
      </c>
      <c r="I1666" s="25" t="s">
        <v>65</v>
      </c>
      <c r="J1666" s="120" t="s">
        <v>534</v>
      </c>
      <c r="K1666" s="25">
        <v>1.0</v>
      </c>
      <c r="L1666" s="25">
        <v>2019.0</v>
      </c>
      <c r="M1666" s="25">
        <f t="shared" si="789"/>
        <v>6</v>
      </c>
      <c r="N1666" s="26">
        <f t="shared" si="790"/>
        <v>0</v>
      </c>
      <c r="O1666" s="27" t="str">
        <f t="shared" si="3"/>
        <v>#N/A</v>
      </c>
      <c r="P1666" s="28"/>
      <c r="Q1666" s="28"/>
      <c r="R1666" s="28"/>
      <c r="S1666" s="28"/>
      <c r="T1666" s="29">
        <f t="shared" si="791"/>
        <v>0</v>
      </c>
      <c r="U1666" s="28"/>
      <c r="V1666" s="30">
        <f t="shared" si="425"/>
        <v>0</v>
      </c>
      <c r="W1666" s="30"/>
      <c r="X1666" s="597"/>
      <c r="Y1666" s="33" t="str">
        <f t="shared" si="792"/>
        <v>#DIV/0!</v>
      </c>
      <c r="Z1666" s="692"/>
      <c r="AA1666" s="665"/>
      <c r="AB1666" s="123"/>
      <c r="AC1666" s="123"/>
      <c r="AD1666" s="124"/>
      <c r="AE1666" s="125"/>
      <c r="AF1666" s="126" t="str">
        <f>HYPERLINK("https://www.crunchbase.com/funding_round/mapped-d316-seed--3188c939","Sep 4, 2020")</f>
        <v>Sep 4, 2020</v>
      </c>
      <c r="AG1666" s="125"/>
      <c r="AH1666" s="123"/>
      <c r="AI1666" s="128"/>
      <c r="AJ1666" s="124"/>
      <c r="AK1666" s="125"/>
      <c r="AL1666" s="124"/>
      <c r="AM1666" s="125"/>
      <c r="AN1666" s="124"/>
      <c r="AO1666" s="125"/>
      <c r="AP1666" s="124"/>
      <c r="AQ1666" s="125"/>
      <c r="AR1666" s="124"/>
      <c r="AS1666" s="124"/>
      <c r="AT1666" s="124"/>
      <c r="AU1666" s="137"/>
      <c r="AV1666" s="124"/>
      <c r="AW1666" s="38"/>
      <c r="AX1666" s="124"/>
      <c r="AY1666" s="38"/>
      <c r="AZ1666" s="124"/>
      <c r="BA1666" s="137"/>
      <c r="BB1666" s="124"/>
      <c r="BC1666" s="137"/>
      <c r="BD1666" s="124"/>
      <c r="BE1666" s="38"/>
      <c r="BF1666" s="123"/>
      <c r="BG1666" s="115"/>
      <c r="BH1666" s="115"/>
      <c r="BI1666" s="115"/>
      <c r="BJ1666" s="115"/>
      <c r="BK1666" s="115"/>
      <c r="BL1666" s="115"/>
      <c r="BM1666" s="115"/>
      <c r="BN1666" s="115"/>
      <c r="BO1666" s="115"/>
      <c r="BP1666" s="115"/>
      <c r="BQ1666" s="115"/>
      <c r="BR1666" s="115"/>
      <c r="BS1666" s="115"/>
      <c r="BT1666" s="115"/>
      <c r="BU1666" s="115"/>
      <c r="BV1666" s="115"/>
      <c r="BW1666" s="115"/>
      <c r="BX1666" s="115"/>
      <c r="BY1666" s="115"/>
      <c r="BZ1666" s="115"/>
      <c r="CA1666" s="115"/>
      <c r="CB1666" s="115"/>
      <c r="CC1666" s="115"/>
      <c r="CD1666" s="115"/>
      <c r="CE1666" s="115"/>
      <c r="CF1666" s="115"/>
      <c r="CG1666" s="115"/>
      <c r="CH1666" s="115"/>
      <c r="CI1666" s="115"/>
      <c r="CJ1666" s="115"/>
      <c r="CK1666" s="115"/>
      <c r="CL1666" s="115"/>
      <c r="CM1666" s="115"/>
      <c r="CN1666" s="115"/>
      <c r="CO1666" s="115"/>
      <c r="CP1666" s="115"/>
    </row>
    <row r="1667" ht="15.75" customHeight="1">
      <c r="A1667" s="1719" t="s">
        <v>7768</v>
      </c>
      <c r="B1667" s="1407"/>
      <c r="C1667" s="1463" t="s">
        <v>123</v>
      </c>
      <c r="D1667" s="1464" t="s">
        <v>4781</v>
      </c>
      <c r="E1667" s="1464" t="s">
        <v>4781</v>
      </c>
      <c r="F1667" s="1724" t="s">
        <v>7769</v>
      </c>
      <c r="G1667" s="1803" t="s">
        <v>7770</v>
      </c>
      <c r="H1667" s="1803" t="s">
        <v>1054</v>
      </c>
      <c r="I1667" s="1474" t="s">
        <v>65</v>
      </c>
      <c r="J1667" s="1714" t="s">
        <v>7771</v>
      </c>
      <c r="K1667" s="1469" t="s">
        <v>723</v>
      </c>
      <c r="L1667" s="1469" t="s">
        <v>723</v>
      </c>
      <c r="M1667" s="25" t="str">
        <f t="shared" si="789"/>
        <v>#VALUE!</v>
      </c>
      <c r="N1667" s="26">
        <f t="shared" si="790"/>
        <v>0</v>
      </c>
      <c r="O1667" s="27" t="str">
        <f t="shared" si="3"/>
        <v>#N/A</v>
      </c>
      <c r="P1667" s="28"/>
      <c r="Q1667" s="28"/>
      <c r="R1667" s="28"/>
      <c r="S1667" s="28"/>
      <c r="T1667" s="28" t="str">
        <f t="shared" si="791"/>
        <v>#VALUE!</v>
      </c>
      <c r="U1667" s="28"/>
      <c r="V1667" s="30">
        <f t="shared" si="425"/>
        <v>0</v>
      </c>
      <c r="W1667" s="30"/>
      <c r="X1667" s="1473"/>
      <c r="Y1667" s="33" t="str">
        <f t="shared" si="792"/>
        <v>#DIV/0!</v>
      </c>
      <c r="Z1667" s="692"/>
      <c r="AA1667" s="665"/>
      <c r="AB1667" s="1474"/>
      <c r="AC1667" s="1474"/>
      <c r="AD1667" s="1482"/>
      <c r="AE1667" s="1717"/>
      <c r="AF1667" s="1722"/>
      <c r="AG1667" s="1717"/>
      <c r="AH1667" s="1474"/>
      <c r="AI1667" s="1479"/>
      <c r="AJ1667" s="1482"/>
      <c r="AK1667" s="1717"/>
      <c r="AL1667" s="1482"/>
      <c r="AM1667" s="1717"/>
      <c r="AN1667" s="1482"/>
      <c r="AO1667" s="1717"/>
      <c r="AP1667" s="1482"/>
      <c r="AQ1667" s="1717"/>
      <c r="AR1667" s="1482"/>
      <c r="AS1667" s="1482"/>
      <c r="AT1667" s="1482"/>
      <c r="AU1667" s="1483"/>
      <c r="AV1667" s="1482"/>
      <c r="AW1667" s="38"/>
      <c r="AX1667" s="1482"/>
      <c r="AY1667" s="38"/>
      <c r="AZ1667" s="1482"/>
      <c r="BA1667" s="1483"/>
      <c r="BB1667" s="1482"/>
      <c r="BC1667" s="1483"/>
      <c r="BD1667" s="1482"/>
      <c r="BE1667" s="38"/>
      <c r="BF1667" s="1474"/>
      <c r="BG1667" s="68"/>
      <c r="BH1667" s="68"/>
      <c r="BI1667" s="68"/>
      <c r="BJ1667" s="68"/>
      <c r="BK1667" s="68"/>
      <c r="BL1667" s="68"/>
      <c r="BM1667" s="68"/>
      <c r="BN1667" s="68"/>
      <c r="BO1667" s="68"/>
      <c r="BP1667" s="68"/>
      <c r="BQ1667" s="68"/>
      <c r="BR1667" s="68"/>
      <c r="BS1667" s="68"/>
      <c r="BT1667" s="68"/>
      <c r="BU1667" s="68"/>
      <c r="BV1667" s="68"/>
      <c r="BW1667" s="68"/>
      <c r="BX1667" s="68"/>
      <c r="BY1667" s="68"/>
      <c r="BZ1667" s="68"/>
      <c r="CA1667" s="68"/>
      <c r="CB1667" s="68"/>
      <c r="CC1667" s="68"/>
      <c r="CD1667" s="68"/>
      <c r="CE1667" s="68"/>
      <c r="CF1667" s="68"/>
      <c r="CG1667" s="68"/>
      <c r="CH1667" s="68"/>
      <c r="CI1667" s="68"/>
      <c r="CJ1667" s="68"/>
      <c r="CK1667" s="68"/>
      <c r="CL1667" s="68"/>
      <c r="CM1667" s="68"/>
      <c r="CN1667" s="68"/>
      <c r="CO1667" s="68"/>
      <c r="CP1667" s="68"/>
    </row>
    <row r="1668" ht="15.75" customHeight="1">
      <c r="A1668" s="462" t="s">
        <v>7772</v>
      </c>
      <c r="B1668" s="69"/>
      <c r="C1668" s="69" t="s">
        <v>207</v>
      </c>
      <c r="D1668" s="192" t="s">
        <v>7773</v>
      </c>
      <c r="E1668" s="192" t="s">
        <v>7774</v>
      </c>
      <c r="F1668" s="192" t="s">
        <v>7775</v>
      </c>
      <c r="G1668" s="810" t="s">
        <v>7776</v>
      </c>
      <c r="H1668" s="71" t="s">
        <v>7777</v>
      </c>
      <c r="I1668" s="26" t="s">
        <v>7778</v>
      </c>
      <c r="J1668" s="494"/>
      <c r="K1668" s="26"/>
      <c r="L1668" s="142">
        <v>2013.0</v>
      </c>
      <c r="M1668" s="25">
        <f t="shared" si="789"/>
        <v>12</v>
      </c>
      <c r="N1668" s="26">
        <f t="shared" si="790"/>
        <v>0</v>
      </c>
      <c r="O1668" s="27" t="str">
        <f t="shared" si="3"/>
        <v>#N/A</v>
      </c>
      <c r="P1668" s="28"/>
      <c r="Q1668" s="28"/>
      <c r="R1668" s="28"/>
      <c r="S1668" s="28"/>
      <c r="T1668" s="29">
        <f t="shared" si="791"/>
        <v>0</v>
      </c>
      <c r="U1668" s="28"/>
      <c r="V1668" s="30">
        <f t="shared" si="425"/>
        <v>0</v>
      </c>
      <c r="W1668" s="30"/>
      <c r="X1668" s="73"/>
      <c r="Y1668" s="33" t="str">
        <f t="shared" si="792"/>
        <v>#DIV/0!</v>
      </c>
      <c r="Z1668" s="692"/>
      <c r="AA1668" s="665"/>
      <c r="AB1668" s="74"/>
      <c r="AC1668" s="74"/>
      <c r="AD1668" s="79"/>
      <c r="AE1668" s="84"/>
      <c r="AF1668" s="338"/>
      <c r="AG1668" s="76"/>
      <c r="AH1668" s="77"/>
      <c r="AI1668" s="78"/>
      <c r="AJ1668" s="1804"/>
      <c r="AK1668" s="971"/>
      <c r="AL1668" s="79"/>
      <c r="AM1668" s="76"/>
      <c r="AN1668" s="79"/>
      <c r="AO1668" s="76"/>
      <c r="AP1668" s="79"/>
      <c r="AQ1668" s="76"/>
      <c r="AR1668" s="79"/>
      <c r="AS1668" s="79"/>
      <c r="AT1668" s="79"/>
      <c r="AU1668" s="80"/>
      <c r="AV1668" s="79"/>
      <c r="AW1668" s="38"/>
      <c r="AX1668" s="79"/>
      <c r="AY1668" s="38"/>
      <c r="AZ1668" s="79"/>
      <c r="BA1668" s="80"/>
      <c r="BB1668" s="79"/>
      <c r="BC1668" s="80"/>
      <c r="BD1668" s="79"/>
      <c r="BE1668" s="38"/>
      <c r="BF1668" s="74"/>
      <c r="BG1668" s="68"/>
      <c r="BH1668" s="68"/>
      <c r="BI1668" s="68"/>
      <c r="BJ1668" s="68"/>
      <c r="BK1668" s="68"/>
      <c r="BL1668" s="68"/>
      <c r="BM1668" s="68"/>
      <c r="BN1668" s="68"/>
      <c r="BO1668" s="68"/>
      <c r="BP1668" s="68"/>
      <c r="BQ1668" s="68"/>
      <c r="BR1668" s="68"/>
      <c r="BS1668" s="68"/>
      <c r="BT1668" s="68"/>
      <c r="BU1668" s="68"/>
      <c r="BV1668" s="68"/>
      <c r="BW1668" s="68"/>
      <c r="BX1668" s="68"/>
      <c r="BY1668" s="68"/>
      <c r="BZ1668" s="68"/>
      <c r="CA1668" s="68"/>
      <c r="CB1668" s="68"/>
      <c r="CC1668" s="68"/>
      <c r="CD1668" s="68"/>
      <c r="CE1668" s="68"/>
      <c r="CF1668" s="68"/>
      <c r="CG1668" s="68"/>
      <c r="CH1668" s="68"/>
      <c r="CI1668" s="68"/>
      <c r="CJ1668" s="68"/>
      <c r="CK1668" s="68"/>
      <c r="CL1668" s="68"/>
      <c r="CM1668" s="68"/>
      <c r="CN1668" s="68"/>
      <c r="CO1668" s="68"/>
      <c r="CP1668" s="68"/>
    </row>
    <row r="1669" ht="15.75" customHeight="1">
      <c r="A1669" s="1805" t="s">
        <v>7779</v>
      </c>
      <c r="B1669" s="1463"/>
      <c r="C1669" s="1463"/>
      <c r="D1669" s="1464" t="s">
        <v>4781</v>
      </c>
      <c r="E1669" s="1464" t="s">
        <v>4781</v>
      </c>
      <c r="F1669" s="1712" t="s">
        <v>7780</v>
      </c>
      <c r="G1669" s="1467" t="s">
        <v>7781</v>
      </c>
      <c r="H1669" s="1468" t="s">
        <v>401</v>
      </c>
      <c r="I1669" s="1469" t="s">
        <v>65</v>
      </c>
      <c r="J1669" s="1470" t="s">
        <v>7782</v>
      </c>
      <c r="K1669" s="1469"/>
      <c r="L1669" s="1471">
        <v>2017.0</v>
      </c>
      <c r="M1669" s="25">
        <f t="shared" si="789"/>
        <v>8</v>
      </c>
      <c r="N1669" s="26">
        <f t="shared" si="790"/>
        <v>0</v>
      </c>
      <c r="O1669" s="27" t="str">
        <f t="shared" si="3"/>
        <v>#N/A</v>
      </c>
      <c r="P1669" s="28"/>
      <c r="Q1669" s="28"/>
      <c r="R1669" s="28"/>
      <c r="S1669" s="28"/>
      <c r="T1669" s="29">
        <f t="shared" si="791"/>
        <v>0</v>
      </c>
      <c r="U1669" s="28"/>
      <c r="V1669" s="30">
        <f t="shared" si="425"/>
        <v>0</v>
      </c>
      <c r="W1669" s="30"/>
      <c r="X1669" s="1473"/>
      <c r="Y1669" s="33" t="str">
        <f t="shared" si="792"/>
        <v>#DIV/0!</v>
      </c>
      <c r="Z1669" s="692"/>
      <c r="AA1669" s="665"/>
      <c r="AB1669" s="1474"/>
      <c r="AC1669" s="1474"/>
      <c r="AD1669" s="1482"/>
      <c r="AE1669" s="1717"/>
      <c r="AF1669" s="1722"/>
      <c r="AG1669" s="1476"/>
      <c r="AH1669" s="1478"/>
      <c r="AI1669" s="1479"/>
      <c r="AJ1669" s="1806"/>
      <c r="AK1669" s="1481"/>
      <c r="AL1669" s="1482"/>
      <c r="AM1669" s="1476"/>
      <c r="AN1669" s="1482"/>
      <c r="AO1669" s="1476"/>
      <c r="AP1669" s="1482"/>
      <c r="AQ1669" s="1476"/>
      <c r="AR1669" s="1482"/>
      <c r="AS1669" s="1482"/>
      <c r="AT1669" s="1482"/>
      <c r="AU1669" s="1483"/>
      <c r="AV1669" s="1482"/>
      <c r="AW1669" s="38"/>
      <c r="AX1669" s="1482"/>
      <c r="AY1669" s="38"/>
      <c r="AZ1669" s="1482"/>
      <c r="BA1669" s="1483"/>
      <c r="BB1669" s="1482"/>
      <c r="BC1669" s="1483"/>
      <c r="BD1669" s="1482"/>
      <c r="BE1669" s="38"/>
      <c r="BF1669" s="1474"/>
      <c r="BG1669" s="68"/>
      <c r="BH1669" s="68"/>
      <c r="BI1669" s="68"/>
      <c r="BJ1669" s="68"/>
      <c r="BK1669" s="68"/>
      <c r="BL1669" s="68"/>
      <c r="BM1669" s="68"/>
      <c r="BN1669" s="68"/>
      <c r="BO1669" s="68"/>
      <c r="BP1669" s="68"/>
      <c r="BQ1669" s="68"/>
      <c r="BR1669" s="68"/>
      <c r="BS1669" s="68"/>
      <c r="BT1669" s="68"/>
      <c r="BU1669" s="68"/>
      <c r="BV1669" s="68"/>
      <c r="BW1669" s="68"/>
      <c r="BX1669" s="68"/>
      <c r="BY1669" s="68"/>
      <c r="BZ1669" s="68"/>
      <c r="CA1669" s="68"/>
      <c r="CB1669" s="68"/>
      <c r="CC1669" s="68"/>
      <c r="CD1669" s="68"/>
      <c r="CE1669" s="68"/>
      <c r="CF1669" s="68"/>
      <c r="CG1669" s="68"/>
      <c r="CH1669" s="68"/>
      <c r="CI1669" s="68"/>
      <c r="CJ1669" s="68"/>
      <c r="CK1669" s="68"/>
      <c r="CL1669" s="68"/>
      <c r="CM1669" s="68"/>
      <c r="CN1669" s="68"/>
      <c r="CO1669" s="68"/>
      <c r="CP1669" s="68"/>
    </row>
    <row r="1670" ht="15.75" customHeight="1">
      <c r="A1670" s="21" t="s">
        <v>7783</v>
      </c>
      <c r="B1670" s="69" t="s">
        <v>944</v>
      </c>
      <c r="C1670" s="69" t="s">
        <v>84</v>
      </c>
      <c r="D1670" s="138" t="s">
        <v>7784</v>
      </c>
      <c r="E1670" s="138" t="s">
        <v>7785</v>
      </c>
      <c r="F1670" s="138" t="s">
        <v>7786</v>
      </c>
      <c r="G1670" s="54" t="s">
        <v>7787</v>
      </c>
      <c r="H1670" s="71" t="s">
        <v>7788</v>
      </c>
      <c r="I1670" s="26" t="s">
        <v>329</v>
      </c>
      <c r="J1670" s="178" t="s">
        <v>7789</v>
      </c>
      <c r="K1670" s="26">
        <v>1.0</v>
      </c>
      <c r="L1670" s="142">
        <v>2018.0</v>
      </c>
      <c r="M1670" s="25">
        <f t="shared" si="789"/>
        <v>7</v>
      </c>
      <c r="N1670" s="26">
        <f t="shared" si="790"/>
        <v>0</v>
      </c>
      <c r="O1670" s="27" t="str">
        <f t="shared" si="3"/>
        <v>#N/A</v>
      </c>
      <c r="P1670" s="28"/>
      <c r="Q1670" s="28"/>
      <c r="R1670" s="28"/>
      <c r="S1670" s="28"/>
      <c r="T1670" s="29">
        <f t="shared" si="791"/>
        <v>0</v>
      </c>
      <c r="U1670" s="28"/>
      <c r="V1670" s="30">
        <f t="shared" si="425"/>
        <v>0</v>
      </c>
      <c r="W1670" s="30"/>
      <c r="X1670" s="73"/>
      <c r="Y1670" s="33" t="str">
        <f t="shared" si="792"/>
        <v>#DIV/0!</v>
      </c>
      <c r="Z1670" s="692"/>
      <c r="AA1670" s="665"/>
      <c r="AB1670" s="74"/>
      <c r="AC1670" s="74"/>
      <c r="AD1670" s="79"/>
      <c r="AE1670" s="84"/>
      <c r="AF1670" s="338"/>
      <c r="AG1670" s="76"/>
      <c r="AH1670" s="77"/>
      <c r="AI1670" s="78"/>
      <c r="AJ1670" s="1804"/>
      <c r="AK1670" s="971"/>
      <c r="AL1670" s="79"/>
      <c r="AM1670" s="76"/>
      <c r="AN1670" s="79"/>
      <c r="AO1670" s="76"/>
      <c r="AP1670" s="79"/>
      <c r="AQ1670" s="76"/>
      <c r="AR1670" s="79"/>
      <c r="AS1670" s="79"/>
      <c r="AT1670" s="79"/>
      <c r="AU1670" s="80"/>
      <c r="AV1670" s="79"/>
      <c r="AW1670" s="38"/>
      <c r="AX1670" s="79"/>
      <c r="AY1670" s="38"/>
      <c r="AZ1670" s="79"/>
      <c r="BA1670" s="80"/>
      <c r="BB1670" s="79"/>
      <c r="BC1670" s="80"/>
      <c r="BD1670" s="79"/>
      <c r="BE1670" s="38"/>
      <c r="BF1670" s="74"/>
      <c r="BG1670" s="115"/>
      <c r="BH1670" s="115"/>
      <c r="BI1670" s="115"/>
      <c r="BJ1670" s="115"/>
      <c r="BK1670" s="115"/>
      <c r="BL1670" s="115"/>
      <c r="BM1670" s="115"/>
      <c r="BN1670" s="115"/>
      <c r="BO1670" s="115"/>
      <c r="BP1670" s="115"/>
      <c r="BQ1670" s="115"/>
      <c r="BR1670" s="115"/>
      <c r="BS1670" s="115"/>
      <c r="BT1670" s="115"/>
      <c r="BU1670" s="115"/>
      <c r="BV1670" s="115"/>
      <c r="BW1670" s="115"/>
      <c r="BX1670" s="115"/>
      <c r="BY1670" s="115"/>
      <c r="BZ1670" s="115"/>
      <c r="CA1670" s="115"/>
      <c r="CB1670" s="115"/>
      <c r="CC1670" s="115"/>
      <c r="CD1670" s="115"/>
      <c r="CE1670" s="115"/>
      <c r="CF1670" s="115"/>
      <c r="CG1670" s="115"/>
      <c r="CH1670" s="115"/>
      <c r="CI1670" s="115"/>
      <c r="CJ1670" s="115"/>
      <c r="CK1670" s="115"/>
      <c r="CL1670" s="115"/>
      <c r="CM1670" s="115"/>
      <c r="CN1670" s="115"/>
      <c r="CO1670" s="115"/>
      <c r="CP1670" s="115"/>
    </row>
    <row r="1671" ht="15.75" customHeight="1">
      <c r="A1671" s="860" t="s">
        <v>7790</v>
      </c>
      <c r="B1671" s="68"/>
      <c r="C1671" s="69" t="s">
        <v>123</v>
      </c>
      <c r="D1671" s="184"/>
      <c r="E1671" s="192" t="s">
        <v>7791</v>
      </c>
      <c r="F1671" s="118" t="s">
        <v>7792</v>
      </c>
      <c r="G1671" s="140"/>
      <c r="H1671" s="71" t="s">
        <v>601</v>
      </c>
      <c r="I1671" s="26" t="s">
        <v>129</v>
      </c>
      <c r="J1671" s="72"/>
      <c r="K1671" s="74"/>
      <c r="L1671" s="26">
        <v>2017.0</v>
      </c>
      <c r="M1671" s="25">
        <f t="shared" si="789"/>
        <v>8</v>
      </c>
      <c r="N1671" s="26">
        <f t="shared" si="790"/>
        <v>0</v>
      </c>
      <c r="O1671" s="27" t="str">
        <f t="shared" si="3"/>
        <v>#N/A</v>
      </c>
      <c r="P1671" s="28"/>
      <c r="Q1671" s="28"/>
      <c r="R1671" s="28"/>
      <c r="S1671" s="28"/>
      <c r="T1671" s="29">
        <f t="shared" si="791"/>
        <v>0</v>
      </c>
      <c r="U1671" s="28"/>
      <c r="V1671" s="30">
        <f t="shared" si="425"/>
        <v>0</v>
      </c>
      <c r="W1671" s="30"/>
      <c r="X1671" s="32"/>
      <c r="Y1671" s="33" t="str">
        <f t="shared" si="792"/>
        <v>#DIV/0!</v>
      </c>
      <c r="Z1671" s="692"/>
      <c r="AA1671" s="665"/>
      <c r="AB1671" s="74"/>
      <c r="AC1671" s="74"/>
      <c r="AD1671" s="79"/>
      <c r="AE1671" s="84"/>
      <c r="AF1671" s="338"/>
      <c r="AG1671" s="76"/>
      <c r="AH1671" s="77"/>
      <c r="AI1671" s="78"/>
      <c r="AJ1671" s="79"/>
      <c r="AK1671" s="76"/>
      <c r="AL1671" s="279"/>
      <c r="AM1671" s="76"/>
      <c r="AN1671" s="79"/>
      <c r="AO1671" s="84"/>
      <c r="AP1671" s="79"/>
      <c r="AQ1671" s="84"/>
      <c r="AR1671" s="79"/>
      <c r="AS1671" s="79"/>
      <c r="AT1671" s="79"/>
      <c r="AU1671" s="80"/>
      <c r="AV1671" s="79"/>
      <c r="AW1671" s="38"/>
      <c r="AX1671" s="79"/>
      <c r="AY1671" s="38"/>
      <c r="AZ1671" s="79"/>
      <c r="BA1671" s="80"/>
      <c r="BB1671" s="79"/>
      <c r="BC1671" s="80"/>
      <c r="BD1671" s="79"/>
      <c r="BE1671" s="38"/>
      <c r="BF1671" s="74"/>
      <c r="BG1671" s="68"/>
      <c r="BH1671" s="68"/>
      <c r="BI1671" s="68"/>
      <c r="BJ1671" s="68"/>
      <c r="BK1671" s="68"/>
      <c r="BL1671" s="68"/>
      <c r="BM1671" s="68"/>
      <c r="BN1671" s="68"/>
      <c r="BO1671" s="68"/>
      <c r="BP1671" s="68"/>
      <c r="BQ1671" s="68"/>
      <c r="BR1671" s="68"/>
      <c r="BS1671" s="68"/>
      <c r="BT1671" s="68"/>
      <c r="BU1671" s="68"/>
      <c r="BV1671" s="68"/>
      <c r="BW1671" s="68"/>
      <c r="BX1671" s="68"/>
      <c r="BY1671" s="68"/>
      <c r="BZ1671" s="68"/>
      <c r="CA1671" s="68"/>
      <c r="CB1671" s="68"/>
      <c r="CC1671" s="68"/>
      <c r="CD1671" s="68"/>
      <c r="CE1671" s="68"/>
      <c r="CF1671" s="68"/>
      <c r="CG1671" s="68"/>
      <c r="CH1671" s="68"/>
      <c r="CI1671" s="68"/>
      <c r="CJ1671" s="68"/>
      <c r="CK1671" s="68"/>
      <c r="CL1671" s="68"/>
      <c r="CM1671" s="68"/>
      <c r="CN1671" s="68"/>
      <c r="CO1671" s="68"/>
      <c r="CP1671" s="68"/>
    </row>
    <row r="1672" ht="15.75" customHeight="1">
      <c r="A1672" s="860" t="s">
        <v>7793</v>
      </c>
      <c r="B1672" s="68"/>
      <c r="C1672" s="69" t="s">
        <v>123</v>
      </c>
      <c r="D1672" s="192" t="s">
        <v>7794</v>
      </c>
      <c r="E1672" s="192" t="s">
        <v>7795</v>
      </c>
      <c r="F1672" s="118" t="s">
        <v>7796</v>
      </c>
      <c r="G1672" s="140"/>
      <c r="H1672" s="71" t="s">
        <v>328</v>
      </c>
      <c r="I1672" s="26" t="s">
        <v>329</v>
      </c>
      <c r="J1672" s="72"/>
      <c r="K1672" s="74"/>
      <c r="L1672" s="26">
        <v>2019.0</v>
      </c>
      <c r="M1672" s="25">
        <f t="shared" si="789"/>
        <v>6</v>
      </c>
      <c r="N1672" s="26">
        <f t="shared" si="790"/>
        <v>0</v>
      </c>
      <c r="O1672" s="27" t="str">
        <f t="shared" si="3"/>
        <v>#N/A</v>
      </c>
      <c r="P1672" s="28"/>
      <c r="Q1672" s="28"/>
      <c r="R1672" s="28"/>
      <c r="S1672" s="28"/>
      <c r="T1672" s="29">
        <f t="shared" si="791"/>
        <v>0</v>
      </c>
      <c r="U1672" s="28"/>
      <c r="V1672" s="30">
        <f t="shared" si="425"/>
        <v>0</v>
      </c>
      <c r="W1672" s="30"/>
      <c r="X1672" s="32"/>
      <c r="Y1672" s="33" t="str">
        <f t="shared" si="792"/>
        <v>#DIV/0!</v>
      </c>
      <c r="Z1672" s="692"/>
      <c r="AA1672" s="665"/>
      <c r="AB1672" s="74"/>
      <c r="AC1672" s="74"/>
      <c r="AD1672" s="79"/>
      <c r="AE1672" s="84"/>
      <c r="AF1672" s="338"/>
      <c r="AG1672" s="76"/>
      <c r="AH1672" s="77"/>
      <c r="AI1672" s="78"/>
      <c r="AJ1672" s="79"/>
      <c r="AK1672" s="76"/>
      <c r="AL1672" s="279"/>
      <c r="AM1672" s="76"/>
      <c r="AN1672" s="79"/>
      <c r="AO1672" s="84"/>
      <c r="AP1672" s="79"/>
      <c r="AQ1672" s="84"/>
      <c r="AR1672" s="79"/>
      <c r="AS1672" s="79"/>
      <c r="AT1672" s="79"/>
      <c r="AU1672" s="80"/>
      <c r="AV1672" s="79"/>
      <c r="AW1672" s="38"/>
      <c r="AX1672" s="79"/>
      <c r="AY1672" s="38"/>
      <c r="AZ1672" s="79"/>
      <c r="BA1672" s="80"/>
      <c r="BB1672" s="79"/>
      <c r="BC1672" s="80"/>
      <c r="BD1672" s="79"/>
      <c r="BE1672" s="38"/>
      <c r="BF1672" s="74"/>
      <c r="BG1672" s="68"/>
      <c r="BH1672" s="68"/>
      <c r="BI1672" s="68"/>
      <c r="BJ1672" s="68"/>
      <c r="BK1672" s="68"/>
      <c r="BL1672" s="68"/>
      <c r="BM1672" s="68"/>
      <c r="BN1672" s="68"/>
      <c r="BO1672" s="68"/>
      <c r="BP1672" s="68"/>
      <c r="BQ1672" s="68"/>
      <c r="BR1672" s="68"/>
      <c r="BS1672" s="68"/>
      <c r="BT1672" s="68"/>
      <c r="BU1672" s="68"/>
      <c r="BV1672" s="68"/>
      <c r="BW1672" s="68"/>
      <c r="BX1672" s="68"/>
      <c r="BY1672" s="68"/>
      <c r="BZ1672" s="68"/>
      <c r="CA1672" s="68"/>
      <c r="CB1672" s="68"/>
      <c r="CC1672" s="68"/>
      <c r="CD1672" s="68"/>
      <c r="CE1672" s="68"/>
      <c r="CF1672" s="68"/>
      <c r="CG1672" s="68"/>
      <c r="CH1672" s="68"/>
      <c r="CI1672" s="68"/>
      <c r="CJ1672" s="68"/>
      <c r="CK1672" s="68"/>
      <c r="CL1672" s="68"/>
      <c r="CM1672" s="68"/>
      <c r="CN1672" s="68"/>
      <c r="CO1672" s="68"/>
      <c r="CP1672" s="68"/>
    </row>
    <row r="1673" ht="15.75" customHeight="1">
      <c r="A1673" s="860" t="s">
        <v>7797</v>
      </c>
      <c r="B1673" s="68"/>
      <c r="C1673" s="69" t="s">
        <v>123</v>
      </c>
      <c r="D1673" s="337"/>
      <c r="E1673" s="192" t="s">
        <v>7798</v>
      </c>
      <c r="F1673" s="1487" t="s">
        <v>7799</v>
      </c>
      <c r="G1673" s="186"/>
      <c r="H1673" s="71" t="s">
        <v>7800</v>
      </c>
      <c r="I1673" s="26" t="s">
        <v>2016</v>
      </c>
      <c r="J1673" s="155"/>
      <c r="K1673" s="74"/>
      <c r="L1673" s="26">
        <v>1983.0</v>
      </c>
      <c r="M1673" s="25">
        <f t="shared" si="789"/>
        <v>42</v>
      </c>
      <c r="N1673" s="26">
        <f t="shared" si="790"/>
        <v>0</v>
      </c>
      <c r="O1673" s="27" t="str">
        <f t="shared" si="3"/>
        <v>#N/A</v>
      </c>
      <c r="P1673" s="28"/>
      <c r="Q1673" s="28"/>
      <c r="R1673" s="28"/>
      <c r="S1673" s="28"/>
      <c r="T1673" s="29">
        <f t="shared" si="791"/>
        <v>0</v>
      </c>
      <c r="U1673" s="28"/>
      <c r="V1673" s="30">
        <f t="shared" si="425"/>
        <v>0</v>
      </c>
      <c r="W1673" s="30"/>
      <c r="X1673" s="32"/>
      <c r="Y1673" s="33" t="str">
        <f t="shared" si="792"/>
        <v>#DIV/0!</v>
      </c>
      <c r="Z1673" s="692"/>
      <c r="AA1673" s="665"/>
      <c r="AB1673" s="74"/>
      <c r="AC1673" s="74"/>
      <c r="AD1673" s="79"/>
      <c r="AE1673" s="84"/>
      <c r="AF1673" s="338"/>
      <c r="AG1673" s="84"/>
      <c r="AH1673" s="74"/>
      <c r="AI1673" s="78"/>
      <c r="AJ1673" s="1368"/>
      <c r="AK1673" s="1028"/>
      <c r="AL1673" s="1029"/>
      <c r="AM1673" s="1028"/>
      <c r="AN1673" s="79"/>
      <c r="AO1673" s="84"/>
      <c r="AP1673" s="79"/>
      <c r="AQ1673" s="84"/>
      <c r="AR1673" s="79"/>
      <c r="AS1673" s="79"/>
      <c r="AT1673" s="79"/>
      <c r="AU1673" s="80"/>
      <c r="AV1673" s="79"/>
      <c r="AW1673" s="38"/>
      <c r="AX1673" s="79"/>
      <c r="AY1673" s="38"/>
      <c r="AZ1673" s="79"/>
      <c r="BA1673" s="80"/>
      <c r="BB1673" s="79"/>
      <c r="BC1673" s="80"/>
      <c r="BD1673" s="79"/>
      <c r="BE1673" s="38"/>
      <c r="BF1673" s="74"/>
      <c r="BG1673" s="68"/>
      <c r="BH1673" s="68"/>
      <c r="BI1673" s="68"/>
      <c r="BJ1673" s="68"/>
      <c r="BK1673" s="68"/>
      <c r="BL1673" s="68"/>
      <c r="BM1673" s="68"/>
      <c r="BN1673" s="68"/>
      <c r="BO1673" s="68"/>
      <c r="BP1673" s="68"/>
      <c r="BQ1673" s="68"/>
      <c r="BR1673" s="68"/>
      <c r="BS1673" s="68"/>
      <c r="BT1673" s="68"/>
      <c r="BU1673" s="68"/>
      <c r="BV1673" s="68"/>
      <c r="BW1673" s="68"/>
      <c r="BX1673" s="68"/>
      <c r="BY1673" s="68"/>
      <c r="BZ1673" s="68"/>
      <c r="CA1673" s="68"/>
      <c r="CB1673" s="68"/>
      <c r="CC1673" s="68"/>
      <c r="CD1673" s="68"/>
      <c r="CE1673" s="68"/>
      <c r="CF1673" s="68"/>
      <c r="CG1673" s="68"/>
      <c r="CH1673" s="68"/>
      <c r="CI1673" s="68"/>
      <c r="CJ1673" s="68"/>
      <c r="CK1673" s="68"/>
      <c r="CL1673" s="68"/>
      <c r="CM1673" s="68"/>
      <c r="CN1673" s="68"/>
      <c r="CO1673" s="68"/>
      <c r="CP1673" s="68"/>
    </row>
    <row r="1674" ht="15.75" customHeight="1">
      <c r="A1674" s="1737" t="s">
        <v>7801</v>
      </c>
      <c r="B1674" s="1644"/>
      <c r="C1674" s="1644"/>
      <c r="D1674" s="1741" t="s">
        <v>4781</v>
      </c>
      <c r="E1674" s="1741" t="s">
        <v>4781</v>
      </c>
      <c r="F1674" s="1742" t="s">
        <v>7802</v>
      </c>
      <c r="G1674" s="1744" t="s">
        <v>7803</v>
      </c>
      <c r="H1674" s="1807" t="s">
        <v>7804</v>
      </c>
      <c r="I1674" s="1739" t="s">
        <v>2016</v>
      </c>
      <c r="J1674" s="1808" t="s">
        <v>7805</v>
      </c>
      <c r="K1674" s="1738"/>
      <c r="L1674" s="1739"/>
      <c r="M1674" s="25">
        <f t="shared" si="789"/>
        <v>2025</v>
      </c>
      <c r="N1674" s="26">
        <f t="shared" si="790"/>
        <v>0</v>
      </c>
      <c r="O1674" s="27" t="str">
        <f t="shared" si="3"/>
        <v>#N/A</v>
      </c>
      <c r="P1674" s="28"/>
      <c r="Q1674" s="28"/>
      <c r="R1674" s="28"/>
      <c r="S1674" s="28"/>
      <c r="T1674" s="29">
        <f t="shared" si="791"/>
        <v>0</v>
      </c>
      <c r="U1674" s="28"/>
      <c r="V1674" s="30">
        <f t="shared" si="425"/>
        <v>0</v>
      </c>
      <c r="W1674" s="30"/>
      <c r="X1674" s="1746"/>
      <c r="Y1674" s="33" t="str">
        <f t="shared" si="792"/>
        <v>#DIV/0!</v>
      </c>
      <c r="Z1674" s="692"/>
      <c r="AA1674" s="665"/>
      <c r="AB1674" s="1738"/>
      <c r="AC1674" s="1738"/>
      <c r="AD1674" s="1747"/>
      <c r="AE1674" s="1748"/>
      <c r="AF1674" s="1749"/>
      <c r="AG1674" s="1748"/>
      <c r="AH1674" s="1738"/>
      <c r="AI1674" s="1750"/>
      <c r="AJ1674" s="1809"/>
      <c r="AK1674" s="1810"/>
      <c r="AL1674" s="1811"/>
      <c r="AM1674" s="1810"/>
      <c r="AN1674" s="1747"/>
      <c r="AO1674" s="1748"/>
      <c r="AP1674" s="1747"/>
      <c r="AQ1674" s="1748"/>
      <c r="AR1674" s="1747"/>
      <c r="AS1674" s="1747"/>
      <c r="AT1674" s="1747"/>
      <c r="AU1674" s="1751"/>
      <c r="AV1674" s="1747"/>
      <c r="AW1674" s="38"/>
      <c r="AX1674" s="1747"/>
      <c r="AY1674" s="38"/>
      <c r="AZ1674" s="1747"/>
      <c r="BA1674" s="1751"/>
      <c r="BB1674" s="1747"/>
      <c r="BC1674" s="1751"/>
      <c r="BD1674" s="1747"/>
      <c r="BE1674" s="38"/>
      <c r="BF1674" s="1738"/>
      <c r="BG1674" s="68"/>
      <c r="BH1674" s="68"/>
      <c r="BI1674" s="68"/>
      <c r="BJ1674" s="68"/>
      <c r="BK1674" s="68"/>
      <c r="BL1674" s="68"/>
      <c r="BM1674" s="68"/>
      <c r="BN1674" s="68"/>
      <c r="BO1674" s="68"/>
      <c r="BP1674" s="68"/>
      <c r="BQ1674" s="68"/>
      <c r="BR1674" s="68"/>
      <c r="BS1674" s="68"/>
      <c r="BT1674" s="68"/>
      <c r="BU1674" s="68"/>
      <c r="BV1674" s="68"/>
      <c r="BW1674" s="68"/>
      <c r="BX1674" s="68"/>
      <c r="BY1674" s="68"/>
      <c r="BZ1674" s="68"/>
      <c r="CA1674" s="68"/>
      <c r="CB1674" s="68"/>
      <c r="CC1674" s="68"/>
      <c r="CD1674" s="68"/>
      <c r="CE1674" s="68"/>
      <c r="CF1674" s="68"/>
      <c r="CG1674" s="68"/>
      <c r="CH1674" s="68"/>
      <c r="CI1674" s="68"/>
      <c r="CJ1674" s="68"/>
      <c r="CK1674" s="68"/>
      <c r="CL1674" s="68"/>
      <c r="CM1674" s="68"/>
      <c r="CN1674" s="68"/>
      <c r="CO1674" s="68"/>
      <c r="CP1674" s="68"/>
    </row>
    <row r="1675" ht="15.75" customHeight="1">
      <c r="A1675" s="442" t="s">
        <v>7806</v>
      </c>
      <c r="B1675" s="68" t="s">
        <v>2105</v>
      </c>
      <c r="C1675" s="69" t="s">
        <v>84</v>
      </c>
      <c r="D1675" s="184" t="s">
        <v>7807</v>
      </c>
      <c r="E1675" s="184" t="s">
        <v>7808</v>
      </c>
      <c r="F1675" s="177" t="s">
        <v>7809</v>
      </c>
      <c r="G1675" s="140" t="s">
        <v>7810</v>
      </c>
      <c r="H1675" s="186" t="s">
        <v>839</v>
      </c>
      <c r="I1675" s="74" t="s">
        <v>115</v>
      </c>
      <c r="J1675" s="72" t="s">
        <v>7811</v>
      </c>
      <c r="K1675" s="74">
        <v>1.0</v>
      </c>
      <c r="L1675" s="26">
        <v>2013.0</v>
      </c>
      <c r="M1675" s="25">
        <f t="shared" si="789"/>
        <v>12</v>
      </c>
      <c r="N1675" s="26">
        <f t="shared" si="790"/>
        <v>0</v>
      </c>
      <c r="O1675" s="27" t="str">
        <f t="shared" si="3"/>
        <v>#N/A</v>
      </c>
      <c r="P1675" s="28"/>
      <c r="Q1675" s="28"/>
      <c r="R1675" s="28"/>
      <c r="S1675" s="28"/>
      <c r="T1675" s="29">
        <f t="shared" si="791"/>
        <v>0</v>
      </c>
      <c r="U1675" s="28"/>
      <c r="V1675" s="30">
        <f t="shared" si="425"/>
        <v>0</v>
      </c>
      <c r="W1675" s="30"/>
      <c r="X1675" s="32"/>
      <c r="Y1675" s="33" t="str">
        <f t="shared" si="792"/>
        <v>#DIV/0!</v>
      </c>
      <c r="Z1675" s="692"/>
      <c r="AA1675" s="665"/>
      <c r="AB1675" s="74"/>
      <c r="AC1675" s="74"/>
      <c r="AD1675" s="79"/>
      <c r="AE1675" s="84"/>
      <c r="AF1675" s="338"/>
      <c r="AG1675" s="76"/>
      <c r="AH1675" s="929"/>
      <c r="AI1675" s="435"/>
      <c r="AJ1675" s="79"/>
      <c r="AK1675" s="78"/>
      <c r="AL1675" s="79"/>
      <c r="AM1675" s="78"/>
      <c r="AN1675" s="79"/>
      <c r="AO1675" s="84"/>
      <c r="AP1675" s="79"/>
      <c r="AQ1675" s="84"/>
      <c r="AR1675" s="79"/>
      <c r="AS1675" s="79"/>
      <c r="AT1675" s="79"/>
      <c r="AU1675" s="80"/>
      <c r="AV1675" s="79"/>
      <c r="AW1675" s="38"/>
      <c r="AX1675" s="79"/>
      <c r="AY1675" s="38"/>
      <c r="AZ1675" s="79"/>
      <c r="BA1675" s="80"/>
      <c r="BB1675" s="79"/>
      <c r="BC1675" s="80"/>
      <c r="BD1675" s="79"/>
      <c r="BE1675" s="38"/>
      <c r="BF1675" s="74"/>
      <c r="BG1675" s="68"/>
      <c r="BH1675" s="68"/>
      <c r="BI1675" s="68"/>
      <c r="BJ1675" s="68"/>
      <c r="BK1675" s="68"/>
      <c r="BL1675" s="68"/>
      <c r="BM1675" s="68"/>
      <c r="BN1675" s="68"/>
      <c r="BO1675" s="68"/>
      <c r="BP1675" s="68"/>
      <c r="BQ1675" s="68"/>
      <c r="BR1675" s="68"/>
      <c r="BS1675" s="68"/>
      <c r="BT1675" s="68"/>
      <c r="BU1675" s="68"/>
      <c r="BV1675" s="68"/>
      <c r="BW1675" s="68"/>
      <c r="BX1675" s="68"/>
      <c r="BY1675" s="68"/>
      <c r="BZ1675" s="68"/>
      <c r="CA1675" s="68"/>
      <c r="CB1675" s="68"/>
      <c r="CC1675" s="68"/>
      <c r="CD1675" s="68"/>
      <c r="CE1675" s="68"/>
      <c r="CF1675" s="68"/>
      <c r="CG1675" s="68"/>
      <c r="CH1675" s="68"/>
      <c r="CI1675" s="68"/>
      <c r="CJ1675" s="68"/>
      <c r="CK1675" s="68"/>
      <c r="CL1675" s="68"/>
      <c r="CM1675" s="68"/>
      <c r="CN1675" s="68"/>
      <c r="CO1675" s="68"/>
      <c r="CP1675" s="68"/>
    </row>
    <row r="1676" ht="15.75" customHeight="1">
      <c r="A1676" s="1737" t="s">
        <v>7812</v>
      </c>
      <c r="B1676" s="1644"/>
      <c r="C1676" s="1762" t="s">
        <v>132</v>
      </c>
      <c r="D1676" s="1741" t="s">
        <v>4781</v>
      </c>
      <c r="E1676" s="1741" t="s">
        <v>4781</v>
      </c>
      <c r="F1676" s="1742" t="s">
        <v>7813</v>
      </c>
      <c r="G1676" s="1807" t="s">
        <v>7814</v>
      </c>
      <c r="H1676" s="1807" t="s">
        <v>7815</v>
      </c>
      <c r="I1676" s="1739" t="s">
        <v>263</v>
      </c>
      <c r="J1676" s="1808" t="s">
        <v>7816</v>
      </c>
      <c r="K1676" s="1739"/>
      <c r="L1676" s="1739">
        <v>2018.0</v>
      </c>
      <c r="M1676" s="25">
        <f t="shared" si="789"/>
        <v>7</v>
      </c>
      <c r="N1676" s="26">
        <f t="shared" si="790"/>
        <v>0</v>
      </c>
      <c r="O1676" s="27" t="str">
        <f t="shared" si="3"/>
        <v>#N/A</v>
      </c>
      <c r="P1676" s="28"/>
      <c r="Q1676" s="28"/>
      <c r="R1676" s="28"/>
      <c r="S1676" s="28"/>
      <c r="T1676" s="29">
        <f t="shared" si="791"/>
        <v>0</v>
      </c>
      <c r="U1676" s="28"/>
      <c r="V1676" s="30">
        <f t="shared" si="425"/>
        <v>0</v>
      </c>
      <c r="W1676" s="30"/>
      <c r="X1676" s="1812"/>
      <c r="Y1676" s="33" t="str">
        <f t="shared" si="792"/>
        <v>#DIV/0!</v>
      </c>
      <c r="Z1676" s="692"/>
      <c r="AA1676" s="665"/>
      <c r="AB1676" s="1738"/>
      <c r="AC1676" s="1738"/>
      <c r="AD1676" s="1747"/>
      <c r="AE1676" s="1748"/>
      <c r="AF1676" s="1813"/>
      <c r="AG1676" s="1766"/>
      <c r="AH1676" s="1738"/>
      <c r="AI1676" s="1750"/>
      <c r="AJ1676" s="1747"/>
      <c r="AK1676" s="1748"/>
      <c r="AL1676" s="1747"/>
      <c r="AM1676" s="1748"/>
      <c r="AN1676" s="1747"/>
      <c r="AO1676" s="1748"/>
      <c r="AP1676" s="1747"/>
      <c r="AQ1676" s="1748"/>
      <c r="AR1676" s="1747"/>
      <c r="AS1676" s="1747"/>
      <c r="AT1676" s="1747"/>
      <c r="AU1676" s="1751"/>
      <c r="AV1676" s="1747"/>
      <c r="AW1676" s="38"/>
      <c r="AX1676" s="1747"/>
      <c r="AY1676" s="38"/>
      <c r="AZ1676" s="1747"/>
      <c r="BA1676" s="1751"/>
      <c r="BB1676" s="1747"/>
      <c r="BC1676" s="1751"/>
      <c r="BD1676" s="1747"/>
      <c r="BE1676" s="38"/>
      <c r="BF1676" s="1738"/>
      <c r="BG1676" s="68"/>
      <c r="BH1676" s="68"/>
      <c r="BI1676" s="68"/>
      <c r="BJ1676" s="68"/>
      <c r="BK1676" s="68"/>
      <c r="BL1676" s="68"/>
      <c r="BM1676" s="68"/>
      <c r="BN1676" s="68"/>
      <c r="BO1676" s="68"/>
      <c r="BP1676" s="68"/>
      <c r="BQ1676" s="68"/>
      <c r="BR1676" s="68"/>
      <c r="BS1676" s="68"/>
      <c r="BT1676" s="68"/>
      <c r="BU1676" s="68"/>
      <c r="BV1676" s="68"/>
      <c r="BW1676" s="68"/>
      <c r="BX1676" s="68"/>
      <c r="BY1676" s="68"/>
      <c r="BZ1676" s="68"/>
      <c r="CA1676" s="68"/>
      <c r="CB1676" s="68"/>
      <c r="CC1676" s="68"/>
      <c r="CD1676" s="68"/>
      <c r="CE1676" s="68"/>
      <c r="CF1676" s="68"/>
      <c r="CG1676" s="68"/>
      <c r="CH1676" s="68"/>
      <c r="CI1676" s="68"/>
      <c r="CJ1676" s="68"/>
      <c r="CK1676" s="68"/>
      <c r="CL1676" s="68"/>
      <c r="CM1676" s="68"/>
      <c r="CN1676" s="68"/>
      <c r="CO1676" s="68"/>
      <c r="CP1676" s="68"/>
    </row>
    <row r="1677" ht="15.75" customHeight="1">
      <c r="A1677" s="47" t="s">
        <v>7817</v>
      </c>
      <c r="B1677" s="68"/>
      <c r="C1677" s="69" t="s">
        <v>123</v>
      </c>
      <c r="D1677" s="48"/>
      <c r="E1677" s="192" t="s">
        <v>7818</v>
      </c>
      <c r="F1677" s="118" t="s">
        <v>7819</v>
      </c>
      <c r="G1677" s="186"/>
      <c r="H1677" s="71" t="s">
        <v>7820</v>
      </c>
      <c r="I1677" s="26" t="s">
        <v>674</v>
      </c>
      <c r="J1677" s="155"/>
      <c r="K1677" s="26"/>
      <c r="L1677" s="26"/>
      <c r="M1677" s="25">
        <f t="shared" si="789"/>
        <v>2025</v>
      </c>
      <c r="N1677" s="26">
        <f t="shared" si="790"/>
        <v>0</v>
      </c>
      <c r="O1677" s="27" t="str">
        <f t="shared" si="3"/>
        <v>#N/A</v>
      </c>
      <c r="P1677" s="28"/>
      <c r="Q1677" s="28"/>
      <c r="R1677" s="28"/>
      <c r="S1677" s="28"/>
      <c r="T1677" s="29">
        <f t="shared" si="791"/>
        <v>0</v>
      </c>
      <c r="U1677" s="28"/>
      <c r="V1677" s="30">
        <f t="shared" si="425"/>
        <v>0</v>
      </c>
      <c r="W1677" s="30"/>
      <c r="X1677" s="73"/>
      <c r="Y1677" s="33" t="str">
        <f t="shared" si="792"/>
        <v>#DIV/0!</v>
      </c>
      <c r="Z1677" s="692"/>
      <c r="AA1677" s="665"/>
      <c r="AB1677" s="74"/>
      <c r="AC1677" s="74"/>
      <c r="AD1677" s="79"/>
      <c r="AE1677" s="84"/>
      <c r="AF1677" s="320"/>
      <c r="AG1677" s="76"/>
      <c r="AH1677" s="74"/>
      <c r="AI1677" s="78"/>
      <c r="AJ1677" s="42"/>
      <c r="AK1677" s="76"/>
      <c r="AL1677" s="42"/>
      <c r="AM1677" s="76"/>
      <c r="AN1677" s="79"/>
      <c r="AO1677" s="84"/>
      <c r="AP1677" s="79"/>
      <c r="AQ1677" s="84"/>
      <c r="AR1677" s="79"/>
      <c r="AS1677" s="79"/>
      <c r="AT1677" s="79"/>
      <c r="AU1677" s="80"/>
      <c r="AV1677" s="79"/>
      <c r="AW1677" s="38"/>
      <c r="AX1677" s="79"/>
      <c r="AY1677" s="38"/>
      <c r="AZ1677" s="79"/>
      <c r="BA1677" s="80"/>
      <c r="BB1677" s="79"/>
      <c r="BC1677" s="80"/>
      <c r="BD1677" s="79"/>
      <c r="BE1677" s="38"/>
      <c r="BF1677" s="74"/>
      <c r="BG1677" s="68"/>
      <c r="BH1677" s="68"/>
      <c r="BI1677" s="68"/>
      <c r="BJ1677" s="68"/>
      <c r="BK1677" s="68"/>
      <c r="BL1677" s="68"/>
      <c r="BM1677" s="68"/>
      <c r="BN1677" s="68"/>
      <c r="BO1677" s="68"/>
      <c r="BP1677" s="68"/>
      <c r="BQ1677" s="68"/>
      <c r="BR1677" s="68"/>
      <c r="BS1677" s="68"/>
      <c r="BT1677" s="68"/>
      <c r="BU1677" s="68"/>
      <c r="BV1677" s="68"/>
      <c r="BW1677" s="68"/>
      <c r="BX1677" s="68"/>
      <c r="BY1677" s="68"/>
      <c r="BZ1677" s="68"/>
      <c r="CA1677" s="68"/>
      <c r="CB1677" s="68"/>
      <c r="CC1677" s="68"/>
      <c r="CD1677" s="68"/>
      <c r="CE1677" s="68"/>
      <c r="CF1677" s="68"/>
      <c r="CG1677" s="68"/>
      <c r="CH1677" s="68"/>
      <c r="CI1677" s="68"/>
      <c r="CJ1677" s="68"/>
      <c r="CK1677" s="68"/>
      <c r="CL1677" s="68"/>
      <c r="CM1677" s="68"/>
      <c r="CN1677" s="68"/>
      <c r="CO1677" s="68"/>
      <c r="CP1677" s="68"/>
    </row>
    <row r="1678" ht="15.75" customHeight="1">
      <c r="A1678" s="860" t="s">
        <v>7821</v>
      </c>
      <c r="B1678" s="68"/>
      <c r="C1678" s="69" t="s">
        <v>123</v>
      </c>
      <c r="D1678" s="192" t="s">
        <v>7822</v>
      </c>
      <c r="E1678" s="192" t="s">
        <v>7823</v>
      </c>
      <c r="F1678" s="118" t="s">
        <v>7824</v>
      </c>
      <c r="G1678" s="186"/>
      <c r="H1678" s="71" t="s">
        <v>357</v>
      </c>
      <c r="I1678" s="26" t="s">
        <v>518</v>
      </c>
      <c r="J1678" s="155"/>
      <c r="K1678" s="26">
        <v>1.0</v>
      </c>
      <c r="L1678" s="26">
        <v>2020.0</v>
      </c>
      <c r="M1678" s="25">
        <f t="shared" si="789"/>
        <v>5</v>
      </c>
      <c r="N1678" s="26">
        <f t="shared" si="790"/>
        <v>0</v>
      </c>
      <c r="O1678" s="27" t="str">
        <f t="shared" si="3"/>
        <v>#N/A</v>
      </c>
      <c r="P1678" s="28"/>
      <c r="Q1678" s="28"/>
      <c r="R1678" s="28"/>
      <c r="S1678" s="28"/>
      <c r="T1678" s="29">
        <f t="shared" si="791"/>
        <v>0</v>
      </c>
      <c r="U1678" s="28"/>
      <c r="V1678" s="30">
        <f t="shared" si="425"/>
        <v>0</v>
      </c>
      <c r="W1678" s="30"/>
      <c r="X1678" s="73"/>
      <c r="Y1678" s="33" t="str">
        <f t="shared" si="792"/>
        <v>#DIV/0!</v>
      </c>
      <c r="Z1678" s="692"/>
      <c r="AA1678" s="665"/>
      <c r="AB1678" s="74"/>
      <c r="AC1678" s="74"/>
      <c r="AD1678" s="79"/>
      <c r="AE1678" s="84"/>
      <c r="AF1678" s="1169"/>
      <c r="AG1678" s="76"/>
      <c r="AH1678" s="74"/>
      <c r="AI1678" s="78"/>
      <c r="AJ1678" s="79"/>
      <c r="AK1678" s="84"/>
      <c r="AL1678" s="79"/>
      <c r="AM1678" s="84"/>
      <c r="AN1678" s="79"/>
      <c r="AO1678" s="84"/>
      <c r="AP1678" s="79"/>
      <c r="AQ1678" s="84"/>
      <c r="AR1678" s="79"/>
      <c r="AS1678" s="79"/>
      <c r="AT1678" s="79"/>
      <c r="AU1678" s="80"/>
      <c r="AV1678" s="79"/>
      <c r="AW1678" s="38"/>
      <c r="AX1678" s="79"/>
      <c r="AY1678" s="38"/>
      <c r="AZ1678" s="79"/>
      <c r="BA1678" s="80"/>
      <c r="BB1678" s="79"/>
      <c r="BC1678" s="80"/>
      <c r="BD1678" s="79"/>
      <c r="BE1678" s="38"/>
      <c r="BF1678" s="74"/>
      <c r="BG1678" s="68"/>
      <c r="BH1678" s="68"/>
      <c r="BI1678" s="68"/>
      <c r="BJ1678" s="68"/>
      <c r="BK1678" s="68"/>
      <c r="BL1678" s="68"/>
      <c r="BM1678" s="68"/>
      <c r="BN1678" s="68"/>
      <c r="BO1678" s="68"/>
      <c r="BP1678" s="68"/>
      <c r="BQ1678" s="68"/>
      <c r="BR1678" s="68"/>
      <c r="BS1678" s="68"/>
      <c r="BT1678" s="68"/>
      <c r="BU1678" s="68"/>
      <c r="BV1678" s="68"/>
      <c r="BW1678" s="68"/>
      <c r="BX1678" s="68"/>
      <c r="BY1678" s="68"/>
      <c r="BZ1678" s="68"/>
      <c r="CA1678" s="68"/>
      <c r="CB1678" s="68"/>
      <c r="CC1678" s="68"/>
      <c r="CD1678" s="68"/>
      <c r="CE1678" s="68"/>
      <c r="CF1678" s="68"/>
      <c r="CG1678" s="68"/>
      <c r="CH1678" s="68"/>
      <c r="CI1678" s="68"/>
      <c r="CJ1678" s="68"/>
      <c r="CK1678" s="68"/>
      <c r="CL1678" s="68"/>
      <c r="CM1678" s="68"/>
      <c r="CN1678" s="68"/>
      <c r="CO1678" s="68"/>
      <c r="CP1678" s="68"/>
    </row>
    <row r="1679" ht="15.75" customHeight="1">
      <c r="A1679" s="860" t="s">
        <v>7825</v>
      </c>
      <c r="B1679" s="68"/>
      <c r="C1679" s="69" t="s">
        <v>123</v>
      </c>
      <c r="D1679" s="192" t="s">
        <v>7826</v>
      </c>
      <c r="E1679" s="192" t="s">
        <v>7827</v>
      </c>
      <c r="F1679" s="118" t="s">
        <v>7828</v>
      </c>
      <c r="G1679" s="186"/>
      <c r="H1679" s="71" t="s">
        <v>129</v>
      </c>
      <c r="I1679" s="26" t="s">
        <v>129</v>
      </c>
      <c r="J1679" s="155"/>
      <c r="K1679" s="74"/>
      <c r="L1679" s="26">
        <v>1990.0</v>
      </c>
      <c r="M1679" s="25">
        <f t="shared" si="789"/>
        <v>35</v>
      </c>
      <c r="N1679" s="26">
        <f t="shared" si="790"/>
        <v>0</v>
      </c>
      <c r="O1679" s="27" t="str">
        <f t="shared" si="3"/>
        <v>#N/A</v>
      </c>
      <c r="P1679" s="28"/>
      <c r="Q1679" s="28"/>
      <c r="R1679" s="28"/>
      <c r="S1679" s="28"/>
      <c r="T1679" s="29">
        <f t="shared" si="791"/>
        <v>0</v>
      </c>
      <c r="U1679" s="28"/>
      <c r="V1679" s="30">
        <f t="shared" si="425"/>
        <v>0</v>
      </c>
      <c r="W1679" s="30"/>
      <c r="X1679" s="32"/>
      <c r="Y1679" s="33" t="str">
        <f t="shared" si="792"/>
        <v>#DIV/0!</v>
      </c>
      <c r="Z1679" s="692"/>
      <c r="AA1679" s="665"/>
      <c r="AB1679" s="74"/>
      <c r="AC1679" s="74"/>
      <c r="AD1679" s="79"/>
      <c r="AE1679" s="84"/>
      <c r="AF1679" s="338"/>
      <c r="AG1679" s="76"/>
      <c r="AH1679" s="74"/>
      <c r="AI1679" s="78"/>
      <c r="AJ1679" s="79"/>
      <c r="AK1679" s="84"/>
      <c r="AL1679" s="79"/>
      <c r="AM1679" s="84"/>
      <c r="AN1679" s="79"/>
      <c r="AO1679" s="84"/>
      <c r="AP1679" s="79"/>
      <c r="AQ1679" s="84"/>
      <c r="AR1679" s="79"/>
      <c r="AS1679" s="79"/>
      <c r="AT1679" s="79"/>
      <c r="AU1679" s="80"/>
      <c r="AV1679" s="79"/>
      <c r="AW1679" s="38"/>
      <c r="AX1679" s="79"/>
      <c r="AY1679" s="38"/>
      <c r="AZ1679" s="79"/>
      <c r="BA1679" s="80"/>
      <c r="BB1679" s="79"/>
      <c r="BC1679" s="80"/>
      <c r="BD1679" s="79"/>
      <c r="BE1679" s="38"/>
      <c r="BF1679" s="74"/>
      <c r="BG1679" s="68"/>
      <c r="BH1679" s="68"/>
      <c r="BI1679" s="68"/>
      <c r="BJ1679" s="68"/>
      <c r="BK1679" s="68"/>
      <c r="BL1679" s="68"/>
      <c r="BM1679" s="68"/>
      <c r="BN1679" s="68"/>
      <c r="BO1679" s="68"/>
      <c r="BP1679" s="68"/>
      <c r="BQ1679" s="68"/>
      <c r="BR1679" s="68"/>
      <c r="BS1679" s="68"/>
      <c r="BT1679" s="68"/>
      <c r="BU1679" s="68"/>
      <c r="BV1679" s="68"/>
      <c r="BW1679" s="68"/>
      <c r="BX1679" s="68"/>
      <c r="BY1679" s="68"/>
      <c r="BZ1679" s="68"/>
      <c r="CA1679" s="68"/>
      <c r="CB1679" s="68"/>
      <c r="CC1679" s="68"/>
      <c r="CD1679" s="68"/>
      <c r="CE1679" s="68"/>
      <c r="CF1679" s="68"/>
      <c r="CG1679" s="68"/>
      <c r="CH1679" s="68"/>
      <c r="CI1679" s="68"/>
      <c r="CJ1679" s="68"/>
      <c r="CK1679" s="68"/>
      <c r="CL1679" s="68"/>
      <c r="CM1679" s="68"/>
      <c r="CN1679" s="68"/>
      <c r="CO1679" s="68"/>
      <c r="CP1679" s="68"/>
    </row>
    <row r="1680" ht="15.75" customHeight="1">
      <c r="A1680" s="442" t="s">
        <v>7829</v>
      </c>
      <c r="B1680" s="68" t="s">
        <v>7830</v>
      </c>
      <c r="C1680" s="69" t="s">
        <v>123</v>
      </c>
      <c r="D1680" s="184" t="s">
        <v>7831</v>
      </c>
      <c r="E1680" s="184" t="s">
        <v>7832</v>
      </c>
      <c r="F1680" s="185" t="s">
        <v>7833</v>
      </c>
      <c r="G1680" s="186" t="s">
        <v>7834</v>
      </c>
      <c r="H1680" s="186" t="s">
        <v>64</v>
      </c>
      <c r="I1680" s="74" t="s">
        <v>2240</v>
      </c>
      <c r="J1680" s="155">
        <v>94103.0</v>
      </c>
      <c r="K1680" s="74">
        <v>1.0</v>
      </c>
      <c r="L1680" s="26">
        <v>2010.0</v>
      </c>
      <c r="M1680" s="25">
        <f t="shared" si="789"/>
        <v>15</v>
      </c>
      <c r="N1680" s="26">
        <f t="shared" si="790"/>
        <v>0</v>
      </c>
      <c r="O1680" s="27" t="str">
        <f t="shared" si="3"/>
        <v>#N/A</v>
      </c>
      <c r="P1680" s="28"/>
      <c r="Q1680" s="28"/>
      <c r="R1680" s="28"/>
      <c r="S1680" s="28"/>
      <c r="T1680" s="29">
        <f t="shared" si="791"/>
        <v>0</v>
      </c>
      <c r="U1680" s="28"/>
      <c r="V1680" s="30">
        <f t="shared" si="425"/>
        <v>0</v>
      </c>
      <c r="W1680" s="30"/>
      <c r="X1680" s="32"/>
      <c r="Y1680" s="33" t="str">
        <f t="shared" si="792"/>
        <v>#DIV/0!</v>
      </c>
      <c r="Z1680" s="692"/>
      <c r="AA1680" s="665"/>
      <c r="AB1680" s="74"/>
      <c r="AC1680" s="74"/>
      <c r="AD1680" s="79"/>
      <c r="AE1680" s="84"/>
      <c r="AF1680" s="338"/>
      <c r="AG1680" s="84"/>
      <c r="AH1680" s="74"/>
      <c r="AI1680" s="78"/>
      <c r="AJ1680" s="79"/>
      <c r="AK1680" s="84"/>
      <c r="AL1680" s="79"/>
      <c r="AM1680" s="84"/>
      <c r="AN1680" s="79"/>
      <c r="AO1680" s="84"/>
      <c r="AP1680" s="79"/>
      <c r="AQ1680" s="84"/>
      <c r="AR1680" s="79"/>
      <c r="AS1680" s="79"/>
      <c r="AT1680" s="79"/>
      <c r="AU1680" s="80"/>
      <c r="AV1680" s="79"/>
      <c r="AW1680" s="38"/>
      <c r="AX1680" s="79"/>
      <c r="AY1680" s="38"/>
      <c r="AZ1680" s="79"/>
      <c r="BA1680" s="80"/>
      <c r="BB1680" s="79"/>
      <c r="BC1680" s="80"/>
      <c r="BD1680" s="79"/>
      <c r="BE1680" s="38"/>
      <c r="BF1680" s="74"/>
      <c r="BG1680" s="1644"/>
      <c r="BH1680" s="1644"/>
      <c r="BI1680" s="1644"/>
      <c r="BJ1680" s="1644"/>
      <c r="BK1680" s="1644"/>
      <c r="BL1680" s="1644"/>
      <c r="BM1680" s="1644"/>
      <c r="BN1680" s="1644"/>
      <c r="BO1680" s="1644"/>
      <c r="BP1680" s="1644"/>
      <c r="BQ1680" s="1644"/>
      <c r="BR1680" s="1644"/>
      <c r="BS1680" s="1644"/>
      <c r="BT1680" s="1644"/>
      <c r="BU1680" s="1644"/>
      <c r="BV1680" s="1644"/>
      <c r="BW1680" s="1644"/>
      <c r="BX1680" s="1644"/>
      <c r="BY1680" s="1644"/>
      <c r="BZ1680" s="1644"/>
      <c r="CA1680" s="1644"/>
      <c r="CB1680" s="1644"/>
      <c r="CC1680" s="1644"/>
      <c r="CD1680" s="1644"/>
      <c r="CE1680" s="1644"/>
      <c r="CF1680" s="1644"/>
      <c r="CG1680" s="1644"/>
      <c r="CH1680" s="1644"/>
      <c r="CI1680" s="1644"/>
      <c r="CJ1680" s="1644"/>
      <c r="CK1680" s="1644"/>
      <c r="CL1680" s="1644"/>
      <c r="CM1680" s="1644"/>
      <c r="CN1680" s="1644"/>
      <c r="CO1680" s="1644"/>
      <c r="CP1680" s="1644"/>
    </row>
    <row r="1681" ht="15.75" customHeight="1">
      <c r="A1681" s="1484" t="s">
        <v>7835</v>
      </c>
      <c r="B1681" s="68"/>
      <c r="C1681" s="69" t="s">
        <v>7836</v>
      </c>
      <c r="D1681" s="192" t="s">
        <v>7837</v>
      </c>
      <c r="E1681" s="192" t="s">
        <v>7838</v>
      </c>
      <c r="F1681" s="118" t="s">
        <v>7839</v>
      </c>
      <c r="G1681" s="186"/>
      <c r="H1681" s="186"/>
      <c r="I1681" s="26" t="s">
        <v>257</v>
      </c>
      <c r="J1681" s="155"/>
      <c r="K1681" s="74"/>
      <c r="L1681" s="26">
        <v>2017.0</v>
      </c>
      <c r="M1681" s="25">
        <f t="shared" si="789"/>
        <v>8</v>
      </c>
      <c r="N1681" s="26">
        <f t="shared" si="790"/>
        <v>0</v>
      </c>
      <c r="O1681" s="27" t="str">
        <f t="shared" si="3"/>
        <v>#N/A</v>
      </c>
      <c r="P1681" s="28"/>
      <c r="Q1681" s="28"/>
      <c r="R1681" s="28"/>
      <c r="S1681" s="28"/>
      <c r="T1681" s="29">
        <f t="shared" si="791"/>
        <v>0</v>
      </c>
      <c r="U1681" s="28"/>
      <c r="V1681" s="30">
        <f t="shared" si="425"/>
        <v>0</v>
      </c>
      <c r="W1681" s="30"/>
      <c r="X1681" s="32"/>
      <c r="Y1681" s="33" t="str">
        <f t="shared" si="792"/>
        <v>#DIV/0!</v>
      </c>
      <c r="Z1681" s="692"/>
      <c r="AA1681" s="665"/>
      <c r="AB1681" s="74"/>
      <c r="AC1681" s="74"/>
      <c r="AD1681" s="79"/>
      <c r="AE1681" s="84"/>
      <c r="AF1681" s="338"/>
      <c r="AG1681" s="76"/>
      <c r="AH1681" s="74"/>
      <c r="AI1681" s="78"/>
      <c r="AJ1681" s="279"/>
      <c r="AK1681" s="76"/>
      <c r="AL1681" s="79"/>
      <c r="AM1681" s="84"/>
      <c r="AN1681" s="79"/>
      <c r="AO1681" s="84"/>
      <c r="AP1681" s="79"/>
      <c r="AQ1681" s="84"/>
      <c r="AR1681" s="79"/>
      <c r="AS1681" s="79"/>
      <c r="AT1681" s="79"/>
      <c r="AU1681" s="80"/>
      <c r="AV1681" s="79"/>
      <c r="AW1681" s="38"/>
      <c r="AX1681" s="79"/>
      <c r="AY1681" s="38"/>
      <c r="AZ1681" s="79"/>
      <c r="BA1681" s="80"/>
      <c r="BB1681" s="79"/>
      <c r="BC1681" s="80"/>
      <c r="BD1681" s="79"/>
      <c r="BE1681" s="38"/>
      <c r="BF1681" s="74"/>
      <c r="BG1681" s="68"/>
      <c r="BH1681" s="68"/>
      <c r="BI1681" s="68"/>
      <c r="BJ1681" s="68"/>
      <c r="BK1681" s="68"/>
      <c r="BL1681" s="68"/>
      <c r="BM1681" s="68"/>
      <c r="BN1681" s="68"/>
      <c r="BO1681" s="68"/>
      <c r="BP1681" s="68"/>
      <c r="BQ1681" s="68"/>
      <c r="BR1681" s="68"/>
      <c r="BS1681" s="68"/>
      <c r="BT1681" s="68"/>
      <c r="BU1681" s="68"/>
      <c r="BV1681" s="68"/>
      <c r="BW1681" s="68"/>
      <c r="BX1681" s="68"/>
      <c r="BY1681" s="68"/>
      <c r="BZ1681" s="68"/>
      <c r="CA1681" s="68"/>
      <c r="CB1681" s="68"/>
      <c r="CC1681" s="68"/>
      <c r="CD1681" s="68"/>
      <c r="CE1681" s="68"/>
      <c r="CF1681" s="68"/>
      <c r="CG1681" s="68"/>
      <c r="CH1681" s="68"/>
      <c r="CI1681" s="68"/>
      <c r="CJ1681" s="68"/>
      <c r="CK1681" s="68"/>
      <c r="CL1681" s="68"/>
      <c r="CM1681" s="68"/>
      <c r="CN1681" s="68"/>
      <c r="CO1681" s="68"/>
      <c r="CP1681" s="68"/>
    </row>
    <row r="1682" ht="15.75" customHeight="1">
      <c r="A1682" s="21" t="s">
        <v>7840</v>
      </c>
      <c r="B1682" s="69" t="s">
        <v>7841</v>
      </c>
      <c r="C1682" s="69" t="s">
        <v>123</v>
      </c>
      <c r="D1682" s="200" t="s">
        <v>7842</v>
      </c>
      <c r="E1682" s="200" t="s">
        <v>7843</v>
      </c>
      <c r="F1682" s="864" t="s">
        <v>7844</v>
      </c>
      <c r="G1682" s="23" t="s">
        <v>7845</v>
      </c>
      <c r="H1682" s="71" t="s">
        <v>7846</v>
      </c>
      <c r="I1682" s="26" t="s">
        <v>149</v>
      </c>
      <c r="J1682" s="72" t="s">
        <v>7847</v>
      </c>
      <c r="K1682" s="26">
        <v>2.0</v>
      </c>
      <c r="L1682" s="26">
        <v>1971.0</v>
      </c>
      <c r="M1682" s="25">
        <f t="shared" si="789"/>
        <v>54</v>
      </c>
      <c r="N1682" s="26">
        <f t="shared" si="790"/>
        <v>0</v>
      </c>
      <c r="O1682" s="27" t="str">
        <f t="shared" si="3"/>
        <v>#N/A</v>
      </c>
      <c r="P1682" s="28"/>
      <c r="Q1682" s="28"/>
      <c r="R1682" s="28"/>
      <c r="S1682" s="28"/>
      <c r="T1682" s="29">
        <f t="shared" si="791"/>
        <v>0</v>
      </c>
      <c r="U1682" s="28"/>
      <c r="V1682" s="30">
        <f t="shared" si="425"/>
        <v>0</v>
      </c>
      <c r="W1682" s="30"/>
      <c r="X1682" s="73"/>
      <c r="Y1682" s="33" t="str">
        <f t="shared" si="792"/>
        <v>#DIV/0!</v>
      </c>
      <c r="Z1682" s="692"/>
      <c r="AA1682" s="665"/>
      <c r="AB1682" s="74"/>
      <c r="AC1682" s="74"/>
      <c r="AD1682" s="79"/>
      <c r="AE1682" s="84"/>
      <c r="AF1682" s="338"/>
      <c r="AG1682" s="84"/>
      <c r="AH1682" s="74"/>
      <c r="AI1682" s="78"/>
      <c r="AJ1682" s="81"/>
      <c r="AK1682" s="84"/>
      <c r="AL1682" s="79"/>
      <c r="AM1682" s="84"/>
      <c r="AN1682" s="79"/>
      <c r="AO1682" s="84"/>
      <c r="AP1682" s="79"/>
      <c r="AQ1682" s="84"/>
      <c r="AR1682" s="79"/>
      <c r="AS1682" s="79"/>
      <c r="AT1682" s="79"/>
      <c r="AU1682" s="80"/>
      <c r="AV1682" s="79"/>
      <c r="AW1682" s="38"/>
      <c r="AX1682" s="79"/>
      <c r="AY1682" s="38"/>
      <c r="AZ1682" s="79"/>
      <c r="BA1682" s="80"/>
      <c r="BB1682" s="79"/>
      <c r="BC1682" s="80"/>
      <c r="BD1682" s="79"/>
      <c r="BE1682" s="38"/>
      <c r="BF1682" s="74"/>
      <c r="BG1682" s="68"/>
      <c r="BH1682" s="68"/>
      <c r="BI1682" s="68"/>
      <c r="BJ1682" s="68"/>
      <c r="BK1682" s="68"/>
      <c r="BL1682" s="68"/>
      <c r="BM1682" s="68"/>
      <c r="BN1682" s="68"/>
      <c r="BO1682" s="68"/>
      <c r="BP1682" s="68"/>
      <c r="BQ1682" s="68"/>
      <c r="BR1682" s="68"/>
      <c r="BS1682" s="68"/>
      <c r="BT1682" s="68"/>
      <c r="BU1682" s="68"/>
      <c r="BV1682" s="68"/>
      <c r="BW1682" s="68"/>
      <c r="BX1682" s="68"/>
      <c r="BY1682" s="68"/>
      <c r="BZ1682" s="68"/>
      <c r="CA1682" s="68"/>
      <c r="CB1682" s="68"/>
      <c r="CC1682" s="68"/>
      <c r="CD1682" s="68"/>
      <c r="CE1682" s="68"/>
      <c r="CF1682" s="68"/>
      <c r="CG1682" s="68"/>
      <c r="CH1682" s="68"/>
      <c r="CI1682" s="68"/>
      <c r="CJ1682" s="68"/>
      <c r="CK1682" s="68"/>
      <c r="CL1682" s="68"/>
      <c r="CM1682" s="68"/>
      <c r="CN1682" s="68"/>
      <c r="CO1682" s="68"/>
      <c r="CP1682" s="68"/>
    </row>
    <row r="1683" ht="15.75" customHeight="1">
      <c r="A1683" s="1579" t="s">
        <v>7848</v>
      </c>
      <c r="B1683" s="723"/>
      <c r="C1683" s="723"/>
      <c r="D1683" s="1814"/>
      <c r="E1683" s="767" t="s">
        <v>7849</v>
      </c>
      <c r="F1683" s="1344" t="s">
        <v>7850</v>
      </c>
      <c r="G1683" s="1815"/>
      <c r="H1683" s="770" t="s">
        <v>7851</v>
      </c>
      <c r="I1683" s="771" t="s">
        <v>188</v>
      </c>
      <c r="J1683" s="772"/>
      <c r="K1683" s="771"/>
      <c r="L1683" s="771">
        <v>2013.0</v>
      </c>
      <c r="M1683" s="25">
        <f t="shared" si="789"/>
        <v>12</v>
      </c>
      <c r="N1683" s="26">
        <f t="shared" si="790"/>
        <v>0</v>
      </c>
      <c r="O1683" s="27" t="str">
        <f t="shared" si="3"/>
        <v>#N/A</v>
      </c>
      <c r="P1683" s="28"/>
      <c r="Q1683" s="28"/>
      <c r="R1683" s="28"/>
      <c r="S1683" s="28"/>
      <c r="T1683" s="29">
        <f t="shared" si="791"/>
        <v>0</v>
      </c>
      <c r="U1683" s="28"/>
      <c r="V1683" s="30">
        <f t="shared" si="425"/>
        <v>0</v>
      </c>
      <c r="W1683" s="30"/>
      <c r="X1683" s="1345"/>
      <c r="Y1683" s="33" t="str">
        <f t="shared" si="792"/>
        <v>#DIV/0!</v>
      </c>
      <c r="Z1683" s="692"/>
      <c r="AA1683" s="665"/>
      <c r="AB1683" s="773"/>
      <c r="AC1683" s="773"/>
      <c r="AD1683" s="784"/>
      <c r="AE1683" s="785"/>
      <c r="AF1683" s="1802"/>
      <c r="AG1683" s="785"/>
      <c r="AH1683" s="773"/>
      <c r="AI1683" s="1348"/>
      <c r="AJ1683" s="784"/>
      <c r="AK1683" s="785"/>
      <c r="AL1683" s="784"/>
      <c r="AM1683" s="785"/>
      <c r="AN1683" s="784"/>
      <c r="AO1683" s="785"/>
      <c r="AP1683" s="784"/>
      <c r="AQ1683" s="785"/>
      <c r="AR1683" s="784"/>
      <c r="AS1683" s="784"/>
      <c r="AT1683" s="784"/>
      <c r="AU1683" s="1351"/>
      <c r="AV1683" s="784"/>
      <c r="AW1683" s="38"/>
      <c r="AX1683" s="784"/>
      <c r="AY1683" s="38"/>
      <c r="AZ1683" s="784"/>
      <c r="BA1683" s="1351"/>
      <c r="BB1683" s="784"/>
      <c r="BC1683" s="1351"/>
      <c r="BD1683" s="784"/>
      <c r="BE1683" s="38"/>
      <c r="BF1683" s="773"/>
      <c r="BG1683" s="68"/>
      <c r="BH1683" s="68"/>
      <c r="BI1683" s="68"/>
      <c r="BJ1683" s="68"/>
      <c r="BK1683" s="68"/>
      <c r="BL1683" s="68"/>
      <c r="BM1683" s="68"/>
      <c r="BN1683" s="68"/>
      <c r="BO1683" s="68"/>
      <c r="BP1683" s="68"/>
      <c r="BQ1683" s="68"/>
      <c r="BR1683" s="68"/>
      <c r="BS1683" s="68"/>
      <c r="BT1683" s="68"/>
      <c r="BU1683" s="68"/>
      <c r="BV1683" s="68"/>
      <c r="BW1683" s="68"/>
      <c r="BX1683" s="68"/>
      <c r="BY1683" s="68"/>
      <c r="BZ1683" s="68"/>
      <c r="CA1683" s="68"/>
      <c r="CB1683" s="68"/>
      <c r="CC1683" s="68"/>
      <c r="CD1683" s="68"/>
      <c r="CE1683" s="68"/>
      <c r="CF1683" s="68"/>
      <c r="CG1683" s="68"/>
      <c r="CH1683" s="68"/>
      <c r="CI1683" s="68"/>
      <c r="CJ1683" s="68"/>
      <c r="CK1683" s="68"/>
      <c r="CL1683" s="68"/>
      <c r="CM1683" s="68"/>
      <c r="CN1683" s="68"/>
      <c r="CO1683" s="68"/>
      <c r="CP1683" s="68"/>
    </row>
    <row r="1684" ht="15.75" customHeight="1">
      <c r="A1684" s="860" t="s">
        <v>7852</v>
      </c>
      <c r="B1684" s="68"/>
      <c r="C1684" s="69" t="s">
        <v>4584</v>
      </c>
      <c r="D1684" s="380"/>
      <c r="E1684" s="192" t="s">
        <v>7853</v>
      </c>
      <c r="F1684" s="118" t="s">
        <v>7854</v>
      </c>
      <c r="G1684" s="140"/>
      <c r="H1684" s="71" t="s">
        <v>601</v>
      </c>
      <c r="I1684" s="26" t="s">
        <v>129</v>
      </c>
      <c r="J1684" s="72"/>
      <c r="K1684" s="26"/>
      <c r="L1684" s="26">
        <v>2016.0</v>
      </c>
      <c r="M1684" s="25">
        <f t="shared" si="789"/>
        <v>9</v>
      </c>
      <c r="N1684" s="26">
        <f t="shared" si="790"/>
        <v>0</v>
      </c>
      <c r="O1684" s="27" t="str">
        <f t="shared" si="3"/>
        <v>#N/A</v>
      </c>
      <c r="P1684" s="28"/>
      <c r="Q1684" s="28"/>
      <c r="R1684" s="28"/>
      <c r="S1684" s="28"/>
      <c r="T1684" s="29">
        <f t="shared" si="791"/>
        <v>0</v>
      </c>
      <c r="U1684" s="28"/>
      <c r="V1684" s="30">
        <f t="shared" si="425"/>
        <v>0</v>
      </c>
      <c r="W1684" s="30"/>
      <c r="X1684" s="73"/>
      <c r="Y1684" s="33" t="str">
        <f t="shared" si="792"/>
        <v>#DIV/0!</v>
      </c>
      <c r="Z1684" s="692"/>
      <c r="AA1684" s="665"/>
      <c r="AB1684" s="74"/>
      <c r="AC1684" s="74"/>
      <c r="AD1684" s="79"/>
      <c r="AE1684" s="84"/>
      <c r="AF1684" s="338"/>
      <c r="AG1684" s="84"/>
      <c r="AH1684" s="74"/>
      <c r="AI1684" s="78"/>
      <c r="AJ1684" s="79"/>
      <c r="AK1684" s="84"/>
      <c r="AL1684" s="79"/>
      <c r="AM1684" s="84"/>
      <c r="AN1684" s="79"/>
      <c r="AO1684" s="84"/>
      <c r="AP1684" s="79"/>
      <c r="AQ1684" s="84"/>
      <c r="AR1684" s="79"/>
      <c r="AS1684" s="79"/>
      <c r="AT1684" s="79"/>
      <c r="AU1684" s="80"/>
      <c r="AV1684" s="79"/>
      <c r="AW1684" s="38"/>
      <c r="AX1684" s="79"/>
      <c r="AY1684" s="38"/>
      <c r="AZ1684" s="79"/>
      <c r="BA1684" s="80"/>
      <c r="BB1684" s="79"/>
      <c r="BC1684" s="80"/>
      <c r="BD1684" s="79"/>
      <c r="BE1684" s="38"/>
      <c r="BF1684" s="74"/>
      <c r="BG1684" s="534"/>
      <c r="BH1684" s="534"/>
      <c r="BI1684" s="534"/>
      <c r="BJ1684" s="534"/>
      <c r="BK1684" s="534"/>
      <c r="BL1684" s="534"/>
      <c r="BM1684" s="534"/>
      <c r="BN1684" s="534"/>
      <c r="BO1684" s="534"/>
      <c r="BP1684" s="534"/>
      <c r="BQ1684" s="534"/>
      <c r="BR1684" s="534"/>
      <c r="BS1684" s="534"/>
      <c r="BT1684" s="534"/>
      <c r="BU1684" s="534"/>
      <c r="BV1684" s="534"/>
      <c r="BW1684" s="534"/>
      <c r="BX1684" s="534"/>
      <c r="BY1684" s="534"/>
      <c r="BZ1684" s="534"/>
      <c r="CA1684" s="534"/>
      <c r="CB1684" s="534"/>
      <c r="CC1684" s="534"/>
      <c r="CD1684" s="534"/>
      <c r="CE1684" s="534"/>
      <c r="CF1684" s="534"/>
      <c r="CG1684" s="534"/>
      <c r="CH1684" s="534"/>
      <c r="CI1684" s="534"/>
      <c r="CJ1684" s="534"/>
      <c r="CK1684" s="534"/>
      <c r="CL1684" s="534"/>
      <c r="CM1684" s="534"/>
      <c r="CN1684" s="534"/>
      <c r="CO1684" s="534"/>
      <c r="CP1684" s="534"/>
    </row>
    <row r="1685" ht="15.75" customHeight="1">
      <c r="A1685" s="21" t="s">
        <v>7855</v>
      </c>
      <c r="B1685" s="68"/>
      <c r="C1685" s="69" t="s">
        <v>7856</v>
      </c>
      <c r="D1685" s="200" t="s">
        <v>7857</v>
      </c>
      <c r="E1685" s="200" t="s">
        <v>7858</v>
      </c>
      <c r="F1685" s="173" t="s">
        <v>7859</v>
      </c>
      <c r="G1685" s="140" t="s">
        <v>7860</v>
      </c>
      <c r="H1685" s="140" t="s">
        <v>6242</v>
      </c>
      <c r="I1685" s="74" t="s">
        <v>65</v>
      </c>
      <c r="J1685" s="72" t="s">
        <v>6243</v>
      </c>
      <c r="K1685" s="26" t="s">
        <v>723</v>
      </c>
      <c r="L1685" s="26" t="s">
        <v>723</v>
      </c>
      <c r="M1685" s="1816" t="str">
        <f t="shared" si="789"/>
        <v>#VALUE!</v>
      </c>
      <c r="N1685" s="26">
        <f t="shared" si="790"/>
        <v>0</v>
      </c>
      <c r="O1685" s="1817" t="str">
        <f t="shared" si="3"/>
        <v>#N/A</v>
      </c>
      <c r="P1685" s="28"/>
      <c r="Q1685" s="28"/>
      <c r="R1685" s="28"/>
      <c r="S1685" s="28"/>
      <c r="T1685" s="28" t="str">
        <f t="shared" si="791"/>
        <v>#VALUE!</v>
      </c>
      <c r="U1685" s="28"/>
      <c r="V1685" s="30">
        <f t="shared" si="425"/>
        <v>0</v>
      </c>
      <c r="W1685" s="30"/>
      <c r="X1685" s="73"/>
      <c r="Y1685" s="33" t="str">
        <f t="shared" si="792"/>
        <v>#DIV/0!</v>
      </c>
      <c r="Z1685" s="692"/>
      <c r="AA1685" s="665"/>
      <c r="AB1685" s="74"/>
      <c r="AC1685" s="74"/>
      <c r="AD1685" s="79"/>
      <c r="AE1685" s="84"/>
      <c r="AF1685" s="338"/>
      <c r="AG1685" s="84"/>
      <c r="AH1685" s="74"/>
      <c r="AI1685" s="78"/>
      <c r="AJ1685" s="79"/>
      <c r="AK1685" s="84"/>
      <c r="AL1685" s="79"/>
      <c r="AM1685" s="84"/>
      <c r="AN1685" s="79"/>
      <c r="AO1685" s="84"/>
      <c r="AP1685" s="79"/>
      <c r="AQ1685" s="84"/>
      <c r="AR1685" s="79"/>
      <c r="AS1685" s="79"/>
      <c r="AT1685" s="79"/>
      <c r="AU1685" s="80"/>
      <c r="AV1685" s="79"/>
      <c r="AW1685" s="38"/>
      <c r="AX1685" s="79"/>
      <c r="AY1685" s="38"/>
      <c r="AZ1685" s="79"/>
      <c r="BA1685" s="80"/>
      <c r="BB1685" s="79"/>
      <c r="BC1685" s="80"/>
      <c r="BD1685" s="79"/>
      <c r="BE1685" s="38"/>
      <c r="BF1685" s="74"/>
      <c r="BG1685" s="68"/>
      <c r="BH1685" s="68"/>
      <c r="BI1685" s="68"/>
      <c r="BJ1685" s="68"/>
      <c r="BK1685" s="68"/>
      <c r="BL1685" s="68"/>
      <c r="BM1685" s="68"/>
      <c r="BN1685" s="68"/>
      <c r="BO1685" s="68"/>
      <c r="BP1685" s="68"/>
      <c r="BQ1685" s="68"/>
      <c r="BR1685" s="68"/>
      <c r="BS1685" s="68"/>
      <c r="BT1685" s="68"/>
      <c r="BU1685" s="68"/>
      <c r="BV1685" s="68"/>
      <c r="BW1685" s="68"/>
      <c r="BX1685" s="68"/>
      <c r="BY1685" s="68"/>
      <c r="BZ1685" s="68"/>
      <c r="CA1685" s="68"/>
      <c r="CB1685" s="68"/>
      <c r="CC1685" s="68"/>
      <c r="CD1685" s="68"/>
      <c r="CE1685" s="68"/>
      <c r="CF1685" s="68"/>
      <c r="CG1685" s="68"/>
      <c r="CH1685" s="68"/>
      <c r="CI1685" s="68"/>
      <c r="CJ1685" s="68"/>
      <c r="CK1685" s="68"/>
      <c r="CL1685" s="68"/>
      <c r="CM1685" s="68"/>
      <c r="CN1685" s="68"/>
      <c r="CO1685" s="68"/>
      <c r="CP1685" s="68"/>
    </row>
    <row r="1686" ht="15.75" customHeight="1">
      <c r="A1686" s="866" t="s">
        <v>7861</v>
      </c>
      <c r="B1686" s="68"/>
      <c r="C1686" s="69" t="s">
        <v>132</v>
      </c>
      <c r="D1686" s="138" t="s">
        <v>7862</v>
      </c>
      <c r="E1686" s="138" t="s">
        <v>7863</v>
      </c>
      <c r="F1686" s="803" t="s">
        <v>7864</v>
      </c>
      <c r="G1686" s="71" t="s">
        <v>7865</v>
      </c>
      <c r="H1686" s="71" t="s">
        <v>128</v>
      </c>
      <c r="I1686" s="26" t="s">
        <v>129</v>
      </c>
      <c r="J1686" s="494" t="s">
        <v>890</v>
      </c>
      <c r="K1686" s="26">
        <v>1.0</v>
      </c>
      <c r="L1686" s="26">
        <v>2003.0</v>
      </c>
      <c r="M1686" s="26">
        <f t="shared" si="789"/>
        <v>22</v>
      </c>
      <c r="N1686" s="26">
        <f t="shared" si="790"/>
        <v>0</v>
      </c>
      <c r="O1686" s="1818" t="str">
        <f t="shared" si="3"/>
        <v>#N/A</v>
      </c>
      <c r="P1686" s="28"/>
      <c r="Q1686" s="28"/>
      <c r="R1686" s="28"/>
      <c r="S1686" s="28"/>
      <c r="T1686" s="29">
        <f t="shared" si="791"/>
        <v>0</v>
      </c>
      <c r="U1686" s="28"/>
      <c r="V1686" s="30">
        <f t="shared" si="425"/>
        <v>0</v>
      </c>
      <c r="W1686" s="30"/>
      <c r="X1686" s="73"/>
      <c r="Y1686" s="33" t="str">
        <f t="shared" si="792"/>
        <v>#DIV/0!</v>
      </c>
      <c r="Z1686" s="692"/>
      <c r="AA1686" s="665"/>
      <c r="AB1686" s="74"/>
      <c r="AC1686" s="74"/>
      <c r="AD1686" s="79"/>
      <c r="AE1686" s="84"/>
      <c r="AF1686" s="338"/>
      <c r="AG1686" s="84"/>
      <c r="AH1686" s="74"/>
      <c r="AI1686" s="78"/>
      <c r="AJ1686" s="279"/>
      <c r="AK1686" s="76"/>
      <c r="AL1686" s="79"/>
      <c r="AM1686" s="76"/>
      <c r="AN1686" s="79"/>
      <c r="AO1686" s="84"/>
      <c r="AP1686" s="79"/>
      <c r="AQ1686" s="84"/>
      <c r="AR1686" s="79"/>
      <c r="AS1686" s="79"/>
      <c r="AT1686" s="79"/>
      <c r="AU1686" s="80"/>
      <c r="AV1686" s="79"/>
      <c r="AW1686" s="38"/>
      <c r="AX1686" s="79"/>
      <c r="AY1686" s="38"/>
      <c r="AZ1686" s="79"/>
      <c r="BA1686" s="80"/>
      <c r="BB1686" s="79"/>
      <c r="BC1686" s="80"/>
      <c r="BD1686" s="79"/>
      <c r="BE1686" s="38"/>
      <c r="BF1686" s="74"/>
      <c r="BG1686" s="68"/>
      <c r="BH1686" s="68"/>
      <c r="BI1686" s="68"/>
      <c r="BJ1686" s="68"/>
      <c r="BK1686" s="68"/>
      <c r="BL1686" s="68"/>
      <c r="BM1686" s="68"/>
      <c r="BN1686" s="68"/>
      <c r="BO1686" s="68"/>
      <c r="BP1686" s="68"/>
      <c r="BQ1686" s="68"/>
      <c r="BR1686" s="68"/>
      <c r="BS1686" s="68"/>
      <c r="BT1686" s="68"/>
      <c r="BU1686" s="68"/>
      <c r="BV1686" s="68"/>
      <c r="BW1686" s="68"/>
      <c r="BX1686" s="68"/>
      <c r="BY1686" s="68"/>
      <c r="BZ1686" s="68"/>
      <c r="CA1686" s="68"/>
      <c r="CB1686" s="68"/>
      <c r="CC1686" s="68"/>
      <c r="CD1686" s="68"/>
      <c r="CE1686" s="68"/>
      <c r="CF1686" s="68"/>
      <c r="CG1686" s="68"/>
      <c r="CH1686" s="68"/>
      <c r="CI1686" s="68"/>
      <c r="CJ1686" s="68"/>
      <c r="CK1686" s="68"/>
      <c r="CL1686" s="68"/>
      <c r="CM1686" s="68"/>
      <c r="CN1686" s="68"/>
      <c r="CO1686" s="68"/>
      <c r="CP1686" s="68"/>
    </row>
    <row r="1687" ht="15.75" customHeight="1">
      <c r="A1687" s="1568" t="s">
        <v>7866</v>
      </c>
      <c r="B1687" s="68"/>
      <c r="C1687" s="69" t="s">
        <v>123</v>
      </c>
      <c r="D1687" s="1819" t="s">
        <v>7867</v>
      </c>
      <c r="E1687" s="1819" t="s">
        <v>7868</v>
      </c>
      <c r="F1687" s="1621" t="s">
        <v>7869</v>
      </c>
      <c r="G1687" s="186"/>
      <c r="H1687" s="186"/>
      <c r="I1687" s="74"/>
      <c r="J1687" s="155"/>
      <c r="K1687" s="74"/>
      <c r="L1687" s="26"/>
      <c r="M1687" s="1632">
        <f t="shared" si="789"/>
        <v>2025</v>
      </c>
      <c r="N1687" s="26">
        <f t="shared" si="790"/>
        <v>0</v>
      </c>
      <c r="O1687" s="1820" t="str">
        <f t="shared" si="3"/>
        <v>#N/A</v>
      </c>
      <c r="P1687" s="28"/>
      <c r="Q1687" s="28"/>
      <c r="R1687" s="28"/>
      <c r="S1687" s="28"/>
      <c r="T1687" s="29">
        <f t="shared" si="791"/>
        <v>0</v>
      </c>
      <c r="U1687" s="28"/>
      <c r="V1687" s="30">
        <f t="shared" si="425"/>
        <v>0</v>
      </c>
      <c r="W1687" s="30"/>
      <c r="X1687" s="32"/>
      <c r="Y1687" s="33" t="str">
        <f t="shared" si="792"/>
        <v>#DIV/0!</v>
      </c>
      <c r="Z1687" s="692"/>
      <c r="AA1687" s="665"/>
      <c r="AB1687" s="74"/>
      <c r="AC1687" s="74"/>
      <c r="AD1687" s="79"/>
      <c r="AE1687" s="84"/>
      <c r="AF1687" s="338"/>
      <c r="AG1687" s="84"/>
      <c r="AH1687" s="74"/>
      <c r="AI1687" s="78"/>
      <c r="AJ1687" s="279"/>
      <c r="AK1687" s="76"/>
      <c r="AL1687" s="79"/>
      <c r="AM1687" s="76"/>
      <c r="AN1687" s="79"/>
      <c r="AO1687" s="84"/>
      <c r="AP1687" s="79"/>
      <c r="AQ1687" s="84"/>
      <c r="AR1687" s="79"/>
      <c r="AS1687" s="79"/>
      <c r="AT1687" s="79"/>
      <c r="AU1687" s="80"/>
      <c r="AV1687" s="79"/>
      <c r="AW1687" s="38"/>
      <c r="AX1687" s="79"/>
      <c r="AY1687" s="38"/>
      <c r="AZ1687" s="79"/>
      <c r="BA1687" s="80"/>
      <c r="BB1687" s="79"/>
      <c r="BC1687" s="80"/>
      <c r="BD1687" s="79"/>
      <c r="BE1687" s="38"/>
      <c r="BF1687" s="74"/>
      <c r="BG1687" s="68"/>
      <c r="BH1687" s="68"/>
      <c r="BI1687" s="68"/>
      <c r="BJ1687" s="68"/>
      <c r="BK1687" s="68"/>
      <c r="BL1687" s="68"/>
      <c r="BM1687" s="68"/>
      <c r="BN1687" s="68"/>
      <c r="BO1687" s="68"/>
      <c r="BP1687" s="68"/>
      <c r="BQ1687" s="68"/>
      <c r="BR1687" s="68"/>
      <c r="BS1687" s="68"/>
      <c r="BT1687" s="68"/>
      <c r="BU1687" s="68"/>
      <c r="BV1687" s="68"/>
      <c r="BW1687" s="68"/>
      <c r="BX1687" s="68"/>
      <c r="BY1687" s="68"/>
      <c r="BZ1687" s="68"/>
      <c r="CA1687" s="68"/>
      <c r="CB1687" s="68"/>
      <c r="CC1687" s="68"/>
      <c r="CD1687" s="68"/>
      <c r="CE1687" s="68"/>
      <c r="CF1687" s="68"/>
      <c r="CG1687" s="68"/>
      <c r="CH1687" s="68"/>
      <c r="CI1687" s="68"/>
      <c r="CJ1687" s="68"/>
      <c r="CK1687" s="68"/>
      <c r="CL1687" s="68"/>
      <c r="CM1687" s="68"/>
      <c r="CN1687" s="68"/>
      <c r="CO1687" s="68"/>
      <c r="CP1687" s="68"/>
    </row>
    <row r="1688" ht="15.75" customHeight="1">
      <c r="A1688" s="1821" t="s">
        <v>7870</v>
      </c>
      <c r="B1688" s="1644"/>
      <c r="C1688" s="1762" t="s">
        <v>513</v>
      </c>
      <c r="D1688" s="1193" t="s">
        <v>4781</v>
      </c>
      <c r="E1688" s="1193" t="s">
        <v>4781</v>
      </c>
      <c r="F1688" s="1822" t="s">
        <v>7871</v>
      </c>
      <c r="G1688" s="1807" t="s">
        <v>7872</v>
      </c>
      <c r="H1688" s="1823" t="s">
        <v>64</v>
      </c>
      <c r="I1688" s="1824" t="s">
        <v>65</v>
      </c>
      <c r="J1688" s="1808" t="s">
        <v>7873</v>
      </c>
      <c r="K1688" s="1739">
        <v>2.0</v>
      </c>
      <c r="L1688" s="1739">
        <v>2014.0</v>
      </c>
      <c r="M1688" s="26">
        <f t="shared" si="789"/>
        <v>11</v>
      </c>
      <c r="N1688" s="26">
        <f t="shared" si="790"/>
        <v>0</v>
      </c>
      <c r="O1688" s="1818" t="str">
        <f t="shared" si="3"/>
        <v>#N/A</v>
      </c>
      <c r="P1688" s="28"/>
      <c r="Q1688" s="28"/>
      <c r="R1688" s="28"/>
      <c r="S1688" s="28"/>
      <c r="T1688" s="29">
        <f t="shared" si="791"/>
        <v>0</v>
      </c>
      <c r="U1688" s="28"/>
      <c r="V1688" s="30">
        <f t="shared" si="425"/>
        <v>0</v>
      </c>
      <c r="W1688" s="30"/>
      <c r="X1688" s="1812"/>
      <c r="Y1688" s="33" t="str">
        <f t="shared" si="792"/>
        <v>#DIV/0!</v>
      </c>
      <c r="Z1688" s="692"/>
      <c r="AA1688" s="665"/>
      <c r="AB1688" s="1738"/>
      <c r="AC1688" s="1738"/>
      <c r="AD1688" s="1747"/>
      <c r="AE1688" s="1748"/>
      <c r="AF1688" s="1749"/>
      <c r="AG1688" s="1748"/>
      <c r="AH1688" s="1738"/>
      <c r="AI1688" s="1750"/>
      <c r="AJ1688" s="1747"/>
      <c r="AK1688" s="1748"/>
      <c r="AL1688" s="1747"/>
      <c r="AM1688" s="1748"/>
      <c r="AN1688" s="1747"/>
      <c r="AO1688" s="1748"/>
      <c r="AP1688" s="1747"/>
      <c r="AQ1688" s="1748"/>
      <c r="AR1688" s="1747"/>
      <c r="AS1688" s="1747"/>
      <c r="AT1688" s="1747"/>
      <c r="AU1688" s="1751"/>
      <c r="AV1688" s="1747"/>
      <c r="AW1688" s="38"/>
      <c r="AX1688" s="1747"/>
      <c r="AY1688" s="38"/>
      <c r="AZ1688" s="1747"/>
      <c r="BA1688" s="1751"/>
      <c r="BB1688" s="1747"/>
      <c r="BC1688" s="1751"/>
      <c r="BD1688" s="1747"/>
      <c r="BE1688" s="38"/>
      <c r="BF1688" s="1738"/>
      <c r="BG1688" s="68"/>
      <c r="BH1688" s="68"/>
      <c r="BI1688" s="68"/>
      <c r="BJ1688" s="68"/>
      <c r="BK1688" s="68"/>
      <c r="BL1688" s="68"/>
      <c r="BM1688" s="68"/>
      <c r="BN1688" s="68"/>
      <c r="BO1688" s="68"/>
      <c r="BP1688" s="68"/>
      <c r="BQ1688" s="68"/>
      <c r="BR1688" s="68"/>
      <c r="BS1688" s="68"/>
      <c r="BT1688" s="68"/>
      <c r="BU1688" s="68"/>
      <c r="BV1688" s="68"/>
      <c r="BW1688" s="68"/>
      <c r="BX1688" s="68"/>
      <c r="BY1688" s="68"/>
      <c r="BZ1688" s="68"/>
      <c r="CA1688" s="68"/>
      <c r="CB1688" s="68"/>
      <c r="CC1688" s="68"/>
      <c r="CD1688" s="68"/>
      <c r="CE1688" s="68"/>
      <c r="CF1688" s="68"/>
      <c r="CG1688" s="68"/>
      <c r="CH1688" s="68"/>
      <c r="CI1688" s="68"/>
      <c r="CJ1688" s="68"/>
      <c r="CK1688" s="68"/>
      <c r="CL1688" s="68"/>
      <c r="CM1688" s="68"/>
      <c r="CN1688" s="68"/>
      <c r="CO1688" s="68"/>
      <c r="CP1688" s="68"/>
    </row>
    <row r="1689" ht="15.75" customHeight="1">
      <c r="A1689" s="21" t="s">
        <v>7874</v>
      </c>
      <c r="B1689" s="68"/>
      <c r="C1689" s="69" t="s">
        <v>427</v>
      </c>
      <c r="D1689" s="1389"/>
      <c r="E1689" s="1389"/>
      <c r="F1689" s="173" t="s">
        <v>7875</v>
      </c>
      <c r="G1689" s="186"/>
      <c r="H1689" s="71" t="s">
        <v>357</v>
      </c>
      <c r="I1689" s="26" t="s">
        <v>358</v>
      </c>
      <c r="J1689" s="155"/>
      <c r="K1689" s="74"/>
      <c r="L1689" s="26"/>
      <c r="M1689" s="1632">
        <f t="shared" si="789"/>
        <v>2025</v>
      </c>
      <c r="N1689" s="26">
        <f t="shared" si="790"/>
        <v>0</v>
      </c>
      <c r="O1689" s="1820" t="str">
        <f t="shared" si="3"/>
        <v>#N/A</v>
      </c>
      <c r="P1689" s="28"/>
      <c r="Q1689" s="28"/>
      <c r="R1689" s="28"/>
      <c r="S1689" s="28"/>
      <c r="T1689" s="29">
        <f t="shared" si="791"/>
        <v>0</v>
      </c>
      <c r="U1689" s="28"/>
      <c r="V1689" s="30">
        <f t="shared" si="425"/>
        <v>0</v>
      </c>
      <c r="W1689" s="30"/>
      <c r="X1689" s="32"/>
      <c r="Y1689" s="33" t="str">
        <f t="shared" si="792"/>
        <v>#DIV/0!</v>
      </c>
      <c r="Z1689" s="692"/>
      <c r="AA1689" s="665"/>
      <c r="AB1689" s="74"/>
      <c r="AC1689" s="74"/>
      <c r="AD1689" s="79"/>
      <c r="AE1689" s="84"/>
      <c r="AF1689" s="320"/>
      <c r="AG1689" s="76"/>
      <c r="AH1689" s="74"/>
      <c r="AI1689" s="78"/>
      <c r="AJ1689" s="279"/>
      <c r="AK1689" s="76"/>
      <c r="AL1689" s="79"/>
      <c r="AM1689" s="84"/>
      <c r="AN1689" s="79"/>
      <c r="AO1689" s="84"/>
      <c r="AP1689" s="79"/>
      <c r="AQ1689" s="84"/>
      <c r="AR1689" s="79"/>
      <c r="AS1689" s="79"/>
      <c r="AT1689" s="79"/>
      <c r="AU1689" s="80"/>
      <c r="AV1689" s="79"/>
      <c r="AW1689" s="38"/>
      <c r="AX1689" s="79"/>
      <c r="AY1689" s="38"/>
      <c r="AZ1689" s="79"/>
      <c r="BA1689" s="80"/>
      <c r="BB1689" s="79"/>
      <c r="BC1689" s="80"/>
      <c r="BD1689" s="79"/>
      <c r="BE1689" s="38"/>
      <c r="BF1689" s="74"/>
      <c r="BG1689" s="68"/>
      <c r="BH1689" s="68"/>
      <c r="BI1689" s="68"/>
      <c r="BJ1689" s="68"/>
      <c r="BK1689" s="68"/>
      <c r="BL1689" s="68"/>
      <c r="BM1689" s="68"/>
      <c r="BN1689" s="68"/>
      <c r="BO1689" s="68"/>
      <c r="BP1689" s="68"/>
      <c r="BQ1689" s="68"/>
      <c r="BR1689" s="68"/>
      <c r="BS1689" s="68"/>
      <c r="BT1689" s="68"/>
      <c r="BU1689" s="68"/>
      <c r="BV1689" s="68"/>
      <c r="BW1689" s="68"/>
      <c r="BX1689" s="68"/>
      <c r="BY1689" s="68"/>
      <c r="BZ1689" s="68"/>
      <c r="CA1689" s="68"/>
      <c r="CB1689" s="68"/>
      <c r="CC1689" s="68"/>
      <c r="CD1689" s="68"/>
      <c r="CE1689" s="68"/>
      <c r="CF1689" s="68"/>
      <c r="CG1689" s="68"/>
      <c r="CH1689" s="68"/>
      <c r="CI1689" s="68"/>
      <c r="CJ1689" s="68"/>
      <c r="CK1689" s="68"/>
      <c r="CL1689" s="68"/>
      <c r="CM1689" s="68"/>
      <c r="CN1689" s="68"/>
      <c r="CO1689" s="68"/>
      <c r="CP1689" s="68"/>
    </row>
    <row r="1690" ht="15.75" customHeight="1">
      <c r="A1690" s="765" t="s">
        <v>7876</v>
      </c>
      <c r="B1690" s="723"/>
      <c r="C1690" s="723"/>
      <c r="D1690" s="1825" t="s">
        <v>7877</v>
      </c>
      <c r="E1690" s="1825" t="s">
        <v>7878</v>
      </c>
      <c r="F1690" s="1623" t="s">
        <v>7879</v>
      </c>
      <c r="G1690" s="770" t="s">
        <v>6688</v>
      </c>
      <c r="H1690" s="770" t="s">
        <v>7880</v>
      </c>
      <c r="I1690" s="771" t="s">
        <v>1384</v>
      </c>
      <c r="J1690" s="1801"/>
      <c r="K1690" s="771">
        <v>1.0</v>
      </c>
      <c r="L1690" s="771">
        <v>2014.0</v>
      </c>
      <c r="M1690" s="25">
        <f t="shared" si="789"/>
        <v>11</v>
      </c>
      <c r="N1690" s="26">
        <f t="shared" si="790"/>
        <v>0</v>
      </c>
      <c r="O1690" s="27" t="str">
        <f t="shared" si="3"/>
        <v>#N/A</v>
      </c>
      <c r="P1690" s="28"/>
      <c r="Q1690" s="28"/>
      <c r="R1690" s="28"/>
      <c r="S1690" s="28"/>
      <c r="T1690" s="29">
        <f t="shared" si="791"/>
        <v>0</v>
      </c>
      <c r="U1690" s="28"/>
      <c r="V1690" s="30">
        <f t="shared" si="425"/>
        <v>0</v>
      </c>
      <c r="W1690" s="30"/>
      <c r="X1690" s="1345"/>
      <c r="Y1690" s="33" t="str">
        <f t="shared" si="792"/>
        <v>#DIV/0!</v>
      </c>
      <c r="Z1690" s="692"/>
      <c r="AA1690" s="665"/>
      <c r="AB1690" s="773"/>
      <c r="AC1690" s="773"/>
      <c r="AD1690" s="784"/>
      <c r="AE1690" s="785"/>
      <c r="AF1690" s="1802"/>
      <c r="AG1690" s="785"/>
      <c r="AH1690" s="773"/>
      <c r="AI1690" s="1348"/>
      <c r="AJ1690" s="784"/>
      <c r="AK1690" s="785"/>
      <c r="AL1690" s="784"/>
      <c r="AM1690" s="785"/>
      <c r="AN1690" s="784"/>
      <c r="AO1690" s="785"/>
      <c r="AP1690" s="784"/>
      <c r="AQ1690" s="785"/>
      <c r="AR1690" s="784"/>
      <c r="AS1690" s="784"/>
      <c r="AT1690" s="784"/>
      <c r="AU1690" s="1351"/>
      <c r="AV1690" s="784"/>
      <c r="AW1690" s="38"/>
      <c r="AX1690" s="784"/>
      <c r="AY1690" s="38"/>
      <c r="AZ1690" s="784"/>
      <c r="BA1690" s="1351"/>
      <c r="BB1690" s="784"/>
      <c r="BC1690" s="1351"/>
      <c r="BD1690" s="784"/>
      <c r="BE1690" s="38"/>
      <c r="BF1690" s="773"/>
      <c r="BG1690" s="1407"/>
      <c r="BH1690" s="1407"/>
      <c r="BI1690" s="1407"/>
      <c r="BJ1690" s="1407"/>
      <c r="BK1690" s="1407"/>
      <c r="BL1690" s="1407"/>
      <c r="BM1690" s="1407"/>
      <c r="BN1690" s="1407"/>
      <c r="BO1690" s="1407"/>
      <c r="BP1690" s="1407"/>
      <c r="BQ1690" s="1407"/>
      <c r="BR1690" s="1407"/>
      <c r="BS1690" s="1407"/>
      <c r="BT1690" s="1407"/>
      <c r="BU1690" s="1407"/>
      <c r="BV1690" s="1407"/>
      <c r="BW1690" s="1407"/>
      <c r="BX1690" s="1407"/>
      <c r="BY1690" s="1407"/>
      <c r="BZ1690" s="1407"/>
      <c r="CA1690" s="1407"/>
      <c r="CB1690" s="1407"/>
      <c r="CC1690" s="1407"/>
      <c r="CD1690" s="1407"/>
      <c r="CE1690" s="1407"/>
      <c r="CF1690" s="1407"/>
      <c r="CG1690" s="1407"/>
      <c r="CH1690" s="1407"/>
      <c r="CI1690" s="1407"/>
      <c r="CJ1690" s="1407"/>
      <c r="CK1690" s="1407"/>
      <c r="CL1690" s="1407"/>
      <c r="CM1690" s="1407"/>
      <c r="CN1690" s="1407"/>
      <c r="CO1690" s="1407"/>
      <c r="CP1690" s="1407"/>
    </row>
    <row r="1691" ht="15.75" customHeight="1">
      <c r="A1691" s="765" t="s">
        <v>7881</v>
      </c>
      <c r="B1691" s="723"/>
      <c r="C1691" s="723"/>
      <c r="D1691" s="1636"/>
      <c r="E1691" s="1825" t="s">
        <v>7882</v>
      </c>
      <c r="F1691" s="1826" t="s">
        <v>7883</v>
      </c>
      <c r="G1691" s="770" t="s">
        <v>3782</v>
      </c>
      <c r="H1691" s="1815" t="s">
        <v>1985</v>
      </c>
      <c r="I1691" s="773"/>
      <c r="J1691" s="1801"/>
      <c r="K1691" s="773" t="s">
        <v>723</v>
      </c>
      <c r="L1691" s="771">
        <v>2017.0</v>
      </c>
      <c r="M1691" s="25">
        <f t="shared" si="789"/>
        <v>8</v>
      </c>
      <c r="N1691" s="26">
        <f t="shared" si="790"/>
        <v>0</v>
      </c>
      <c r="O1691" s="27" t="str">
        <f t="shared" si="3"/>
        <v>#N/A</v>
      </c>
      <c r="P1691" s="28"/>
      <c r="Q1691" s="28"/>
      <c r="R1691" s="28"/>
      <c r="S1691" s="28"/>
      <c r="T1691" s="29">
        <f t="shared" si="791"/>
        <v>0</v>
      </c>
      <c r="U1691" s="28"/>
      <c r="V1691" s="30">
        <f t="shared" si="425"/>
        <v>0</v>
      </c>
      <c r="W1691" s="30"/>
      <c r="X1691" s="1827"/>
      <c r="Y1691" s="33" t="str">
        <f t="shared" si="792"/>
        <v>#DIV/0!</v>
      </c>
      <c r="Z1691" s="692"/>
      <c r="AA1691" s="665"/>
      <c r="AB1691" s="773"/>
      <c r="AC1691" s="773"/>
      <c r="AD1691" s="784"/>
      <c r="AE1691" s="785"/>
      <c r="AF1691" s="1802"/>
      <c r="AG1691" s="785"/>
      <c r="AH1691" s="773"/>
      <c r="AI1691" s="1348"/>
      <c r="AJ1691" s="784"/>
      <c r="AK1691" s="785"/>
      <c r="AL1691" s="784"/>
      <c r="AM1691" s="785"/>
      <c r="AN1691" s="784"/>
      <c r="AO1691" s="785"/>
      <c r="AP1691" s="784"/>
      <c r="AQ1691" s="785"/>
      <c r="AR1691" s="784"/>
      <c r="AS1691" s="784"/>
      <c r="AT1691" s="784"/>
      <c r="AU1691" s="1351"/>
      <c r="AV1691" s="784"/>
      <c r="AW1691" s="38"/>
      <c r="AX1691" s="784"/>
      <c r="AY1691" s="38"/>
      <c r="AZ1691" s="784"/>
      <c r="BA1691" s="1351"/>
      <c r="BB1691" s="784"/>
      <c r="BC1691" s="1351"/>
      <c r="BD1691" s="784"/>
      <c r="BE1691" s="38"/>
      <c r="BF1691" s="773"/>
      <c r="BG1691" s="68"/>
      <c r="BH1691" s="68"/>
      <c r="BI1691" s="68"/>
      <c r="BJ1691" s="68"/>
      <c r="BK1691" s="68"/>
      <c r="BL1691" s="68"/>
      <c r="BM1691" s="68"/>
      <c r="BN1691" s="68"/>
      <c r="BO1691" s="68"/>
      <c r="BP1691" s="68"/>
      <c r="BQ1691" s="68"/>
      <c r="BR1691" s="68"/>
      <c r="BS1691" s="68"/>
      <c r="BT1691" s="68"/>
      <c r="BU1691" s="68"/>
      <c r="BV1691" s="68"/>
      <c r="BW1691" s="68"/>
      <c r="BX1691" s="68"/>
      <c r="BY1691" s="68"/>
      <c r="BZ1691" s="68"/>
      <c r="CA1691" s="68"/>
      <c r="CB1691" s="68"/>
      <c r="CC1691" s="68"/>
      <c r="CD1691" s="68"/>
      <c r="CE1691" s="68"/>
      <c r="CF1691" s="68"/>
      <c r="CG1691" s="68"/>
      <c r="CH1691" s="68"/>
      <c r="CI1691" s="68"/>
      <c r="CJ1691" s="68"/>
      <c r="CK1691" s="68"/>
      <c r="CL1691" s="68"/>
      <c r="CM1691" s="68"/>
      <c r="CN1691" s="68"/>
      <c r="CO1691" s="68"/>
      <c r="CP1691" s="68"/>
    </row>
    <row r="1692" ht="15.75" customHeight="1">
      <c r="A1692" s="860" t="s">
        <v>7884</v>
      </c>
      <c r="B1692" s="68"/>
      <c r="C1692" s="69" t="s">
        <v>207</v>
      </c>
      <c r="D1692" s="231"/>
      <c r="E1692" s="192" t="s">
        <v>7885</v>
      </c>
      <c r="F1692" s="1487" t="s">
        <v>7886</v>
      </c>
      <c r="G1692" s="71"/>
      <c r="H1692" s="71" t="s">
        <v>328</v>
      </c>
      <c r="I1692" s="26" t="s">
        <v>329</v>
      </c>
      <c r="J1692" s="155"/>
      <c r="K1692" s="74"/>
      <c r="L1692" s="26">
        <v>2010.0</v>
      </c>
      <c r="M1692" s="25">
        <f t="shared" si="789"/>
        <v>15</v>
      </c>
      <c r="N1692" s="26">
        <f t="shared" si="790"/>
        <v>0</v>
      </c>
      <c r="O1692" s="27" t="str">
        <f t="shared" si="3"/>
        <v>#N/A</v>
      </c>
      <c r="P1692" s="28"/>
      <c r="Q1692" s="28"/>
      <c r="R1692" s="28"/>
      <c r="S1692" s="28"/>
      <c r="T1692" s="29">
        <f t="shared" si="791"/>
        <v>0</v>
      </c>
      <c r="U1692" s="28"/>
      <c r="V1692" s="30">
        <f t="shared" si="425"/>
        <v>0</v>
      </c>
      <c r="W1692" s="30"/>
      <c r="X1692" s="32"/>
      <c r="Y1692" s="33" t="str">
        <f t="shared" si="792"/>
        <v>#DIV/0!</v>
      </c>
      <c r="Z1692" s="692"/>
      <c r="AA1692" s="665"/>
      <c r="AB1692" s="74"/>
      <c r="AC1692" s="74"/>
      <c r="AD1692" s="79"/>
      <c r="AE1692" s="84"/>
      <c r="AF1692" s="810"/>
      <c r="AG1692" s="76"/>
      <c r="AH1692" s="74"/>
      <c r="AI1692" s="78"/>
      <c r="AJ1692" s="79"/>
      <c r="AK1692" s="76"/>
      <c r="AL1692" s="79"/>
      <c r="AM1692" s="76"/>
      <c r="AN1692" s="79"/>
      <c r="AO1692" s="84"/>
      <c r="AP1692" s="79"/>
      <c r="AQ1692" s="84"/>
      <c r="AR1692" s="79"/>
      <c r="AS1692" s="79"/>
      <c r="AT1692" s="79"/>
      <c r="AU1692" s="80"/>
      <c r="AV1692" s="79"/>
      <c r="AW1692" s="38"/>
      <c r="AX1692" s="79"/>
      <c r="AY1692" s="38"/>
      <c r="AZ1692" s="79"/>
      <c r="BA1692" s="80"/>
      <c r="BB1692" s="79"/>
      <c r="BC1692" s="80"/>
      <c r="BD1692" s="79"/>
      <c r="BE1692" s="38"/>
      <c r="BF1692" s="74"/>
      <c r="BG1692" s="760"/>
      <c r="BH1692" s="760"/>
      <c r="BI1692" s="760"/>
      <c r="BJ1692" s="760"/>
      <c r="BK1692" s="760"/>
      <c r="BL1692" s="760"/>
      <c r="BM1692" s="760"/>
      <c r="BN1692" s="760"/>
      <c r="BO1692" s="760"/>
      <c r="BP1692" s="760"/>
      <c r="BQ1692" s="760"/>
      <c r="BR1692" s="760"/>
      <c r="BS1692" s="760"/>
      <c r="BT1692" s="760"/>
      <c r="BU1692" s="760"/>
      <c r="BV1692" s="760"/>
      <c r="BW1692" s="760"/>
      <c r="BX1692" s="760"/>
      <c r="BY1692" s="760"/>
      <c r="BZ1692" s="760"/>
      <c r="CA1692" s="760"/>
      <c r="CB1692" s="760"/>
      <c r="CC1692" s="760"/>
      <c r="CD1692" s="760"/>
      <c r="CE1692" s="760"/>
      <c r="CF1692" s="760"/>
      <c r="CG1692" s="760"/>
      <c r="CH1692" s="760"/>
      <c r="CI1692" s="760"/>
      <c r="CJ1692" s="760"/>
      <c r="CK1692" s="760"/>
      <c r="CL1692" s="760"/>
      <c r="CM1692" s="760"/>
      <c r="CN1692" s="760"/>
      <c r="CO1692" s="760"/>
      <c r="CP1692" s="760"/>
    </row>
    <row r="1693" ht="15.75" customHeight="1">
      <c r="A1693" s="860" t="s">
        <v>7887</v>
      </c>
      <c r="B1693" s="68"/>
      <c r="C1693" s="69" t="s">
        <v>123</v>
      </c>
      <c r="D1693" s="231"/>
      <c r="E1693" s="192" t="s">
        <v>7888</v>
      </c>
      <c r="F1693" s="118" t="s">
        <v>7889</v>
      </c>
      <c r="G1693" s="71"/>
      <c r="H1693" s="71" t="s">
        <v>7890</v>
      </c>
      <c r="I1693" s="26" t="s">
        <v>1088</v>
      </c>
      <c r="J1693" s="155"/>
      <c r="K1693" s="74"/>
      <c r="L1693" s="26">
        <v>1999.0</v>
      </c>
      <c r="M1693" s="25">
        <f t="shared" si="789"/>
        <v>26</v>
      </c>
      <c r="N1693" s="26">
        <f t="shared" si="790"/>
        <v>0</v>
      </c>
      <c r="O1693" s="27" t="str">
        <f t="shared" si="3"/>
        <v>#N/A</v>
      </c>
      <c r="P1693" s="28"/>
      <c r="Q1693" s="28"/>
      <c r="R1693" s="28"/>
      <c r="S1693" s="28"/>
      <c r="T1693" s="29">
        <f t="shared" si="791"/>
        <v>0</v>
      </c>
      <c r="U1693" s="28"/>
      <c r="V1693" s="30">
        <f t="shared" si="425"/>
        <v>0</v>
      </c>
      <c r="W1693" s="30"/>
      <c r="X1693" s="32"/>
      <c r="Y1693" s="33" t="str">
        <f t="shared" si="792"/>
        <v>#DIV/0!</v>
      </c>
      <c r="Z1693" s="692"/>
      <c r="AA1693" s="665"/>
      <c r="AB1693" s="74"/>
      <c r="AC1693" s="74"/>
      <c r="AD1693" s="79"/>
      <c r="AE1693" s="84"/>
      <c r="AF1693" s="810"/>
      <c r="AG1693" s="76"/>
      <c r="AH1693" s="74"/>
      <c r="AI1693" s="78"/>
      <c r="AJ1693" s="79"/>
      <c r="AK1693" s="76"/>
      <c r="AL1693" s="79"/>
      <c r="AM1693" s="76"/>
      <c r="AN1693" s="79"/>
      <c r="AO1693" s="84"/>
      <c r="AP1693" s="79"/>
      <c r="AQ1693" s="84"/>
      <c r="AR1693" s="79"/>
      <c r="AS1693" s="79"/>
      <c r="AT1693" s="79"/>
      <c r="AU1693" s="80"/>
      <c r="AV1693" s="79"/>
      <c r="AW1693" s="38"/>
      <c r="AX1693" s="79"/>
      <c r="AY1693" s="38"/>
      <c r="AZ1693" s="79"/>
      <c r="BA1693" s="80"/>
      <c r="BB1693" s="79"/>
      <c r="BC1693" s="80"/>
      <c r="BD1693" s="79"/>
      <c r="BE1693" s="38"/>
      <c r="BF1693" s="74"/>
      <c r="BG1693" s="760"/>
      <c r="BH1693" s="760"/>
      <c r="BI1693" s="760"/>
      <c r="BJ1693" s="760"/>
      <c r="BK1693" s="760"/>
      <c r="BL1693" s="760"/>
      <c r="BM1693" s="760"/>
      <c r="BN1693" s="760"/>
      <c r="BO1693" s="760"/>
      <c r="BP1693" s="760"/>
      <c r="BQ1693" s="760"/>
      <c r="BR1693" s="760"/>
      <c r="BS1693" s="760"/>
      <c r="BT1693" s="760"/>
      <c r="BU1693" s="760"/>
      <c r="BV1693" s="760"/>
      <c r="BW1693" s="760"/>
      <c r="BX1693" s="760"/>
      <c r="BY1693" s="760"/>
      <c r="BZ1693" s="760"/>
      <c r="CA1693" s="760"/>
      <c r="CB1693" s="760"/>
      <c r="CC1693" s="760"/>
      <c r="CD1693" s="760"/>
      <c r="CE1693" s="760"/>
      <c r="CF1693" s="760"/>
      <c r="CG1693" s="760"/>
      <c r="CH1693" s="760"/>
      <c r="CI1693" s="760"/>
      <c r="CJ1693" s="760"/>
      <c r="CK1693" s="760"/>
      <c r="CL1693" s="760"/>
      <c r="CM1693" s="760"/>
      <c r="CN1693" s="760"/>
      <c r="CO1693" s="760"/>
      <c r="CP1693" s="760"/>
    </row>
    <row r="1694" ht="15.75" customHeight="1">
      <c r="A1694" s="1579" t="s">
        <v>7891</v>
      </c>
      <c r="B1694" s="723"/>
      <c r="C1694" s="723"/>
      <c r="D1694" s="767" t="s">
        <v>7892</v>
      </c>
      <c r="E1694" s="767" t="s">
        <v>7893</v>
      </c>
      <c r="F1694" s="1344" t="s">
        <v>7894</v>
      </c>
      <c r="G1694" s="770"/>
      <c r="H1694" s="770" t="s">
        <v>6210</v>
      </c>
      <c r="I1694" s="771" t="s">
        <v>257</v>
      </c>
      <c r="J1694" s="1801"/>
      <c r="K1694" s="773"/>
      <c r="L1694" s="771">
        <v>2014.0</v>
      </c>
      <c r="M1694" s="25">
        <f t="shared" si="789"/>
        <v>11</v>
      </c>
      <c r="N1694" s="26">
        <f t="shared" si="790"/>
        <v>0</v>
      </c>
      <c r="O1694" s="27" t="str">
        <f t="shared" si="3"/>
        <v>#N/A</v>
      </c>
      <c r="P1694" s="28"/>
      <c r="Q1694" s="28"/>
      <c r="R1694" s="28"/>
      <c r="S1694" s="28"/>
      <c r="T1694" s="29">
        <f t="shared" si="791"/>
        <v>0</v>
      </c>
      <c r="U1694" s="28"/>
      <c r="V1694" s="30">
        <f t="shared" si="425"/>
        <v>0</v>
      </c>
      <c r="W1694" s="30"/>
      <c r="X1694" s="1827"/>
      <c r="Y1694" s="33" t="str">
        <f t="shared" si="792"/>
        <v>#DIV/0!</v>
      </c>
      <c r="Z1694" s="692"/>
      <c r="AA1694" s="665"/>
      <c r="AB1694" s="773"/>
      <c r="AC1694" s="773"/>
      <c r="AD1694" s="784"/>
      <c r="AE1694" s="785"/>
      <c r="AF1694" s="1582"/>
      <c r="AG1694" s="1347"/>
      <c r="AH1694" s="773"/>
      <c r="AI1694" s="1348"/>
      <c r="AJ1694" s="784"/>
      <c r="AK1694" s="1347"/>
      <c r="AL1694" s="784"/>
      <c r="AM1694" s="1347"/>
      <c r="AN1694" s="784"/>
      <c r="AO1694" s="785"/>
      <c r="AP1694" s="784"/>
      <c r="AQ1694" s="785"/>
      <c r="AR1694" s="784"/>
      <c r="AS1694" s="784"/>
      <c r="AT1694" s="784"/>
      <c r="AU1694" s="1351"/>
      <c r="AV1694" s="784"/>
      <c r="AW1694" s="38"/>
      <c r="AX1694" s="784"/>
      <c r="AY1694" s="38"/>
      <c r="AZ1694" s="784"/>
      <c r="BA1694" s="1351"/>
      <c r="BB1694" s="784"/>
      <c r="BC1694" s="1351"/>
      <c r="BD1694" s="784"/>
      <c r="BE1694" s="38"/>
      <c r="BF1694" s="773"/>
      <c r="BG1694" s="68"/>
      <c r="BH1694" s="68"/>
      <c r="BI1694" s="68"/>
      <c r="BJ1694" s="68"/>
      <c r="BK1694" s="68"/>
      <c r="BL1694" s="68"/>
      <c r="BM1694" s="68"/>
      <c r="BN1694" s="68"/>
      <c r="BO1694" s="68"/>
      <c r="BP1694" s="68"/>
      <c r="BQ1694" s="68"/>
      <c r="BR1694" s="68"/>
      <c r="BS1694" s="68"/>
      <c r="BT1694" s="68"/>
      <c r="BU1694" s="68"/>
      <c r="BV1694" s="68"/>
      <c r="BW1694" s="68"/>
      <c r="BX1694" s="68"/>
      <c r="BY1694" s="68"/>
      <c r="BZ1694" s="68"/>
      <c r="CA1694" s="68"/>
      <c r="CB1694" s="68"/>
      <c r="CC1694" s="68"/>
      <c r="CD1694" s="68"/>
      <c r="CE1694" s="68"/>
      <c r="CF1694" s="68"/>
      <c r="CG1694" s="68"/>
      <c r="CH1694" s="68"/>
      <c r="CI1694" s="68"/>
      <c r="CJ1694" s="68"/>
      <c r="CK1694" s="68"/>
      <c r="CL1694" s="68"/>
      <c r="CM1694" s="68"/>
      <c r="CN1694" s="68"/>
      <c r="CO1694" s="68"/>
      <c r="CP1694" s="68"/>
    </row>
    <row r="1695" ht="15.75" customHeight="1">
      <c r="A1695" s="860" t="s">
        <v>7895</v>
      </c>
      <c r="B1695" s="68"/>
      <c r="C1695" s="69" t="s">
        <v>267</v>
      </c>
      <c r="D1695" s="192" t="s">
        <v>7896</v>
      </c>
      <c r="E1695" s="192" t="s">
        <v>7897</v>
      </c>
      <c r="F1695" s="118" t="s">
        <v>7898</v>
      </c>
      <c r="G1695" s="174"/>
      <c r="H1695" s="71" t="s">
        <v>7899</v>
      </c>
      <c r="I1695" s="26" t="s">
        <v>792</v>
      </c>
      <c r="J1695" s="514"/>
      <c r="K1695" s="26"/>
      <c r="L1695" s="26">
        <v>2013.0</v>
      </c>
      <c r="M1695" s="25">
        <f t="shared" si="789"/>
        <v>12</v>
      </c>
      <c r="N1695" s="26">
        <f t="shared" si="790"/>
        <v>0</v>
      </c>
      <c r="O1695" s="27" t="str">
        <f t="shared" si="3"/>
        <v>#N/A</v>
      </c>
      <c r="P1695" s="28"/>
      <c r="Q1695" s="28"/>
      <c r="R1695" s="28"/>
      <c r="S1695" s="28"/>
      <c r="T1695" s="29">
        <f t="shared" si="791"/>
        <v>0</v>
      </c>
      <c r="U1695" s="28"/>
      <c r="V1695" s="30">
        <f t="shared" si="425"/>
        <v>0</v>
      </c>
      <c r="W1695" s="30"/>
      <c r="X1695" s="73"/>
      <c r="Y1695" s="33" t="str">
        <f t="shared" si="792"/>
        <v>#DIV/0!</v>
      </c>
      <c r="Z1695" s="692"/>
      <c r="AA1695" s="665"/>
      <c r="AB1695" s="74"/>
      <c r="AC1695" s="74"/>
      <c r="AD1695" s="79"/>
      <c r="AE1695" s="84"/>
      <c r="AF1695" s="1169"/>
      <c r="AG1695" s="76"/>
      <c r="AH1695" s="74"/>
      <c r="AI1695" s="78"/>
      <c r="AJ1695" s="79"/>
      <c r="AK1695" s="84"/>
      <c r="AL1695" s="79"/>
      <c r="AM1695" s="84"/>
      <c r="AN1695" s="79"/>
      <c r="AO1695" s="84"/>
      <c r="AP1695" s="79"/>
      <c r="AQ1695" s="84"/>
      <c r="AR1695" s="79"/>
      <c r="AS1695" s="79"/>
      <c r="AT1695" s="79"/>
      <c r="AU1695" s="80"/>
      <c r="AV1695" s="79"/>
      <c r="AW1695" s="38"/>
      <c r="AX1695" s="79"/>
      <c r="AY1695" s="38"/>
      <c r="AZ1695" s="79"/>
      <c r="BA1695" s="80"/>
      <c r="BB1695" s="79"/>
      <c r="BC1695" s="80"/>
      <c r="BD1695" s="79"/>
      <c r="BE1695" s="38"/>
      <c r="BF1695" s="74"/>
      <c r="BG1695" s="68"/>
      <c r="BH1695" s="68"/>
      <c r="BI1695" s="68"/>
      <c r="BJ1695" s="68"/>
      <c r="BK1695" s="68"/>
      <c r="BL1695" s="68"/>
      <c r="BM1695" s="68"/>
      <c r="BN1695" s="68"/>
      <c r="BO1695" s="68"/>
      <c r="BP1695" s="68"/>
      <c r="BQ1695" s="68"/>
      <c r="BR1695" s="68"/>
      <c r="BS1695" s="68"/>
      <c r="BT1695" s="68"/>
      <c r="BU1695" s="68"/>
      <c r="BV1695" s="68"/>
      <c r="BW1695" s="68"/>
      <c r="BX1695" s="68"/>
      <c r="BY1695" s="68"/>
      <c r="BZ1695" s="68"/>
      <c r="CA1695" s="68"/>
      <c r="CB1695" s="68"/>
      <c r="CC1695" s="68"/>
      <c r="CD1695" s="68"/>
      <c r="CE1695" s="68"/>
      <c r="CF1695" s="68"/>
      <c r="CG1695" s="68"/>
      <c r="CH1695" s="68"/>
      <c r="CI1695" s="68"/>
      <c r="CJ1695" s="68"/>
      <c r="CK1695" s="68"/>
      <c r="CL1695" s="68"/>
      <c r="CM1695" s="68"/>
      <c r="CN1695" s="68"/>
      <c r="CO1695" s="68"/>
      <c r="CP1695" s="68"/>
    </row>
    <row r="1696" ht="15.75" customHeight="1">
      <c r="A1696" s="860" t="s">
        <v>7900</v>
      </c>
      <c r="B1696" s="68"/>
      <c r="C1696" s="69" t="s">
        <v>123</v>
      </c>
      <c r="D1696" s="192" t="s">
        <v>7901</v>
      </c>
      <c r="E1696" s="192" t="s">
        <v>7902</v>
      </c>
      <c r="F1696" s="118" t="s">
        <v>7903</v>
      </c>
      <c r="G1696" s="174"/>
      <c r="H1696" s="71" t="s">
        <v>937</v>
      </c>
      <c r="I1696" s="26" t="s">
        <v>65</v>
      </c>
      <c r="J1696" s="155"/>
      <c r="K1696" s="26"/>
      <c r="L1696" s="26"/>
      <c r="M1696" s="25">
        <f t="shared" si="789"/>
        <v>2025</v>
      </c>
      <c r="N1696" s="26">
        <f t="shared" si="790"/>
        <v>0</v>
      </c>
      <c r="O1696" s="27" t="str">
        <f t="shared" si="3"/>
        <v>#N/A</v>
      </c>
      <c r="P1696" s="28"/>
      <c r="Q1696" s="28"/>
      <c r="R1696" s="28"/>
      <c r="S1696" s="28"/>
      <c r="T1696" s="29">
        <f t="shared" si="791"/>
        <v>0</v>
      </c>
      <c r="U1696" s="28"/>
      <c r="V1696" s="30">
        <f t="shared" si="425"/>
        <v>0</v>
      </c>
      <c r="W1696" s="30"/>
      <c r="X1696" s="73"/>
      <c r="Y1696" s="33" t="str">
        <f t="shared" si="792"/>
        <v>#DIV/0!</v>
      </c>
      <c r="Z1696" s="692"/>
      <c r="AA1696" s="665"/>
      <c r="AB1696" s="74"/>
      <c r="AC1696" s="74"/>
      <c r="AD1696" s="79"/>
      <c r="AE1696" s="84"/>
      <c r="AF1696" s="1169"/>
      <c r="AG1696" s="76"/>
      <c r="AH1696" s="74"/>
      <c r="AI1696" s="78"/>
      <c r="AJ1696" s="79"/>
      <c r="AK1696" s="84"/>
      <c r="AL1696" s="79"/>
      <c r="AM1696" s="84"/>
      <c r="AN1696" s="79"/>
      <c r="AO1696" s="84"/>
      <c r="AP1696" s="79"/>
      <c r="AQ1696" s="84"/>
      <c r="AR1696" s="79"/>
      <c r="AS1696" s="79"/>
      <c r="AT1696" s="79"/>
      <c r="AU1696" s="80"/>
      <c r="AV1696" s="79"/>
      <c r="AW1696" s="38"/>
      <c r="AX1696" s="79"/>
      <c r="AY1696" s="38"/>
      <c r="AZ1696" s="79"/>
      <c r="BA1696" s="80"/>
      <c r="BB1696" s="79"/>
      <c r="BC1696" s="80"/>
      <c r="BD1696" s="79"/>
      <c r="BE1696" s="38"/>
      <c r="BF1696" s="74"/>
      <c r="BG1696" s="760"/>
      <c r="BH1696" s="760"/>
      <c r="BI1696" s="760"/>
      <c r="BJ1696" s="760"/>
      <c r="BK1696" s="760"/>
      <c r="BL1696" s="760"/>
      <c r="BM1696" s="760"/>
      <c r="BN1696" s="760"/>
      <c r="BO1696" s="760"/>
      <c r="BP1696" s="760"/>
      <c r="BQ1696" s="760"/>
      <c r="BR1696" s="760"/>
      <c r="BS1696" s="760"/>
      <c r="BT1696" s="760"/>
      <c r="BU1696" s="760"/>
      <c r="BV1696" s="760"/>
      <c r="BW1696" s="760"/>
      <c r="BX1696" s="760"/>
      <c r="BY1696" s="760"/>
      <c r="BZ1696" s="760"/>
      <c r="CA1696" s="760"/>
      <c r="CB1696" s="760"/>
      <c r="CC1696" s="760"/>
      <c r="CD1696" s="760"/>
      <c r="CE1696" s="760"/>
      <c r="CF1696" s="760"/>
      <c r="CG1696" s="760"/>
      <c r="CH1696" s="760"/>
      <c r="CI1696" s="760"/>
      <c r="CJ1696" s="760"/>
      <c r="CK1696" s="760"/>
      <c r="CL1696" s="760"/>
      <c r="CM1696" s="760"/>
      <c r="CN1696" s="760"/>
      <c r="CO1696" s="760"/>
      <c r="CP1696" s="760"/>
    </row>
    <row r="1697" ht="15.75" customHeight="1">
      <c r="A1697" s="860" t="s">
        <v>7904</v>
      </c>
      <c r="B1697" s="68"/>
      <c r="C1697" s="1522"/>
      <c r="D1697" s="192" t="s">
        <v>7905</v>
      </c>
      <c r="E1697" s="192" t="s">
        <v>7906</v>
      </c>
      <c r="F1697" s="118" t="s">
        <v>7907</v>
      </c>
      <c r="G1697" s="186"/>
      <c r="H1697" s="71" t="s">
        <v>6719</v>
      </c>
      <c r="I1697" s="26" t="s">
        <v>257</v>
      </c>
      <c r="J1697" s="155"/>
      <c r="K1697" s="74"/>
      <c r="L1697" s="26">
        <v>2010.0</v>
      </c>
      <c r="M1697" s="25">
        <f t="shared" si="789"/>
        <v>15</v>
      </c>
      <c r="N1697" s="26">
        <f t="shared" si="790"/>
        <v>0</v>
      </c>
      <c r="O1697" s="27" t="str">
        <f t="shared" si="3"/>
        <v>#N/A</v>
      </c>
      <c r="P1697" s="28"/>
      <c r="Q1697" s="28"/>
      <c r="R1697" s="28"/>
      <c r="S1697" s="28"/>
      <c r="T1697" s="29">
        <f t="shared" si="791"/>
        <v>0</v>
      </c>
      <c r="U1697" s="28"/>
      <c r="V1697" s="30">
        <f t="shared" si="425"/>
        <v>0</v>
      </c>
      <c r="W1697" s="30"/>
      <c r="X1697" s="32"/>
      <c r="Y1697" s="33" t="str">
        <f t="shared" si="792"/>
        <v>#DIV/0!</v>
      </c>
      <c r="Z1697" s="692"/>
      <c r="AA1697" s="665"/>
      <c r="AB1697" s="74"/>
      <c r="AC1697" s="74"/>
      <c r="AD1697" s="79"/>
      <c r="AE1697" s="84"/>
      <c r="AF1697" s="338"/>
      <c r="AG1697" s="84"/>
      <c r="AH1697" s="74"/>
      <c r="AI1697" s="78"/>
      <c r="AJ1697" s="79"/>
      <c r="AK1697" s="84"/>
      <c r="AL1697" s="79"/>
      <c r="AM1697" s="84"/>
      <c r="AN1697" s="79"/>
      <c r="AO1697" s="84"/>
      <c r="AP1697" s="79"/>
      <c r="AQ1697" s="84"/>
      <c r="AR1697" s="79"/>
      <c r="AS1697" s="79"/>
      <c r="AT1697" s="79"/>
      <c r="AU1697" s="80"/>
      <c r="AV1697" s="79"/>
      <c r="AW1697" s="38"/>
      <c r="AX1697" s="79"/>
      <c r="AY1697" s="38"/>
      <c r="AZ1697" s="79"/>
      <c r="BA1697" s="80"/>
      <c r="BB1697" s="79"/>
      <c r="BC1697" s="80"/>
      <c r="BD1697" s="79"/>
      <c r="BE1697" s="38"/>
      <c r="BF1697" s="74"/>
      <c r="BG1697" s="68"/>
      <c r="BH1697" s="68"/>
      <c r="BI1697" s="68"/>
      <c r="BJ1697" s="68"/>
      <c r="BK1697" s="68"/>
      <c r="BL1697" s="68"/>
      <c r="BM1697" s="68"/>
      <c r="BN1697" s="68"/>
      <c r="BO1697" s="68"/>
      <c r="BP1697" s="68"/>
      <c r="BQ1697" s="68"/>
      <c r="BR1697" s="68"/>
      <c r="BS1697" s="68"/>
      <c r="BT1697" s="68"/>
      <c r="BU1697" s="68"/>
      <c r="BV1697" s="68"/>
      <c r="BW1697" s="68"/>
      <c r="BX1697" s="68"/>
      <c r="BY1697" s="68"/>
      <c r="BZ1697" s="68"/>
      <c r="CA1697" s="68"/>
      <c r="CB1697" s="68"/>
      <c r="CC1697" s="68"/>
      <c r="CD1697" s="68"/>
      <c r="CE1697" s="68"/>
      <c r="CF1697" s="68"/>
      <c r="CG1697" s="68"/>
      <c r="CH1697" s="68"/>
      <c r="CI1697" s="68"/>
      <c r="CJ1697" s="68"/>
      <c r="CK1697" s="68"/>
      <c r="CL1697" s="68"/>
      <c r="CM1697" s="68"/>
      <c r="CN1697" s="68"/>
      <c r="CO1697" s="68"/>
      <c r="CP1697" s="68"/>
    </row>
    <row r="1698" ht="15.75" customHeight="1">
      <c r="A1698" s="860" t="s">
        <v>7908</v>
      </c>
      <c r="B1698" s="68"/>
      <c r="C1698" s="69" t="s">
        <v>132</v>
      </c>
      <c r="D1698" s="48"/>
      <c r="E1698" s="380"/>
      <c r="F1698" s="118" t="s">
        <v>7909</v>
      </c>
      <c r="G1698" s="71"/>
      <c r="H1698" s="140"/>
      <c r="I1698" s="1401"/>
      <c r="J1698" s="155"/>
      <c r="K1698" s="26"/>
      <c r="L1698" s="26"/>
      <c r="M1698" s="25">
        <f t="shared" si="789"/>
        <v>2025</v>
      </c>
      <c r="N1698" s="26">
        <f t="shared" si="790"/>
        <v>0</v>
      </c>
      <c r="O1698" s="27" t="str">
        <f t="shared" si="3"/>
        <v>#N/A</v>
      </c>
      <c r="P1698" s="28"/>
      <c r="Q1698" s="28"/>
      <c r="R1698" s="28"/>
      <c r="S1698" s="28"/>
      <c r="T1698" s="29">
        <f t="shared" si="791"/>
        <v>0</v>
      </c>
      <c r="U1698" s="28"/>
      <c r="V1698" s="30">
        <f t="shared" si="425"/>
        <v>0</v>
      </c>
      <c r="W1698" s="30"/>
      <c r="X1698" s="73"/>
      <c r="Y1698" s="33" t="str">
        <f t="shared" si="792"/>
        <v>#DIV/0!</v>
      </c>
      <c r="Z1698" s="692"/>
      <c r="AA1698" s="665"/>
      <c r="AB1698" s="74"/>
      <c r="AC1698" s="74"/>
      <c r="AD1698" s="79"/>
      <c r="AE1698" s="84"/>
      <c r="AF1698" s="338"/>
      <c r="AG1698" s="84"/>
      <c r="AH1698" s="74"/>
      <c r="AI1698" s="78"/>
      <c r="AJ1698" s="79"/>
      <c r="AK1698" s="84"/>
      <c r="AL1698" s="79"/>
      <c r="AM1698" s="84"/>
      <c r="AN1698" s="79"/>
      <c r="AO1698" s="84"/>
      <c r="AP1698" s="79"/>
      <c r="AQ1698" s="84"/>
      <c r="AR1698" s="79"/>
      <c r="AS1698" s="79"/>
      <c r="AT1698" s="79"/>
      <c r="AU1698" s="80"/>
      <c r="AV1698" s="79"/>
      <c r="AW1698" s="38"/>
      <c r="AX1698" s="79"/>
      <c r="AY1698" s="38"/>
      <c r="AZ1698" s="79"/>
      <c r="BA1698" s="80"/>
      <c r="BB1698" s="79"/>
      <c r="BC1698" s="80"/>
      <c r="BD1698" s="79"/>
      <c r="BE1698" s="38"/>
      <c r="BF1698" s="74"/>
      <c r="BG1698" s="68"/>
      <c r="BH1698" s="68"/>
      <c r="BI1698" s="68"/>
      <c r="BJ1698" s="68"/>
      <c r="BK1698" s="68"/>
      <c r="BL1698" s="68"/>
      <c r="BM1698" s="68"/>
      <c r="BN1698" s="68"/>
      <c r="BO1698" s="68"/>
      <c r="BP1698" s="68"/>
      <c r="BQ1698" s="68"/>
      <c r="BR1698" s="68"/>
      <c r="BS1698" s="68"/>
      <c r="BT1698" s="68"/>
      <c r="BU1698" s="68"/>
      <c r="BV1698" s="68"/>
      <c r="BW1698" s="68"/>
      <c r="BX1698" s="68"/>
      <c r="BY1698" s="68"/>
      <c r="BZ1698" s="68"/>
      <c r="CA1698" s="68"/>
      <c r="CB1698" s="68"/>
      <c r="CC1698" s="68"/>
      <c r="CD1698" s="68"/>
      <c r="CE1698" s="68"/>
      <c r="CF1698" s="68"/>
      <c r="CG1698" s="68"/>
      <c r="CH1698" s="68"/>
      <c r="CI1698" s="68"/>
      <c r="CJ1698" s="68"/>
      <c r="CK1698" s="68"/>
      <c r="CL1698" s="68"/>
      <c r="CM1698" s="68"/>
      <c r="CN1698" s="68"/>
      <c r="CO1698" s="68"/>
      <c r="CP1698" s="68"/>
    </row>
    <row r="1699" ht="15.75" customHeight="1">
      <c r="A1699" s="1737" t="s">
        <v>7910</v>
      </c>
      <c r="B1699" s="1828"/>
      <c r="C1699" s="1763" t="s">
        <v>207</v>
      </c>
      <c r="D1699" s="1741" t="s">
        <v>4781</v>
      </c>
      <c r="E1699" s="1829" t="s">
        <v>4781</v>
      </c>
      <c r="F1699" s="1742" t="s">
        <v>7911</v>
      </c>
      <c r="G1699" s="1744"/>
      <c r="H1699" s="1744" t="s">
        <v>7912</v>
      </c>
      <c r="I1699" s="1739" t="s">
        <v>1547</v>
      </c>
      <c r="J1699" s="1830"/>
      <c r="K1699" s="1739"/>
      <c r="L1699" s="1739">
        <v>20.0</v>
      </c>
      <c r="M1699" s="25">
        <f t="shared" si="789"/>
        <v>2005</v>
      </c>
      <c r="N1699" s="26">
        <f t="shared" si="790"/>
        <v>0</v>
      </c>
      <c r="O1699" s="27" t="str">
        <f t="shared" si="3"/>
        <v>#N/A</v>
      </c>
      <c r="P1699" s="28"/>
      <c r="Q1699" s="28"/>
      <c r="R1699" s="28"/>
      <c r="S1699" s="28"/>
      <c r="T1699" s="29">
        <f t="shared" si="791"/>
        <v>0</v>
      </c>
      <c r="U1699" s="28"/>
      <c r="V1699" s="30">
        <f t="shared" si="425"/>
        <v>0</v>
      </c>
      <c r="W1699" s="30"/>
      <c r="X1699" s="1812"/>
      <c r="Y1699" s="33" t="str">
        <f t="shared" si="792"/>
        <v>#DIV/0!</v>
      </c>
      <c r="Z1699" s="692"/>
      <c r="AA1699" s="665"/>
      <c r="AB1699" s="1738"/>
      <c r="AC1699" s="1738"/>
      <c r="AD1699" s="1767"/>
      <c r="AE1699" s="1831"/>
      <c r="AF1699" s="1832"/>
      <c r="AG1699" s="1766"/>
      <c r="AH1699" s="1833"/>
      <c r="AI1699" s="1766"/>
      <c r="AJ1699" s="1834"/>
      <c r="AK1699" s="1835"/>
      <c r="AL1699" s="1747"/>
      <c r="AM1699" s="1748"/>
      <c r="AN1699" s="1747"/>
      <c r="AO1699" s="1748"/>
      <c r="AP1699" s="1747"/>
      <c r="AQ1699" s="1748"/>
      <c r="AR1699" s="1747"/>
      <c r="AS1699" s="1747"/>
      <c r="AT1699" s="1747"/>
      <c r="AU1699" s="1751"/>
      <c r="AV1699" s="1747"/>
      <c r="AW1699" s="38"/>
      <c r="AX1699" s="1747"/>
      <c r="AY1699" s="38"/>
      <c r="AZ1699" s="1747"/>
      <c r="BA1699" s="1751"/>
      <c r="BB1699" s="1747"/>
      <c r="BC1699" s="1751"/>
      <c r="BD1699" s="1747"/>
      <c r="BE1699" s="38"/>
      <c r="BF1699" s="1738"/>
      <c r="BG1699" s="68"/>
      <c r="BH1699" s="68"/>
      <c r="BI1699" s="68"/>
      <c r="BJ1699" s="68"/>
      <c r="BK1699" s="68"/>
      <c r="BL1699" s="68"/>
      <c r="BM1699" s="68"/>
      <c r="BN1699" s="68"/>
      <c r="BO1699" s="68"/>
      <c r="BP1699" s="68"/>
      <c r="BQ1699" s="68"/>
      <c r="BR1699" s="68"/>
      <c r="BS1699" s="68"/>
      <c r="BT1699" s="68"/>
      <c r="BU1699" s="68"/>
      <c r="BV1699" s="68"/>
      <c r="BW1699" s="68"/>
      <c r="BX1699" s="68"/>
      <c r="BY1699" s="68"/>
      <c r="BZ1699" s="68"/>
      <c r="CA1699" s="68"/>
      <c r="CB1699" s="68"/>
      <c r="CC1699" s="68"/>
      <c r="CD1699" s="68"/>
      <c r="CE1699" s="68"/>
      <c r="CF1699" s="68"/>
      <c r="CG1699" s="68"/>
      <c r="CH1699" s="68"/>
      <c r="CI1699" s="68"/>
      <c r="CJ1699" s="68"/>
      <c r="CK1699" s="68"/>
      <c r="CL1699" s="68"/>
      <c r="CM1699" s="68"/>
      <c r="CN1699" s="68"/>
      <c r="CO1699" s="68"/>
      <c r="CP1699" s="68"/>
    </row>
    <row r="1700" ht="15.75" customHeight="1">
      <c r="A1700" s="442" t="s">
        <v>7913</v>
      </c>
      <c r="B1700" s="68"/>
      <c r="C1700" s="68" t="s">
        <v>207</v>
      </c>
      <c r="D1700" s="192" t="s">
        <v>7914</v>
      </c>
      <c r="E1700" s="200" t="s">
        <v>7915</v>
      </c>
      <c r="F1700" s="185" t="s">
        <v>7916</v>
      </c>
      <c r="G1700" s="71" t="s">
        <v>7917</v>
      </c>
      <c r="H1700" s="140" t="s">
        <v>752</v>
      </c>
      <c r="I1700" s="1401" t="s">
        <v>752</v>
      </c>
      <c r="J1700" s="155"/>
      <c r="K1700" s="26">
        <v>1.0</v>
      </c>
      <c r="L1700" s="26">
        <v>2014.0</v>
      </c>
      <c r="M1700" s="25">
        <f t="shared" si="789"/>
        <v>11</v>
      </c>
      <c r="N1700" s="26">
        <f t="shared" si="790"/>
        <v>0</v>
      </c>
      <c r="O1700" s="27" t="str">
        <f t="shared" si="3"/>
        <v>#N/A</v>
      </c>
      <c r="P1700" s="28"/>
      <c r="Q1700" s="28"/>
      <c r="R1700" s="28"/>
      <c r="S1700" s="28"/>
      <c r="T1700" s="29">
        <f t="shared" si="791"/>
        <v>0</v>
      </c>
      <c r="U1700" s="28"/>
      <c r="V1700" s="30">
        <f t="shared" si="425"/>
        <v>0</v>
      </c>
      <c r="W1700" s="30"/>
      <c r="X1700" s="73"/>
      <c r="Y1700" s="33" t="str">
        <f t="shared" si="792"/>
        <v>#DIV/0!</v>
      </c>
      <c r="Z1700" s="692"/>
      <c r="AA1700" s="665"/>
      <c r="AB1700" s="74"/>
      <c r="AC1700" s="74"/>
      <c r="AD1700" s="79"/>
      <c r="AE1700" s="84"/>
      <c r="AF1700" s="338"/>
      <c r="AG1700" s="84"/>
      <c r="AH1700" s="74"/>
      <c r="AI1700" s="78"/>
      <c r="AJ1700" s="79"/>
      <c r="AK1700" s="84"/>
      <c r="AL1700" s="79"/>
      <c r="AM1700" s="84"/>
      <c r="AN1700" s="79"/>
      <c r="AO1700" s="84"/>
      <c r="AP1700" s="79"/>
      <c r="AQ1700" s="84"/>
      <c r="AR1700" s="79"/>
      <c r="AS1700" s="79"/>
      <c r="AT1700" s="79"/>
      <c r="AU1700" s="80"/>
      <c r="AV1700" s="79"/>
      <c r="AW1700" s="38"/>
      <c r="AX1700" s="79"/>
      <c r="AY1700" s="38"/>
      <c r="AZ1700" s="79"/>
      <c r="BA1700" s="80"/>
      <c r="BB1700" s="79"/>
      <c r="BC1700" s="80"/>
      <c r="BD1700" s="79"/>
      <c r="BE1700" s="38"/>
      <c r="BF1700" s="74"/>
      <c r="BG1700" s="68"/>
      <c r="BH1700" s="68"/>
      <c r="BI1700" s="68"/>
      <c r="BJ1700" s="68"/>
      <c r="BK1700" s="68"/>
      <c r="BL1700" s="68"/>
      <c r="BM1700" s="68"/>
      <c r="BN1700" s="68"/>
      <c r="BO1700" s="68"/>
      <c r="BP1700" s="68"/>
      <c r="BQ1700" s="68"/>
      <c r="BR1700" s="68"/>
      <c r="BS1700" s="68"/>
      <c r="BT1700" s="68"/>
      <c r="BU1700" s="68"/>
      <c r="BV1700" s="68"/>
      <c r="BW1700" s="68"/>
      <c r="BX1700" s="68"/>
      <c r="BY1700" s="68"/>
      <c r="BZ1700" s="68"/>
      <c r="CA1700" s="68"/>
      <c r="CB1700" s="68"/>
      <c r="CC1700" s="68"/>
      <c r="CD1700" s="68"/>
      <c r="CE1700" s="68"/>
      <c r="CF1700" s="68"/>
      <c r="CG1700" s="68"/>
      <c r="CH1700" s="68"/>
      <c r="CI1700" s="68"/>
      <c r="CJ1700" s="68"/>
      <c r="CK1700" s="68"/>
      <c r="CL1700" s="68"/>
      <c r="CM1700" s="68"/>
      <c r="CN1700" s="68"/>
      <c r="CO1700" s="68"/>
      <c r="CP1700" s="68"/>
    </row>
    <row r="1701" ht="15.75" customHeight="1">
      <c r="A1701" s="442" t="s">
        <v>7918</v>
      </c>
      <c r="B1701" s="68" t="s">
        <v>2206</v>
      </c>
      <c r="C1701" s="245" t="s">
        <v>276</v>
      </c>
      <c r="D1701" s="184" t="s">
        <v>7919</v>
      </c>
      <c r="E1701" s="1408" t="s">
        <v>7920</v>
      </c>
      <c r="F1701" s="185" t="s">
        <v>7921</v>
      </c>
      <c r="G1701" s="186" t="s">
        <v>7922</v>
      </c>
      <c r="H1701" s="186" t="s">
        <v>271</v>
      </c>
      <c r="I1701" s="74" t="s">
        <v>163</v>
      </c>
      <c r="J1701" s="155">
        <v>98104.0</v>
      </c>
      <c r="K1701" s="74">
        <v>1.0</v>
      </c>
      <c r="L1701" s="26">
        <v>1995.0</v>
      </c>
      <c r="M1701" s="25">
        <f t="shared" si="789"/>
        <v>30</v>
      </c>
      <c r="N1701" s="26">
        <f t="shared" si="790"/>
        <v>0</v>
      </c>
      <c r="O1701" s="27" t="str">
        <f t="shared" si="3"/>
        <v>#N/A</v>
      </c>
      <c r="P1701" s="28"/>
      <c r="Q1701" s="28"/>
      <c r="R1701" s="28"/>
      <c r="S1701" s="28"/>
      <c r="T1701" s="29">
        <f t="shared" si="791"/>
        <v>0</v>
      </c>
      <c r="U1701" s="28"/>
      <c r="V1701" s="30">
        <f t="shared" si="425"/>
        <v>0</v>
      </c>
      <c r="W1701" s="30"/>
      <c r="X1701" s="32"/>
      <c r="Y1701" s="33" t="str">
        <f t="shared" si="792"/>
        <v>#DIV/0!</v>
      </c>
      <c r="Z1701" s="692"/>
      <c r="AA1701" s="665"/>
      <c r="AB1701" s="74"/>
      <c r="AC1701" s="74"/>
      <c r="AD1701" s="79"/>
      <c r="AE1701" s="84"/>
      <c r="AF1701" s="338"/>
      <c r="AG1701" s="84"/>
      <c r="AH1701" s="74"/>
      <c r="AI1701" s="78"/>
      <c r="AJ1701" s="1516"/>
      <c r="AK1701" s="84"/>
      <c r="AL1701" s="79"/>
      <c r="AM1701" s="963"/>
      <c r="AN1701" s="79"/>
      <c r="AO1701" s="84"/>
      <c r="AP1701" s="79"/>
      <c r="AQ1701" s="84"/>
      <c r="AR1701" s="79"/>
      <c r="AS1701" s="79"/>
      <c r="AT1701" s="79"/>
      <c r="AU1701" s="80"/>
      <c r="AV1701" s="79"/>
      <c r="AW1701" s="38"/>
      <c r="AX1701" s="79"/>
      <c r="AY1701" s="38"/>
      <c r="AZ1701" s="79"/>
      <c r="BA1701" s="80"/>
      <c r="BB1701" s="79"/>
      <c r="BC1701" s="80"/>
      <c r="BD1701" s="79"/>
      <c r="BE1701" s="38"/>
      <c r="BF1701" s="74"/>
      <c r="BG1701" s="115"/>
      <c r="BH1701" s="115"/>
      <c r="BI1701" s="115"/>
      <c r="BJ1701" s="115"/>
      <c r="BK1701" s="115"/>
      <c r="BL1701" s="115"/>
      <c r="BM1701" s="115"/>
      <c r="BN1701" s="115"/>
      <c r="BO1701" s="115"/>
      <c r="BP1701" s="115"/>
      <c r="BQ1701" s="115"/>
      <c r="BR1701" s="115"/>
      <c r="BS1701" s="115"/>
      <c r="BT1701" s="115"/>
      <c r="BU1701" s="115"/>
      <c r="BV1701" s="115"/>
      <c r="BW1701" s="115"/>
      <c r="BX1701" s="115"/>
      <c r="BY1701" s="115"/>
      <c r="BZ1701" s="115"/>
      <c r="CA1701" s="115"/>
      <c r="CB1701" s="115"/>
      <c r="CC1701" s="115"/>
      <c r="CD1701" s="115"/>
      <c r="CE1701" s="115"/>
      <c r="CF1701" s="115"/>
      <c r="CG1701" s="115"/>
      <c r="CH1701" s="115"/>
      <c r="CI1701" s="115"/>
      <c r="CJ1701" s="115"/>
      <c r="CK1701" s="115"/>
      <c r="CL1701" s="115"/>
      <c r="CM1701" s="115"/>
      <c r="CN1701" s="115"/>
      <c r="CO1701" s="115"/>
      <c r="CP1701" s="115"/>
    </row>
    <row r="1702" ht="15.75" customHeight="1">
      <c r="A1702" s="442" t="s">
        <v>7923</v>
      </c>
      <c r="B1702" s="68"/>
      <c r="C1702" s="69" t="s">
        <v>123</v>
      </c>
      <c r="D1702" s="184" t="s">
        <v>7924</v>
      </c>
      <c r="E1702" s="184" t="s">
        <v>7925</v>
      </c>
      <c r="F1702" s="185" t="s">
        <v>7926</v>
      </c>
      <c r="G1702" s="878" t="s">
        <v>7927</v>
      </c>
      <c r="H1702" s="186" t="s">
        <v>6210</v>
      </c>
      <c r="I1702" s="74" t="s">
        <v>7928</v>
      </c>
      <c r="J1702" s="155" t="s">
        <v>7929</v>
      </c>
      <c r="K1702" s="74">
        <v>3.0</v>
      </c>
      <c r="L1702" s="26">
        <v>2015.0</v>
      </c>
      <c r="M1702" s="25">
        <f t="shared" si="789"/>
        <v>10</v>
      </c>
      <c r="N1702" s="26">
        <f t="shared" si="790"/>
        <v>0</v>
      </c>
      <c r="O1702" s="27" t="str">
        <f t="shared" si="3"/>
        <v>#N/A</v>
      </c>
      <c r="P1702" s="28"/>
      <c r="Q1702" s="28"/>
      <c r="R1702" s="28"/>
      <c r="S1702" s="28"/>
      <c r="T1702" s="29">
        <f t="shared" si="791"/>
        <v>0</v>
      </c>
      <c r="U1702" s="28"/>
      <c r="V1702" s="30">
        <f t="shared" si="425"/>
        <v>0</v>
      </c>
      <c r="W1702" s="30"/>
      <c r="X1702" s="32"/>
      <c r="Y1702" s="33" t="str">
        <f t="shared" si="792"/>
        <v>#DIV/0!</v>
      </c>
      <c r="Z1702" s="692"/>
      <c r="AA1702" s="665"/>
      <c r="AB1702" s="74"/>
      <c r="AC1702" s="74"/>
      <c r="AD1702" s="79"/>
      <c r="AE1702" s="84"/>
      <c r="AF1702" s="338"/>
      <c r="AG1702" s="84"/>
      <c r="AH1702" s="74"/>
      <c r="AI1702" s="78"/>
      <c r="AJ1702" s="79"/>
      <c r="AK1702" s="84"/>
      <c r="AL1702" s="79"/>
      <c r="AM1702" s="963"/>
      <c r="AN1702" s="79"/>
      <c r="AO1702" s="84"/>
      <c r="AP1702" s="79"/>
      <c r="AQ1702" s="84"/>
      <c r="AR1702" s="79"/>
      <c r="AS1702" s="79"/>
      <c r="AT1702" s="79"/>
      <c r="AU1702" s="80"/>
      <c r="AV1702" s="79"/>
      <c r="AW1702" s="38"/>
      <c r="AX1702" s="79"/>
      <c r="AY1702" s="38"/>
      <c r="AZ1702" s="79"/>
      <c r="BA1702" s="80"/>
      <c r="BB1702" s="79"/>
      <c r="BC1702" s="80"/>
      <c r="BD1702" s="79"/>
      <c r="BE1702" s="38"/>
      <c r="BF1702" s="74"/>
      <c r="BG1702" s="115"/>
      <c r="BH1702" s="115"/>
      <c r="BI1702" s="115"/>
      <c r="BJ1702" s="115"/>
      <c r="BK1702" s="115"/>
      <c r="BL1702" s="115"/>
      <c r="BM1702" s="115"/>
      <c r="BN1702" s="115"/>
      <c r="BO1702" s="115"/>
      <c r="BP1702" s="115"/>
      <c r="BQ1702" s="115"/>
      <c r="BR1702" s="115"/>
      <c r="BS1702" s="115"/>
      <c r="BT1702" s="115"/>
      <c r="BU1702" s="115"/>
      <c r="BV1702" s="115"/>
      <c r="BW1702" s="115"/>
      <c r="BX1702" s="115"/>
      <c r="BY1702" s="115"/>
      <c r="BZ1702" s="115"/>
      <c r="CA1702" s="115"/>
      <c r="CB1702" s="115"/>
      <c r="CC1702" s="115"/>
      <c r="CD1702" s="115"/>
      <c r="CE1702" s="115"/>
      <c r="CF1702" s="115"/>
      <c r="CG1702" s="115"/>
      <c r="CH1702" s="115"/>
      <c r="CI1702" s="115"/>
      <c r="CJ1702" s="115"/>
      <c r="CK1702" s="115"/>
      <c r="CL1702" s="115"/>
      <c r="CM1702" s="115"/>
      <c r="CN1702" s="115"/>
      <c r="CO1702" s="115"/>
      <c r="CP1702" s="115"/>
    </row>
    <row r="1703" ht="15.75" customHeight="1">
      <c r="A1703" s="860" t="s">
        <v>7930</v>
      </c>
      <c r="B1703" s="115"/>
      <c r="C1703" s="116" t="s">
        <v>123</v>
      </c>
      <c r="D1703" s="192" t="s">
        <v>7931</v>
      </c>
      <c r="E1703" s="192" t="s">
        <v>7932</v>
      </c>
      <c r="F1703" s="1361" t="s">
        <v>7933</v>
      </c>
      <c r="G1703" s="54"/>
      <c r="H1703" s="119"/>
      <c r="I1703" s="25"/>
      <c r="J1703" s="1446"/>
      <c r="K1703" s="25"/>
      <c r="L1703" s="25">
        <v>2007.0</v>
      </c>
      <c r="M1703" s="25">
        <f t="shared" si="789"/>
        <v>18</v>
      </c>
      <c r="N1703" s="26">
        <f t="shared" si="790"/>
        <v>0</v>
      </c>
      <c r="O1703" s="27" t="str">
        <f t="shared" si="3"/>
        <v>#N/A</v>
      </c>
      <c r="P1703" s="28"/>
      <c r="Q1703" s="28"/>
      <c r="R1703" s="28"/>
      <c r="S1703" s="28"/>
      <c r="T1703" s="29">
        <f t="shared" si="791"/>
        <v>0</v>
      </c>
      <c r="U1703" s="28"/>
      <c r="V1703" s="30">
        <f t="shared" si="425"/>
        <v>0</v>
      </c>
      <c r="W1703" s="30"/>
      <c r="X1703" s="597"/>
      <c r="Y1703" s="33" t="str">
        <f t="shared" si="792"/>
        <v>#DIV/0!</v>
      </c>
      <c r="Z1703" s="692"/>
      <c r="AA1703" s="665"/>
      <c r="AB1703" s="123"/>
      <c r="AC1703" s="123"/>
      <c r="AD1703" s="198"/>
      <c r="AE1703" s="1497"/>
      <c r="AF1703" s="166"/>
      <c r="AG1703" s="125"/>
      <c r="AH1703" s="123"/>
      <c r="AI1703" s="128"/>
      <c r="AJ1703" s="124"/>
      <c r="AK1703" s="125"/>
      <c r="AL1703" s="124"/>
      <c r="AM1703" s="1497"/>
      <c r="AN1703" s="124"/>
      <c r="AO1703" s="125"/>
      <c r="AP1703" s="124"/>
      <c r="AQ1703" s="125"/>
      <c r="AR1703" s="124"/>
      <c r="AS1703" s="124"/>
      <c r="AT1703" s="124"/>
      <c r="AU1703" s="137"/>
      <c r="AV1703" s="124"/>
      <c r="AW1703" s="38"/>
      <c r="AX1703" s="124"/>
      <c r="AY1703" s="38"/>
      <c r="AZ1703" s="124"/>
      <c r="BA1703" s="137"/>
      <c r="BB1703" s="124"/>
      <c r="BC1703" s="137"/>
      <c r="BD1703" s="124"/>
      <c r="BE1703" s="38"/>
      <c r="BF1703" s="123"/>
      <c r="BG1703" s="115"/>
      <c r="BH1703" s="115"/>
      <c r="BI1703" s="115"/>
      <c r="BJ1703" s="115"/>
      <c r="BK1703" s="115"/>
      <c r="BL1703" s="115"/>
      <c r="BM1703" s="115"/>
      <c r="BN1703" s="115"/>
      <c r="BO1703" s="115"/>
      <c r="BP1703" s="115"/>
      <c r="BQ1703" s="115"/>
      <c r="BR1703" s="115"/>
      <c r="BS1703" s="115"/>
      <c r="BT1703" s="115"/>
      <c r="BU1703" s="115"/>
      <c r="BV1703" s="115"/>
      <c r="BW1703" s="115"/>
      <c r="BX1703" s="115"/>
      <c r="BY1703" s="115"/>
      <c r="BZ1703" s="115"/>
      <c r="CA1703" s="115"/>
      <c r="CB1703" s="115"/>
      <c r="CC1703" s="115"/>
      <c r="CD1703" s="115"/>
      <c r="CE1703" s="115"/>
      <c r="CF1703" s="115"/>
      <c r="CG1703" s="115"/>
      <c r="CH1703" s="115"/>
      <c r="CI1703" s="115"/>
      <c r="CJ1703" s="115"/>
      <c r="CK1703" s="115"/>
      <c r="CL1703" s="115"/>
      <c r="CM1703" s="115"/>
      <c r="CN1703" s="115"/>
      <c r="CO1703" s="115"/>
      <c r="CP1703" s="115"/>
    </row>
    <row r="1704" ht="15.75" customHeight="1">
      <c r="A1704" s="400" t="s">
        <v>7934</v>
      </c>
      <c r="B1704" s="115"/>
      <c r="C1704" s="116" t="s">
        <v>276</v>
      </c>
      <c r="D1704" s="161" t="s">
        <v>7935</v>
      </c>
      <c r="E1704" s="449"/>
      <c r="F1704" s="744" t="s">
        <v>7936</v>
      </c>
      <c r="G1704" s="54" t="s">
        <v>7937</v>
      </c>
      <c r="H1704" s="119" t="s">
        <v>7938</v>
      </c>
      <c r="I1704" s="25" t="s">
        <v>65</v>
      </c>
      <c r="J1704" s="178" t="s">
        <v>7939</v>
      </c>
      <c r="K1704" s="25">
        <v>2.0</v>
      </c>
      <c r="L1704" s="123" t="s">
        <v>723</v>
      </c>
      <c r="M1704" s="25" t="str">
        <f t="shared" si="789"/>
        <v>#VALUE!</v>
      </c>
      <c r="N1704" s="26">
        <f t="shared" si="790"/>
        <v>0</v>
      </c>
      <c r="O1704" s="27" t="str">
        <f t="shared" si="3"/>
        <v>#N/A</v>
      </c>
      <c r="P1704" s="28"/>
      <c r="Q1704" s="28"/>
      <c r="R1704" s="28"/>
      <c r="S1704" s="28"/>
      <c r="T1704" s="28" t="str">
        <f t="shared" si="791"/>
        <v>#VALUE!</v>
      </c>
      <c r="U1704" s="28"/>
      <c r="V1704" s="30">
        <f t="shared" si="425"/>
        <v>0</v>
      </c>
      <c r="W1704" s="30"/>
      <c r="X1704" s="597"/>
      <c r="Y1704" s="33" t="str">
        <f t="shared" si="792"/>
        <v>#DIV/0!</v>
      </c>
      <c r="Z1704" s="692"/>
      <c r="AA1704" s="665"/>
      <c r="AB1704" s="123"/>
      <c r="AC1704" s="123"/>
      <c r="AD1704" s="124"/>
      <c r="AE1704" s="125"/>
      <c r="AF1704" s="166"/>
      <c r="AG1704" s="125"/>
      <c r="AH1704" s="123"/>
      <c r="AI1704" s="128"/>
      <c r="AJ1704" s="124"/>
      <c r="AK1704" s="125"/>
      <c r="AL1704" s="124"/>
      <c r="AM1704" s="125"/>
      <c r="AN1704" s="124"/>
      <c r="AO1704" s="125"/>
      <c r="AP1704" s="124"/>
      <c r="AQ1704" s="125"/>
      <c r="AR1704" s="124"/>
      <c r="AS1704" s="124"/>
      <c r="AT1704" s="124"/>
      <c r="AU1704" s="137"/>
      <c r="AV1704" s="124"/>
      <c r="AW1704" s="38"/>
      <c r="AX1704" s="124"/>
      <c r="AY1704" s="38"/>
      <c r="AZ1704" s="124"/>
      <c r="BA1704" s="137"/>
      <c r="BB1704" s="124"/>
      <c r="BC1704" s="137"/>
      <c r="BD1704" s="124"/>
      <c r="BE1704" s="38"/>
      <c r="BF1704" s="123"/>
      <c r="BG1704" s="68"/>
      <c r="BH1704" s="68"/>
      <c r="BI1704" s="68"/>
      <c r="BJ1704" s="68"/>
      <c r="BK1704" s="68"/>
      <c r="BL1704" s="68"/>
      <c r="BM1704" s="68"/>
      <c r="BN1704" s="68"/>
      <c r="BO1704" s="68"/>
      <c r="BP1704" s="68"/>
      <c r="BQ1704" s="68"/>
      <c r="BR1704" s="68"/>
      <c r="BS1704" s="68"/>
      <c r="BT1704" s="68"/>
      <c r="BU1704" s="68"/>
      <c r="BV1704" s="68"/>
      <c r="BW1704" s="68"/>
      <c r="BX1704" s="68"/>
      <c r="BY1704" s="68"/>
      <c r="BZ1704" s="68"/>
      <c r="CA1704" s="68"/>
      <c r="CB1704" s="68"/>
      <c r="CC1704" s="68"/>
      <c r="CD1704" s="68"/>
      <c r="CE1704" s="68"/>
      <c r="CF1704" s="68"/>
      <c r="CG1704" s="68"/>
      <c r="CH1704" s="68"/>
      <c r="CI1704" s="68"/>
      <c r="CJ1704" s="68"/>
      <c r="CK1704" s="68"/>
      <c r="CL1704" s="68"/>
      <c r="CM1704" s="68"/>
      <c r="CN1704" s="68"/>
      <c r="CO1704" s="68"/>
      <c r="CP1704" s="68"/>
    </row>
    <row r="1705" ht="15.75" customHeight="1">
      <c r="A1705" s="892" t="s">
        <v>7940</v>
      </c>
      <c r="B1705" s="115"/>
      <c r="C1705" s="116" t="s">
        <v>123</v>
      </c>
      <c r="D1705" s="540" t="s">
        <v>7941</v>
      </c>
      <c r="E1705" s="667"/>
      <c r="F1705" s="118" t="s">
        <v>7942</v>
      </c>
      <c r="G1705" s="54" t="s">
        <v>7943</v>
      </c>
      <c r="H1705" s="119" t="s">
        <v>1935</v>
      </c>
      <c r="I1705" s="25" t="s">
        <v>639</v>
      </c>
      <c r="J1705" s="178" t="s">
        <v>7944</v>
      </c>
      <c r="K1705" s="123"/>
      <c r="L1705" s="123"/>
      <c r="M1705" s="25">
        <f t="shared" si="789"/>
        <v>2025</v>
      </c>
      <c r="N1705" s="26">
        <f t="shared" si="790"/>
        <v>0</v>
      </c>
      <c r="O1705" s="27" t="str">
        <f t="shared" si="3"/>
        <v>#N/A</v>
      </c>
      <c r="P1705" s="28"/>
      <c r="Q1705" s="28"/>
      <c r="R1705" s="28"/>
      <c r="S1705" s="28"/>
      <c r="T1705" s="29">
        <f t="shared" si="791"/>
        <v>0</v>
      </c>
      <c r="U1705" s="28"/>
      <c r="V1705" s="30">
        <f t="shared" si="425"/>
        <v>0</v>
      </c>
      <c r="W1705" s="30"/>
      <c r="X1705" s="403"/>
      <c r="Y1705" s="33" t="str">
        <f t="shared" si="792"/>
        <v>#DIV/0!</v>
      </c>
      <c r="Z1705" s="692"/>
      <c r="AA1705" s="665"/>
      <c r="AB1705" s="123"/>
      <c r="AC1705" s="123"/>
      <c r="AD1705" s="124"/>
      <c r="AE1705" s="125"/>
      <c r="AF1705" s="166"/>
      <c r="AG1705" s="125"/>
      <c r="AH1705" s="123"/>
      <c r="AI1705" s="128"/>
      <c r="AJ1705" s="124"/>
      <c r="AK1705" s="125"/>
      <c r="AL1705" s="124"/>
      <c r="AM1705" s="125"/>
      <c r="AN1705" s="124"/>
      <c r="AO1705" s="125"/>
      <c r="AP1705" s="124"/>
      <c r="AQ1705" s="125"/>
      <c r="AR1705" s="124"/>
      <c r="AS1705" s="124"/>
      <c r="AT1705" s="124"/>
      <c r="AU1705" s="137"/>
      <c r="AV1705" s="124"/>
      <c r="AW1705" s="38"/>
      <c r="AX1705" s="124"/>
      <c r="AY1705" s="38"/>
      <c r="AZ1705" s="124"/>
      <c r="BA1705" s="137"/>
      <c r="BB1705" s="124"/>
      <c r="BC1705" s="137"/>
      <c r="BD1705" s="124"/>
      <c r="BE1705" s="38"/>
      <c r="BF1705" s="123"/>
      <c r="BG1705" s="115"/>
      <c r="BH1705" s="115"/>
      <c r="BI1705" s="115"/>
      <c r="BJ1705" s="115"/>
      <c r="BK1705" s="115"/>
      <c r="BL1705" s="115"/>
      <c r="BM1705" s="115"/>
      <c r="BN1705" s="115"/>
      <c r="BO1705" s="115"/>
      <c r="BP1705" s="115"/>
      <c r="BQ1705" s="115"/>
      <c r="BR1705" s="115"/>
      <c r="BS1705" s="115"/>
      <c r="BT1705" s="115"/>
      <c r="BU1705" s="115"/>
      <c r="BV1705" s="115"/>
      <c r="BW1705" s="115"/>
      <c r="BX1705" s="115"/>
      <c r="BY1705" s="115"/>
      <c r="BZ1705" s="115"/>
      <c r="CA1705" s="115"/>
      <c r="CB1705" s="115"/>
      <c r="CC1705" s="115"/>
      <c r="CD1705" s="115"/>
      <c r="CE1705" s="115"/>
      <c r="CF1705" s="115"/>
      <c r="CG1705" s="115"/>
      <c r="CH1705" s="115"/>
      <c r="CI1705" s="115"/>
      <c r="CJ1705" s="115"/>
      <c r="CK1705" s="115"/>
      <c r="CL1705" s="115"/>
      <c r="CM1705" s="115"/>
      <c r="CN1705" s="115"/>
      <c r="CO1705" s="115"/>
      <c r="CP1705" s="115"/>
    </row>
    <row r="1706" ht="15.75" customHeight="1">
      <c r="A1706" s="21" t="s">
        <v>7945</v>
      </c>
      <c r="B1706" s="68"/>
      <c r="C1706" s="69" t="s">
        <v>123</v>
      </c>
      <c r="D1706" s="200" t="s">
        <v>7946</v>
      </c>
      <c r="E1706" s="184"/>
      <c r="F1706" s="173" t="s">
        <v>7947</v>
      </c>
      <c r="G1706" s="751" t="s">
        <v>7948</v>
      </c>
      <c r="H1706" s="140" t="s">
        <v>6603</v>
      </c>
      <c r="I1706" s="26" t="s">
        <v>188</v>
      </c>
      <c r="J1706" s="72" t="s">
        <v>7949</v>
      </c>
      <c r="K1706" s="74" t="s">
        <v>723</v>
      </c>
      <c r="L1706" s="74" t="s">
        <v>723</v>
      </c>
      <c r="M1706" s="25" t="str">
        <f t="shared" si="789"/>
        <v>#VALUE!</v>
      </c>
      <c r="N1706" s="26">
        <f t="shared" si="790"/>
        <v>0</v>
      </c>
      <c r="O1706" s="27" t="str">
        <f t="shared" si="3"/>
        <v>#N/A</v>
      </c>
      <c r="P1706" s="28"/>
      <c r="Q1706" s="28"/>
      <c r="R1706" s="28"/>
      <c r="S1706" s="28"/>
      <c r="T1706" s="28" t="str">
        <f t="shared" si="791"/>
        <v>#VALUE!</v>
      </c>
      <c r="U1706" s="28"/>
      <c r="V1706" s="30">
        <f t="shared" si="425"/>
        <v>0</v>
      </c>
      <c r="W1706" s="30"/>
      <c r="X1706" s="32"/>
      <c r="Y1706" s="33" t="str">
        <f t="shared" si="792"/>
        <v>#DIV/0!</v>
      </c>
      <c r="Z1706" s="692"/>
      <c r="AA1706" s="665"/>
      <c r="AB1706" s="74"/>
      <c r="AC1706" s="74"/>
      <c r="AD1706" s="79"/>
      <c r="AE1706" s="84"/>
      <c r="AF1706" s="338"/>
      <c r="AG1706" s="84"/>
      <c r="AH1706" s="74"/>
      <c r="AI1706" s="78"/>
      <c r="AJ1706" s="79"/>
      <c r="AK1706" s="84"/>
      <c r="AL1706" s="79"/>
      <c r="AM1706" s="84"/>
      <c r="AN1706" s="79"/>
      <c r="AO1706" s="84"/>
      <c r="AP1706" s="79"/>
      <c r="AQ1706" s="84"/>
      <c r="AR1706" s="79"/>
      <c r="AS1706" s="79"/>
      <c r="AT1706" s="79"/>
      <c r="AU1706" s="80"/>
      <c r="AV1706" s="79"/>
      <c r="AW1706" s="38"/>
      <c r="AX1706" s="79"/>
      <c r="AY1706" s="38"/>
      <c r="AZ1706" s="79"/>
      <c r="BA1706" s="80"/>
      <c r="BB1706" s="79"/>
      <c r="BC1706" s="80"/>
      <c r="BD1706" s="79"/>
      <c r="BE1706" s="38"/>
      <c r="BF1706" s="74"/>
      <c r="BG1706" s="115"/>
      <c r="BH1706" s="115"/>
      <c r="BI1706" s="115"/>
      <c r="BJ1706" s="115"/>
      <c r="BK1706" s="115"/>
      <c r="BL1706" s="115"/>
      <c r="BM1706" s="115"/>
      <c r="BN1706" s="115"/>
      <c r="BO1706" s="115"/>
      <c r="BP1706" s="115"/>
      <c r="BQ1706" s="115"/>
      <c r="BR1706" s="115"/>
      <c r="BS1706" s="115"/>
      <c r="BT1706" s="115"/>
      <c r="BU1706" s="115"/>
      <c r="BV1706" s="115"/>
      <c r="BW1706" s="115"/>
      <c r="BX1706" s="115"/>
      <c r="BY1706" s="115"/>
      <c r="BZ1706" s="115"/>
      <c r="CA1706" s="115"/>
      <c r="CB1706" s="115"/>
      <c r="CC1706" s="115"/>
      <c r="CD1706" s="115"/>
      <c r="CE1706" s="115"/>
      <c r="CF1706" s="115"/>
      <c r="CG1706" s="115"/>
      <c r="CH1706" s="115"/>
      <c r="CI1706" s="115"/>
      <c r="CJ1706" s="115"/>
      <c r="CK1706" s="115"/>
      <c r="CL1706" s="115"/>
      <c r="CM1706" s="115"/>
      <c r="CN1706" s="115"/>
      <c r="CO1706" s="115"/>
      <c r="CP1706" s="115"/>
    </row>
    <row r="1707" ht="15.75" customHeight="1">
      <c r="A1707" s="860" t="s">
        <v>7950</v>
      </c>
      <c r="B1707" s="68"/>
      <c r="C1707" s="69" t="s">
        <v>123</v>
      </c>
      <c r="D1707" s="269"/>
      <c r="E1707" s="192" t="s">
        <v>7951</v>
      </c>
      <c r="F1707" s="118" t="s">
        <v>7952</v>
      </c>
      <c r="G1707" s="751"/>
      <c r="H1707" s="71" t="s">
        <v>129</v>
      </c>
      <c r="I1707" s="26" t="s">
        <v>129</v>
      </c>
      <c r="J1707" s="72"/>
      <c r="K1707" s="26"/>
      <c r="L1707" s="26">
        <v>2002.0</v>
      </c>
      <c r="M1707" s="25">
        <f t="shared" si="789"/>
        <v>23</v>
      </c>
      <c r="N1707" s="26">
        <f t="shared" si="790"/>
        <v>0</v>
      </c>
      <c r="O1707" s="27" t="str">
        <f t="shared" si="3"/>
        <v>#N/A</v>
      </c>
      <c r="P1707" s="28"/>
      <c r="Q1707" s="28"/>
      <c r="R1707" s="28"/>
      <c r="S1707" s="28"/>
      <c r="T1707" s="29">
        <f t="shared" si="791"/>
        <v>0</v>
      </c>
      <c r="U1707" s="28"/>
      <c r="V1707" s="30">
        <f t="shared" si="425"/>
        <v>0</v>
      </c>
      <c r="W1707" s="30"/>
      <c r="X1707" s="73"/>
      <c r="Y1707" s="33" t="str">
        <f t="shared" si="792"/>
        <v>#DIV/0!</v>
      </c>
      <c r="Z1707" s="692"/>
      <c r="AA1707" s="665"/>
      <c r="AB1707" s="74"/>
      <c r="AC1707" s="74"/>
      <c r="AD1707" s="79"/>
      <c r="AE1707" s="84"/>
      <c r="AF1707" s="338"/>
      <c r="AG1707" s="76"/>
      <c r="AH1707" s="74"/>
      <c r="AI1707" s="78"/>
      <c r="AJ1707" s="79"/>
      <c r="AK1707" s="84"/>
      <c r="AL1707" s="79"/>
      <c r="AM1707" s="76"/>
      <c r="AN1707" s="79"/>
      <c r="AO1707" s="76"/>
      <c r="AP1707" s="79"/>
      <c r="AQ1707" s="84"/>
      <c r="AR1707" s="79"/>
      <c r="AS1707" s="79"/>
      <c r="AT1707" s="79"/>
      <c r="AU1707" s="80"/>
      <c r="AV1707" s="79"/>
      <c r="AW1707" s="38"/>
      <c r="AX1707" s="79"/>
      <c r="AY1707" s="38"/>
      <c r="AZ1707" s="79"/>
      <c r="BA1707" s="80"/>
      <c r="BB1707" s="79"/>
      <c r="BC1707" s="80"/>
      <c r="BD1707" s="79"/>
      <c r="BE1707" s="38"/>
      <c r="BF1707" s="74"/>
      <c r="BG1707" s="68"/>
      <c r="BH1707" s="68"/>
      <c r="BI1707" s="68"/>
      <c r="BJ1707" s="68"/>
      <c r="BK1707" s="68"/>
      <c r="BL1707" s="68"/>
      <c r="BM1707" s="68"/>
      <c r="BN1707" s="68"/>
      <c r="BO1707" s="68"/>
      <c r="BP1707" s="68"/>
      <c r="BQ1707" s="68"/>
      <c r="BR1707" s="68"/>
      <c r="BS1707" s="68"/>
      <c r="BT1707" s="68"/>
      <c r="BU1707" s="68"/>
      <c r="BV1707" s="68"/>
      <c r="BW1707" s="68"/>
      <c r="BX1707" s="68"/>
      <c r="BY1707" s="68"/>
      <c r="BZ1707" s="68"/>
      <c r="CA1707" s="68"/>
      <c r="CB1707" s="68"/>
      <c r="CC1707" s="68"/>
      <c r="CD1707" s="68"/>
      <c r="CE1707" s="68"/>
      <c r="CF1707" s="68"/>
      <c r="CG1707" s="68"/>
      <c r="CH1707" s="68"/>
      <c r="CI1707" s="68"/>
      <c r="CJ1707" s="68"/>
      <c r="CK1707" s="68"/>
      <c r="CL1707" s="68"/>
      <c r="CM1707" s="68"/>
      <c r="CN1707" s="68"/>
      <c r="CO1707" s="68"/>
      <c r="CP1707" s="68"/>
    </row>
    <row r="1708" ht="15.75" customHeight="1">
      <c r="A1708" s="860" t="s">
        <v>7953</v>
      </c>
      <c r="B1708" s="116"/>
      <c r="C1708" s="116" t="s">
        <v>1007</v>
      </c>
      <c r="D1708" s="192" t="s">
        <v>7954</v>
      </c>
      <c r="E1708" s="192" t="s">
        <v>7955</v>
      </c>
      <c r="F1708" s="118" t="s">
        <v>7956</v>
      </c>
      <c r="G1708" s="119"/>
      <c r="H1708" s="119" t="s">
        <v>128</v>
      </c>
      <c r="I1708" s="26" t="s">
        <v>129</v>
      </c>
      <c r="J1708" s="120"/>
      <c r="K1708" s="25"/>
      <c r="L1708" s="25"/>
      <c r="M1708" s="25">
        <f t="shared" si="789"/>
        <v>2025</v>
      </c>
      <c r="N1708" s="26">
        <f t="shared" si="790"/>
        <v>0</v>
      </c>
      <c r="O1708" s="27" t="str">
        <f t="shared" si="3"/>
        <v>#N/A</v>
      </c>
      <c r="P1708" s="28"/>
      <c r="Q1708" s="28"/>
      <c r="R1708" s="28"/>
      <c r="S1708" s="28"/>
      <c r="T1708" s="29">
        <f t="shared" si="791"/>
        <v>0</v>
      </c>
      <c r="U1708" s="28"/>
      <c r="V1708" s="30">
        <f t="shared" si="425"/>
        <v>0</v>
      </c>
      <c r="W1708" s="30"/>
      <c r="X1708" s="597"/>
      <c r="Y1708" s="33" t="str">
        <f t="shared" si="792"/>
        <v>#DIV/0!</v>
      </c>
      <c r="Z1708" s="692"/>
      <c r="AA1708" s="665"/>
      <c r="AB1708" s="123"/>
      <c r="AC1708" s="123"/>
      <c r="AD1708" s="124"/>
      <c r="AE1708" s="125"/>
      <c r="AF1708" s="166"/>
      <c r="AG1708" s="127"/>
      <c r="AH1708" s="1089"/>
      <c r="AI1708" s="128"/>
      <c r="AJ1708" s="169"/>
      <c r="AK1708" s="127"/>
      <c r="AL1708" s="169"/>
      <c r="AM1708" s="165"/>
      <c r="AN1708" s="124"/>
      <c r="AO1708" s="125"/>
      <c r="AP1708" s="124"/>
      <c r="AQ1708" s="125"/>
      <c r="AR1708" s="124"/>
      <c r="AS1708" s="124"/>
      <c r="AT1708" s="124"/>
      <c r="AU1708" s="137"/>
      <c r="AV1708" s="124"/>
      <c r="AW1708" s="38"/>
      <c r="AX1708" s="124"/>
      <c r="AY1708" s="38"/>
      <c r="AZ1708" s="124"/>
      <c r="BA1708" s="137"/>
      <c r="BB1708" s="124"/>
      <c r="BC1708" s="137"/>
      <c r="BD1708" s="124"/>
      <c r="BE1708" s="38"/>
      <c r="BF1708" s="123"/>
      <c r="BG1708" s="115"/>
      <c r="BH1708" s="115"/>
      <c r="BI1708" s="115"/>
      <c r="BJ1708" s="115"/>
      <c r="BK1708" s="115"/>
      <c r="BL1708" s="115"/>
      <c r="BM1708" s="115"/>
      <c r="BN1708" s="115"/>
      <c r="BO1708" s="115"/>
      <c r="BP1708" s="115"/>
      <c r="BQ1708" s="115"/>
      <c r="BR1708" s="115"/>
      <c r="BS1708" s="115"/>
      <c r="BT1708" s="115"/>
      <c r="BU1708" s="115"/>
      <c r="BV1708" s="115"/>
      <c r="BW1708" s="115"/>
      <c r="BX1708" s="115"/>
      <c r="BY1708" s="115"/>
      <c r="BZ1708" s="115"/>
      <c r="CA1708" s="115"/>
      <c r="CB1708" s="115"/>
      <c r="CC1708" s="115"/>
      <c r="CD1708" s="115"/>
      <c r="CE1708" s="115"/>
      <c r="CF1708" s="115"/>
      <c r="CG1708" s="115"/>
      <c r="CH1708" s="115"/>
      <c r="CI1708" s="115"/>
      <c r="CJ1708" s="115"/>
      <c r="CK1708" s="115"/>
      <c r="CL1708" s="115"/>
      <c r="CM1708" s="115"/>
      <c r="CN1708" s="115"/>
      <c r="CO1708" s="115"/>
      <c r="CP1708" s="115"/>
    </row>
    <row r="1709" ht="15.75" customHeight="1">
      <c r="A1709" s="860" t="s">
        <v>7957</v>
      </c>
      <c r="B1709" s="68"/>
      <c r="C1709" s="69" t="s">
        <v>427</v>
      </c>
      <c r="D1709" s="48"/>
      <c r="E1709" s="192" t="s">
        <v>7958</v>
      </c>
      <c r="F1709" s="118" t="s">
        <v>7959</v>
      </c>
      <c r="G1709" s="186"/>
      <c r="H1709" s="71" t="s">
        <v>7960</v>
      </c>
      <c r="I1709" s="26"/>
      <c r="J1709" s="155"/>
      <c r="K1709" s="74"/>
      <c r="L1709" s="26">
        <v>2019.0</v>
      </c>
      <c r="M1709" s="25">
        <f t="shared" si="789"/>
        <v>6</v>
      </c>
      <c r="N1709" s="26">
        <f t="shared" si="790"/>
        <v>0</v>
      </c>
      <c r="O1709" s="27" t="str">
        <f t="shared" si="3"/>
        <v>#N/A</v>
      </c>
      <c r="P1709" s="28"/>
      <c r="Q1709" s="28"/>
      <c r="R1709" s="28"/>
      <c r="S1709" s="28"/>
      <c r="T1709" s="29">
        <f t="shared" si="791"/>
        <v>0</v>
      </c>
      <c r="U1709" s="28"/>
      <c r="V1709" s="30">
        <f t="shared" si="425"/>
        <v>0</v>
      </c>
      <c r="W1709" s="30"/>
      <c r="X1709" s="32"/>
      <c r="Y1709" s="33" t="str">
        <f t="shared" si="792"/>
        <v>#DIV/0!</v>
      </c>
      <c r="Z1709" s="692"/>
      <c r="AA1709" s="665"/>
      <c r="AB1709" s="74"/>
      <c r="AC1709" s="74"/>
      <c r="AD1709" s="279"/>
      <c r="AE1709" s="76"/>
      <c r="AF1709" s="338"/>
      <c r="AG1709" s="76"/>
      <c r="AH1709" s="74"/>
      <c r="AI1709" s="78"/>
      <c r="AJ1709" s="79"/>
      <c r="AK1709" s="84"/>
      <c r="AL1709" s="79"/>
      <c r="AM1709" s="84"/>
      <c r="AN1709" s="79"/>
      <c r="AO1709" s="84"/>
      <c r="AP1709" s="79"/>
      <c r="AQ1709" s="84"/>
      <c r="AR1709" s="79"/>
      <c r="AS1709" s="79"/>
      <c r="AT1709" s="79"/>
      <c r="AU1709" s="80"/>
      <c r="AV1709" s="79"/>
      <c r="AW1709" s="38"/>
      <c r="AX1709" s="79"/>
      <c r="AY1709" s="38"/>
      <c r="AZ1709" s="79"/>
      <c r="BA1709" s="80"/>
      <c r="BB1709" s="79"/>
      <c r="BC1709" s="80"/>
      <c r="BD1709" s="79"/>
      <c r="BE1709" s="38"/>
      <c r="BF1709" s="74"/>
      <c r="BG1709" s="115"/>
      <c r="BH1709" s="115"/>
      <c r="BI1709" s="115"/>
      <c r="BJ1709" s="115"/>
      <c r="BK1709" s="115"/>
      <c r="BL1709" s="115"/>
      <c r="BM1709" s="115"/>
      <c r="BN1709" s="115"/>
      <c r="BO1709" s="115"/>
      <c r="BP1709" s="115"/>
      <c r="BQ1709" s="115"/>
      <c r="BR1709" s="115"/>
      <c r="BS1709" s="115"/>
      <c r="BT1709" s="115"/>
      <c r="BU1709" s="115"/>
      <c r="BV1709" s="115"/>
      <c r="BW1709" s="115"/>
      <c r="BX1709" s="115"/>
      <c r="BY1709" s="115"/>
      <c r="BZ1709" s="115"/>
      <c r="CA1709" s="115"/>
      <c r="CB1709" s="115"/>
      <c r="CC1709" s="115"/>
      <c r="CD1709" s="115"/>
      <c r="CE1709" s="115"/>
      <c r="CF1709" s="115"/>
      <c r="CG1709" s="115"/>
      <c r="CH1709" s="115"/>
      <c r="CI1709" s="115"/>
      <c r="CJ1709" s="115"/>
      <c r="CK1709" s="115"/>
      <c r="CL1709" s="115"/>
      <c r="CM1709" s="115"/>
      <c r="CN1709" s="115"/>
      <c r="CO1709" s="115"/>
      <c r="CP1709" s="115"/>
    </row>
    <row r="1710" ht="15.75" customHeight="1">
      <c r="A1710" s="1805" t="s">
        <v>7961</v>
      </c>
      <c r="B1710" s="1407"/>
      <c r="C1710" s="1463" t="s">
        <v>132</v>
      </c>
      <c r="D1710" s="1774" t="s">
        <v>4781</v>
      </c>
      <c r="E1710" s="1777" t="s">
        <v>4781</v>
      </c>
      <c r="F1710" s="1721" t="s">
        <v>7962</v>
      </c>
      <c r="G1710" s="1467" t="s">
        <v>7963</v>
      </c>
      <c r="H1710" s="1468" t="s">
        <v>365</v>
      </c>
      <c r="I1710" s="1469" t="s">
        <v>65</v>
      </c>
      <c r="J1710" s="1470" t="s">
        <v>7964</v>
      </c>
      <c r="K1710" s="1469">
        <v>1.0</v>
      </c>
      <c r="L1710" s="1469">
        <v>2016.0</v>
      </c>
      <c r="M1710" s="25">
        <f t="shared" si="789"/>
        <v>9</v>
      </c>
      <c r="N1710" s="26">
        <f t="shared" si="790"/>
        <v>0</v>
      </c>
      <c r="O1710" s="27" t="str">
        <f t="shared" si="3"/>
        <v>#N/A</v>
      </c>
      <c r="P1710" s="28"/>
      <c r="Q1710" s="28"/>
      <c r="R1710" s="28"/>
      <c r="S1710" s="28"/>
      <c r="T1710" s="29">
        <f t="shared" si="791"/>
        <v>0</v>
      </c>
      <c r="U1710" s="28"/>
      <c r="V1710" s="30">
        <f t="shared" si="425"/>
        <v>0</v>
      </c>
      <c r="W1710" s="30"/>
      <c r="X1710" s="1473"/>
      <c r="Y1710" s="33" t="str">
        <f t="shared" si="792"/>
        <v>#DIV/0!</v>
      </c>
      <c r="Z1710" s="692"/>
      <c r="AA1710" s="665"/>
      <c r="AB1710" s="1474"/>
      <c r="AC1710" s="1474"/>
      <c r="AD1710" s="1715"/>
      <c r="AE1710" s="1476"/>
      <c r="AF1710" s="1722"/>
      <c r="AG1710" s="1476"/>
      <c r="AH1710" s="1474"/>
      <c r="AI1710" s="1479"/>
      <c r="AJ1710" s="1482"/>
      <c r="AK1710" s="1717"/>
      <c r="AL1710" s="1482"/>
      <c r="AM1710" s="1717"/>
      <c r="AN1710" s="1482"/>
      <c r="AO1710" s="1717"/>
      <c r="AP1710" s="1482"/>
      <c r="AQ1710" s="1717"/>
      <c r="AR1710" s="1482"/>
      <c r="AS1710" s="1482"/>
      <c r="AT1710" s="1482"/>
      <c r="AU1710" s="1483"/>
      <c r="AV1710" s="1482"/>
      <c r="AW1710" s="38"/>
      <c r="AX1710" s="1482"/>
      <c r="AY1710" s="38"/>
      <c r="AZ1710" s="1482"/>
      <c r="BA1710" s="1483"/>
      <c r="BB1710" s="1482"/>
      <c r="BC1710" s="1483"/>
      <c r="BD1710" s="1482"/>
      <c r="BE1710" s="38"/>
      <c r="BF1710" s="1474"/>
      <c r="BG1710" s="115"/>
      <c r="BH1710" s="115"/>
      <c r="BI1710" s="115"/>
      <c r="BJ1710" s="115"/>
      <c r="BK1710" s="115"/>
      <c r="BL1710" s="115"/>
      <c r="BM1710" s="115"/>
      <c r="BN1710" s="115"/>
      <c r="BO1710" s="115"/>
      <c r="BP1710" s="115"/>
      <c r="BQ1710" s="115"/>
      <c r="BR1710" s="115"/>
      <c r="BS1710" s="115"/>
      <c r="BT1710" s="115"/>
      <c r="BU1710" s="115"/>
      <c r="BV1710" s="115"/>
      <c r="BW1710" s="115"/>
      <c r="BX1710" s="115"/>
      <c r="BY1710" s="115"/>
      <c r="BZ1710" s="115"/>
      <c r="CA1710" s="115"/>
      <c r="CB1710" s="115"/>
      <c r="CC1710" s="115"/>
      <c r="CD1710" s="115"/>
      <c r="CE1710" s="115"/>
      <c r="CF1710" s="115"/>
      <c r="CG1710" s="115"/>
      <c r="CH1710" s="115"/>
      <c r="CI1710" s="115"/>
      <c r="CJ1710" s="115"/>
      <c r="CK1710" s="115"/>
      <c r="CL1710" s="115"/>
      <c r="CM1710" s="115"/>
      <c r="CN1710" s="115"/>
      <c r="CO1710" s="115"/>
      <c r="CP1710" s="115"/>
    </row>
    <row r="1711" ht="15.75" customHeight="1">
      <c r="A1711" s="21" t="s">
        <v>7965</v>
      </c>
      <c r="B1711" s="68"/>
      <c r="C1711" s="69" t="s">
        <v>132</v>
      </c>
      <c r="D1711" s="337"/>
      <c r="E1711" s="200" t="s">
        <v>7966</v>
      </c>
      <c r="F1711" s="173" t="s">
        <v>7967</v>
      </c>
      <c r="G1711" s="71" t="s">
        <v>7968</v>
      </c>
      <c r="H1711" s="71" t="s">
        <v>365</v>
      </c>
      <c r="I1711" s="26" t="s">
        <v>65</v>
      </c>
      <c r="J1711" s="72" t="s">
        <v>7969</v>
      </c>
      <c r="K1711" s="26">
        <v>1.0</v>
      </c>
      <c r="L1711" s="26">
        <v>2016.0</v>
      </c>
      <c r="M1711" s="25">
        <f t="shared" si="789"/>
        <v>9</v>
      </c>
      <c r="N1711" s="26">
        <f t="shared" si="790"/>
        <v>0</v>
      </c>
      <c r="O1711" s="27" t="str">
        <f t="shared" si="3"/>
        <v>#N/A</v>
      </c>
      <c r="P1711" s="28"/>
      <c r="Q1711" s="28"/>
      <c r="R1711" s="28"/>
      <c r="S1711" s="28"/>
      <c r="T1711" s="29">
        <f t="shared" si="791"/>
        <v>0</v>
      </c>
      <c r="U1711" s="28"/>
      <c r="V1711" s="30">
        <f t="shared" si="425"/>
        <v>0</v>
      </c>
      <c r="W1711" s="30"/>
      <c r="X1711" s="73"/>
      <c r="Y1711" s="33" t="str">
        <f t="shared" si="792"/>
        <v>#DIV/0!</v>
      </c>
      <c r="Z1711" s="692"/>
      <c r="AA1711" s="665"/>
      <c r="AB1711" s="74"/>
      <c r="AC1711" s="74"/>
      <c r="AD1711" s="79"/>
      <c r="AE1711" s="84"/>
      <c r="AF1711" s="338"/>
      <c r="AG1711" s="84"/>
      <c r="AH1711" s="74"/>
      <c r="AI1711" s="78"/>
      <c r="AJ1711" s="79"/>
      <c r="AK1711" s="84"/>
      <c r="AL1711" s="79"/>
      <c r="AM1711" s="84"/>
      <c r="AN1711" s="79"/>
      <c r="AO1711" s="84"/>
      <c r="AP1711" s="79"/>
      <c r="AQ1711" s="84"/>
      <c r="AR1711" s="79"/>
      <c r="AS1711" s="79"/>
      <c r="AT1711" s="79"/>
      <c r="AU1711" s="80"/>
      <c r="AV1711" s="79"/>
      <c r="AW1711" s="38"/>
      <c r="AX1711" s="79"/>
      <c r="AY1711" s="38"/>
      <c r="AZ1711" s="79"/>
      <c r="BA1711" s="80"/>
      <c r="BB1711" s="79"/>
      <c r="BC1711" s="80"/>
      <c r="BD1711" s="79"/>
      <c r="BE1711" s="38"/>
      <c r="BF1711" s="74"/>
      <c r="BG1711" s="115"/>
      <c r="BH1711" s="115"/>
      <c r="BI1711" s="115"/>
      <c r="BJ1711" s="115"/>
      <c r="BK1711" s="115"/>
      <c r="BL1711" s="115"/>
      <c r="BM1711" s="115"/>
      <c r="BN1711" s="115"/>
      <c r="BO1711" s="115"/>
      <c r="BP1711" s="115"/>
      <c r="BQ1711" s="115"/>
      <c r="BR1711" s="115"/>
      <c r="BS1711" s="115"/>
      <c r="BT1711" s="115"/>
      <c r="BU1711" s="115"/>
      <c r="BV1711" s="115"/>
      <c r="BW1711" s="115"/>
      <c r="BX1711" s="115"/>
      <c r="BY1711" s="115"/>
      <c r="BZ1711" s="115"/>
      <c r="CA1711" s="115"/>
      <c r="CB1711" s="115"/>
      <c r="CC1711" s="115"/>
      <c r="CD1711" s="115"/>
      <c r="CE1711" s="115"/>
      <c r="CF1711" s="115"/>
      <c r="CG1711" s="115"/>
      <c r="CH1711" s="115"/>
      <c r="CI1711" s="115"/>
      <c r="CJ1711" s="115"/>
      <c r="CK1711" s="115"/>
      <c r="CL1711" s="115"/>
      <c r="CM1711" s="115"/>
      <c r="CN1711" s="115"/>
      <c r="CO1711" s="115"/>
      <c r="CP1711" s="115"/>
    </row>
    <row r="1712" ht="15.75" customHeight="1">
      <c r="A1712" s="21" t="s">
        <v>7970</v>
      </c>
      <c r="B1712" s="68"/>
      <c r="C1712" s="69" t="s">
        <v>132</v>
      </c>
      <c r="D1712" s="337"/>
      <c r="E1712" s="200" t="s">
        <v>7971</v>
      </c>
      <c r="F1712" s="173" t="s">
        <v>7972</v>
      </c>
      <c r="G1712" s="71" t="s">
        <v>5473</v>
      </c>
      <c r="H1712" s="186"/>
      <c r="I1712" s="74"/>
      <c r="J1712" s="155"/>
      <c r="K1712" s="26">
        <v>3.0</v>
      </c>
      <c r="L1712" s="26">
        <v>2018.0</v>
      </c>
      <c r="M1712" s="25">
        <f t="shared" si="789"/>
        <v>7</v>
      </c>
      <c r="N1712" s="26">
        <f t="shared" si="790"/>
        <v>0</v>
      </c>
      <c r="O1712" s="27" t="str">
        <f t="shared" si="3"/>
        <v>#N/A</v>
      </c>
      <c r="P1712" s="28"/>
      <c r="Q1712" s="28"/>
      <c r="R1712" s="28"/>
      <c r="S1712" s="28"/>
      <c r="T1712" s="29">
        <f t="shared" si="791"/>
        <v>0</v>
      </c>
      <c r="U1712" s="28"/>
      <c r="V1712" s="30">
        <f t="shared" si="425"/>
        <v>0</v>
      </c>
      <c r="W1712" s="30"/>
      <c r="X1712" s="73"/>
      <c r="Y1712" s="33" t="str">
        <f t="shared" si="792"/>
        <v>#DIV/0!</v>
      </c>
      <c r="Z1712" s="692"/>
      <c r="AA1712" s="665"/>
      <c r="AB1712" s="74"/>
      <c r="AC1712" s="74"/>
      <c r="AD1712" s="79"/>
      <c r="AE1712" s="84"/>
      <c r="AF1712" s="338"/>
      <c r="AG1712" s="84"/>
      <c r="AH1712" s="74"/>
      <c r="AI1712" s="78"/>
      <c r="AJ1712" s="79"/>
      <c r="AK1712" s="84"/>
      <c r="AL1712" s="79"/>
      <c r="AM1712" s="84"/>
      <c r="AN1712" s="79"/>
      <c r="AO1712" s="84"/>
      <c r="AP1712" s="79"/>
      <c r="AQ1712" s="84"/>
      <c r="AR1712" s="79"/>
      <c r="AS1712" s="79"/>
      <c r="AT1712" s="79"/>
      <c r="AU1712" s="80"/>
      <c r="AV1712" s="79"/>
      <c r="AW1712" s="38"/>
      <c r="AX1712" s="79"/>
      <c r="AY1712" s="38"/>
      <c r="AZ1712" s="79"/>
      <c r="BA1712" s="80"/>
      <c r="BB1712" s="79"/>
      <c r="BC1712" s="80"/>
      <c r="BD1712" s="79"/>
      <c r="BE1712" s="38"/>
      <c r="BF1712" s="74"/>
      <c r="BG1712" s="115"/>
      <c r="BH1712" s="115"/>
      <c r="BI1712" s="115"/>
      <c r="BJ1712" s="115"/>
      <c r="BK1712" s="115"/>
      <c r="BL1712" s="115"/>
      <c r="BM1712" s="115"/>
      <c r="BN1712" s="115"/>
      <c r="BO1712" s="115"/>
      <c r="BP1712" s="115"/>
      <c r="BQ1712" s="115"/>
      <c r="BR1712" s="115"/>
      <c r="BS1712" s="115"/>
      <c r="BT1712" s="115"/>
      <c r="BU1712" s="115"/>
      <c r="BV1712" s="115"/>
      <c r="BW1712" s="115"/>
      <c r="BX1712" s="115"/>
      <c r="BY1712" s="115"/>
      <c r="BZ1712" s="115"/>
      <c r="CA1712" s="115"/>
      <c r="CB1712" s="115"/>
      <c r="CC1712" s="115"/>
      <c r="CD1712" s="115"/>
      <c r="CE1712" s="115"/>
      <c r="CF1712" s="115"/>
      <c r="CG1712" s="115"/>
      <c r="CH1712" s="115"/>
      <c r="CI1712" s="115"/>
      <c r="CJ1712" s="115"/>
      <c r="CK1712" s="115"/>
      <c r="CL1712" s="115"/>
      <c r="CM1712" s="115"/>
      <c r="CN1712" s="115"/>
      <c r="CO1712" s="115"/>
      <c r="CP1712" s="115"/>
    </row>
    <row r="1713" ht="15.75" customHeight="1">
      <c r="A1713" s="860" t="s">
        <v>7973</v>
      </c>
      <c r="B1713" s="115"/>
      <c r="C1713" s="116" t="s">
        <v>123</v>
      </c>
      <c r="D1713" s="161" t="s">
        <v>7974</v>
      </c>
      <c r="E1713" s="731"/>
      <c r="F1713" s="386" t="s">
        <v>7975</v>
      </c>
      <c r="G1713" s="119" t="s">
        <v>7976</v>
      </c>
      <c r="H1713" s="119" t="s">
        <v>6683</v>
      </c>
      <c r="I1713" s="25" t="s">
        <v>1384</v>
      </c>
      <c r="J1713" s="178" t="s">
        <v>7977</v>
      </c>
      <c r="K1713" s="25"/>
      <c r="L1713" s="25">
        <v>2013.0</v>
      </c>
      <c r="M1713" s="25">
        <f t="shared" si="789"/>
        <v>12</v>
      </c>
      <c r="N1713" s="26">
        <f t="shared" si="790"/>
        <v>0</v>
      </c>
      <c r="O1713" s="27" t="str">
        <f t="shared" si="3"/>
        <v>#N/A</v>
      </c>
      <c r="P1713" s="28"/>
      <c r="Q1713" s="28"/>
      <c r="R1713" s="28"/>
      <c r="S1713" s="28"/>
      <c r="T1713" s="29">
        <f t="shared" si="791"/>
        <v>0</v>
      </c>
      <c r="U1713" s="28"/>
      <c r="V1713" s="30">
        <f t="shared" si="425"/>
        <v>0</v>
      </c>
      <c r="W1713" s="30"/>
      <c r="X1713" s="597"/>
      <c r="Y1713" s="33" t="str">
        <f t="shared" si="792"/>
        <v>#DIV/0!</v>
      </c>
      <c r="Z1713" s="692"/>
      <c r="AA1713" s="665"/>
      <c r="AB1713" s="123"/>
      <c r="AC1713" s="123"/>
      <c r="AD1713" s="124"/>
      <c r="AE1713" s="125"/>
      <c r="AF1713" s="166"/>
      <c r="AG1713" s="125"/>
      <c r="AH1713" s="123"/>
      <c r="AI1713" s="128"/>
      <c r="AJ1713" s="124"/>
      <c r="AK1713" s="125"/>
      <c r="AL1713" s="124"/>
      <c r="AM1713" s="125"/>
      <c r="AN1713" s="124"/>
      <c r="AO1713" s="125"/>
      <c r="AP1713" s="124"/>
      <c r="AQ1713" s="125"/>
      <c r="AR1713" s="124"/>
      <c r="AS1713" s="124"/>
      <c r="AT1713" s="124"/>
      <c r="AU1713" s="137"/>
      <c r="AV1713" s="124"/>
      <c r="AW1713" s="38"/>
      <c r="AX1713" s="124"/>
      <c r="AY1713" s="38"/>
      <c r="AZ1713" s="124"/>
      <c r="BA1713" s="137"/>
      <c r="BB1713" s="124"/>
      <c r="BC1713" s="137"/>
      <c r="BD1713" s="124"/>
      <c r="BE1713" s="38"/>
      <c r="BF1713" s="123"/>
      <c r="BG1713" s="115"/>
      <c r="BH1713" s="115"/>
      <c r="BI1713" s="115"/>
      <c r="BJ1713" s="115"/>
      <c r="BK1713" s="115"/>
      <c r="BL1713" s="115"/>
      <c r="BM1713" s="115"/>
      <c r="BN1713" s="115"/>
      <c r="BO1713" s="115"/>
      <c r="BP1713" s="115"/>
      <c r="BQ1713" s="115"/>
      <c r="BR1713" s="115"/>
      <c r="BS1713" s="115"/>
      <c r="BT1713" s="115"/>
      <c r="BU1713" s="115"/>
      <c r="BV1713" s="115"/>
      <c r="BW1713" s="115"/>
      <c r="BX1713" s="115"/>
      <c r="BY1713" s="115"/>
      <c r="BZ1713" s="115"/>
      <c r="CA1713" s="115"/>
      <c r="CB1713" s="115"/>
      <c r="CC1713" s="115"/>
      <c r="CD1713" s="115"/>
      <c r="CE1713" s="115"/>
      <c r="CF1713" s="115"/>
      <c r="CG1713" s="115"/>
      <c r="CH1713" s="115"/>
      <c r="CI1713" s="115"/>
      <c r="CJ1713" s="115"/>
      <c r="CK1713" s="115"/>
      <c r="CL1713" s="115"/>
      <c r="CM1713" s="115"/>
      <c r="CN1713" s="115"/>
      <c r="CO1713" s="115"/>
      <c r="CP1713" s="115"/>
    </row>
    <row r="1714" ht="15.75" customHeight="1">
      <c r="A1714" s="860" t="s">
        <v>7978</v>
      </c>
      <c r="B1714" s="115"/>
      <c r="C1714" s="116" t="s">
        <v>84</v>
      </c>
      <c r="D1714" s="192" t="s">
        <v>7979</v>
      </c>
      <c r="E1714" s="192" t="s">
        <v>7980</v>
      </c>
      <c r="F1714" s="118" t="s">
        <v>7981</v>
      </c>
      <c r="G1714" s="286"/>
      <c r="H1714" s="119" t="s">
        <v>1383</v>
      </c>
      <c r="I1714" s="25" t="s">
        <v>1384</v>
      </c>
      <c r="J1714" s="287"/>
      <c r="K1714" s="25"/>
      <c r="L1714" s="25">
        <v>2015.0</v>
      </c>
      <c r="M1714" s="25">
        <f t="shared" si="789"/>
        <v>10</v>
      </c>
      <c r="N1714" s="26">
        <f t="shared" si="790"/>
        <v>0</v>
      </c>
      <c r="O1714" s="27" t="str">
        <f t="shared" si="3"/>
        <v>#N/A</v>
      </c>
      <c r="P1714" s="28"/>
      <c r="Q1714" s="28"/>
      <c r="R1714" s="28"/>
      <c r="S1714" s="28"/>
      <c r="T1714" s="29">
        <f t="shared" si="791"/>
        <v>0</v>
      </c>
      <c r="U1714" s="28"/>
      <c r="V1714" s="30">
        <f t="shared" si="425"/>
        <v>0</v>
      </c>
      <c r="W1714" s="30"/>
      <c r="X1714" s="597"/>
      <c r="Y1714" s="33" t="str">
        <f t="shared" si="792"/>
        <v>#DIV/0!</v>
      </c>
      <c r="Z1714" s="692"/>
      <c r="AA1714" s="665"/>
      <c r="AB1714" s="123"/>
      <c r="AC1714" s="123"/>
      <c r="AD1714" s="124"/>
      <c r="AE1714" s="125"/>
      <c r="AF1714" s="166"/>
      <c r="AG1714" s="125"/>
      <c r="AH1714" s="123"/>
      <c r="AI1714" s="128"/>
      <c r="AJ1714" s="124"/>
      <c r="AK1714" s="125"/>
      <c r="AL1714" s="124"/>
      <c r="AM1714" s="125"/>
      <c r="AN1714" s="124"/>
      <c r="AO1714" s="125"/>
      <c r="AP1714" s="124"/>
      <c r="AQ1714" s="125"/>
      <c r="AR1714" s="124"/>
      <c r="AS1714" s="124"/>
      <c r="AT1714" s="124"/>
      <c r="AU1714" s="137"/>
      <c r="AV1714" s="124"/>
      <c r="AW1714" s="38"/>
      <c r="AX1714" s="124"/>
      <c r="AY1714" s="38"/>
      <c r="AZ1714" s="124"/>
      <c r="BA1714" s="137"/>
      <c r="BB1714" s="124"/>
      <c r="BC1714" s="137"/>
      <c r="BD1714" s="124"/>
      <c r="BE1714" s="38"/>
      <c r="BF1714" s="123"/>
      <c r="BG1714" s="68"/>
      <c r="BH1714" s="68"/>
      <c r="BI1714" s="68"/>
      <c r="BJ1714" s="68"/>
      <c r="BK1714" s="68"/>
      <c r="BL1714" s="68"/>
      <c r="BM1714" s="68"/>
      <c r="BN1714" s="68"/>
      <c r="BO1714" s="68"/>
      <c r="BP1714" s="68"/>
      <c r="BQ1714" s="68"/>
      <c r="BR1714" s="68"/>
      <c r="BS1714" s="68"/>
      <c r="BT1714" s="68"/>
      <c r="BU1714" s="68"/>
      <c r="BV1714" s="68"/>
      <c r="BW1714" s="68"/>
      <c r="BX1714" s="68"/>
      <c r="BY1714" s="68"/>
      <c r="BZ1714" s="68"/>
      <c r="CA1714" s="68"/>
      <c r="CB1714" s="68"/>
      <c r="CC1714" s="68"/>
      <c r="CD1714" s="68"/>
      <c r="CE1714" s="68"/>
      <c r="CF1714" s="68"/>
      <c r="CG1714" s="68"/>
      <c r="CH1714" s="68"/>
      <c r="CI1714" s="68"/>
      <c r="CJ1714" s="68"/>
      <c r="CK1714" s="68"/>
      <c r="CL1714" s="68"/>
      <c r="CM1714" s="68"/>
      <c r="CN1714" s="68"/>
      <c r="CO1714" s="68"/>
      <c r="CP1714" s="68"/>
    </row>
    <row r="1715" ht="15.75" customHeight="1">
      <c r="A1715" s="666" t="s">
        <v>7982</v>
      </c>
      <c r="B1715" s="115" t="s">
        <v>7983</v>
      </c>
      <c r="C1715" s="116" t="s">
        <v>123</v>
      </c>
      <c r="D1715" s="161" t="s">
        <v>7984</v>
      </c>
      <c r="E1715" s="161" t="s">
        <v>7985</v>
      </c>
      <c r="F1715" s="386" t="s">
        <v>7986</v>
      </c>
      <c r="G1715" s="286"/>
      <c r="H1715" s="119" t="s">
        <v>187</v>
      </c>
      <c r="I1715" s="25" t="s">
        <v>188</v>
      </c>
      <c r="J1715" s="287"/>
      <c r="K1715" s="25">
        <v>3.0</v>
      </c>
      <c r="L1715" s="25">
        <v>2017.0</v>
      </c>
      <c r="M1715" s="25">
        <f t="shared" si="789"/>
        <v>8</v>
      </c>
      <c r="N1715" s="26">
        <f t="shared" si="790"/>
        <v>0</v>
      </c>
      <c r="O1715" s="27" t="str">
        <f t="shared" si="3"/>
        <v>#N/A</v>
      </c>
      <c r="P1715" s="28"/>
      <c r="Q1715" s="28"/>
      <c r="R1715" s="28"/>
      <c r="S1715" s="28"/>
      <c r="T1715" s="29">
        <f t="shared" si="791"/>
        <v>0</v>
      </c>
      <c r="U1715" s="28"/>
      <c r="V1715" s="30">
        <f t="shared" si="425"/>
        <v>0</v>
      </c>
      <c r="W1715" s="30"/>
      <c r="X1715" s="597"/>
      <c r="Y1715" s="33" t="str">
        <f t="shared" si="792"/>
        <v>#DIV/0!</v>
      </c>
      <c r="Z1715" s="692"/>
      <c r="AA1715" s="665"/>
      <c r="AB1715" s="123"/>
      <c r="AC1715" s="123"/>
      <c r="AD1715" s="124"/>
      <c r="AE1715" s="125"/>
      <c r="AF1715" s="166"/>
      <c r="AG1715" s="125"/>
      <c r="AH1715" s="123"/>
      <c r="AI1715" s="128"/>
      <c r="AJ1715" s="124"/>
      <c r="AK1715" s="125"/>
      <c r="AL1715" s="124"/>
      <c r="AM1715" s="125"/>
      <c r="AN1715" s="124"/>
      <c r="AO1715" s="125"/>
      <c r="AP1715" s="124"/>
      <c r="AQ1715" s="125"/>
      <c r="AR1715" s="124"/>
      <c r="AS1715" s="124"/>
      <c r="AT1715" s="124"/>
      <c r="AU1715" s="137"/>
      <c r="AV1715" s="124"/>
      <c r="AW1715" s="38"/>
      <c r="AX1715" s="124"/>
      <c r="AY1715" s="38"/>
      <c r="AZ1715" s="124"/>
      <c r="BA1715" s="137"/>
      <c r="BB1715" s="124"/>
      <c r="BC1715" s="137"/>
      <c r="BD1715" s="124"/>
      <c r="BE1715" s="38"/>
      <c r="BF1715" s="123"/>
      <c r="BG1715" s="68"/>
      <c r="BH1715" s="68"/>
      <c r="BI1715" s="68"/>
      <c r="BJ1715" s="68"/>
      <c r="BK1715" s="68"/>
      <c r="BL1715" s="68"/>
      <c r="BM1715" s="68"/>
      <c r="BN1715" s="68"/>
      <c r="BO1715" s="68"/>
      <c r="BP1715" s="68"/>
      <c r="BQ1715" s="68"/>
      <c r="BR1715" s="68"/>
      <c r="BS1715" s="68"/>
      <c r="BT1715" s="68"/>
      <c r="BU1715" s="68"/>
      <c r="BV1715" s="68"/>
      <c r="BW1715" s="68"/>
      <c r="BX1715" s="68"/>
      <c r="BY1715" s="68"/>
      <c r="BZ1715" s="68"/>
      <c r="CA1715" s="68"/>
      <c r="CB1715" s="68"/>
      <c r="CC1715" s="68"/>
      <c r="CD1715" s="68"/>
      <c r="CE1715" s="68"/>
      <c r="CF1715" s="68"/>
      <c r="CG1715" s="68"/>
      <c r="CH1715" s="68"/>
      <c r="CI1715" s="68"/>
      <c r="CJ1715" s="68"/>
      <c r="CK1715" s="68"/>
      <c r="CL1715" s="68"/>
      <c r="CM1715" s="68"/>
      <c r="CN1715" s="68"/>
      <c r="CO1715" s="68"/>
      <c r="CP1715" s="68"/>
    </row>
    <row r="1716" ht="15.75" customHeight="1">
      <c r="A1716" s="931" t="s">
        <v>7987</v>
      </c>
      <c r="B1716" s="68"/>
      <c r="C1716" s="69" t="s">
        <v>2808</v>
      </c>
      <c r="D1716" s="337"/>
      <c r="E1716" s="192" t="s">
        <v>7988</v>
      </c>
      <c r="F1716" s="1487" t="s">
        <v>7989</v>
      </c>
      <c r="G1716" s="174"/>
      <c r="H1716" s="71" t="s">
        <v>6043</v>
      </c>
      <c r="I1716" s="26" t="s">
        <v>4990</v>
      </c>
      <c r="J1716" s="514"/>
      <c r="K1716" s="74"/>
      <c r="L1716" s="26">
        <v>2013.0</v>
      </c>
      <c r="M1716" s="25">
        <f t="shared" si="789"/>
        <v>12</v>
      </c>
      <c r="N1716" s="26">
        <f t="shared" si="790"/>
        <v>0</v>
      </c>
      <c r="O1716" s="27" t="str">
        <f t="shared" si="3"/>
        <v>#N/A</v>
      </c>
      <c r="P1716" s="28"/>
      <c r="Q1716" s="28"/>
      <c r="R1716" s="28"/>
      <c r="S1716" s="28"/>
      <c r="T1716" s="29">
        <f t="shared" si="791"/>
        <v>0</v>
      </c>
      <c r="U1716" s="28"/>
      <c r="V1716" s="30">
        <f t="shared" si="425"/>
        <v>0</v>
      </c>
      <c r="W1716" s="30"/>
      <c r="X1716" s="32"/>
      <c r="Y1716" s="33" t="str">
        <f t="shared" si="792"/>
        <v>#DIV/0!</v>
      </c>
      <c r="Z1716" s="692"/>
      <c r="AA1716" s="665"/>
      <c r="AB1716" s="74"/>
      <c r="AC1716" s="74"/>
      <c r="AD1716" s="79"/>
      <c r="AE1716" s="84"/>
      <c r="AF1716" s="338"/>
      <c r="AG1716" s="84"/>
      <c r="AH1716" s="74"/>
      <c r="AI1716" s="78"/>
      <c r="AJ1716" s="79"/>
      <c r="AK1716" s="84"/>
      <c r="AL1716" s="79"/>
      <c r="AM1716" s="84"/>
      <c r="AN1716" s="79"/>
      <c r="AO1716" s="84"/>
      <c r="AP1716" s="79"/>
      <c r="AQ1716" s="84"/>
      <c r="AR1716" s="79"/>
      <c r="AS1716" s="79"/>
      <c r="AT1716" s="79"/>
      <c r="AU1716" s="80"/>
      <c r="AV1716" s="79"/>
      <c r="AW1716" s="38"/>
      <c r="AX1716" s="79"/>
      <c r="AY1716" s="38"/>
      <c r="AZ1716" s="79"/>
      <c r="BA1716" s="80"/>
      <c r="BB1716" s="79"/>
      <c r="BC1716" s="80"/>
      <c r="BD1716" s="79"/>
      <c r="BE1716" s="38"/>
      <c r="BF1716" s="74"/>
      <c r="BG1716" s="68"/>
      <c r="BH1716" s="68"/>
      <c r="BI1716" s="68"/>
      <c r="BJ1716" s="68"/>
      <c r="BK1716" s="68"/>
      <c r="BL1716" s="68"/>
      <c r="BM1716" s="68"/>
      <c r="BN1716" s="68"/>
      <c r="BO1716" s="68"/>
      <c r="BP1716" s="68"/>
      <c r="BQ1716" s="68"/>
      <c r="BR1716" s="68"/>
      <c r="BS1716" s="68"/>
      <c r="BT1716" s="68"/>
      <c r="BU1716" s="68"/>
      <c r="BV1716" s="68"/>
      <c r="BW1716" s="68"/>
      <c r="BX1716" s="68"/>
      <c r="BY1716" s="68"/>
      <c r="BZ1716" s="68"/>
      <c r="CA1716" s="68"/>
      <c r="CB1716" s="68"/>
      <c r="CC1716" s="68"/>
      <c r="CD1716" s="68"/>
      <c r="CE1716" s="68"/>
      <c r="CF1716" s="68"/>
      <c r="CG1716" s="68"/>
      <c r="CH1716" s="68"/>
      <c r="CI1716" s="68"/>
      <c r="CJ1716" s="68"/>
      <c r="CK1716" s="68"/>
      <c r="CL1716" s="68"/>
      <c r="CM1716" s="68"/>
      <c r="CN1716" s="68"/>
      <c r="CO1716" s="68"/>
      <c r="CP1716" s="68"/>
    </row>
    <row r="1717" ht="15.75" customHeight="1">
      <c r="A1717" s="21" t="s">
        <v>7990</v>
      </c>
      <c r="B1717" s="68"/>
      <c r="C1717" s="69" t="s">
        <v>2808</v>
      </c>
      <c r="D1717" s="200" t="s">
        <v>7991</v>
      </c>
      <c r="E1717" s="385" t="s">
        <v>3432</v>
      </c>
      <c r="F1717" s="173" t="s">
        <v>7992</v>
      </c>
      <c r="G1717" s="140" t="s">
        <v>7993</v>
      </c>
      <c r="H1717" s="186" t="s">
        <v>128</v>
      </c>
      <c r="I1717" s="74" t="s">
        <v>156</v>
      </c>
      <c r="J1717" s="155" t="s">
        <v>157</v>
      </c>
      <c r="K1717" s="26">
        <v>1.0</v>
      </c>
      <c r="L1717" s="26">
        <v>2015.0</v>
      </c>
      <c r="M1717" s="25">
        <f t="shared" si="789"/>
        <v>10</v>
      </c>
      <c r="N1717" s="26">
        <f t="shared" si="790"/>
        <v>0</v>
      </c>
      <c r="O1717" s="27" t="str">
        <f t="shared" si="3"/>
        <v>#N/A</v>
      </c>
      <c r="P1717" s="28"/>
      <c r="Q1717" s="28"/>
      <c r="R1717" s="28"/>
      <c r="S1717" s="28"/>
      <c r="T1717" s="29">
        <f t="shared" si="791"/>
        <v>0</v>
      </c>
      <c r="U1717" s="28"/>
      <c r="V1717" s="30">
        <f t="shared" si="425"/>
        <v>0</v>
      </c>
      <c r="W1717" s="30"/>
      <c r="X1717" s="73"/>
      <c r="Y1717" s="33" t="str">
        <f t="shared" si="792"/>
        <v>#DIV/0!</v>
      </c>
      <c r="Z1717" s="692"/>
      <c r="AA1717" s="665"/>
      <c r="AB1717" s="74"/>
      <c r="AC1717" s="74"/>
      <c r="AD1717" s="79"/>
      <c r="AE1717" s="84"/>
      <c r="AF1717" s="338"/>
      <c r="AG1717" s="84"/>
      <c r="AH1717" s="74"/>
      <c r="AI1717" s="78"/>
      <c r="AJ1717" s="79"/>
      <c r="AK1717" s="84"/>
      <c r="AL1717" s="79"/>
      <c r="AM1717" s="84"/>
      <c r="AN1717" s="79"/>
      <c r="AO1717" s="84"/>
      <c r="AP1717" s="79"/>
      <c r="AQ1717" s="84"/>
      <c r="AR1717" s="79"/>
      <c r="AS1717" s="79"/>
      <c r="AT1717" s="79"/>
      <c r="AU1717" s="80"/>
      <c r="AV1717" s="79"/>
      <c r="AW1717" s="38"/>
      <c r="AX1717" s="79"/>
      <c r="AY1717" s="38"/>
      <c r="AZ1717" s="79"/>
      <c r="BA1717" s="80"/>
      <c r="BB1717" s="79"/>
      <c r="BC1717" s="80"/>
      <c r="BD1717" s="79"/>
      <c r="BE1717" s="38"/>
      <c r="BF1717" s="74"/>
      <c r="BG1717" s="68"/>
      <c r="BH1717" s="68"/>
      <c r="BI1717" s="68"/>
      <c r="BJ1717" s="68"/>
      <c r="BK1717" s="68"/>
      <c r="BL1717" s="68"/>
      <c r="BM1717" s="68"/>
      <c r="BN1717" s="68"/>
      <c r="BO1717" s="68"/>
      <c r="BP1717" s="68"/>
      <c r="BQ1717" s="68"/>
      <c r="BR1717" s="68"/>
      <c r="BS1717" s="68"/>
      <c r="BT1717" s="68"/>
      <c r="BU1717" s="68"/>
      <c r="BV1717" s="68"/>
      <c r="BW1717" s="68"/>
      <c r="BX1717" s="68"/>
      <c r="BY1717" s="68"/>
      <c r="BZ1717" s="68"/>
      <c r="CA1717" s="68"/>
      <c r="CB1717" s="68"/>
      <c r="CC1717" s="68"/>
      <c r="CD1717" s="68"/>
      <c r="CE1717" s="68"/>
      <c r="CF1717" s="68"/>
      <c r="CG1717" s="68"/>
      <c r="CH1717" s="68"/>
      <c r="CI1717" s="68"/>
      <c r="CJ1717" s="68"/>
      <c r="CK1717" s="68"/>
      <c r="CL1717" s="68"/>
      <c r="CM1717" s="68"/>
      <c r="CN1717" s="68"/>
      <c r="CO1717" s="68"/>
      <c r="CP1717" s="68"/>
    </row>
    <row r="1718" ht="15.75" customHeight="1">
      <c r="A1718" s="860" t="s">
        <v>7994</v>
      </c>
      <c r="B1718" s="68"/>
      <c r="C1718" s="69" t="s">
        <v>123</v>
      </c>
      <c r="D1718" s="192" t="s">
        <v>7995</v>
      </c>
      <c r="E1718" s="192" t="s">
        <v>7996</v>
      </c>
      <c r="F1718" s="118" t="s">
        <v>7997</v>
      </c>
      <c r="G1718" s="71"/>
      <c r="H1718" s="71" t="s">
        <v>6210</v>
      </c>
      <c r="I1718" s="26" t="s">
        <v>257</v>
      </c>
      <c r="J1718" s="72"/>
      <c r="K1718" s="26"/>
      <c r="L1718" s="26">
        <v>2018.0</v>
      </c>
      <c r="M1718" s="25">
        <f t="shared" si="789"/>
        <v>7</v>
      </c>
      <c r="N1718" s="26">
        <f t="shared" si="790"/>
        <v>0</v>
      </c>
      <c r="O1718" s="27" t="str">
        <f t="shared" si="3"/>
        <v>#N/A</v>
      </c>
      <c r="P1718" s="28"/>
      <c r="Q1718" s="28"/>
      <c r="R1718" s="28"/>
      <c r="S1718" s="28"/>
      <c r="T1718" s="29">
        <f t="shared" si="791"/>
        <v>0</v>
      </c>
      <c r="U1718" s="28"/>
      <c r="V1718" s="30">
        <f t="shared" si="425"/>
        <v>0</v>
      </c>
      <c r="W1718" s="30"/>
      <c r="X1718" s="73"/>
      <c r="Y1718" s="33" t="str">
        <f t="shared" si="792"/>
        <v>#DIV/0!</v>
      </c>
      <c r="Z1718" s="692"/>
      <c r="AA1718" s="665"/>
      <c r="AB1718" s="74"/>
      <c r="AC1718" s="74"/>
      <c r="AD1718" s="79"/>
      <c r="AE1718" s="84"/>
      <c r="AF1718" s="338"/>
      <c r="AG1718" s="76"/>
      <c r="AH1718" s="434"/>
      <c r="AI1718" s="435"/>
      <c r="AJ1718" s="279"/>
      <c r="AK1718" s="76"/>
      <c r="AL1718" s="79"/>
      <c r="AM1718" s="76"/>
      <c r="AN1718" s="79"/>
      <c r="AO1718" s="84"/>
      <c r="AP1718" s="79"/>
      <c r="AQ1718" s="84"/>
      <c r="AR1718" s="79"/>
      <c r="AS1718" s="79"/>
      <c r="AT1718" s="79"/>
      <c r="AU1718" s="80"/>
      <c r="AV1718" s="79"/>
      <c r="AW1718" s="38"/>
      <c r="AX1718" s="79"/>
      <c r="AY1718" s="38"/>
      <c r="AZ1718" s="79"/>
      <c r="BA1718" s="80"/>
      <c r="BB1718" s="79"/>
      <c r="BC1718" s="80"/>
      <c r="BD1718" s="79"/>
      <c r="BE1718" s="38"/>
      <c r="BF1718" s="74"/>
      <c r="BG1718" s="68"/>
      <c r="BH1718" s="68"/>
      <c r="BI1718" s="68"/>
      <c r="BJ1718" s="68"/>
      <c r="BK1718" s="68"/>
      <c r="BL1718" s="68"/>
      <c r="BM1718" s="68"/>
      <c r="BN1718" s="68"/>
      <c r="BO1718" s="68"/>
      <c r="BP1718" s="68"/>
      <c r="BQ1718" s="68"/>
      <c r="BR1718" s="68"/>
      <c r="BS1718" s="68"/>
      <c r="BT1718" s="68"/>
      <c r="BU1718" s="68"/>
      <c r="BV1718" s="68"/>
      <c r="BW1718" s="68"/>
      <c r="BX1718" s="68"/>
      <c r="BY1718" s="68"/>
      <c r="BZ1718" s="68"/>
      <c r="CA1718" s="68"/>
      <c r="CB1718" s="68"/>
      <c r="CC1718" s="68"/>
      <c r="CD1718" s="68"/>
      <c r="CE1718" s="68"/>
      <c r="CF1718" s="68"/>
      <c r="CG1718" s="68"/>
      <c r="CH1718" s="68"/>
      <c r="CI1718" s="68"/>
      <c r="CJ1718" s="68"/>
      <c r="CK1718" s="68"/>
      <c r="CL1718" s="68"/>
      <c r="CM1718" s="68"/>
      <c r="CN1718" s="68"/>
      <c r="CO1718" s="68"/>
      <c r="CP1718" s="68"/>
    </row>
    <row r="1719" ht="15.75" customHeight="1">
      <c r="A1719" s="400" t="s">
        <v>7998</v>
      </c>
      <c r="B1719" s="115"/>
      <c r="C1719" s="116" t="s">
        <v>123</v>
      </c>
      <c r="D1719" s="192" t="s">
        <v>7999</v>
      </c>
      <c r="E1719" s="192" t="s">
        <v>5797</v>
      </c>
      <c r="F1719" s="118" t="s">
        <v>8000</v>
      </c>
      <c r="G1719" s="286"/>
      <c r="H1719" s="119" t="s">
        <v>5800</v>
      </c>
      <c r="I1719" s="25" t="s">
        <v>5590</v>
      </c>
      <c r="J1719" s="25" t="s">
        <v>723</v>
      </c>
      <c r="K1719" s="25" t="s">
        <v>723</v>
      </c>
      <c r="L1719" s="25">
        <v>2016.0</v>
      </c>
      <c r="M1719" s="25">
        <f t="shared" si="789"/>
        <v>9</v>
      </c>
      <c r="N1719" s="26">
        <f t="shared" si="790"/>
        <v>0</v>
      </c>
      <c r="O1719" s="27" t="str">
        <f t="shared" si="3"/>
        <v>#N/A</v>
      </c>
      <c r="P1719" s="28"/>
      <c r="Q1719" s="28"/>
      <c r="R1719" s="28"/>
      <c r="S1719" s="28"/>
      <c r="T1719" s="29">
        <f t="shared" si="791"/>
        <v>0</v>
      </c>
      <c r="U1719" s="28"/>
      <c r="V1719" s="30">
        <f t="shared" si="425"/>
        <v>0</v>
      </c>
      <c r="W1719" s="30"/>
      <c r="X1719" s="597"/>
      <c r="Y1719" s="33" t="str">
        <f t="shared" si="792"/>
        <v>#DIV/0!</v>
      </c>
      <c r="Z1719" s="692"/>
      <c r="AA1719" s="665"/>
      <c r="AB1719" s="123"/>
      <c r="AC1719" s="123"/>
      <c r="AD1719" s="124"/>
      <c r="AE1719" s="125"/>
      <c r="AF1719" s="166"/>
      <c r="AG1719" s="125"/>
      <c r="AH1719" s="123"/>
      <c r="AI1719" s="128"/>
      <c r="AJ1719" s="124"/>
      <c r="AK1719" s="125"/>
      <c r="AL1719" s="124"/>
      <c r="AM1719" s="125"/>
      <c r="AN1719" s="124"/>
      <c r="AO1719" s="125"/>
      <c r="AP1719" s="124"/>
      <c r="AQ1719" s="125"/>
      <c r="AR1719" s="124"/>
      <c r="AS1719" s="124"/>
      <c r="AT1719" s="124"/>
      <c r="AU1719" s="137"/>
      <c r="AV1719" s="124"/>
      <c r="AW1719" s="38"/>
      <c r="AX1719" s="124"/>
      <c r="AY1719" s="38"/>
      <c r="AZ1719" s="124"/>
      <c r="BA1719" s="137"/>
      <c r="BB1719" s="124"/>
      <c r="BC1719" s="137"/>
      <c r="BD1719" s="124"/>
      <c r="BE1719" s="38"/>
      <c r="BF1719" s="123"/>
      <c r="BG1719" s="68"/>
      <c r="BH1719" s="68"/>
      <c r="BI1719" s="68"/>
      <c r="BJ1719" s="68"/>
      <c r="BK1719" s="68"/>
      <c r="BL1719" s="68"/>
      <c r="BM1719" s="68"/>
      <c r="BN1719" s="68"/>
      <c r="BO1719" s="68"/>
      <c r="BP1719" s="68"/>
      <c r="BQ1719" s="68"/>
      <c r="BR1719" s="68"/>
      <c r="BS1719" s="68"/>
      <c r="BT1719" s="68"/>
      <c r="BU1719" s="68"/>
      <c r="BV1719" s="68"/>
      <c r="BW1719" s="68"/>
      <c r="BX1719" s="68"/>
      <c r="BY1719" s="68"/>
      <c r="BZ1719" s="68"/>
      <c r="CA1719" s="68"/>
      <c r="CB1719" s="68"/>
      <c r="CC1719" s="68"/>
      <c r="CD1719" s="68"/>
      <c r="CE1719" s="68"/>
      <c r="CF1719" s="68"/>
      <c r="CG1719" s="68"/>
      <c r="CH1719" s="68"/>
      <c r="CI1719" s="68"/>
      <c r="CJ1719" s="68"/>
      <c r="CK1719" s="68"/>
      <c r="CL1719" s="68"/>
      <c r="CM1719" s="68"/>
      <c r="CN1719" s="68"/>
      <c r="CO1719" s="68"/>
      <c r="CP1719" s="68"/>
    </row>
    <row r="1720" ht="15.75" customHeight="1">
      <c r="A1720" s="860" t="s">
        <v>8001</v>
      </c>
      <c r="B1720" s="115"/>
      <c r="C1720" s="116" t="s">
        <v>2808</v>
      </c>
      <c r="D1720" s="449"/>
      <c r="E1720" s="192" t="s">
        <v>8002</v>
      </c>
      <c r="F1720" s="118" t="s">
        <v>8003</v>
      </c>
      <c r="G1720" s="286"/>
      <c r="H1720" s="119" t="s">
        <v>309</v>
      </c>
      <c r="I1720" s="25" t="s">
        <v>115</v>
      </c>
      <c r="J1720" s="287"/>
      <c r="K1720" s="123"/>
      <c r="L1720" s="25"/>
      <c r="M1720" s="25">
        <f t="shared" si="789"/>
        <v>2025</v>
      </c>
      <c r="N1720" s="26">
        <f t="shared" si="790"/>
        <v>0</v>
      </c>
      <c r="O1720" s="27" t="str">
        <f t="shared" si="3"/>
        <v>#N/A</v>
      </c>
      <c r="P1720" s="28"/>
      <c r="Q1720" s="28"/>
      <c r="R1720" s="28"/>
      <c r="S1720" s="28"/>
      <c r="T1720" s="29">
        <f t="shared" si="791"/>
        <v>0</v>
      </c>
      <c r="U1720" s="28"/>
      <c r="V1720" s="30">
        <f t="shared" si="425"/>
        <v>0</v>
      </c>
      <c r="W1720" s="30"/>
      <c r="X1720" s="403"/>
      <c r="Y1720" s="33" t="str">
        <f t="shared" si="792"/>
        <v>#DIV/0!</v>
      </c>
      <c r="Z1720" s="692"/>
      <c r="AA1720" s="665"/>
      <c r="AB1720" s="123"/>
      <c r="AC1720" s="123"/>
      <c r="AD1720" s="169"/>
      <c r="AE1720" s="127"/>
      <c r="AF1720" s="166"/>
      <c r="AG1720" s="127"/>
      <c r="AH1720" s="25"/>
      <c r="AI1720" s="759"/>
      <c r="AJ1720" s="124"/>
      <c r="AK1720" s="125"/>
      <c r="AL1720" s="124"/>
      <c r="AM1720" s="125"/>
      <c r="AN1720" s="124"/>
      <c r="AO1720" s="125"/>
      <c r="AP1720" s="124"/>
      <c r="AQ1720" s="125"/>
      <c r="AR1720" s="124"/>
      <c r="AS1720" s="124"/>
      <c r="AT1720" s="124"/>
      <c r="AU1720" s="137"/>
      <c r="AV1720" s="124"/>
      <c r="AW1720" s="38"/>
      <c r="AX1720" s="124"/>
      <c r="AY1720" s="38"/>
      <c r="AZ1720" s="124"/>
      <c r="BA1720" s="137"/>
      <c r="BB1720" s="124"/>
      <c r="BC1720" s="137"/>
      <c r="BD1720" s="124"/>
      <c r="BE1720" s="38"/>
      <c r="BF1720" s="123"/>
      <c r="BG1720" s="68"/>
      <c r="BH1720" s="68"/>
      <c r="BI1720" s="68"/>
      <c r="BJ1720" s="68"/>
      <c r="BK1720" s="68"/>
      <c r="BL1720" s="68"/>
      <c r="BM1720" s="68"/>
      <c r="BN1720" s="68"/>
      <c r="BO1720" s="68"/>
      <c r="BP1720" s="68"/>
      <c r="BQ1720" s="68"/>
      <c r="BR1720" s="68"/>
      <c r="BS1720" s="68"/>
      <c r="BT1720" s="68"/>
      <c r="BU1720" s="68"/>
      <c r="BV1720" s="68"/>
      <c r="BW1720" s="68"/>
      <c r="BX1720" s="68"/>
      <c r="BY1720" s="68"/>
      <c r="BZ1720" s="68"/>
      <c r="CA1720" s="68"/>
      <c r="CB1720" s="68"/>
      <c r="CC1720" s="68"/>
      <c r="CD1720" s="68"/>
      <c r="CE1720" s="68"/>
      <c r="CF1720" s="68"/>
      <c r="CG1720" s="68"/>
      <c r="CH1720" s="68"/>
      <c r="CI1720" s="68"/>
      <c r="CJ1720" s="68"/>
      <c r="CK1720" s="68"/>
      <c r="CL1720" s="68"/>
      <c r="CM1720" s="68"/>
      <c r="CN1720" s="68"/>
      <c r="CO1720" s="68"/>
      <c r="CP1720" s="68"/>
    </row>
    <row r="1721" ht="15.75" customHeight="1">
      <c r="A1721" s="1719" t="s">
        <v>8004</v>
      </c>
      <c r="B1721" s="1407"/>
      <c r="C1721" s="1463" t="s">
        <v>59</v>
      </c>
      <c r="D1721" s="1711" t="s">
        <v>4781</v>
      </c>
      <c r="E1721" s="1711" t="s">
        <v>4781</v>
      </c>
      <c r="F1721" s="1721" t="s">
        <v>8005</v>
      </c>
      <c r="G1721" s="1467" t="s">
        <v>8006</v>
      </c>
      <c r="H1721" s="1468" t="s">
        <v>8007</v>
      </c>
      <c r="I1721" s="1469" t="s">
        <v>1642</v>
      </c>
      <c r="J1721" s="1470" t="s">
        <v>8008</v>
      </c>
      <c r="K1721" s="1469">
        <v>1.0</v>
      </c>
      <c r="L1721" s="1469">
        <v>2015.0</v>
      </c>
      <c r="M1721" s="25">
        <f t="shared" si="789"/>
        <v>10</v>
      </c>
      <c r="N1721" s="26">
        <f t="shared" si="790"/>
        <v>0</v>
      </c>
      <c r="O1721" s="27" t="str">
        <f t="shared" si="3"/>
        <v>#N/A</v>
      </c>
      <c r="P1721" s="28"/>
      <c r="Q1721" s="28"/>
      <c r="R1721" s="28"/>
      <c r="S1721" s="28"/>
      <c r="T1721" s="29">
        <f t="shared" si="791"/>
        <v>0</v>
      </c>
      <c r="U1721" s="28"/>
      <c r="V1721" s="30">
        <f t="shared" si="425"/>
        <v>0</v>
      </c>
      <c r="W1721" s="30"/>
      <c r="X1721" s="1473"/>
      <c r="Y1721" s="33" t="str">
        <f t="shared" si="792"/>
        <v>#DIV/0!</v>
      </c>
      <c r="Z1721" s="692"/>
      <c r="AA1721" s="665"/>
      <c r="AB1721" s="1474"/>
      <c r="AC1721" s="1474"/>
      <c r="AD1721" s="1482"/>
      <c r="AE1721" s="1717"/>
      <c r="AF1721" s="1722"/>
      <c r="AG1721" s="1476"/>
      <c r="AH1721" s="1836"/>
      <c r="AI1721" s="1837"/>
      <c r="AJ1721" s="1715"/>
      <c r="AK1721" s="1476"/>
      <c r="AL1721" s="1482"/>
      <c r="AM1721" s="1476"/>
      <c r="AN1721" s="1482"/>
      <c r="AO1721" s="1717"/>
      <c r="AP1721" s="1482"/>
      <c r="AQ1721" s="1717"/>
      <c r="AR1721" s="1482"/>
      <c r="AS1721" s="1482"/>
      <c r="AT1721" s="1482"/>
      <c r="AU1721" s="1483"/>
      <c r="AV1721" s="1482"/>
      <c r="AW1721" s="38"/>
      <c r="AX1721" s="1482"/>
      <c r="AY1721" s="38"/>
      <c r="AZ1721" s="1482"/>
      <c r="BA1721" s="1483"/>
      <c r="BB1721" s="1482"/>
      <c r="BC1721" s="1483"/>
      <c r="BD1721" s="1482"/>
      <c r="BE1721" s="38"/>
      <c r="BF1721" s="1474"/>
      <c r="BG1721" s="68"/>
      <c r="BH1721" s="68"/>
      <c r="BI1721" s="68"/>
      <c r="BJ1721" s="68"/>
      <c r="BK1721" s="68"/>
      <c r="BL1721" s="68"/>
      <c r="BM1721" s="68"/>
      <c r="BN1721" s="68"/>
      <c r="BO1721" s="68"/>
      <c r="BP1721" s="68"/>
      <c r="BQ1721" s="68"/>
      <c r="BR1721" s="68"/>
      <c r="BS1721" s="68"/>
      <c r="BT1721" s="68"/>
      <c r="BU1721" s="68"/>
      <c r="BV1721" s="68"/>
      <c r="BW1721" s="68"/>
      <c r="BX1721" s="68"/>
      <c r="BY1721" s="68"/>
      <c r="BZ1721" s="68"/>
      <c r="CA1721" s="68"/>
      <c r="CB1721" s="68"/>
      <c r="CC1721" s="68"/>
      <c r="CD1721" s="68"/>
      <c r="CE1721" s="68"/>
      <c r="CF1721" s="68"/>
      <c r="CG1721" s="68"/>
      <c r="CH1721" s="68"/>
      <c r="CI1721" s="68"/>
      <c r="CJ1721" s="68"/>
      <c r="CK1721" s="68"/>
      <c r="CL1721" s="68"/>
      <c r="CM1721" s="68"/>
      <c r="CN1721" s="68"/>
      <c r="CO1721" s="68"/>
      <c r="CP1721" s="68"/>
    </row>
    <row r="1722" ht="15.75" customHeight="1">
      <c r="A1722" s="860" t="s">
        <v>8009</v>
      </c>
      <c r="B1722" s="115"/>
      <c r="C1722" s="116" t="s">
        <v>123</v>
      </c>
      <c r="D1722" s="540" t="s">
        <v>8010</v>
      </c>
      <c r="E1722" s="1199"/>
      <c r="F1722" s="118" t="s">
        <v>8011</v>
      </c>
      <c r="G1722" s="119" t="s">
        <v>8012</v>
      </c>
      <c r="H1722" s="119" t="s">
        <v>8013</v>
      </c>
      <c r="I1722" s="25" t="s">
        <v>65</v>
      </c>
      <c r="J1722" s="178" t="s">
        <v>8014</v>
      </c>
      <c r="K1722" s="25"/>
      <c r="L1722" s="25"/>
      <c r="M1722" s="25">
        <f t="shared" si="789"/>
        <v>2025</v>
      </c>
      <c r="N1722" s="26">
        <f t="shared" si="790"/>
        <v>0</v>
      </c>
      <c r="O1722" s="27" t="str">
        <f t="shared" si="3"/>
        <v>#N/A</v>
      </c>
      <c r="P1722" s="28"/>
      <c r="Q1722" s="28"/>
      <c r="R1722" s="28"/>
      <c r="S1722" s="28"/>
      <c r="T1722" s="29">
        <f t="shared" si="791"/>
        <v>0</v>
      </c>
      <c r="U1722" s="28"/>
      <c r="V1722" s="30">
        <f t="shared" si="425"/>
        <v>0</v>
      </c>
      <c r="W1722" s="30"/>
      <c r="X1722" s="597"/>
      <c r="Y1722" s="33" t="str">
        <f t="shared" si="792"/>
        <v>#DIV/0!</v>
      </c>
      <c r="Z1722" s="692"/>
      <c r="AA1722" s="665"/>
      <c r="AB1722" s="123"/>
      <c r="AC1722" s="123"/>
      <c r="AD1722" s="124"/>
      <c r="AE1722" s="125"/>
      <c r="AF1722" s="166"/>
      <c r="AG1722" s="127"/>
      <c r="AH1722" s="923"/>
      <c r="AI1722" s="759"/>
      <c r="AJ1722" s="169"/>
      <c r="AK1722" s="127"/>
      <c r="AL1722" s="124"/>
      <c r="AM1722" s="127"/>
      <c r="AN1722" s="124"/>
      <c r="AO1722" s="125"/>
      <c r="AP1722" s="124"/>
      <c r="AQ1722" s="125"/>
      <c r="AR1722" s="124"/>
      <c r="AS1722" s="124"/>
      <c r="AT1722" s="124"/>
      <c r="AU1722" s="137"/>
      <c r="AV1722" s="124"/>
      <c r="AW1722" s="38"/>
      <c r="AX1722" s="124"/>
      <c r="AY1722" s="38"/>
      <c r="AZ1722" s="124"/>
      <c r="BA1722" s="137"/>
      <c r="BB1722" s="124"/>
      <c r="BC1722" s="137"/>
      <c r="BD1722" s="124"/>
      <c r="BE1722" s="38"/>
      <c r="BF1722" s="123"/>
      <c r="BG1722" s="68"/>
      <c r="BH1722" s="68"/>
      <c r="BI1722" s="68"/>
      <c r="BJ1722" s="68"/>
      <c r="BK1722" s="68"/>
      <c r="BL1722" s="68"/>
      <c r="BM1722" s="68"/>
      <c r="BN1722" s="68"/>
      <c r="BO1722" s="68"/>
      <c r="BP1722" s="68"/>
      <c r="BQ1722" s="68"/>
      <c r="BR1722" s="68"/>
      <c r="BS1722" s="68"/>
      <c r="BT1722" s="68"/>
      <c r="BU1722" s="68"/>
      <c r="BV1722" s="68"/>
      <c r="BW1722" s="68"/>
      <c r="BX1722" s="68"/>
      <c r="BY1722" s="68"/>
      <c r="BZ1722" s="68"/>
      <c r="CA1722" s="68"/>
      <c r="CB1722" s="68"/>
      <c r="CC1722" s="68"/>
      <c r="CD1722" s="68"/>
      <c r="CE1722" s="68"/>
      <c r="CF1722" s="68"/>
      <c r="CG1722" s="68"/>
      <c r="CH1722" s="68"/>
      <c r="CI1722" s="68"/>
      <c r="CJ1722" s="68"/>
      <c r="CK1722" s="68"/>
      <c r="CL1722" s="68"/>
      <c r="CM1722" s="68"/>
      <c r="CN1722" s="68"/>
      <c r="CO1722" s="68"/>
      <c r="CP1722" s="68"/>
    </row>
    <row r="1723" ht="15.75" customHeight="1">
      <c r="A1723" s="860" t="s">
        <v>8015</v>
      </c>
      <c r="B1723" s="68"/>
      <c r="C1723" s="69" t="s">
        <v>123</v>
      </c>
      <c r="D1723" s="957" t="s">
        <v>8016</v>
      </c>
      <c r="E1723" s="864"/>
      <c r="F1723" s="192" t="s">
        <v>8017</v>
      </c>
      <c r="G1723" s="71"/>
      <c r="H1723" s="71"/>
      <c r="I1723" s="26"/>
      <c r="J1723" s="155"/>
      <c r="K1723" s="26"/>
      <c r="L1723" s="26"/>
      <c r="M1723" s="25">
        <f t="shared" si="789"/>
        <v>2025</v>
      </c>
      <c r="N1723" s="26">
        <f t="shared" si="790"/>
        <v>0</v>
      </c>
      <c r="O1723" s="27" t="str">
        <f t="shared" si="3"/>
        <v>#N/A</v>
      </c>
      <c r="P1723" s="28"/>
      <c r="Q1723" s="28"/>
      <c r="R1723" s="28"/>
      <c r="S1723" s="28"/>
      <c r="T1723" s="29">
        <f t="shared" si="791"/>
        <v>0</v>
      </c>
      <c r="U1723" s="28"/>
      <c r="V1723" s="30">
        <f t="shared" si="425"/>
        <v>0</v>
      </c>
      <c r="W1723" s="30"/>
      <c r="X1723" s="73"/>
      <c r="Y1723" s="33" t="str">
        <f t="shared" si="792"/>
        <v>#DIV/0!</v>
      </c>
      <c r="Z1723" s="692"/>
      <c r="AA1723" s="665"/>
      <c r="AB1723" s="76"/>
      <c r="AC1723" s="74"/>
      <c r="AD1723" s="338"/>
      <c r="AE1723" s="76"/>
      <c r="AF1723" s="55"/>
      <c r="AG1723" s="55"/>
      <c r="AH1723" s="77"/>
      <c r="AI1723" s="78"/>
      <c r="AJ1723" s="1415"/>
      <c r="AK1723" s="1838"/>
      <c r="AL1723" s="81"/>
      <c r="AM1723" s="84"/>
      <c r="AN1723" s="79"/>
      <c r="AO1723" s="84"/>
      <c r="AP1723" s="79"/>
      <c r="AQ1723" s="84"/>
      <c r="AR1723" s="79"/>
      <c r="AS1723" s="79"/>
      <c r="AT1723" s="79"/>
      <c r="AU1723" s="80"/>
      <c r="AV1723" s="79"/>
      <c r="AW1723" s="38"/>
      <c r="AX1723" s="79"/>
      <c r="AY1723" s="38"/>
      <c r="AZ1723" s="79"/>
      <c r="BA1723" s="80"/>
      <c r="BB1723" s="79"/>
      <c r="BC1723" s="80"/>
      <c r="BD1723" s="79"/>
      <c r="BE1723" s="38"/>
      <c r="BF1723" s="74"/>
      <c r="BG1723" s="68"/>
      <c r="BH1723" s="68"/>
      <c r="BI1723" s="68"/>
      <c r="BJ1723" s="68"/>
      <c r="BK1723" s="68"/>
      <c r="BL1723" s="68"/>
      <c r="BM1723" s="68"/>
      <c r="BN1723" s="68"/>
      <c r="BO1723" s="68"/>
      <c r="BP1723" s="68"/>
      <c r="BQ1723" s="68"/>
      <c r="BR1723" s="68"/>
      <c r="BS1723" s="68"/>
      <c r="BT1723" s="68"/>
      <c r="BU1723" s="68"/>
      <c r="BV1723" s="68"/>
      <c r="BW1723" s="68"/>
      <c r="BX1723" s="68"/>
      <c r="BY1723" s="68"/>
      <c r="BZ1723" s="68"/>
      <c r="CA1723" s="68"/>
      <c r="CB1723" s="68"/>
      <c r="CC1723" s="68"/>
      <c r="CD1723" s="68"/>
      <c r="CE1723" s="68"/>
      <c r="CF1723" s="68"/>
      <c r="CG1723" s="68"/>
      <c r="CH1723" s="68"/>
      <c r="CI1723" s="68"/>
      <c r="CJ1723" s="68"/>
      <c r="CK1723" s="68"/>
      <c r="CL1723" s="68"/>
      <c r="CM1723" s="68"/>
      <c r="CN1723" s="68"/>
      <c r="CO1723" s="68"/>
      <c r="CP1723" s="68"/>
    </row>
    <row r="1724" ht="15.75" customHeight="1">
      <c r="A1724" s="48" t="s">
        <v>8018</v>
      </c>
      <c r="B1724" s="68"/>
      <c r="C1724" s="69" t="s">
        <v>276</v>
      </c>
      <c r="D1724" s="138"/>
      <c r="E1724" s="864"/>
      <c r="F1724" s="864" t="s">
        <v>8019</v>
      </c>
      <c r="G1724" s="71"/>
      <c r="H1724" s="71" t="s">
        <v>357</v>
      </c>
      <c r="I1724" s="26" t="s">
        <v>358</v>
      </c>
      <c r="J1724" s="155"/>
      <c r="K1724" s="26"/>
      <c r="L1724" s="26"/>
      <c r="M1724" s="25">
        <f t="shared" si="789"/>
        <v>2025</v>
      </c>
      <c r="N1724" s="26">
        <f t="shared" si="790"/>
        <v>0</v>
      </c>
      <c r="O1724" s="27" t="str">
        <f t="shared" si="3"/>
        <v>#N/A</v>
      </c>
      <c r="P1724" s="28"/>
      <c r="Q1724" s="28"/>
      <c r="R1724" s="28"/>
      <c r="S1724" s="28"/>
      <c r="T1724" s="29">
        <f t="shared" si="791"/>
        <v>0</v>
      </c>
      <c r="U1724" s="28"/>
      <c r="V1724" s="30">
        <f t="shared" si="425"/>
        <v>0</v>
      </c>
      <c r="W1724" s="30"/>
      <c r="X1724" s="73"/>
      <c r="Y1724" s="33" t="str">
        <f t="shared" si="792"/>
        <v>#DIV/0!</v>
      </c>
      <c r="Z1724" s="692"/>
      <c r="AA1724" s="665"/>
      <c r="AB1724" s="76"/>
      <c r="AC1724" s="74"/>
      <c r="AD1724" s="338"/>
      <c r="AE1724" s="76"/>
      <c r="AF1724" s="55"/>
      <c r="AG1724" s="55"/>
      <c r="AH1724" s="77"/>
      <c r="AI1724" s="78"/>
      <c r="AJ1724" s="1415"/>
      <c r="AK1724" s="1838"/>
      <c r="AL1724" s="81"/>
      <c r="AM1724" s="84"/>
      <c r="AN1724" s="79"/>
      <c r="AO1724" s="84"/>
      <c r="AP1724" s="79"/>
      <c r="AQ1724" s="84"/>
      <c r="AR1724" s="79"/>
      <c r="AS1724" s="79"/>
      <c r="AT1724" s="79"/>
      <c r="AU1724" s="80"/>
      <c r="AV1724" s="79"/>
      <c r="AW1724" s="38"/>
      <c r="AX1724" s="79"/>
      <c r="AY1724" s="38"/>
      <c r="AZ1724" s="79"/>
      <c r="BA1724" s="80"/>
      <c r="BB1724" s="79"/>
      <c r="BC1724" s="80"/>
      <c r="BD1724" s="79"/>
      <c r="BE1724" s="38"/>
      <c r="BF1724" s="74"/>
      <c r="BG1724" s="68"/>
      <c r="BH1724" s="68"/>
      <c r="BI1724" s="68"/>
      <c r="BJ1724" s="68"/>
      <c r="BK1724" s="68"/>
      <c r="BL1724" s="68"/>
      <c r="BM1724" s="68"/>
      <c r="BN1724" s="68"/>
      <c r="BO1724" s="68"/>
      <c r="BP1724" s="68"/>
      <c r="BQ1724" s="68"/>
      <c r="BR1724" s="68"/>
      <c r="BS1724" s="68"/>
      <c r="BT1724" s="68"/>
      <c r="BU1724" s="68"/>
      <c r="BV1724" s="68"/>
      <c r="BW1724" s="68"/>
      <c r="BX1724" s="68"/>
      <c r="BY1724" s="68"/>
      <c r="BZ1724" s="68"/>
      <c r="CA1724" s="68"/>
      <c r="CB1724" s="68"/>
      <c r="CC1724" s="68"/>
      <c r="CD1724" s="68"/>
      <c r="CE1724" s="68"/>
      <c r="CF1724" s="68"/>
      <c r="CG1724" s="68"/>
      <c r="CH1724" s="68"/>
      <c r="CI1724" s="68"/>
      <c r="CJ1724" s="68"/>
      <c r="CK1724" s="68"/>
      <c r="CL1724" s="68"/>
      <c r="CM1724" s="68"/>
      <c r="CN1724" s="68"/>
      <c r="CO1724" s="68"/>
      <c r="CP1724" s="68"/>
    </row>
    <row r="1725" ht="15.75" customHeight="1">
      <c r="A1725" s="747" t="s">
        <v>8020</v>
      </c>
      <c r="B1725" s="69" t="s">
        <v>8021</v>
      </c>
      <c r="C1725" s="69" t="s">
        <v>267</v>
      </c>
      <c r="D1725" s="1634"/>
      <c r="E1725" s="192" t="s">
        <v>8022</v>
      </c>
      <c r="F1725" s="118" t="s">
        <v>8023</v>
      </c>
      <c r="G1725" s="71"/>
      <c r="H1725" s="71" t="s">
        <v>8024</v>
      </c>
      <c r="I1725" s="26" t="s">
        <v>1384</v>
      </c>
      <c r="J1725" s="178"/>
      <c r="K1725" s="26"/>
      <c r="L1725" s="26">
        <v>2016.0</v>
      </c>
      <c r="M1725" s="25">
        <f t="shared" si="789"/>
        <v>9</v>
      </c>
      <c r="N1725" s="26">
        <f t="shared" si="790"/>
        <v>0</v>
      </c>
      <c r="O1725" s="27" t="str">
        <f t="shared" si="3"/>
        <v>#N/A</v>
      </c>
      <c r="P1725" s="28"/>
      <c r="Q1725" s="28"/>
      <c r="R1725" s="28"/>
      <c r="S1725" s="28"/>
      <c r="T1725" s="29">
        <f t="shared" si="791"/>
        <v>0</v>
      </c>
      <c r="U1725" s="28"/>
      <c r="V1725" s="30">
        <f t="shared" si="425"/>
        <v>0</v>
      </c>
      <c r="W1725" s="30"/>
      <c r="X1725" s="73"/>
      <c r="Y1725" s="33" t="str">
        <f t="shared" si="792"/>
        <v>#DIV/0!</v>
      </c>
      <c r="Z1725" s="692"/>
      <c r="AA1725" s="665"/>
      <c r="AB1725" s="74"/>
      <c r="AC1725" s="74"/>
      <c r="AD1725" s="79"/>
      <c r="AE1725" s="84"/>
      <c r="AF1725" s="1169"/>
      <c r="AG1725" s="76"/>
      <c r="AH1725" s="74"/>
      <c r="AI1725" s="78"/>
      <c r="AJ1725" s="1415"/>
      <c r="AK1725" s="76"/>
      <c r="AL1725" s="81"/>
      <c r="AM1725" s="84"/>
      <c r="AN1725" s="79"/>
      <c r="AO1725" s="84"/>
      <c r="AP1725" s="79"/>
      <c r="AQ1725" s="84"/>
      <c r="AR1725" s="79"/>
      <c r="AS1725" s="79"/>
      <c r="AT1725" s="79"/>
      <c r="AU1725" s="80"/>
      <c r="AV1725" s="79"/>
      <c r="AW1725" s="38"/>
      <c r="AX1725" s="79"/>
      <c r="AY1725" s="38"/>
      <c r="AZ1725" s="79"/>
      <c r="BA1725" s="80"/>
      <c r="BB1725" s="79"/>
      <c r="BC1725" s="80"/>
      <c r="BD1725" s="79"/>
      <c r="BE1725" s="38"/>
      <c r="BF1725" s="74"/>
      <c r="BG1725" s="115"/>
      <c r="BH1725" s="115"/>
      <c r="BI1725" s="115"/>
      <c r="BJ1725" s="115"/>
      <c r="BK1725" s="115"/>
      <c r="BL1725" s="115"/>
      <c r="BM1725" s="115"/>
      <c r="BN1725" s="115"/>
      <c r="BO1725" s="115"/>
      <c r="BP1725" s="115"/>
      <c r="BQ1725" s="115"/>
      <c r="BR1725" s="115"/>
      <c r="BS1725" s="115"/>
      <c r="BT1725" s="115"/>
      <c r="BU1725" s="115"/>
      <c r="BV1725" s="115"/>
      <c r="BW1725" s="115"/>
      <c r="BX1725" s="115"/>
      <c r="BY1725" s="115"/>
      <c r="BZ1725" s="115"/>
      <c r="CA1725" s="115"/>
      <c r="CB1725" s="115"/>
      <c r="CC1725" s="115"/>
      <c r="CD1725" s="115"/>
      <c r="CE1725" s="115"/>
      <c r="CF1725" s="115"/>
      <c r="CG1725" s="115"/>
      <c r="CH1725" s="115"/>
      <c r="CI1725" s="115"/>
      <c r="CJ1725" s="115"/>
      <c r="CK1725" s="115"/>
      <c r="CL1725" s="115"/>
      <c r="CM1725" s="115"/>
      <c r="CN1725" s="115"/>
      <c r="CO1725" s="115"/>
      <c r="CP1725" s="115"/>
    </row>
    <row r="1726" ht="15.75" customHeight="1">
      <c r="A1726" s="931" t="s">
        <v>8025</v>
      </c>
      <c r="B1726" s="68"/>
      <c r="C1726" s="69" t="s">
        <v>123</v>
      </c>
      <c r="D1726" s="1634"/>
      <c r="E1726" s="192" t="s">
        <v>8026</v>
      </c>
      <c r="F1726" s="192" t="s">
        <v>8027</v>
      </c>
      <c r="G1726" s="71"/>
      <c r="H1726" s="71" t="s">
        <v>2071</v>
      </c>
      <c r="I1726" s="26" t="s">
        <v>1935</v>
      </c>
      <c r="J1726" s="178"/>
      <c r="K1726" s="26"/>
      <c r="L1726" s="26">
        <v>2013.0</v>
      </c>
      <c r="M1726" s="25">
        <f t="shared" si="789"/>
        <v>12</v>
      </c>
      <c r="N1726" s="26">
        <f t="shared" si="790"/>
        <v>0</v>
      </c>
      <c r="O1726" s="27" t="str">
        <f t="shared" si="3"/>
        <v>#N/A</v>
      </c>
      <c r="P1726" s="28"/>
      <c r="Q1726" s="28"/>
      <c r="R1726" s="28"/>
      <c r="S1726" s="28"/>
      <c r="T1726" s="29">
        <f t="shared" si="791"/>
        <v>0</v>
      </c>
      <c r="U1726" s="28"/>
      <c r="V1726" s="30">
        <f t="shared" si="425"/>
        <v>0</v>
      </c>
      <c r="W1726" s="30"/>
      <c r="X1726" s="73"/>
      <c r="Y1726" s="33" t="str">
        <f t="shared" si="792"/>
        <v>#DIV/0!</v>
      </c>
      <c r="Z1726" s="692"/>
      <c r="AA1726" s="665"/>
      <c r="AB1726" s="74"/>
      <c r="AC1726" s="74"/>
      <c r="AD1726" s="81"/>
      <c r="AE1726" s="84"/>
      <c r="AF1726" s="1169"/>
      <c r="AG1726" s="76"/>
      <c r="AH1726" s="74"/>
      <c r="AI1726" s="78"/>
      <c r="AJ1726" s="1415"/>
      <c r="AK1726" s="76"/>
      <c r="AL1726" s="81"/>
      <c r="AM1726" s="84"/>
      <c r="AN1726" s="79"/>
      <c r="AO1726" s="84"/>
      <c r="AP1726" s="79"/>
      <c r="AQ1726" s="84"/>
      <c r="AR1726" s="79"/>
      <c r="AS1726" s="79"/>
      <c r="AT1726" s="79"/>
      <c r="AU1726" s="80"/>
      <c r="AV1726" s="79"/>
      <c r="AW1726" s="38"/>
      <c r="AX1726" s="79"/>
      <c r="AY1726" s="38"/>
      <c r="AZ1726" s="79"/>
      <c r="BA1726" s="80"/>
      <c r="BB1726" s="79"/>
      <c r="BC1726" s="80"/>
      <c r="BD1726" s="79"/>
      <c r="BE1726" s="38"/>
      <c r="BF1726" s="74"/>
      <c r="BG1726" s="68"/>
      <c r="BH1726" s="68"/>
      <c r="BI1726" s="68"/>
      <c r="BJ1726" s="68"/>
      <c r="BK1726" s="68"/>
      <c r="BL1726" s="68"/>
      <c r="BM1726" s="68"/>
      <c r="BN1726" s="68"/>
      <c r="BO1726" s="68"/>
      <c r="BP1726" s="68"/>
      <c r="BQ1726" s="68"/>
      <c r="BR1726" s="68"/>
      <c r="BS1726" s="68"/>
      <c r="BT1726" s="68"/>
      <c r="BU1726" s="68"/>
      <c r="BV1726" s="68"/>
      <c r="BW1726" s="68"/>
      <c r="BX1726" s="68"/>
      <c r="BY1726" s="68"/>
      <c r="BZ1726" s="68"/>
      <c r="CA1726" s="68"/>
      <c r="CB1726" s="68"/>
      <c r="CC1726" s="68"/>
      <c r="CD1726" s="68"/>
      <c r="CE1726" s="68"/>
      <c r="CF1726" s="68"/>
      <c r="CG1726" s="68"/>
      <c r="CH1726" s="68"/>
      <c r="CI1726" s="68"/>
      <c r="CJ1726" s="68"/>
      <c r="CK1726" s="68"/>
      <c r="CL1726" s="68"/>
      <c r="CM1726" s="68"/>
      <c r="CN1726" s="68"/>
      <c r="CO1726" s="68"/>
      <c r="CP1726" s="68"/>
    </row>
    <row r="1727" ht="15.75" customHeight="1">
      <c r="A1727" s="931" t="s">
        <v>8028</v>
      </c>
      <c r="B1727" s="68"/>
      <c r="C1727" s="69" t="s">
        <v>276</v>
      </c>
      <c r="D1727" s="1634"/>
      <c r="E1727" s="192" t="s">
        <v>8029</v>
      </c>
      <c r="F1727" s="118" t="s">
        <v>8030</v>
      </c>
      <c r="G1727" s="71"/>
      <c r="H1727" s="71" t="s">
        <v>72</v>
      </c>
      <c r="I1727" s="26" t="s">
        <v>227</v>
      </c>
      <c r="J1727" s="178"/>
      <c r="K1727" s="26"/>
      <c r="L1727" s="26">
        <v>2016.0</v>
      </c>
      <c r="M1727" s="25">
        <f t="shared" si="789"/>
        <v>9</v>
      </c>
      <c r="N1727" s="26">
        <f t="shared" si="790"/>
        <v>0</v>
      </c>
      <c r="O1727" s="27" t="str">
        <f t="shared" si="3"/>
        <v>#N/A</v>
      </c>
      <c r="P1727" s="28"/>
      <c r="Q1727" s="28"/>
      <c r="R1727" s="28"/>
      <c r="S1727" s="28"/>
      <c r="T1727" s="29">
        <f t="shared" si="791"/>
        <v>0</v>
      </c>
      <c r="U1727" s="28"/>
      <c r="V1727" s="30">
        <f t="shared" si="425"/>
        <v>0</v>
      </c>
      <c r="W1727" s="30"/>
      <c r="X1727" s="73"/>
      <c r="Y1727" s="33" t="str">
        <f t="shared" si="792"/>
        <v>#DIV/0!</v>
      </c>
      <c r="Z1727" s="692"/>
      <c r="AA1727" s="665"/>
      <c r="AB1727" s="74"/>
      <c r="AC1727" s="74"/>
      <c r="AD1727" s="79"/>
      <c r="AE1727" s="84"/>
      <c r="AF1727" s="1169"/>
      <c r="AG1727" s="76"/>
      <c r="AH1727" s="74"/>
      <c r="AI1727" s="78"/>
      <c r="AJ1727" s="279"/>
      <c r="AK1727" s="76"/>
      <c r="AL1727" s="79"/>
      <c r="AM1727" s="84"/>
      <c r="AN1727" s="79"/>
      <c r="AO1727" s="84"/>
      <c r="AP1727" s="79"/>
      <c r="AQ1727" s="84"/>
      <c r="AR1727" s="79"/>
      <c r="AS1727" s="79"/>
      <c r="AT1727" s="79"/>
      <c r="AU1727" s="80"/>
      <c r="AV1727" s="79"/>
      <c r="AW1727" s="38"/>
      <c r="AX1727" s="79"/>
      <c r="AY1727" s="38"/>
      <c r="AZ1727" s="79"/>
      <c r="BA1727" s="80"/>
      <c r="BB1727" s="79"/>
      <c r="BC1727" s="80"/>
      <c r="BD1727" s="79"/>
      <c r="BE1727" s="38"/>
      <c r="BF1727" s="74"/>
      <c r="BG1727" s="68"/>
      <c r="BH1727" s="68"/>
      <c r="BI1727" s="68"/>
      <c r="BJ1727" s="68"/>
      <c r="BK1727" s="68"/>
      <c r="BL1727" s="68"/>
      <c r="BM1727" s="68"/>
      <c r="BN1727" s="68"/>
      <c r="BO1727" s="68"/>
      <c r="BP1727" s="68"/>
      <c r="BQ1727" s="68"/>
      <c r="BR1727" s="68"/>
      <c r="BS1727" s="68"/>
      <c r="BT1727" s="68"/>
      <c r="BU1727" s="68"/>
      <c r="BV1727" s="68"/>
      <c r="BW1727" s="68"/>
      <c r="BX1727" s="68"/>
      <c r="BY1727" s="68"/>
      <c r="BZ1727" s="68"/>
      <c r="CA1727" s="68"/>
      <c r="CB1727" s="68"/>
      <c r="CC1727" s="68"/>
      <c r="CD1727" s="68"/>
      <c r="CE1727" s="68"/>
      <c r="CF1727" s="68"/>
      <c r="CG1727" s="68"/>
      <c r="CH1727" s="68"/>
      <c r="CI1727" s="68"/>
      <c r="CJ1727" s="68"/>
      <c r="CK1727" s="68"/>
      <c r="CL1727" s="68"/>
      <c r="CM1727" s="68"/>
      <c r="CN1727" s="68"/>
      <c r="CO1727" s="68"/>
      <c r="CP1727" s="68"/>
    </row>
    <row r="1728" ht="15.75" customHeight="1">
      <c r="A1728" s="931" t="s">
        <v>8031</v>
      </c>
      <c r="B1728" s="68"/>
      <c r="C1728" s="69" t="s">
        <v>5400</v>
      </c>
      <c r="D1728" s="192" t="s">
        <v>8032</v>
      </c>
      <c r="E1728" s="192" t="s">
        <v>8033</v>
      </c>
      <c r="F1728" s="118" t="s">
        <v>8034</v>
      </c>
      <c r="G1728" s="140"/>
      <c r="H1728" s="71" t="s">
        <v>309</v>
      </c>
      <c r="I1728" s="26" t="s">
        <v>115</v>
      </c>
      <c r="J1728" s="72"/>
      <c r="K1728" s="74"/>
      <c r="L1728" s="26">
        <v>2006.0</v>
      </c>
      <c r="M1728" s="25">
        <f t="shared" si="789"/>
        <v>19</v>
      </c>
      <c r="N1728" s="26">
        <f t="shared" si="790"/>
        <v>0</v>
      </c>
      <c r="O1728" s="27" t="str">
        <f t="shared" si="3"/>
        <v>#N/A</v>
      </c>
      <c r="P1728" s="28"/>
      <c r="Q1728" s="28"/>
      <c r="R1728" s="28"/>
      <c r="S1728" s="28"/>
      <c r="T1728" s="29">
        <f t="shared" si="791"/>
        <v>0</v>
      </c>
      <c r="U1728" s="28"/>
      <c r="V1728" s="30">
        <f t="shared" si="425"/>
        <v>0</v>
      </c>
      <c r="W1728" s="30"/>
      <c r="X1728" s="32"/>
      <c r="Y1728" s="33" t="str">
        <f t="shared" si="792"/>
        <v>#DIV/0!</v>
      </c>
      <c r="Z1728" s="692"/>
      <c r="AA1728" s="665"/>
      <c r="AB1728" s="74"/>
      <c r="AC1728" s="74"/>
      <c r="AD1728" s="79"/>
      <c r="AE1728" s="84"/>
      <c r="AF1728" s="338"/>
      <c r="AG1728" s="84"/>
      <c r="AH1728" s="74"/>
      <c r="AI1728" s="78"/>
      <c r="AJ1728" s="79"/>
      <c r="AK1728" s="84"/>
      <c r="AL1728" s="79"/>
      <c r="AM1728" s="84"/>
      <c r="AN1728" s="79"/>
      <c r="AO1728" s="84"/>
      <c r="AP1728" s="79"/>
      <c r="AQ1728" s="84"/>
      <c r="AR1728" s="79"/>
      <c r="AS1728" s="79"/>
      <c r="AT1728" s="79"/>
      <c r="AU1728" s="80"/>
      <c r="AV1728" s="79"/>
      <c r="AW1728" s="38"/>
      <c r="AX1728" s="79"/>
      <c r="AY1728" s="38"/>
      <c r="AZ1728" s="79"/>
      <c r="BA1728" s="80"/>
      <c r="BB1728" s="79"/>
      <c r="BC1728" s="80"/>
      <c r="BD1728" s="79"/>
      <c r="BE1728" s="38"/>
      <c r="BF1728" s="74"/>
      <c r="BG1728" s="115"/>
      <c r="BH1728" s="115"/>
      <c r="BI1728" s="115"/>
      <c r="BJ1728" s="115"/>
      <c r="BK1728" s="115"/>
      <c r="BL1728" s="115"/>
      <c r="BM1728" s="115"/>
      <c r="BN1728" s="115"/>
      <c r="BO1728" s="115"/>
      <c r="BP1728" s="115"/>
      <c r="BQ1728" s="115"/>
      <c r="BR1728" s="115"/>
      <c r="BS1728" s="115"/>
      <c r="BT1728" s="115"/>
      <c r="BU1728" s="115"/>
      <c r="BV1728" s="115"/>
      <c r="BW1728" s="115"/>
      <c r="BX1728" s="115"/>
      <c r="BY1728" s="115"/>
      <c r="BZ1728" s="115"/>
      <c r="CA1728" s="115"/>
      <c r="CB1728" s="115"/>
      <c r="CC1728" s="115"/>
      <c r="CD1728" s="115"/>
      <c r="CE1728" s="115"/>
      <c r="CF1728" s="115"/>
      <c r="CG1728" s="115"/>
      <c r="CH1728" s="115"/>
      <c r="CI1728" s="115"/>
      <c r="CJ1728" s="115"/>
      <c r="CK1728" s="115"/>
      <c r="CL1728" s="115"/>
      <c r="CM1728" s="115"/>
      <c r="CN1728" s="115"/>
      <c r="CO1728" s="115"/>
      <c r="CP1728" s="115"/>
    </row>
    <row r="1729" ht="15.75" customHeight="1">
      <c r="A1729" s="931" t="s">
        <v>8035</v>
      </c>
      <c r="B1729" s="68"/>
      <c r="C1729" s="69" t="s">
        <v>1865</v>
      </c>
      <c r="D1729" s="1660"/>
      <c r="E1729" s="192" t="s">
        <v>8036</v>
      </c>
      <c r="F1729" s="118" t="s">
        <v>8037</v>
      </c>
      <c r="G1729" s="186"/>
      <c r="H1729" s="71" t="s">
        <v>8038</v>
      </c>
      <c r="I1729" s="746" t="s">
        <v>65</v>
      </c>
      <c r="J1729" s="155"/>
      <c r="K1729" s="74"/>
      <c r="L1729" s="26">
        <v>2019.0</v>
      </c>
      <c r="M1729" s="25">
        <f t="shared" si="789"/>
        <v>6</v>
      </c>
      <c r="N1729" s="26">
        <f t="shared" si="790"/>
        <v>0</v>
      </c>
      <c r="O1729" s="27" t="str">
        <f t="shared" si="3"/>
        <v>#N/A</v>
      </c>
      <c r="P1729" s="28"/>
      <c r="Q1729" s="28"/>
      <c r="R1729" s="28"/>
      <c r="S1729" s="28"/>
      <c r="T1729" s="29">
        <f t="shared" si="791"/>
        <v>0</v>
      </c>
      <c r="U1729" s="28"/>
      <c r="V1729" s="30">
        <f t="shared" si="425"/>
        <v>0</v>
      </c>
      <c r="W1729" s="30"/>
      <c r="X1729" s="32"/>
      <c r="Y1729" s="33" t="str">
        <f t="shared" si="792"/>
        <v>#DIV/0!</v>
      </c>
      <c r="Z1729" s="692"/>
      <c r="AA1729" s="665"/>
      <c r="AB1729" s="74"/>
      <c r="AC1729" s="74"/>
      <c r="AD1729" s="79"/>
      <c r="AE1729" s="84"/>
      <c r="AF1729" s="338"/>
      <c r="AG1729" s="76"/>
      <c r="AH1729" s="434"/>
      <c r="AI1729" s="435"/>
      <c r="AJ1729" s="279"/>
      <c r="AK1729" s="427"/>
      <c r="AL1729" s="279"/>
      <c r="AM1729" s="76"/>
      <c r="AN1729" s="279"/>
      <c r="AO1729" s="427"/>
      <c r="AP1729" s="79"/>
      <c r="AQ1729" s="76"/>
      <c r="AR1729" s="79"/>
      <c r="AS1729" s="79"/>
      <c r="AT1729" s="79"/>
      <c r="AU1729" s="80"/>
      <c r="AV1729" s="79"/>
      <c r="AW1729" s="38"/>
      <c r="AX1729" s="79"/>
      <c r="AY1729" s="38"/>
      <c r="AZ1729" s="79"/>
      <c r="BA1729" s="80"/>
      <c r="BB1729" s="79"/>
      <c r="BC1729" s="80"/>
      <c r="BD1729" s="79"/>
      <c r="BE1729" s="38"/>
      <c r="BF1729" s="74"/>
      <c r="BG1729" s="68"/>
      <c r="BH1729" s="68"/>
      <c r="BI1729" s="68"/>
      <c r="BJ1729" s="68"/>
      <c r="BK1729" s="68"/>
      <c r="BL1729" s="68"/>
      <c r="BM1729" s="68"/>
      <c r="BN1729" s="68"/>
      <c r="BO1729" s="68"/>
      <c r="BP1729" s="68"/>
      <c r="BQ1729" s="68"/>
      <c r="BR1729" s="68"/>
      <c r="BS1729" s="68"/>
      <c r="BT1729" s="68"/>
      <c r="BU1729" s="68"/>
      <c r="BV1729" s="68"/>
      <c r="BW1729" s="68"/>
      <c r="BX1729" s="68"/>
      <c r="BY1729" s="68"/>
      <c r="BZ1729" s="68"/>
      <c r="CA1729" s="68"/>
      <c r="CB1729" s="68"/>
      <c r="CC1729" s="68"/>
      <c r="CD1729" s="68"/>
      <c r="CE1729" s="68"/>
      <c r="CF1729" s="68"/>
      <c r="CG1729" s="68"/>
      <c r="CH1729" s="68"/>
      <c r="CI1729" s="68"/>
      <c r="CJ1729" s="68"/>
      <c r="CK1729" s="68"/>
      <c r="CL1729" s="68"/>
      <c r="CM1729" s="68"/>
      <c r="CN1729" s="68"/>
      <c r="CO1729" s="68"/>
      <c r="CP1729" s="68"/>
    </row>
    <row r="1730" ht="15.75" customHeight="1">
      <c r="A1730" s="442" t="s">
        <v>8039</v>
      </c>
      <c r="B1730" s="68" t="s">
        <v>1372</v>
      </c>
      <c r="C1730" s="68" t="s">
        <v>207</v>
      </c>
      <c r="D1730" s="1660"/>
      <c r="E1730" s="200" t="s">
        <v>8040</v>
      </c>
      <c r="F1730" s="173" t="s">
        <v>8041</v>
      </c>
      <c r="G1730" s="140" t="s">
        <v>8042</v>
      </c>
      <c r="H1730" s="186" t="s">
        <v>262</v>
      </c>
      <c r="I1730" s="26" t="s">
        <v>263</v>
      </c>
      <c r="J1730" s="72" t="s">
        <v>264</v>
      </c>
      <c r="K1730" s="74" t="s">
        <v>723</v>
      </c>
      <c r="L1730" s="26">
        <v>2008.0</v>
      </c>
      <c r="M1730" s="25">
        <f t="shared" si="789"/>
        <v>17</v>
      </c>
      <c r="N1730" s="26">
        <f t="shared" si="790"/>
        <v>0</v>
      </c>
      <c r="O1730" s="27" t="str">
        <f t="shared" si="3"/>
        <v>#N/A</v>
      </c>
      <c r="P1730" s="28"/>
      <c r="Q1730" s="28"/>
      <c r="R1730" s="28"/>
      <c r="S1730" s="28"/>
      <c r="T1730" s="29">
        <f t="shared" si="791"/>
        <v>0</v>
      </c>
      <c r="U1730" s="28"/>
      <c r="V1730" s="30">
        <f t="shared" si="425"/>
        <v>0</v>
      </c>
      <c r="W1730" s="30"/>
      <c r="X1730" s="32"/>
      <c r="Y1730" s="33" t="str">
        <f t="shared" si="792"/>
        <v>#DIV/0!</v>
      </c>
      <c r="Z1730" s="692"/>
      <c r="AA1730" s="665"/>
      <c r="AB1730" s="74"/>
      <c r="AC1730" s="74"/>
      <c r="AD1730" s="79"/>
      <c r="AE1730" s="84"/>
      <c r="AF1730" s="338"/>
      <c r="AG1730" s="84"/>
      <c r="AH1730" s="74"/>
      <c r="AI1730" s="78"/>
      <c r="AJ1730" s="79"/>
      <c r="AK1730" s="84"/>
      <c r="AL1730" s="79"/>
      <c r="AM1730" s="84"/>
      <c r="AN1730" s="79"/>
      <c r="AO1730" s="84"/>
      <c r="AP1730" s="79"/>
      <c r="AQ1730" s="84"/>
      <c r="AR1730" s="79"/>
      <c r="AS1730" s="79"/>
      <c r="AT1730" s="79"/>
      <c r="AU1730" s="80"/>
      <c r="AV1730" s="79"/>
      <c r="AW1730" s="38"/>
      <c r="AX1730" s="79"/>
      <c r="AY1730" s="38"/>
      <c r="AZ1730" s="79"/>
      <c r="BA1730" s="80"/>
      <c r="BB1730" s="79"/>
      <c r="BC1730" s="80"/>
      <c r="BD1730" s="79"/>
      <c r="BE1730" s="38"/>
      <c r="BF1730" s="74"/>
      <c r="BG1730" s="115"/>
      <c r="BH1730" s="115"/>
      <c r="BI1730" s="115"/>
      <c r="BJ1730" s="115"/>
      <c r="BK1730" s="115"/>
      <c r="BL1730" s="115"/>
      <c r="BM1730" s="115"/>
      <c r="BN1730" s="115"/>
      <c r="BO1730" s="115"/>
      <c r="BP1730" s="115"/>
      <c r="BQ1730" s="115"/>
      <c r="BR1730" s="115"/>
      <c r="BS1730" s="115"/>
      <c r="BT1730" s="115"/>
      <c r="BU1730" s="115"/>
      <c r="BV1730" s="115"/>
      <c r="BW1730" s="115"/>
      <c r="BX1730" s="115"/>
      <c r="BY1730" s="115"/>
      <c r="BZ1730" s="115"/>
      <c r="CA1730" s="115"/>
      <c r="CB1730" s="115"/>
      <c r="CC1730" s="115"/>
      <c r="CD1730" s="115"/>
      <c r="CE1730" s="115"/>
      <c r="CF1730" s="115"/>
      <c r="CG1730" s="115"/>
      <c r="CH1730" s="115"/>
      <c r="CI1730" s="115"/>
      <c r="CJ1730" s="115"/>
      <c r="CK1730" s="115"/>
      <c r="CL1730" s="115"/>
      <c r="CM1730" s="115"/>
      <c r="CN1730" s="115"/>
      <c r="CO1730" s="115"/>
      <c r="CP1730" s="115"/>
    </row>
    <row r="1731" ht="15.75" customHeight="1">
      <c r="A1731" s="860" t="s">
        <v>8043</v>
      </c>
      <c r="B1731" s="68"/>
      <c r="C1731" s="69" t="s">
        <v>5400</v>
      </c>
      <c r="D1731" s="192" t="s">
        <v>8044</v>
      </c>
      <c r="E1731" s="192" t="s">
        <v>8045</v>
      </c>
      <c r="F1731" s="118" t="s">
        <v>8046</v>
      </c>
      <c r="G1731" s="186"/>
      <c r="H1731" s="71" t="s">
        <v>328</v>
      </c>
      <c r="I1731" s="746" t="s">
        <v>329</v>
      </c>
      <c r="J1731" s="155"/>
      <c r="K1731" s="74"/>
      <c r="L1731" s="26">
        <v>2013.0</v>
      </c>
      <c r="M1731" s="25">
        <f t="shared" si="789"/>
        <v>12</v>
      </c>
      <c r="N1731" s="26">
        <f t="shared" si="790"/>
        <v>0</v>
      </c>
      <c r="O1731" s="27" t="str">
        <f t="shared" si="3"/>
        <v>#N/A</v>
      </c>
      <c r="P1731" s="28"/>
      <c r="Q1731" s="28"/>
      <c r="R1731" s="28"/>
      <c r="S1731" s="28"/>
      <c r="T1731" s="29">
        <f t="shared" si="791"/>
        <v>0</v>
      </c>
      <c r="U1731" s="28"/>
      <c r="V1731" s="30">
        <f t="shared" si="425"/>
        <v>0</v>
      </c>
      <c r="W1731" s="30"/>
      <c r="X1731" s="32"/>
      <c r="Y1731" s="33" t="str">
        <f t="shared" si="792"/>
        <v>#DIV/0!</v>
      </c>
      <c r="Z1731" s="692"/>
      <c r="AA1731" s="665"/>
      <c r="AB1731" s="74"/>
      <c r="AC1731" s="74"/>
      <c r="AD1731" s="79"/>
      <c r="AE1731" s="84"/>
      <c r="AF1731" s="338"/>
      <c r="AG1731" s="76"/>
      <c r="AH1731" s="434"/>
      <c r="AI1731" s="435"/>
      <c r="AJ1731" s="279"/>
      <c r="AK1731" s="427"/>
      <c r="AL1731" s="279"/>
      <c r="AM1731" s="76"/>
      <c r="AN1731" s="279"/>
      <c r="AO1731" s="427"/>
      <c r="AP1731" s="79"/>
      <c r="AQ1731" s="76"/>
      <c r="AR1731" s="79"/>
      <c r="AS1731" s="79"/>
      <c r="AT1731" s="79"/>
      <c r="AU1731" s="80"/>
      <c r="AV1731" s="79"/>
      <c r="AW1731" s="38"/>
      <c r="AX1731" s="79"/>
      <c r="AY1731" s="38"/>
      <c r="AZ1731" s="79"/>
      <c r="BA1731" s="80"/>
      <c r="BB1731" s="79"/>
      <c r="BC1731" s="80"/>
      <c r="BD1731" s="79"/>
      <c r="BE1731" s="38"/>
      <c r="BF1731" s="74"/>
      <c r="BG1731" s="68"/>
      <c r="BH1731" s="68"/>
      <c r="BI1731" s="68"/>
      <c r="BJ1731" s="68"/>
      <c r="BK1731" s="68"/>
      <c r="BL1731" s="68"/>
      <c r="BM1731" s="68"/>
      <c r="BN1731" s="68"/>
      <c r="BO1731" s="68"/>
      <c r="BP1731" s="68"/>
      <c r="BQ1731" s="68"/>
      <c r="BR1731" s="68"/>
      <c r="BS1731" s="68"/>
      <c r="BT1731" s="68"/>
      <c r="BU1731" s="68"/>
      <c r="BV1731" s="68"/>
      <c r="BW1731" s="68"/>
      <c r="BX1731" s="68"/>
      <c r="BY1731" s="68"/>
      <c r="BZ1731" s="68"/>
      <c r="CA1731" s="68"/>
      <c r="CB1731" s="68"/>
      <c r="CC1731" s="68"/>
      <c r="CD1731" s="68"/>
      <c r="CE1731" s="68"/>
      <c r="CF1731" s="68"/>
      <c r="CG1731" s="68"/>
      <c r="CH1731" s="68"/>
      <c r="CI1731" s="68"/>
      <c r="CJ1731" s="68"/>
      <c r="CK1731" s="68"/>
      <c r="CL1731" s="68"/>
      <c r="CM1731" s="68"/>
      <c r="CN1731" s="68"/>
      <c r="CO1731" s="68"/>
      <c r="CP1731" s="68"/>
    </row>
    <row r="1732" ht="15.75" customHeight="1">
      <c r="A1732" s="860" t="s">
        <v>8047</v>
      </c>
      <c r="B1732" s="69" t="s">
        <v>68</v>
      </c>
      <c r="C1732" s="69" t="s">
        <v>8048</v>
      </c>
      <c r="D1732" s="192" t="s">
        <v>8049</v>
      </c>
      <c r="E1732" s="192" t="s">
        <v>8050</v>
      </c>
      <c r="F1732" s="118" t="s">
        <v>8051</v>
      </c>
      <c r="G1732" s="186"/>
      <c r="H1732" s="71" t="s">
        <v>8052</v>
      </c>
      <c r="I1732" s="26" t="s">
        <v>1171</v>
      </c>
      <c r="J1732" s="155"/>
      <c r="K1732" s="74"/>
      <c r="L1732" s="26"/>
      <c r="M1732" s="25">
        <f t="shared" si="789"/>
        <v>2025</v>
      </c>
      <c r="N1732" s="26">
        <f t="shared" si="790"/>
        <v>0</v>
      </c>
      <c r="O1732" s="27" t="str">
        <f t="shared" si="3"/>
        <v>#N/A</v>
      </c>
      <c r="P1732" s="28"/>
      <c r="Q1732" s="28"/>
      <c r="R1732" s="28"/>
      <c r="S1732" s="28"/>
      <c r="T1732" s="29">
        <f t="shared" si="791"/>
        <v>0</v>
      </c>
      <c r="U1732" s="28"/>
      <c r="V1732" s="30">
        <f t="shared" si="425"/>
        <v>0</v>
      </c>
      <c r="W1732" s="30"/>
      <c r="X1732" s="32"/>
      <c r="Y1732" s="33" t="str">
        <f t="shared" si="792"/>
        <v>#DIV/0!</v>
      </c>
      <c r="Z1732" s="692"/>
      <c r="AA1732" s="665"/>
      <c r="AB1732" s="74"/>
      <c r="AC1732" s="74"/>
      <c r="AD1732" s="79"/>
      <c r="AE1732" s="84"/>
      <c r="AF1732" s="338"/>
      <c r="AG1732" s="84"/>
      <c r="AH1732" s="74"/>
      <c r="AI1732" s="78"/>
      <c r="AJ1732" s="79"/>
      <c r="AK1732" s="84"/>
      <c r="AL1732" s="79"/>
      <c r="AM1732" s="84"/>
      <c r="AN1732" s="79"/>
      <c r="AO1732" s="84"/>
      <c r="AP1732" s="79"/>
      <c r="AQ1732" s="84"/>
      <c r="AR1732" s="79"/>
      <c r="AS1732" s="79"/>
      <c r="AT1732" s="79"/>
      <c r="AU1732" s="80"/>
      <c r="AV1732" s="79"/>
      <c r="AW1732" s="38"/>
      <c r="AX1732" s="79"/>
      <c r="AY1732" s="38"/>
      <c r="AZ1732" s="79"/>
      <c r="BA1732" s="80"/>
      <c r="BB1732" s="79"/>
      <c r="BC1732" s="80"/>
      <c r="BD1732" s="79"/>
      <c r="BE1732" s="38"/>
      <c r="BF1732" s="74"/>
      <c r="BG1732" s="68"/>
      <c r="BH1732" s="68"/>
      <c r="BI1732" s="68"/>
      <c r="BJ1732" s="68"/>
      <c r="BK1732" s="68"/>
      <c r="BL1732" s="68"/>
      <c r="BM1732" s="68"/>
      <c r="BN1732" s="68"/>
      <c r="BO1732" s="68"/>
      <c r="BP1732" s="68"/>
      <c r="BQ1732" s="68"/>
      <c r="BR1732" s="68"/>
      <c r="BS1732" s="68"/>
      <c r="BT1732" s="68"/>
      <c r="BU1732" s="68"/>
      <c r="BV1732" s="68"/>
      <c r="BW1732" s="68"/>
      <c r="BX1732" s="68"/>
      <c r="BY1732" s="68"/>
      <c r="BZ1732" s="68"/>
      <c r="CA1732" s="68"/>
      <c r="CB1732" s="68"/>
      <c r="CC1732" s="68"/>
      <c r="CD1732" s="68"/>
      <c r="CE1732" s="68"/>
      <c r="CF1732" s="68"/>
      <c r="CG1732" s="68"/>
      <c r="CH1732" s="68"/>
      <c r="CI1732" s="68"/>
      <c r="CJ1732" s="68"/>
      <c r="CK1732" s="68"/>
      <c r="CL1732" s="68"/>
      <c r="CM1732" s="68"/>
      <c r="CN1732" s="68"/>
      <c r="CO1732" s="68"/>
      <c r="CP1732" s="68"/>
    </row>
    <row r="1733" ht="15.75" customHeight="1">
      <c r="A1733" s="1737" t="s">
        <v>8053</v>
      </c>
      <c r="B1733" s="1762" t="s">
        <v>892</v>
      </c>
      <c r="C1733" s="1762" t="s">
        <v>84</v>
      </c>
      <c r="D1733" s="1741" t="s">
        <v>4781</v>
      </c>
      <c r="E1733" s="1741" t="s">
        <v>4781</v>
      </c>
      <c r="F1733" s="1742" t="s">
        <v>8054</v>
      </c>
      <c r="G1733" s="1807" t="s">
        <v>8055</v>
      </c>
      <c r="H1733" s="1807" t="s">
        <v>8056</v>
      </c>
      <c r="I1733" s="1739" t="s">
        <v>129</v>
      </c>
      <c r="J1733" s="1808" t="s">
        <v>8057</v>
      </c>
      <c r="K1733" s="1739">
        <v>1.0</v>
      </c>
      <c r="L1733" s="1739">
        <v>2014.0</v>
      </c>
      <c r="M1733" s="25">
        <f t="shared" si="789"/>
        <v>11</v>
      </c>
      <c r="N1733" s="26">
        <f t="shared" si="790"/>
        <v>0</v>
      </c>
      <c r="O1733" s="27" t="str">
        <f t="shared" si="3"/>
        <v>#N/A</v>
      </c>
      <c r="P1733" s="28"/>
      <c r="Q1733" s="28"/>
      <c r="R1733" s="28"/>
      <c r="S1733" s="28"/>
      <c r="T1733" s="29">
        <f t="shared" si="791"/>
        <v>0</v>
      </c>
      <c r="U1733" s="28"/>
      <c r="V1733" s="30">
        <f t="shared" si="425"/>
        <v>0</v>
      </c>
      <c r="W1733" s="30"/>
      <c r="X1733" s="1812"/>
      <c r="Y1733" s="33" t="str">
        <f t="shared" si="792"/>
        <v>#DIV/0!</v>
      </c>
      <c r="Z1733" s="692"/>
      <c r="AA1733" s="665"/>
      <c r="AB1733" s="1738"/>
      <c r="AC1733" s="1738"/>
      <c r="AD1733" s="1747"/>
      <c r="AE1733" s="1748"/>
      <c r="AF1733" s="1749"/>
      <c r="AG1733" s="1748"/>
      <c r="AH1733" s="1738"/>
      <c r="AI1733" s="1750"/>
      <c r="AJ1733" s="1747"/>
      <c r="AK1733" s="1748"/>
      <c r="AL1733" s="1747"/>
      <c r="AM1733" s="1748"/>
      <c r="AN1733" s="1747"/>
      <c r="AO1733" s="1748"/>
      <c r="AP1733" s="1747"/>
      <c r="AQ1733" s="1748"/>
      <c r="AR1733" s="1747"/>
      <c r="AS1733" s="1747"/>
      <c r="AT1733" s="1747"/>
      <c r="AU1733" s="1751"/>
      <c r="AV1733" s="1747"/>
      <c r="AW1733" s="38"/>
      <c r="AX1733" s="1747"/>
      <c r="AY1733" s="38"/>
      <c r="AZ1733" s="1747"/>
      <c r="BA1733" s="1751"/>
      <c r="BB1733" s="1747"/>
      <c r="BC1733" s="1751"/>
      <c r="BD1733" s="1747"/>
      <c r="BE1733" s="38"/>
      <c r="BF1733" s="1738"/>
      <c r="BG1733" s="68"/>
      <c r="BH1733" s="68"/>
      <c r="BI1733" s="68"/>
      <c r="BJ1733" s="68"/>
      <c r="BK1733" s="68"/>
      <c r="BL1733" s="68"/>
      <c r="BM1733" s="68"/>
      <c r="BN1733" s="68"/>
      <c r="BO1733" s="68"/>
      <c r="BP1733" s="68"/>
      <c r="BQ1733" s="68"/>
      <c r="BR1733" s="68"/>
      <c r="BS1733" s="68"/>
      <c r="BT1733" s="68"/>
      <c r="BU1733" s="68"/>
      <c r="BV1733" s="68"/>
      <c r="BW1733" s="68"/>
      <c r="BX1733" s="68"/>
      <c r="BY1733" s="68"/>
      <c r="BZ1733" s="68"/>
      <c r="CA1733" s="68"/>
      <c r="CB1733" s="68"/>
      <c r="CC1733" s="68"/>
      <c r="CD1733" s="68"/>
      <c r="CE1733" s="68"/>
      <c r="CF1733" s="68"/>
      <c r="CG1733" s="68"/>
      <c r="CH1733" s="68"/>
      <c r="CI1733" s="68"/>
      <c r="CJ1733" s="68"/>
      <c r="CK1733" s="68"/>
      <c r="CL1733" s="68"/>
      <c r="CM1733" s="68"/>
      <c r="CN1733" s="68"/>
      <c r="CO1733" s="68"/>
      <c r="CP1733" s="68"/>
    </row>
    <row r="1734" ht="15.75" customHeight="1">
      <c r="A1734" s="47" t="s">
        <v>8058</v>
      </c>
      <c r="B1734" s="68"/>
      <c r="C1734" s="69" t="s">
        <v>1865</v>
      </c>
      <c r="D1734" s="337"/>
      <c r="E1734" s="192" t="s">
        <v>8059</v>
      </c>
      <c r="F1734" s="386" t="s">
        <v>8060</v>
      </c>
      <c r="G1734" s="186"/>
      <c r="H1734" s="71" t="s">
        <v>8061</v>
      </c>
      <c r="I1734" s="26" t="s">
        <v>1171</v>
      </c>
      <c r="J1734" s="155"/>
      <c r="K1734" s="74"/>
      <c r="L1734" s="26">
        <v>1984.0</v>
      </c>
      <c r="M1734" s="25">
        <f t="shared" si="789"/>
        <v>41</v>
      </c>
      <c r="N1734" s="26">
        <f t="shared" si="790"/>
        <v>0</v>
      </c>
      <c r="O1734" s="27" t="str">
        <f t="shared" si="3"/>
        <v>#N/A</v>
      </c>
      <c r="P1734" s="28"/>
      <c r="Q1734" s="28"/>
      <c r="R1734" s="28"/>
      <c r="S1734" s="28"/>
      <c r="T1734" s="29">
        <f t="shared" si="791"/>
        <v>0</v>
      </c>
      <c r="U1734" s="28"/>
      <c r="V1734" s="30">
        <f t="shared" si="425"/>
        <v>0</v>
      </c>
      <c r="W1734" s="30"/>
      <c r="X1734" s="32"/>
      <c r="Y1734" s="33" t="str">
        <f t="shared" si="792"/>
        <v>#DIV/0!</v>
      </c>
      <c r="Z1734" s="692"/>
      <c r="AA1734" s="665"/>
      <c r="AB1734" s="74"/>
      <c r="AC1734" s="74"/>
      <c r="AD1734" s="79"/>
      <c r="AE1734" s="84"/>
      <c r="AF1734" s="338"/>
      <c r="AG1734" s="84"/>
      <c r="AH1734" s="74"/>
      <c r="AI1734" s="78"/>
      <c r="AJ1734" s="79"/>
      <c r="AK1734" s="84"/>
      <c r="AL1734" s="79"/>
      <c r="AM1734" s="84"/>
      <c r="AN1734" s="79"/>
      <c r="AO1734" s="84"/>
      <c r="AP1734" s="79"/>
      <c r="AQ1734" s="84"/>
      <c r="AR1734" s="79"/>
      <c r="AS1734" s="79"/>
      <c r="AT1734" s="79"/>
      <c r="AU1734" s="80"/>
      <c r="AV1734" s="79"/>
      <c r="AW1734" s="38"/>
      <c r="AX1734" s="79"/>
      <c r="AY1734" s="38"/>
      <c r="AZ1734" s="79"/>
      <c r="BA1734" s="80"/>
      <c r="BB1734" s="79"/>
      <c r="BC1734" s="80"/>
      <c r="BD1734" s="79"/>
      <c r="BE1734" s="38"/>
      <c r="BF1734" s="74"/>
      <c r="BG1734" s="68"/>
      <c r="BH1734" s="68"/>
      <c r="BI1734" s="68"/>
      <c r="BJ1734" s="68"/>
      <c r="BK1734" s="68"/>
      <c r="BL1734" s="68"/>
      <c r="BM1734" s="68"/>
      <c r="BN1734" s="68"/>
      <c r="BO1734" s="68"/>
      <c r="BP1734" s="68"/>
      <c r="BQ1734" s="68"/>
      <c r="BR1734" s="68"/>
      <c r="BS1734" s="68"/>
      <c r="BT1734" s="68"/>
      <c r="BU1734" s="68"/>
      <c r="BV1734" s="68"/>
      <c r="BW1734" s="68"/>
      <c r="BX1734" s="68"/>
      <c r="BY1734" s="68"/>
      <c r="BZ1734" s="68"/>
      <c r="CA1734" s="68"/>
      <c r="CB1734" s="68"/>
      <c r="CC1734" s="68"/>
      <c r="CD1734" s="68"/>
      <c r="CE1734" s="68"/>
      <c r="CF1734" s="68"/>
      <c r="CG1734" s="68"/>
      <c r="CH1734" s="68"/>
      <c r="CI1734" s="68"/>
      <c r="CJ1734" s="68"/>
      <c r="CK1734" s="68"/>
      <c r="CL1734" s="68"/>
      <c r="CM1734" s="68"/>
      <c r="CN1734" s="68"/>
      <c r="CO1734" s="68"/>
      <c r="CP1734" s="68"/>
    </row>
    <row r="1735" ht="15.75" customHeight="1">
      <c r="A1735" s="47" t="s">
        <v>8062</v>
      </c>
      <c r="B1735" s="69" t="s">
        <v>8063</v>
      </c>
      <c r="C1735" s="69" t="s">
        <v>123</v>
      </c>
      <c r="D1735" s="337"/>
      <c r="E1735" s="48"/>
      <c r="F1735" s="386" t="s">
        <v>8064</v>
      </c>
      <c r="G1735" s="186"/>
      <c r="H1735" s="71" t="s">
        <v>357</v>
      </c>
      <c r="I1735" s="26" t="s">
        <v>358</v>
      </c>
      <c r="J1735" s="155"/>
      <c r="K1735" s="74"/>
      <c r="L1735" s="26"/>
      <c r="M1735" s="25">
        <f t="shared" si="789"/>
        <v>2025</v>
      </c>
      <c r="N1735" s="26">
        <f t="shared" si="790"/>
        <v>0</v>
      </c>
      <c r="O1735" s="27" t="str">
        <f t="shared" si="3"/>
        <v>#N/A</v>
      </c>
      <c r="P1735" s="28"/>
      <c r="Q1735" s="28"/>
      <c r="R1735" s="28"/>
      <c r="S1735" s="28"/>
      <c r="T1735" s="29">
        <f t="shared" si="791"/>
        <v>0</v>
      </c>
      <c r="U1735" s="28"/>
      <c r="V1735" s="30">
        <f t="shared" si="425"/>
        <v>0</v>
      </c>
      <c r="W1735" s="30"/>
      <c r="X1735" s="32"/>
      <c r="Y1735" s="33" t="str">
        <f t="shared" si="792"/>
        <v>#DIV/0!</v>
      </c>
      <c r="Z1735" s="692"/>
      <c r="AA1735" s="665"/>
      <c r="AB1735" s="74"/>
      <c r="AC1735" s="74"/>
      <c r="AD1735" s="79"/>
      <c r="AE1735" s="84"/>
      <c r="AF1735" s="338"/>
      <c r="AG1735" s="84"/>
      <c r="AH1735" s="74"/>
      <c r="AI1735" s="78"/>
      <c r="AJ1735" s="79"/>
      <c r="AK1735" s="84"/>
      <c r="AL1735" s="79"/>
      <c r="AM1735" s="84"/>
      <c r="AN1735" s="79"/>
      <c r="AO1735" s="84"/>
      <c r="AP1735" s="79"/>
      <c r="AQ1735" s="84"/>
      <c r="AR1735" s="79"/>
      <c r="AS1735" s="79"/>
      <c r="AT1735" s="79"/>
      <c r="AU1735" s="80"/>
      <c r="AV1735" s="79"/>
      <c r="AW1735" s="38"/>
      <c r="AX1735" s="79"/>
      <c r="AY1735" s="38"/>
      <c r="AZ1735" s="79"/>
      <c r="BA1735" s="80"/>
      <c r="BB1735" s="79"/>
      <c r="BC1735" s="80"/>
      <c r="BD1735" s="79"/>
      <c r="BE1735" s="38"/>
      <c r="BF1735" s="74"/>
      <c r="BG1735" s="68"/>
      <c r="BH1735" s="68"/>
      <c r="BI1735" s="68"/>
      <c r="BJ1735" s="68"/>
      <c r="BK1735" s="68"/>
      <c r="BL1735" s="68"/>
      <c r="BM1735" s="68"/>
      <c r="BN1735" s="68"/>
      <c r="BO1735" s="68"/>
      <c r="BP1735" s="68"/>
      <c r="BQ1735" s="68"/>
      <c r="BR1735" s="68"/>
      <c r="BS1735" s="68"/>
      <c r="BT1735" s="68"/>
      <c r="BU1735" s="68"/>
      <c r="BV1735" s="68"/>
      <c r="BW1735" s="68"/>
      <c r="BX1735" s="68"/>
      <c r="BY1735" s="68"/>
      <c r="BZ1735" s="68"/>
      <c r="CA1735" s="68"/>
      <c r="CB1735" s="68"/>
      <c r="CC1735" s="68"/>
      <c r="CD1735" s="68"/>
      <c r="CE1735" s="68"/>
      <c r="CF1735" s="68"/>
      <c r="CG1735" s="68"/>
      <c r="CH1735" s="68"/>
      <c r="CI1735" s="68"/>
      <c r="CJ1735" s="68"/>
      <c r="CK1735" s="68"/>
      <c r="CL1735" s="68"/>
      <c r="CM1735" s="68"/>
      <c r="CN1735" s="68"/>
      <c r="CO1735" s="68"/>
      <c r="CP1735" s="68"/>
    </row>
    <row r="1736" ht="15.75" customHeight="1">
      <c r="A1736" s="1737" t="s">
        <v>8065</v>
      </c>
      <c r="B1736" s="1644"/>
      <c r="C1736" s="1762" t="s">
        <v>2808</v>
      </c>
      <c r="D1736" s="1741" t="s">
        <v>4781</v>
      </c>
      <c r="E1736" s="1741" t="s">
        <v>4781</v>
      </c>
      <c r="F1736" s="1742" t="s">
        <v>8066</v>
      </c>
      <c r="G1736" s="1807" t="s">
        <v>8067</v>
      </c>
      <c r="H1736" s="1807" t="s">
        <v>1065</v>
      </c>
      <c r="I1736" s="1739" t="s">
        <v>639</v>
      </c>
      <c r="J1736" s="1839" t="s">
        <v>8068</v>
      </c>
      <c r="K1736" s="1738"/>
      <c r="L1736" s="1739">
        <v>2018.0</v>
      </c>
      <c r="M1736" s="25">
        <f t="shared" si="789"/>
        <v>7</v>
      </c>
      <c r="N1736" s="26">
        <f t="shared" si="790"/>
        <v>0</v>
      </c>
      <c r="O1736" s="27" t="str">
        <f t="shared" si="3"/>
        <v>#N/A</v>
      </c>
      <c r="P1736" s="28"/>
      <c r="Q1736" s="28"/>
      <c r="R1736" s="28"/>
      <c r="S1736" s="28"/>
      <c r="T1736" s="29">
        <f t="shared" si="791"/>
        <v>0</v>
      </c>
      <c r="U1736" s="28"/>
      <c r="V1736" s="30">
        <f t="shared" si="425"/>
        <v>0</v>
      </c>
      <c r="W1736" s="30"/>
      <c r="X1736" s="1746"/>
      <c r="Y1736" s="33" t="str">
        <f t="shared" si="792"/>
        <v>#DIV/0!</v>
      </c>
      <c r="Z1736" s="692"/>
      <c r="AA1736" s="665"/>
      <c r="AB1736" s="1738"/>
      <c r="AC1736" s="1738"/>
      <c r="AD1736" s="1747"/>
      <c r="AE1736" s="1748"/>
      <c r="AF1736" s="1749"/>
      <c r="AG1736" s="1748"/>
      <c r="AH1736" s="1738"/>
      <c r="AI1736" s="1750"/>
      <c r="AJ1736" s="1747"/>
      <c r="AK1736" s="1748"/>
      <c r="AL1736" s="1747"/>
      <c r="AM1736" s="1748"/>
      <c r="AN1736" s="1747"/>
      <c r="AO1736" s="1748"/>
      <c r="AP1736" s="1747"/>
      <c r="AQ1736" s="1748"/>
      <c r="AR1736" s="1747"/>
      <c r="AS1736" s="1747"/>
      <c r="AT1736" s="1747"/>
      <c r="AU1736" s="1751"/>
      <c r="AV1736" s="1747"/>
      <c r="AW1736" s="38"/>
      <c r="AX1736" s="1747"/>
      <c r="AY1736" s="38"/>
      <c r="AZ1736" s="1747"/>
      <c r="BA1736" s="1751"/>
      <c r="BB1736" s="1747"/>
      <c r="BC1736" s="1751"/>
      <c r="BD1736" s="1747"/>
      <c r="BE1736" s="38"/>
      <c r="BF1736" s="1738"/>
      <c r="BG1736" s="68"/>
      <c r="BH1736" s="68"/>
      <c r="BI1736" s="68"/>
      <c r="BJ1736" s="68"/>
      <c r="BK1736" s="68"/>
      <c r="BL1736" s="68"/>
      <c r="BM1736" s="68"/>
      <c r="BN1736" s="68"/>
      <c r="BO1736" s="68"/>
      <c r="BP1736" s="68"/>
      <c r="BQ1736" s="68"/>
      <c r="BR1736" s="68"/>
      <c r="BS1736" s="68"/>
      <c r="BT1736" s="68"/>
      <c r="BU1736" s="68"/>
      <c r="BV1736" s="68"/>
      <c r="BW1736" s="68"/>
      <c r="BX1736" s="68"/>
      <c r="BY1736" s="68"/>
      <c r="BZ1736" s="68"/>
      <c r="CA1736" s="68"/>
      <c r="CB1736" s="68"/>
      <c r="CC1736" s="68"/>
      <c r="CD1736" s="68"/>
      <c r="CE1736" s="68"/>
      <c r="CF1736" s="68"/>
      <c r="CG1736" s="68"/>
      <c r="CH1736" s="68"/>
      <c r="CI1736" s="68"/>
      <c r="CJ1736" s="68"/>
      <c r="CK1736" s="68"/>
      <c r="CL1736" s="68"/>
      <c r="CM1736" s="68"/>
      <c r="CN1736" s="68"/>
      <c r="CO1736" s="68"/>
      <c r="CP1736" s="68"/>
    </row>
    <row r="1737" ht="15.75" customHeight="1">
      <c r="A1737" s="442" t="s">
        <v>8069</v>
      </c>
      <c r="B1737" s="68" t="s">
        <v>301</v>
      </c>
      <c r="C1737" s="69" t="s">
        <v>2808</v>
      </c>
      <c r="D1737" s="184" t="s">
        <v>8070</v>
      </c>
      <c r="E1737" s="138" t="s">
        <v>8071</v>
      </c>
      <c r="F1737" s="185" t="s">
        <v>8072</v>
      </c>
      <c r="G1737" s="186" t="s">
        <v>8073</v>
      </c>
      <c r="H1737" s="186" t="s">
        <v>128</v>
      </c>
      <c r="I1737" s="74" t="s">
        <v>156</v>
      </c>
      <c r="J1737" s="155" t="s">
        <v>157</v>
      </c>
      <c r="K1737" s="74" t="s">
        <v>723</v>
      </c>
      <c r="L1737" s="26">
        <v>2016.0</v>
      </c>
      <c r="M1737" s="25">
        <f t="shared" si="789"/>
        <v>9</v>
      </c>
      <c r="N1737" s="26">
        <f t="shared" si="790"/>
        <v>0</v>
      </c>
      <c r="O1737" s="27" t="str">
        <f t="shared" si="3"/>
        <v>#N/A</v>
      </c>
      <c r="P1737" s="28"/>
      <c r="Q1737" s="28"/>
      <c r="R1737" s="28"/>
      <c r="S1737" s="28"/>
      <c r="T1737" s="29">
        <f t="shared" si="791"/>
        <v>0</v>
      </c>
      <c r="U1737" s="28"/>
      <c r="V1737" s="30">
        <f t="shared" si="425"/>
        <v>0</v>
      </c>
      <c r="W1737" s="30"/>
      <c r="X1737" s="32"/>
      <c r="Y1737" s="33" t="str">
        <f t="shared" si="792"/>
        <v>#DIV/0!</v>
      </c>
      <c r="Z1737" s="692"/>
      <c r="AA1737" s="665"/>
      <c r="AB1737" s="74"/>
      <c r="AC1737" s="74"/>
      <c r="AD1737" s="79"/>
      <c r="AE1737" s="84"/>
      <c r="AF1737" s="338"/>
      <c r="AG1737" s="84"/>
      <c r="AH1737" s="74"/>
      <c r="AI1737" s="78"/>
      <c r="AJ1737" s="79"/>
      <c r="AK1737" s="84"/>
      <c r="AL1737" s="79"/>
      <c r="AM1737" s="84"/>
      <c r="AN1737" s="79"/>
      <c r="AO1737" s="84"/>
      <c r="AP1737" s="79"/>
      <c r="AQ1737" s="84"/>
      <c r="AR1737" s="79"/>
      <c r="AS1737" s="79"/>
      <c r="AT1737" s="79"/>
      <c r="AU1737" s="80"/>
      <c r="AV1737" s="79"/>
      <c r="AW1737" s="38"/>
      <c r="AX1737" s="79"/>
      <c r="AY1737" s="38"/>
      <c r="AZ1737" s="79"/>
      <c r="BA1737" s="80"/>
      <c r="BB1737" s="79"/>
      <c r="BC1737" s="80"/>
      <c r="BD1737" s="79"/>
      <c r="BE1737" s="38"/>
      <c r="BF1737" s="74"/>
      <c r="BG1737" s="68"/>
      <c r="BH1737" s="68"/>
      <c r="BI1737" s="68"/>
      <c r="BJ1737" s="68"/>
      <c r="BK1737" s="68"/>
      <c r="BL1737" s="68"/>
      <c r="BM1737" s="68"/>
      <c r="BN1737" s="68"/>
      <c r="BO1737" s="68"/>
      <c r="BP1737" s="68"/>
      <c r="BQ1737" s="68"/>
      <c r="BR1737" s="68"/>
      <c r="BS1737" s="68"/>
      <c r="BT1737" s="68"/>
      <c r="BU1737" s="68"/>
      <c r="BV1737" s="68"/>
      <c r="BW1737" s="68"/>
      <c r="BX1737" s="68"/>
      <c r="BY1737" s="68"/>
      <c r="BZ1737" s="68"/>
      <c r="CA1737" s="68"/>
      <c r="CB1737" s="68"/>
      <c r="CC1737" s="68"/>
      <c r="CD1737" s="68"/>
      <c r="CE1737" s="68"/>
      <c r="CF1737" s="68"/>
      <c r="CG1737" s="68"/>
      <c r="CH1737" s="68"/>
      <c r="CI1737" s="68"/>
      <c r="CJ1737" s="68"/>
      <c r="CK1737" s="68"/>
      <c r="CL1737" s="68"/>
      <c r="CM1737" s="68"/>
      <c r="CN1737" s="68"/>
      <c r="CO1737" s="68"/>
      <c r="CP1737" s="68"/>
    </row>
    <row r="1738" ht="15.75" customHeight="1">
      <c r="A1738" s="48" t="s">
        <v>8074</v>
      </c>
      <c r="B1738" s="68"/>
      <c r="C1738" s="69" t="s">
        <v>84</v>
      </c>
      <c r="D1738" s="192" t="s">
        <v>8075</v>
      </c>
      <c r="E1738" s="48"/>
      <c r="F1738" s="118" t="s">
        <v>8076</v>
      </c>
      <c r="G1738" s="140"/>
      <c r="H1738" s="71"/>
      <c r="I1738" s="74"/>
      <c r="J1738" s="155"/>
      <c r="K1738" s="74"/>
      <c r="L1738" s="26"/>
      <c r="M1738" s="25">
        <f t="shared" si="789"/>
        <v>2025</v>
      </c>
      <c r="N1738" s="26">
        <f t="shared" si="790"/>
        <v>0</v>
      </c>
      <c r="O1738" s="27" t="str">
        <f t="shared" si="3"/>
        <v>#N/A</v>
      </c>
      <c r="P1738" s="28"/>
      <c r="Q1738" s="28"/>
      <c r="R1738" s="28"/>
      <c r="S1738" s="28"/>
      <c r="T1738" s="29">
        <f t="shared" si="791"/>
        <v>0</v>
      </c>
      <c r="U1738" s="28"/>
      <c r="V1738" s="30">
        <f t="shared" si="425"/>
        <v>0</v>
      </c>
      <c r="W1738" s="30"/>
      <c r="X1738" s="32"/>
      <c r="Y1738" s="33" t="str">
        <f t="shared" si="792"/>
        <v>#DIV/0!</v>
      </c>
      <c r="Z1738" s="692"/>
      <c r="AA1738" s="665"/>
      <c r="AB1738" s="74"/>
      <c r="AC1738" s="74"/>
      <c r="AD1738" s="79"/>
      <c r="AE1738" s="76"/>
      <c r="AF1738" s="320"/>
      <c r="AG1738" s="76"/>
      <c r="AH1738" s="74"/>
      <c r="AI1738" s="78"/>
      <c r="AJ1738" s="79"/>
      <c r="AK1738" s="84"/>
      <c r="AL1738" s="79"/>
      <c r="AM1738" s="84"/>
      <c r="AN1738" s="79"/>
      <c r="AO1738" s="84"/>
      <c r="AP1738" s="79"/>
      <c r="AQ1738" s="84"/>
      <c r="AR1738" s="79"/>
      <c r="AS1738" s="79"/>
      <c r="AT1738" s="79"/>
      <c r="AU1738" s="80"/>
      <c r="AV1738" s="79"/>
      <c r="AW1738" s="38"/>
      <c r="AX1738" s="79"/>
      <c r="AY1738" s="38"/>
      <c r="AZ1738" s="79"/>
      <c r="BA1738" s="80"/>
      <c r="BB1738" s="79"/>
      <c r="BC1738" s="80"/>
      <c r="BD1738" s="79"/>
      <c r="BE1738" s="38"/>
      <c r="BF1738" s="74"/>
      <c r="BG1738" s="68"/>
      <c r="BH1738" s="68"/>
      <c r="BI1738" s="68"/>
      <c r="BJ1738" s="68"/>
      <c r="BK1738" s="68"/>
      <c r="BL1738" s="68"/>
      <c r="BM1738" s="68"/>
      <c r="BN1738" s="68"/>
      <c r="BO1738" s="68"/>
      <c r="BP1738" s="68"/>
      <c r="BQ1738" s="68"/>
      <c r="BR1738" s="68"/>
      <c r="BS1738" s="68"/>
      <c r="BT1738" s="68"/>
      <c r="BU1738" s="68"/>
      <c r="BV1738" s="68"/>
      <c r="BW1738" s="68"/>
      <c r="BX1738" s="68"/>
      <c r="BY1738" s="68"/>
      <c r="BZ1738" s="68"/>
      <c r="CA1738" s="68"/>
      <c r="CB1738" s="68"/>
      <c r="CC1738" s="68"/>
      <c r="CD1738" s="68"/>
      <c r="CE1738" s="68"/>
      <c r="CF1738" s="68"/>
      <c r="CG1738" s="68"/>
      <c r="CH1738" s="68"/>
      <c r="CI1738" s="68"/>
      <c r="CJ1738" s="68"/>
      <c r="CK1738" s="68"/>
      <c r="CL1738" s="68"/>
      <c r="CM1738" s="68"/>
      <c r="CN1738" s="68"/>
      <c r="CO1738" s="68"/>
      <c r="CP1738" s="68"/>
    </row>
    <row r="1739" ht="17.25" customHeight="1">
      <c r="A1739" s="1737" t="s">
        <v>8077</v>
      </c>
      <c r="B1739" s="1644"/>
      <c r="C1739" s="1762" t="s">
        <v>5244</v>
      </c>
      <c r="D1739" s="1829" t="s">
        <v>4781</v>
      </c>
      <c r="E1739" s="1829" t="s">
        <v>4781</v>
      </c>
      <c r="F1739" s="1742" t="s">
        <v>8078</v>
      </c>
      <c r="G1739" s="1807" t="s">
        <v>8079</v>
      </c>
      <c r="H1739" s="1744" t="s">
        <v>8080</v>
      </c>
      <c r="I1739" s="1739" t="s">
        <v>65</v>
      </c>
      <c r="J1739" s="1808" t="s">
        <v>8081</v>
      </c>
      <c r="K1739" s="1739">
        <v>1.0</v>
      </c>
      <c r="L1739" s="1739">
        <v>2015.0</v>
      </c>
      <c r="M1739" s="25">
        <f t="shared" si="789"/>
        <v>10</v>
      </c>
      <c r="N1739" s="26">
        <f t="shared" si="790"/>
        <v>0</v>
      </c>
      <c r="O1739" s="27" t="str">
        <f t="shared" si="3"/>
        <v>#N/A</v>
      </c>
      <c r="P1739" s="28"/>
      <c r="Q1739" s="28"/>
      <c r="R1739" s="28"/>
      <c r="S1739" s="28"/>
      <c r="T1739" s="29">
        <f t="shared" si="791"/>
        <v>0</v>
      </c>
      <c r="U1739" s="28"/>
      <c r="V1739" s="30">
        <f t="shared" si="425"/>
        <v>0</v>
      </c>
      <c r="W1739" s="30"/>
      <c r="X1739" s="1812"/>
      <c r="Y1739" s="33" t="str">
        <f t="shared" si="792"/>
        <v>#DIV/0!</v>
      </c>
      <c r="Z1739" s="692"/>
      <c r="AA1739" s="665"/>
      <c r="AB1739" s="1738"/>
      <c r="AC1739" s="1738"/>
      <c r="AD1739" s="1747"/>
      <c r="AE1739" s="1766"/>
      <c r="AF1739" s="1749"/>
      <c r="AG1739" s="1748"/>
      <c r="AH1739" s="1738"/>
      <c r="AI1739" s="1750"/>
      <c r="AJ1739" s="1747"/>
      <c r="AK1739" s="1748"/>
      <c r="AL1739" s="1747"/>
      <c r="AM1739" s="1748"/>
      <c r="AN1739" s="1747"/>
      <c r="AO1739" s="1748"/>
      <c r="AP1739" s="1747"/>
      <c r="AQ1739" s="1748"/>
      <c r="AR1739" s="1747"/>
      <c r="AS1739" s="1747"/>
      <c r="AT1739" s="1747"/>
      <c r="AU1739" s="1751"/>
      <c r="AV1739" s="1747"/>
      <c r="AW1739" s="38"/>
      <c r="AX1739" s="1747"/>
      <c r="AY1739" s="38"/>
      <c r="AZ1739" s="1747"/>
      <c r="BA1739" s="1751"/>
      <c r="BB1739" s="1747"/>
      <c r="BC1739" s="1751"/>
      <c r="BD1739" s="1747"/>
      <c r="BE1739" s="38"/>
      <c r="BF1739" s="1738"/>
      <c r="BG1739" s="68"/>
      <c r="BH1739" s="68"/>
      <c r="BI1739" s="68"/>
      <c r="BJ1739" s="68"/>
      <c r="BK1739" s="68"/>
      <c r="BL1739" s="68"/>
      <c r="BM1739" s="68"/>
      <c r="BN1739" s="68"/>
      <c r="BO1739" s="68"/>
      <c r="BP1739" s="68"/>
      <c r="BQ1739" s="68"/>
      <c r="BR1739" s="68"/>
      <c r="BS1739" s="68"/>
      <c r="BT1739" s="68"/>
      <c r="BU1739" s="68"/>
      <c r="BV1739" s="68"/>
      <c r="BW1739" s="68"/>
      <c r="BX1739" s="68"/>
      <c r="BY1739" s="68"/>
      <c r="BZ1739" s="68"/>
      <c r="CA1739" s="68"/>
      <c r="CB1739" s="68"/>
      <c r="CC1739" s="68"/>
      <c r="CD1739" s="68"/>
      <c r="CE1739" s="68"/>
      <c r="CF1739" s="68"/>
      <c r="CG1739" s="68"/>
      <c r="CH1739" s="68"/>
      <c r="CI1739" s="68"/>
      <c r="CJ1739" s="68"/>
      <c r="CK1739" s="68"/>
      <c r="CL1739" s="68"/>
      <c r="CM1739" s="68"/>
      <c r="CN1739" s="68"/>
      <c r="CO1739" s="68"/>
      <c r="CP1739" s="68"/>
    </row>
    <row r="1740" ht="15.75" customHeight="1">
      <c r="A1740" s="1737" t="s">
        <v>8082</v>
      </c>
      <c r="B1740" s="1644"/>
      <c r="C1740" s="1762" t="s">
        <v>427</v>
      </c>
      <c r="D1740" s="1840" t="s">
        <v>4781</v>
      </c>
      <c r="E1740" s="1741" t="s">
        <v>4781</v>
      </c>
      <c r="F1740" s="1742" t="s">
        <v>8083</v>
      </c>
      <c r="G1740" s="1807" t="s">
        <v>8084</v>
      </c>
      <c r="H1740" s="1744" t="s">
        <v>8085</v>
      </c>
      <c r="I1740" s="1739" t="s">
        <v>329</v>
      </c>
      <c r="J1740" s="1765"/>
      <c r="K1740" s="1739"/>
      <c r="L1740" s="1739">
        <v>2015.0</v>
      </c>
      <c r="M1740" s="25">
        <f t="shared" si="789"/>
        <v>10</v>
      </c>
      <c r="N1740" s="26">
        <f t="shared" si="790"/>
        <v>0</v>
      </c>
      <c r="O1740" s="27" t="str">
        <f t="shared" si="3"/>
        <v>#N/A</v>
      </c>
      <c r="P1740" s="28"/>
      <c r="Q1740" s="28"/>
      <c r="R1740" s="28"/>
      <c r="S1740" s="28"/>
      <c r="T1740" s="29">
        <f t="shared" si="791"/>
        <v>0</v>
      </c>
      <c r="U1740" s="28"/>
      <c r="V1740" s="30">
        <f t="shared" si="425"/>
        <v>0</v>
      </c>
      <c r="W1740" s="30"/>
      <c r="X1740" s="1812"/>
      <c r="Y1740" s="33" t="str">
        <f t="shared" si="792"/>
        <v>#DIV/0!</v>
      </c>
      <c r="Z1740" s="692"/>
      <c r="AA1740" s="665"/>
      <c r="AB1740" s="1738"/>
      <c r="AC1740" s="1738"/>
      <c r="AD1740" s="1747"/>
      <c r="AE1740" s="1748"/>
      <c r="AF1740" s="1749"/>
      <c r="AG1740" s="1766"/>
      <c r="AH1740" s="1738"/>
      <c r="AI1740" s="1750"/>
      <c r="AJ1740" s="1747"/>
      <c r="AK1740" s="1766"/>
      <c r="AL1740" s="1767"/>
      <c r="AM1740" s="1766"/>
      <c r="AN1740" s="1747"/>
      <c r="AO1740" s="1748"/>
      <c r="AP1740" s="1747"/>
      <c r="AQ1740" s="1748"/>
      <c r="AR1740" s="1747"/>
      <c r="AS1740" s="1747"/>
      <c r="AT1740" s="1747"/>
      <c r="AU1740" s="1751"/>
      <c r="AV1740" s="1747"/>
      <c r="AW1740" s="38"/>
      <c r="AX1740" s="1747"/>
      <c r="AY1740" s="38"/>
      <c r="AZ1740" s="1747"/>
      <c r="BA1740" s="1751"/>
      <c r="BB1740" s="1747"/>
      <c r="BC1740" s="1751"/>
      <c r="BD1740" s="1747"/>
      <c r="BE1740" s="38"/>
      <c r="BF1740" s="1738"/>
      <c r="BG1740" s="68"/>
      <c r="BH1740" s="68"/>
      <c r="BI1740" s="68"/>
      <c r="BJ1740" s="68"/>
      <c r="BK1740" s="68"/>
      <c r="BL1740" s="68"/>
      <c r="BM1740" s="68"/>
      <c r="BN1740" s="68"/>
      <c r="BO1740" s="68"/>
      <c r="BP1740" s="68"/>
      <c r="BQ1740" s="68"/>
      <c r="BR1740" s="68"/>
      <c r="BS1740" s="68"/>
      <c r="BT1740" s="68"/>
      <c r="BU1740" s="68"/>
      <c r="BV1740" s="68"/>
      <c r="BW1740" s="68"/>
      <c r="BX1740" s="68"/>
      <c r="BY1740" s="68"/>
      <c r="BZ1740" s="68"/>
      <c r="CA1740" s="68"/>
      <c r="CB1740" s="68"/>
      <c r="CC1740" s="68"/>
      <c r="CD1740" s="68"/>
      <c r="CE1740" s="68"/>
      <c r="CF1740" s="68"/>
      <c r="CG1740" s="68"/>
      <c r="CH1740" s="68"/>
      <c r="CI1740" s="68"/>
      <c r="CJ1740" s="68"/>
      <c r="CK1740" s="68"/>
      <c r="CL1740" s="68"/>
      <c r="CM1740" s="68"/>
      <c r="CN1740" s="68"/>
      <c r="CO1740" s="68"/>
      <c r="CP1740" s="68"/>
    </row>
    <row r="1741" ht="15.75" customHeight="1">
      <c r="A1741" s="47" t="s">
        <v>8086</v>
      </c>
      <c r="B1741" s="115"/>
      <c r="C1741" s="116" t="s">
        <v>513</v>
      </c>
      <c r="D1741" s="1841" t="s">
        <v>8087</v>
      </c>
      <c r="E1741" s="161" t="s">
        <v>8088</v>
      </c>
      <c r="F1741" s="163" t="s">
        <v>8089</v>
      </c>
      <c r="G1741" s="54" t="s">
        <v>8090</v>
      </c>
      <c r="H1741" s="119" t="s">
        <v>8091</v>
      </c>
      <c r="I1741" s="25" t="s">
        <v>115</v>
      </c>
      <c r="J1741" s="178" t="s">
        <v>8092</v>
      </c>
      <c r="K1741" s="25"/>
      <c r="L1741" s="25">
        <v>1990.0</v>
      </c>
      <c r="M1741" s="25">
        <f t="shared" si="789"/>
        <v>35</v>
      </c>
      <c r="N1741" s="26">
        <f t="shared" si="790"/>
        <v>0</v>
      </c>
      <c r="O1741" s="27" t="str">
        <f t="shared" si="3"/>
        <v>#N/A</v>
      </c>
      <c r="P1741" s="28"/>
      <c r="Q1741" s="28"/>
      <c r="R1741" s="28"/>
      <c r="S1741" s="28"/>
      <c r="T1741" s="29">
        <f t="shared" si="791"/>
        <v>0</v>
      </c>
      <c r="U1741" s="28"/>
      <c r="V1741" s="30">
        <f t="shared" si="425"/>
        <v>0</v>
      </c>
      <c r="W1741" s="30"/>
      <c r="X1741" s="597"/>
      <c r="Y1741" s="33" t="str">
        <f t="shared" si="792"/>
        <v>#DIV/0!</v>
      </c>
      <c r="Z1741" s="692"/>
      <c r="AA1741" s="665"/>
      <c r="AB1741" s="123"/>
      <c r="AC1741" s="123"/>
      <c r="AD1741" s="124"/>
      <c r="AE1741" s="125"/>
      <c r="AF1741" s="166"/>
      <c r="AG1741" s="127"/>
      <c r="AH1741" s="123"/>
      <c r="AI1741" s="128"/>
      <c r="AJ1741" s="124"/>
      <c r="AK1741" s="127"/>
      <c r="AL1741" s="169"/>
      <c r="AM1741" s="127"/>
      <c r="AN1741" s="124"/>
      <c r="AO1741" s="125"/>
      <c r="AP1741" s="124"/>
      <c r="AQ1741" s="125"/>
      <c r="AR1741" s="124"/>
      <c r="AS1741" s="124"/>
      <c r="AT1741" s="124"/>
      <c r="AU1741" s="137"/>
      <c r="AV1741" s="124"/>
      <c r="AW1741" s="38"/>
      <c r="AX1741" s="124"/>
      <c r="AY1741" s="38"/>
      <c r="AZ1741" s="124"/>
      <c r="BA1741" s="137"/>
      <c r="BB1741" s="124"/>
      <c r="BC1741" s="137"/>
      <c r="BD1741" s="124"/>
      <c r="BE1741" s="38"/>
      <c r="BF1741" s="123"/>
      <c r="BG1741" s="115"/>
      <c r="BH1741" s="115"/>
      <c r="BI1741" s="115"/>
      <c r="BJ1741" s="115"/>
      <c r="BK1741" s="115"/>
      <c r="BL1741" s="115"/>
      <c r="BM1741" s="115"/>
      <c r="BN1741" s="115"/>
      <c r="BO1741" s="115"/>
      <c r="BP1741" s="115"/>
      <c r="BQ1741" s="115"/>
      <c r="BR1741" s="115"/>
      <c r="BS1741" s="115"/>
      <c r="BT1741" s="115"/>
      <c r="BU1741" s="115"/>
      <c r="BV1741" s="115"/>
      <c r="BW1741" s="115"/>
      <c r="BX1741" s="115"/>
      <c r="BY1741" s="115"/>
      <c r="BZ1741" s="115"/>
      <c r="CA1741" s="115"/>
      <c r="CB1741" s="115"/>
      <c r="CC1741" s="115"/>
      <c r="CD1741" s="115"/>
      <c r="CE1741" s="115"/>
      <c r="CF1741" s="115"/>
      <c r="CG1741" s="115"/>
      <c r="CH1741" s="115"/>
      <c r="CI1741" s="115"/>
      <c r="CJ1741" s="115"/>
      <c r="CK1741" s="115"/>
      <c r="CL1741" s="115"/>
      <c r="CM1741" s="115"/>
      <c r="CN1741" s="115"/>
      <c r="CO1741" s="115"/>
      <c r="CP1741" s="115"/>
    </row>
    <row r="1742" ht="15.75" customHeight="1">
      <c r="A1742" s="860" t="s">
        <v>8093</v>
      </c>
      <c r="B1742" s="69" t="s">
        <v>68</v>
      </c>
      <c r="C1742" s="116" t="s">
        <v>5244</v>
      </c>
      <c r="D1742" s="192" t="s">
        <v>8094</v>
      </c>
      <c r="E1742" s="192" t="s">
        <v>8095</v>
      </c>
      <c r="F1742" s="118" t="s">
        <v>8096</v>
      </c>
      <c r="G1742" s="71"/>
      <c r="H1742" s="71" t="s">
        <v>1890</v>
      </c>
      <c r="I1742" s="26" t="s">
        <v>1892</v>
      </c>
      <c r="J1742" s="155"/>
      <c r="K1742" s="26"/>
      <c r="L1742" s="26">
        <v>2018.0</v>
      </c>
      <c r="M1742" s="25">
        <f t="shared" si="789"/>
        <v>7</v>
      </c>
      <c r="N1742" s="26">
        <f t="shared" si="790"/>
        <v>0</v>
      </c>
      <c r="O1742" s="27" t="str">
        <f t="shared" si="3"/>
        <v>#N/A</v>
      </c>
      <c r="P1742" s="28"/>
      <c r="Q1742" s="28"/>
      <c r="R1742" s="28"/>
      <c r="S1742" s="28"/>
      <c r="T1742" s="29">
        <f t="shared" si="791"/>
        <v>0</v>
      </c>
      <c r="U1742" s="28"/>
      <c r="V1742" s="30">
        <f t="shared" si="425"/>
        <v>0</v>
      </c>
      <c r="W1742" s="30"/>
      <c r="X1742" s="73"/>
      <c r="Y1742" s="33" t="str">
        <f t="shared" si="792"/>
        <v>#DIV/0!</v>
      </c>
      <c r="Z1742" s="692"/>
      <c r="AA1742" s="665"/>
      <c r="AB1742" s="74"/>
      <c r="AC1742" s="74"/>
      <c r="AD1742" s="79"/>
      <c r="AE1742" s="84"/>
      <c r="AF1742" s="338"/>
      <c r="AG1742" s="76"/>
      <c r="AH1742" s="74"/>
      <c r="AI1742" s="78"/>
      <c r="AJ1742" s="79"/>
      <c r="AK1742" s="76"/>
      <c r="AL1742" s="279"/>
      <c r="AM1742" s="76"/>
      <c r="AN1742" s="79"/>
      <c r="AO1742" s="84"/>
      <c r="AP1742" s="79"/>
      <c r="AQ1742" s="84"/>
      <c r="AR1742" s="79"/>
      <c r="AS1742" s="79"/>
      <c r="AT1742" s="79"/>
      <c r="AU1742" s="80"/>
      <c r="AV1742" s="79"/>
      <c r="AW1742" s="38"/>
      <c r="AX1742" s="79"/>
      <c r="AY1742" s="38"/>
      <c r="AZ1742" s="79"/>
      <c r="BA1742" s="80"/>
      <c r="BB1742" s="79"/>
      <c r="BC1742" s="80"/>
      <c r="BD1742" s="79"/>
      <c r="BE1742" s="38"/>
      <c r="BF1742" s="74"/>
      <c r="BG1742" s="115"/>
      <c r="BH1742" s="115"/>
      <c r="BI1742" s="115"/>
      <c r="BJ1742" s="115"/>
      <c r="BK1742" s="115"/>
      <c r="BL1742" s="115"/>
      <c r="BM1742" s="115"/>
      <c r="BN1742" s="115"/>
      <c r="BO1742" s="115"/>
      <c r="BP1742" s="115"/>
      <c r="BQ1742" s="115"/>
      <c r="BR1742" s="115"/>
      <c r="BS1742" s="115"/>
      <c r="BT1742" s="115"/>
      <c r="BU1742" s="115"/>
      <c r="BV1742" s="115"/>
      <c r="BW1742" s="115"/>
      <c r="BX1742" s="115"/>
      <c r="BY1742" s="115"/>
      <c r="BZ1742" s="115"/>
      <c r="CA1742" s="115"/>
      <c r="CB1742" s="115"/>
      <c r="CC1742" s="115"/>
      <c r="CD1742" s="115"/>
      <c r="CE1742" s="115"/>
      <c r="CF1742" s="115"/>
      <c r="CG1742" s="115"/>
      <c r="CH1742" s="115"/>
      <c r="CI1742" s="115"/>
      <c r="CJ1742" s="115"/>
      <c r="CK1742" s="115"/>
      <c r="CL1742" s="115"/>
      <c r="CM1742" s="115"/>
      <c r="CN1742" s="115"/>
      <c r="CO1742" s="115"/>
      <c r="CP1742" s="115"/>
    </row>
    <row r="1743" ht="15.75" customHeight="1">
      <c r="A1743" s="442" t="s">
        <v>8097</v>
      </c>
      <c r="B1743" s="68" t="s">
        <v>8098</v>
      </c>
      <c r="C1743" s="69" t="s">
        <v>123</v>
      </c>
      <c r="D1743" s="1408" t="s">
        <v>8099</v>
      </c>
      <c r="E1743" s="184" t="s">
        <v>8100</v>
      </c>
      <c r="F1743" s="185" t="s">
        <v>8101</v>
      </c>
      <c r="G1743" s="186" t="s">
        <v>8102</v>
      </c>
      <c r="H1743" s="186" t="s">
        <v>401</v>
      </c>
      <c r="I1743" s="74" t="s">
        <v>826</v>
      </c>
      <c r="J1743" s="155" t="s">
        <v>437</v>
      </c>
      <c r="K1743" s="74">
        <v>1.0</v>
      </c>
      <c r="L1743" s="26">
        <v>2014.0</v>
      </c>
      <c r="M1743" s="25">
        <f t="shared" si="789"/>
        <v>11</v>
      </c>
      <c r="N1743" s="26">
        <f t="shared" si="790"/>
        <v>1</v>
      </c>
      <c r="O1743" s="27" t="str">
        <f t="shared" si="3"/>
        <v>#N/A</v>
      </c>
      <c r="P1743" s="28"/>
      <c r="Q1743" s="28"/>
      <c r="R1743" s="28"/>
      <c r="S1743" s="28"/>
      <c r="T1743" s="29">
        <f t="shared" si="791"/>
        <v>0</v>
      </c>
      <c r="U1743" s="28"/>
      <c r="V1743" s="30">
        <f t="shared" si="425"/>
        <v>0</v>
      </c>
      <c r="W1743" s="30"/>
      <c r="X1743" s="32"/>
      <c r="Y1743" s="33" t="str">
        <f t="shared" si="792"/>
        <v>#DIV/0!</v>
      </c>
      <c r="Z1743" s="692"/>
      <c r="AA1743" s="665"/>
      <c r="AB1743" s="74"/>
      <c r="AC1743" s="74"/>
      <c r="AD1743" s="79"/>
      <c r="AE1743" s="84"/>
      <c r="AF1743" s="175" t="str">
        <f>HYPERLINK("https://www.crunchbase.com/funding_round/property-capsule-seed--268306b6","Jan 1, 2014")</f>
        <v>Jan 1, 2014</v>
      </c>
      <c r="AG1743" s="76">
        <v>0.0</v>
      </c>
      <c r="AH1743" s="74"/>
      <c r="AI1743" s="78"/>
      <c r="AJ1743" s="79"/>
      <c r="AK1743" s="84"/>
      <c r="AL1743" s="79"/>
      <c r="AM1743" s="84"/>
      <c r="AN1743" s="79"/>
      <c r="AO1743" s="84"/>
      <c r="AP1743" s="79"/>
      <c r="AQ1743" s="84"/>
      <c r="AR1743" s="79"/>
      <c r="AS1743" s="79"/>
      <c r="AT1743" s="79"/>
      <c r="AU1743" s="80"/>
      <c r="AV1743" s="79"/>
      <c r="AW1743" s="38"/>
      <c r="AX1743" s="79"/>
      <c r="AY1743" s="38"/>
      <c r="AZ1743" s="79"/>
      <c r="BA1743" s="80"/>
      <c r="BB1743" s="79"/>
      <c r="BC1743" s="80"/>
      <c r="BD1743" s="79"/>
      <c r="BE1743" s="38"/>
      <c r="BF1743" s="74"/>
      <c r="BG1743" s="68"/>
      <c r="BH1743" s="68"/>
      <c r="BI1743" s="68"/>
      <c r="BJ1743" s="68"/>
      <c r="BK1743" s="68"/>
      <c r="BL1743" s="68"/>
      <c r="BM1743" s="68"/>
      <c r="BN1743" s="68"/>
      <c r="BO1743" s="68"/>
      <c r="BP1743" s="68"/>
      <c r="BQ1743" s="68"/>
      <c r="BR1743" s="68"/>
      <c r="BS1743" s="68"/>
      <c r="BT1743" s="68"/>
      <c r="BU1743" s="68"/>
      <c r="BV1743" s="68"/>
      <c r="BW1743" s="68"/>
      <c r="BX1743" s="68"/>
      <c r="BY1743" s="68"/>
      <c r="BZ1743" s="68"/>
      <c r="CA1743" s="68"/>
      <c r="CB1743" s="68"/>
      <c r="CC1743" s="68"/>
      <c r="CD1743" s="68"/>
      <c r="CE1743" s="68"/>
      <c r="CF1743" s="68"/>
      <c r="CG1743" s="68"/>
      <c r="CH1743" s="68"/>
      <c r="CI1743" s="68"/>
      <c r="CJ1743" s="68"/>
      <c r="CK1743" s="68"/>
      <c r="CL1743" s="68"/>
      <c r="CM1743" s="68"/>
      <c r="CN1743" s="68"/>
      <c r="CO1743" s="68"/>
      <c r="CP1743" s="68"/>
    </row>
    <row r="1744" ht="15.75" customHeight="1">
      <c r="A1744" s="860" t="s">
        <v>8103</v>
      </c>
      <c r="B1744" s="115"/>
      <c r="C1744" s="116" t="s">
        <v>2808</v>
      </c>
      <c r="D1744" s="449"/>
      <c r="E1744" s="192" t="s">
        <v>8104</v>
      </c>
      <c r="F1744" s="118" t="s">
        <v>8105</v>
      </c>
      <c r="G1744" s="1235"/>
      <c r="H1744" s="119" t="s">
        <v>129</v>
      </c>
      <c r="I1744" s="25" t="s">
        <v>156</v>
      </c>
      <c r="J1744" s="1326"/>
      <c r="K1744" s="123"/>
      <c r="L1744" s="25">
        <v>2015.0</v>
      </c>
      <c r="M1744" s="25">
        <f t="shared" si="789"/>
        <v>10</v>
      </c>
      <c r="N1744" s="26">
        <f t="shared" si="790"/>
        <v>0</v>
      </c>
      <c r="O1744" s="27" t="str">
        <f t="shared" si="3"/>
        <v>#N/A</v>
      </c>
      <c r="P1744" s="28"/>
      <c r="Q1744" s="28"/>
      <c r="R1744" s="28"/>
      <c r="S1744" s="28"/>
      <c r="T1744" s="29">
        <f t="shared" si="791"/>
        <v>0</v>
      </c>
      <c r="U1744" s="28"/>
      <c r="V1744" s="30">
        <f t="shared" si="425"/>
        <v>0</v>
      </c>
      <c r="W1744" s="30"/>
      <c r="X1744" s="403"/>
      <c r="Y1744" s="33" t="str">
        <f t="shared" si="792"/>
        <v>#DIV/0!</v>
      </c>
      <c r="Z1744" s="692"/>
      <c r="AA1744" s="665"/>
      <c r="AB1744" s="123"/>
      <c r="AC1744" s="123"/>
      <c r="AD1744" s="124"/>
      <c r="AE1744" s="125"/>
      <c r="AF1744" s="166"/>
      <c r="AG1744" s="125"/>
      <c r="AH1744" s="123"/>
      <c r="AI1744" s="128"/>
      <c r="AJ1744" s="124"/>
      <c r="AK1744" s="125"/>
      <c r="AL1744" s="124"/>
      <c r="AM1744" s="125"/>
      <c r="AN1744" s="124"/>
      <c r="AO1744" s="125"/>
      <c r="AP1744" s="124"/>
      <c r="AQ1744" s="125"/>
      <c r="AR1744" s="124"/>
      <c r="AS1744" s="124"/>
      <c r="AT1744" s="124"/>
      <c r="AU1744" s="137"/>
      <c r="AV1744" s="124"/>
      <c r="AW1744" s="38"/>
      <c r="AX1744" s="124"/>
      <c r="AY1744" s="38"/>
      <c r="AZ1744" s="124"/>
      <c r="BA1744" s="137"/>
      <c r="BB1744" s="124"/>
      <c r="BC1744" s="137"/>
      <c r="BD1744" s="124"/>
      <c r="BE1744" s="38"/>
      <c r="BF1744" s="123"/>
      <c r="BG1744" s="115"/>
      <c r="BH1744" s="115"/>
      <c r="BI1744" s="115"/>
      <c r="BJ1744" s="115"/>
      <c r="BK1744" s="115"/>
      <c r="BL1744" s="115"/>
      <c r="BM1744" s="115"/>
      <c r="BN1744" s="115"/>
      <c r="BO1744" s="115"/>
      <c r="BP1744" s="115"/>
      <c r="BQ1744" s="115"/>
      <c r="BR1744" s="115"/>
      <c r="BS1744" s="115"/>
      <c r="BT1744" s="115"/>
      <c r="BU1744" s="115"/>
      <c r="BV1744" s="115"/>
      <c r="BW1744" s="115"/>
      <c r="BX1744" s="115"/>
      <c r="BY1744" s="115"/>
      <c r="BZ1744" s="115"/>
      <c r="CA1744" s="115"/>
      <c r="CB1744" s="115"/>
      <c r="CC1744" s="115"/>
      <c r="CD1744" s="115"/>
      <c r="CE1744" s="115"/>
      <c r="CF1744" s="115"/>
      <c r="CG1744" s="115"/>
      <c r="CH1744" s="115"/>
      <c r="CI1744" s="115"/>
      <c r="CJ1744" s="115"/>
      <c r="CK1744" s="115"/>
      <c r="CL1744" s="115"/>
      <c r="CM1744" s="115"/>
      <c r="CN1744" s="115"/>
      <c r="CO1744" s="115"/>
      <c r="CP1744" s="115"/>
    </row>
    <row r="1745" ht="15.75" customHeight="1">
      <c r="A1745" s="666" t="s">
        <v>8106</v>
      </c>
      <c r="B1745" s="115" t="s">
        <v>3545</v>
      </c>
      <c r="C1745" s="116" t="s">
        <v>123</v>
      </c>
      <c r="D1745" s="667" t="s">
        <v>8107</v>
      </c>
      <c r="E1745" s="161" t="s">
        <v>8108</v>
      </c>
      <c r="F1745" s="668" t="s">
        <v>8109</v>
      </c>
      <c r="G1745" s="1235" t="s">
        <v>8110</v>
      </c>
      <c r="H1745" s="286" t="s">
        <v>128</v>
      </c>
      <c r="I1745" s="123" t="s">
        <v>156</v>
      </c>
      <c r="J1745" s="1326" t="s">
        <v>157</v>
      </c>
      <c r="K1745" s="123">
        <v>1.0</v>
      </c>
      <c r="L1745" s="25">
        <v>2003.0</v>
      </c>
      <c r="M1745" s="25">
        <f t="shared" si="789"/>
        <v>22</v>
      </c>
      <c r="N1745" s="26">
        <f t="shared" si="790"/>
        <v>0</v>
      </c>
      <c r="O1745" s="27" t="str">
        <f t="shared" si="3"/>
        <v>#N/A</v>
      </c>
      <c r="P1745" s="28"/>
      <c r="Q1745" s="28"/>
      <c r="R1745" s="28"/>
      <c r="S1745" s="28"/>
      <c r="T1745" s="29">
        <f t="shared" si="791"/>
        <v>0</v>
      </c>
      <c r="U1745" s="28"/>
      <c r="V1745" s="30">
        <f t="shared" si="425"/>
        <v>0</v>
      </c>
      <c r="W1745" s="30"/>
      <c r="X1745" s="403"/>
      <c r="Y1745" s="33" t="str">
        <f t="shared" si="792"/>
        <v>#DIV/0!</v>
      </c>
      <c r="Z1745" s="692"/>
      <c r="AA1745" s="665"/>
      <c r="AB1745" s="123"/>
      <c r="AC1745" s="123"/>
      <c r="AD1745" s="124"/>
      <c r="AE1745" s="125"/>
      <c r="AF1745" s="166"/>
      <c r="AG1745" s="125"/>
      <c r="AH1745" s="123"/>
      <c r="AI1745" s="128"/>
      <c r="AJ1745" s="124"/>
      <c r="AK1745" s="125"/>
      <c r="AL1745" s="124"/>
      <c r="AM1745" s="125"/>
      <c r="AN1745" s="124"/>
      <c r="AO1745" s="125"/>
      <c r="AP1745" s="124"/>
      <c r="AQ1745" s="125"/>
      <c r="AR1745" s="124"/>
      <c r="AS1745" s="124"/>
      <c r="AT1745" s="124"/>
      <c r="AU1745" s="137"/>
      <c r="AV1745" s="124"/>
      <c r="AW1745" s="38"/>
      <c r="AX1745" s="124"/>
      <c r="AY1745" s="38"/>
      <c r="AZ1745" s="124"/>
      <c r="BA1745" s="137"/>
      <c r="BB1745" s="124"/>
      <c r="BC1745" s="137"/>
      <c r="BD1745" s="124"/>
      <c r="BE1745" s="38"/>
      <c r="BF1745" s="123"/>
      <c r="BG1745" s="68"/>
      <c r="BH1745" s="68"/>
      <c r="BI1745" s="68"/>
      <c r="BJ1745" s="68"/>
      <c r="BK1745" s="68"/>
      <c r="BL1745" s="68"/>
      <c r="BM1745" s="68"/>
      <c r="BN1745" s="68"/>
      <c r="BO1745" s="68"/>
      <c r="BP1745" s="68"/>
      <c r="BQ1745" s="68"/>
      <c r="BR1745" s="68"/>
      <c r="BS1745" s="68"/>
      <c r="BT1745" s="68"/>
      <c r="BU1745" s="68"/>
      <c r="BV1745" s="68"/>
      <c r="BW1745" s="68"/>
      <c r="BX1745" s="68"/>
      <c r="BY1745" s="68"/>
      <c r="BZ1745" s="68"/>
      <c r="CA1745" s="68"/>
      <c r="CB1745" s="68"/>
      <c r="CC1745" s="68"/>
      <c r="CD1745" s="68"/>
      <c r="CE1745" s="68"/>
      <c r="CF1745" s="68"/>
      <c r="CG1745" s="68"/>
      <c r="CH1745" s="68"/>
      <c r="CI1745" s="68"/>
      <c r="CJ1745" s="68"/>
      <c r="CK1745" s="68"/>
      <c r="CL1745" s="68"/>
      <c r="CM1745" s="68"/>
      <c r="CN1745" s="68"/>
      <c r="CO1745" s="68"/>
      <c r="CP1745" s="68"/>
    </row>
    <row r="1746" ht="15.75" customHeight="1">
      <c r="A1746" s="860" t="s">
        <v>8111</v>
      </c>
      <c r="B1746" s="68"/>
      <c r="C1746" s="69" t="s">
        <v>123</v>
      </c>
      <c r="D1746" s="1842"/>
      <c r="E1746" s="192" t="s">
        <v>8112</v>
      </c>
      <c r="F1746" s="118" t="s">
        <v>8113</v>
      </c>
      <c r="G1746" s="186"/>
      <c r="H1746" s="71" t="s">
        <v>2270</v>
      </c>
      <c r="I1746" s="26" t="s">
        <v>156</v>
      </c>
      <c r="J1746" s="155"/>
      <c r="K1746" s="74"/>
      <c r="L1746" s="26">
        <v>2017.0</v>
      </c>
      <c r="M1746" s="25">
        <f t="shared" si="789"/>
        <v>8</v>
      </c>
      <c r="N1746" s="26">
        <f t="shared" si="790"/>
        <v>0</v>
      </c>
      <c r="O1746" s="27" t="str">
        <f t="shared" si="3"/>
        <v>#N/A</v>
      </c>
      <c r="P1746" s="28"/>
      <c r="Q1746" s="28"/>
      <c r="R1746" s="28"/>
      <c r="S1746" s="28"/>
      <c r="T1746" s="29">
        <f t="shared" si="791"/>
        <v>0</v>
      </c>
      <c r="U1746" s="28"/>
      <c r="V1746" s="30">
        <f t="shared" si="425"/>
        <v>0</v>
      </c>
      <c r="W1746" s="30"/>
      <c r="X1746" s="32"/>
      <c r="Y1746" s="33" t="str">
        <f t="shared" si="792"/>
        <v>#DIV/0!</v>
      </c>
      <c r="Z1746" s="692"/>
      <c r="AA1746" s="665"/>
      <c r="AB1746" s="74"/>
      <c r="AC1746" s="74"/>
      <c r="AD1746" s="79"/>
      <c r="AE1746" s="84"/>
      <c r="AF1746" s="338"/>
      <c r="AG1746" s="76"/>
      <c r="AH1746" s="74"/>
      <c r="AI1746" s="78"/>
      <c r="AJ1746" s="79"/>
      <c r="AK1746" s="84"/>
      <c r="AL1746" s="79"/>
      <c r="AM1746" s="84"/>
      <c r="AN1746" s="79"/>
      <c r="AO1746" s="84"/>
      <c r="AP1746" s="79"/>
      <c r="AQ1746" s="84"/>
      <c r="AR1746" s="79"/>
      <c r="AS1746" s="79"/>
      <c r="AT1746" s="79"/>
      <c r="AU1746" s="80"/>
      <c r="AV1746" s="79"/>
      <c r="AW1746" s="38"/>
      <c r="AX1746" s="79"/>
      <c r="AY1746" s="38"/>
      <c r="AZ1746" s="79"/>
      <c r="BA1746" s="80"/>
      <c r="BB1746" s="79"/>
      <c r="BC1746" s="80"/>
      <c r="BD1746" s="79"/>
      <c r="BE1746" s="38"/>
      <c r="BF1746" s="74"/>
      <c r="BG1746" s="115"/>
      <c r="BH1746" s="115"/>
      <c r="BI1746" s="115"/>
      <c r="BJ1746" s="115"/>
      <c r="BK1746" s="115"/>
      <c r="BL1746" s="115"/>
      <c r="BM1746" s="115"/>
      <c r="BN1746" s="115"/>
      <c r="BO1746" s="115"/>
      <c r="BP1746" s="115"/>
      <c r="BQ1746" s="115"/>
      <c r="BR1746" s="115"/>
      <c r="BS1746" s="115"/>
      <c r="BT1746" s="115"/>
      <c r="BU1746" s="115"/>
      <c r="BV1746" s="115"/>
      <c r="BW1746" s="115"/>
      <c r="BX1746" s="115"/>
      <c r="BY1746" s="115"/>
      <c r="BZ1746" s="115"/>
      <c r="CA1746" s="115"/>
      <c r="CB1746" s="115"/>
      <c r="CC1746" s="115"/>
      <c r="CD1746" s="115"/>
      <c r="CE1746" s="115"/>
      <c r="CF1746" s="115"/>
      <c r="CG1746" s="115"/>
      <c r="CH1746" s="115"/>
      <c r="CI1746" s="115"/>
      <c r="CJ1746" s="115"/>
      <c r="CK1746" s="115"/>
      <c r="CL1746" s="115"/>
      <c r="CM1746" s="115"/>
      <c r="CN1746" s="115"/>
      <c r="CO1746" s="115"/>
      <c r="CP1746" s="115"/>
    </row>
    <row r="1747" ht="15.75" customHeight="1">
      <c r="A1747" s="47" t="s">
        <v>8114</v>
      </c>
      <c r="B1747" s="68"/>
      <c r="C1747" s="116" t="s">
        <v>5244</v>
      </c>
      <c r="D1747" s="1842"/>
      <c r="E1747" s="192" t="s">
        <v>8115</v>
      </c>
      <c r="F1747" s="118" t="s">
        <v>8116</v>
      </c>
      <c r="G1747" s="186"/>
      <c r="H1747" s="71" t="s">
        <v>129</v>
      </c>
      <c r="I1747" s="26" t="s">
        <v>156</v>
      </c>
      <c r="J1747" s="155"/>
      <c r="K1747" s="74"/>
      <c r="L1747" s="26">
        <v>2017.0</v>
      </c>
      <c r="M1747" s="25">
        <f t="shared" si="789"/>
        <v>8</v>
      </c>
      <c r="N1747" s="26">
        <f t="shared" si="790"/>
        <v>0</v>
      </c>
      <c r="O1747" s="27" t="str">
        <f t="shared" si="3"/>
        <v>#N/A</v>
      </c>
      <c r="P1747" s="28"/>
      <c r="Q1747" s="28"/>
      <c r="R1747" s="28"/>
      <c r="S1747" s="28"/>
      <c r="T1747" s="29">
        <f t="shared" si="791"/>
        <v>0</v>
      </c>
      <c r="U1747" s="28"/>
      <c r="V1747" s="30">
        <f t="shared" si="425"/>
        <v>0</v>
      </c>
      <c r="W1747" s="30"/>
      <c r="X1747" s="32"/>
      <c r="Y1747" s="33" t="str">
        <f t="shared" si="792"/>
        <v>#DIV/0!</v>
      </c>
      <c r="Z1747" s="692"/>
      <c r="AA1747" s="665"/>
      <c r="AB1747" s="74"/>
      <c r="AC1747" s="74"/>
      <c r="AD1747" s="79"/>
      <c r="AE1747" s="84"/>
      <c r="AF1747" s="338"/>
      <c r="AG1747" s="76"/>
      <c r="AH1747" s="74"/>
      <c r="AI1747" s="78"/>
      <c r="AJ1747" s="79"/>
      <c r="AK1747" s="84"/>
      <c r="AL1747" s="79"/>
      <c r="AM1747" s="84"/>
      <c r="AN1747" s="79"/>
      <c r="AO1747" s="84"/>
      <c r="AP1747" s="79"/>
      <c r="AQ1747" s="84"/>
      <c r="AR1747" s="79"/>
      <c r="AS1747" s="79"/>
      <c r="AT1747" s="79"/>
      <c r="AU1747" s="80"/>
      <c r="AV1747" s="79"/>
      <c r="AW1747" s="38"/>
      <c r="AX1747" s="79"/>
      <c r="AY1747" s="38"/>
      <c r="AZ1747" s="79"/>
      <c r="BA1747" s="80"/>
      <c r="BB1747" s="79"/>
      <c r="BC1747" s="80"/>
      <c r="BD1747" s="79"/>
      <c r="BE1747" s="38"/>
      <c r="BF1747" s="74"/>
      <c r="BG1747" s="1407"/>
      <c r="BH1747" s="1407"/>
      <c r="BI1747" s="1407"/>
      <c r="BJ1747" s="1407"/>
      <c r="BK1747" s="1407"/>
      <c r="BL1747" s="1407"/>
      <c r="BM1747" s="1407"/>
      <c r="BN1747" s="1407"/>
      <c r="BO1747" s="1407"/>
      <c r="BP1747" s="1407"/>
      <c r="BQ1747" s="1407"/>
      <c r="BR1747" s="1407"/>
      <c r="BS1747" s="1407"/>
      <c r="BT1747" s="1407"/>
      <c r="BU1747" s="1407"/>
      <c r="BV1747" s="1407"/>
      <c r="BW1747" s="1407"/>
      <c r="BX1747" s="1407"/>
      <c r="BY1747" s="1407"/>
      <c r="BZ1747" s="1407"/>
      <c r="CA1747" s="1407"/>
      <c r="CB1747" s="1407"/>
      <c r="CC1747" s="1407"/>
      <c r="CD1747" s="1407"/>
      <c r="CE1747" s="1407"/>
      <c r="CF1747" s="1407"/>
      <c r="CG1747" s="1407"/>
      <c r="CH1747" s="1407"/>
      <c r="CI1747" s="1407"/>
      <c r="CJ1747" s="1407"/>
      <c r="CK1747" s="1407"/>
      <c r="CL1747" s="1407"/>
      <c r="CM1747" s="1407"/>
      <c r="CN1747" s="1407"/>
      <c r="CO1747" s="1407"/>
      <c r="CP1747" s="1407"/>
    </row>
    <row r="1748" ht="15.75" customHeight="1">
      <c r="A1748" s="860" t="s">
        <v>8117</v>
      </c>
      <c r="B1748" s="115"/>
      <c r="C1748" s="116" t="s">
        <v>5244</v>
      </c>
      <c r="D1748" s="192" t="s">
        <v>8118</v>
      </c>
      <c r="E1748" s="192" t="s">
        <v>8119</v>
      </c>
      <c r="F1748" s="1487" t="s">
        <v>8120</v>
      </c>
      <c r="G1748" s="1843"/>
      <c r="H1748" s="119" t="s">
        <v>450</v>
      </c>
      <c r="I1748" s="25" t="s">
        <v>450</v>
      </c>
      <c r="J1748" s="287"/>
      <c r="K1748" s="123"/>
      <c r="L1748" s="25">
        <v>2018.0</v>
      </c>
      <c r="M1748" s="25">
        <f t="shared" si="789"/>
        <v>7</v>
      </c>
      <c r="N1748" s="26">
        <f t="shared" si="790"/>
        <v>0</v>
      </c>
      <c r="O1748" s="27" t="str">
        <f t="shared" si="3"/>
        <v>#N/A</v>
      </c>
      <c r="P1748" s="28"/>
      <c r="Q1748" s="28"/>
      <c r="R1748" s="28"/>
      <c r="S1748" s="28"/>
      <c r="T1748" s="29">
        <f t="shared" si="791"/>
        <v>0</v>
      </c>
      <c r="U1748" s="28"/>
      <c r="V1748" s="30">
        <f t="shared" si="425"/>
        <v>0</v>
      </c>
      <c r="W1748" s="30"/>
      <c r="X1748" s="403"/>
      <c r="Y1748" s="33" t="str">
        <f t="shared" si="792"/>
        <v>#DIV/0!</v>
      </c>
      <c r="Z1748" s="692"/>
      <c r="AA1748" s="665"/>
      <c r="AB1748" s="123"/>
      <c r="AC1748" s="123"/>
      <c r="AD1748" s="124"/>
      <c r="AE1748" s="125"/>
      <c r="AF1748" s="166"/>
      <c r="AG1748" s="125"/>
      <c r="AH1748" s="123"/>
      <c r="AI1748" s="128"/>
      <c r="AJ1748" s="124"/>
      <c r="AK1748" s="125"/>
      <c r="AL1748" s="124"/>
      <c r="AM1748" s="125"/>
      <c r="AN1748" s="124"/>
      <c r="AO1748" s="125"/>
      <c r="AP1748" s="124"/>
      <c r="AQ1748" s="125"/>
      <c r="AR1748" s="124"/>
      <c r="AS1748" s="124"/>
      <c r="AT1748" s="124"/>
      <c r="AU1748" s="137"/>
      <c r="AV1748" s="124"/>
      <c r="AW1748" s="38"/>
      <c r="AX1748" s="124"/>
      <c r="AY1748" s="38"/>
      <c r="AZ1748" s="124"/>
      <c r="BA1748" s="137"/>
      <c r="BB1748" s="124"/>
      <c r="BC1748" s="137"/>
      <c r="BD1748" s="124"/>
      <c r="BE1748" s="38"/>
      <c r="BF1748" s="123"/>
      <c r="BG1748" s="68"/>
      <c r="BH1748" s="68"/>
      <c r="BI1748" s="68"/>
      <c r="BJ1748" s="68"/>
      <c r="BK1748" s="68"/>
      <c r="BL1748" s="68"/>
      <c r="BM1748" s="68"/>
      <c r="BN1748" s="68"/>
      <c r="BO1748" s="68"/>
      <c r="BP1748" s="68"/>
      <c r="BQ1748" s="68"/>
      <c r="BR1748" s="68"/>
      <c r="BS1748" s="68"/>
      <c r="BT1748" s="68"/>
      <c r="BU1748" s="68"/>
      <c r="BV1748" s="68"/>
      <c r="BW1748" s="68"/>
      <c r="BX1748" s="68"/>
      <c r="BY1748" s="68"/>
      <c r="BZ1748" s="68"/>
      <c r="CA1748" s="68"/>
      <c r="CB1748" s="68"/>
      <c r="CC1748" s="68"/>
      <c r="CD1748" s="68"/>
      <c r="CE1748" s="68"/>
      <c r="CF1748" s="68"/>
      <c r="CG1748" s="68"/>
      <c r="CH1748" s="68"/>
      <c r="CI1748" s="68"/>
      <c r="CJ1748" s="68"/>
      <c r="CK1748" s="68"/>
      <c r="CL1748" s="68"/>
      <c r="CM1748" s="68"/>
      <c r="CN1748" s="68"/>
      <c r="CO1748" s="68"/>
      <c r="CP1748" s="68"/>
    </row>
    <row r="1749" ht="15.75" customHeight="1">
      <c r="A1749" s="860" t="s">
        <v>8121</v>
      </c>
      <c r="B1749" s="68"/>
      <c r="C1749" s="69" t="s">
        <v>5244</v>
      </c>
      <c r="D1749" s="867"/>
      <c r="E1749" s="192" t="s">
        <v>8122</v>
      </c>
      <c r="F1749" s="118" t="s">
        <v>8123</v>
      </c>
      <c r="G1749" s="71"/>
      <c r="H1749" s="71" t="s">
        <v>3029</v>
      </c>
      <c r="I1749" s="26" t="s">
        <v>639</v>
      </c>
      <c r="J1749" s="155"/>
      <c r="K1749" s="26"/>
      <c r="L1749" s="26">
        <v>1987.0</v>
      </c>
      <c r="M1749" s="25">
        <f t="shared" si="789"/>
        <v>38</v>
      </c>
      <c r="N1749" s="26">
        <f t="shared" si="790"/>
        <v>0</v>
      </c>
      <c r="O1749" s="27" t="str">
        <f t="shared" si="3"/>
        <v>#N/A</v>
      </c>
      <c r="P1749" s="28"/>
      <c r="Q1749" s="28"/>
      <c r="R1749" s="28"/>
      <c r="S1749" s="28"/>
      <c r="T1749" s="29">
        <f t="shared" si="791"/>
        <v>0</v>
      </c>
      <c r="U1749" s="28"/>
      <c r="V1749" s="30">
        <f t="shared" si="425"/>
        <v>0</v>
      </c>
      <c r="W1749" s="30"/>
      <c r="X1749" s="73"/>
      <c r="Y1749" s="33" t="str">
        <f t="shared" si="792"/>
        <v>#DIV/0!</v>
      </c>
      <c r="Z1749" s="692"/>
      <c r="AA1749" s="665"/>
      <c r="AB1749" s="74"/>
      <c r="AC1749" s="74"/>
      <c r="AD1749" s="79"/>
      <c r="AE1749" s="84"/>
      <c r="AF1749" s="338"/>
      <c r="AG1749" s="76"/>
      <c r="AH1749" s="74"/>
      <c r="AI1749" s="78"/>
      <c r="AJ1749" s="79"/>
      <c r="AK1749" s="76"/>
      <c r="AL1749" s="279"/>
      <c r="AM1749" s="76"/>
      <c r="AN1749" s="79"/>
      <c r="AO1749" s="84"/>
      <c r="AP1749" s="79"/>
      <c r="AQ1749" s="84"/>
      <c r="AR1749" s="79"/>
      <c r="AS1749" s="79"/>
      <c r="AT1749" s="79"/>
      <c r="AU1749" s="80"/>
      <c r="AV1749" s="79"/>
      <c r="AW1749" s="38"/>
      <c r="AX1749" s="79"/>
      <c r="AY1749" s="38"/>
      <c r="AZ1749" s="79"/>
      <c r="BA1749" s="80"/>
      <c r="BB1749" s="79"/>
      <c r="BC1749" s="80"/>
      <c r="BD1749" s="79"/>
      <c r="BE1749" s="38"/>
      <c r="BF1749" s="74"/>
      <c r="BG1749" s="68"/>
      <c r="BH1749" s="68"/>
      <c r="BI1749" s="68"/>
      <c r="BJ1749" s="68"/>
      <c r="BK1749" s="68"/>
      <c r="BL1749" s="68"/>
      <c r="BM1749" s="68"/>
      <c r="BN1749" s="68"/>
      <c r="BO1749" s="68"/>
      <c r="BP1749" s="68"/>
      <c r="BQ1749" s="68"/>
      <c r="BR1749" s="68"/>
      <c r="BS1749" s="68"/>
      <c r="BT1749" s="68"/>
      <c r="BU1749" s="68"/>
      <c r="BV1749" s="68"/>
      <c r="BW1749" s="68"/>
      <c r="BX1749" s="68"/>
      <c r="BY1749" s="68"/>
      <c r="BZ1749" s="68"/>
      <c r="CA1749" s="68"/>
      <c r="CB1749" s="68"/>
      <c r="CC1749" s="68"/>
      <c r="CD1749" s="68"/>
      <c r="CE1749" s="68"/>
      <c r="CF1749" s="68"/>
      <c r="CG1749" s="68"/>
      <c r="CH1749" s="68"/>
      <c r="CI1749" s="68"/>
      <c r="CJ1749" s="68"/>
      <c r="CK1749" s="68"/>
      <c r="CL1749" s="68"/>
      <c r="CM1749" s="68"/>
      <c r="CN1749" s="68"/>
      <c r="CO1749" s="68"/>
      <c r="CP1749" s="68"/>
    </row>
    <row r="1750" ht="15.75" customHeight="1">
      <c r="A1750" s="860" t="s">
        <v>8124</v>
      </c>
      <c r="B1750" s="68"/>
      <c r="C1750" s="69" t="s">
        <v>5244</v>
      </c>
      <c r="D1750" s="192" t="s">
        <v>8125</v>
      </c>
      <c r="E1750" s="192" t="s">
        <v>8126</v>
      </c>
      <c r="F1750" s="118" t="s">
        <v>8127</v>
      </c>
      <c r="G1750" s="71"/>
      <c r="H1750" s="71" t="s">
        <v>814</v>
      </c>
      <c r="I1750" s="26" t="s">
        <v>329</v>
      </c>
      <c r="J1750" s="72"/>
      <c r="K1750" s="26"/>
      <c r="L1750" s="26">
        <v>2013.0</v>
      </c>
      <c r="M1750" s="25">
        <f t="shared" si="789"/>
        <v>12</v>
      </c>
      <c r="N1750" s="26">
        <f t="shared" si="790"/>
        <v>0</v>
      </c>
      <c r="O1750" s="27" t="str">
        <f t="shared" si="3"/>
        <v>#N/A</v>
      </c>
      <c r="P1750" s="28"/>
      <c r="Q1750" s="28"/>
      <c r="R1750" s="28"/>
      <c r="S1750" s="28"/>
      <c r="T1750" s="29">
        <f t="shared" si="791"/>
        <v>0</v>
      </c>
      <c r="U1750" s="28"/>
      <c r="V1750" s="30">
        <f t="shared" si="425"/>
        <v>0</v>
      </c>
      <c r="W1750" s="30"/>
      <c r="X1750" s="73"/>
      <c r="Y1750" s="33" t="str">
        <f t="shared" si="792"/>
        <v>#DIV/0!</v>
      </c>
      <c r="Z1750" s="692"/>
      <c r="AA1750" s="665"/>
      <c r="AB1750" s="74"/>
      <c r="AC1750" s="74"/>
      <c r="AD1750" s="79"/>
      <c r="AE1750" s="84"/>
      <c r="AF1750" s="1169"/>
      <c r="AG1750" s="76"/>
      <c r="AH1750" s="74"/>
      <c r="AI1750" s="78"/>
      <c r="AJ1750" s="79"/>
      <c r="AK1750" s="76"/>
      <c r="AL1750" s="79"/>
      <c r="AM1750" s="84"/>
      <c r="AN1750" s="79"/>
      <c r="AO1750" s="84"/>
      <c r="AP1750" s="79"/>
      <c r="AQ1750" s="84"/>
      <c r="AR1750" s="79"/>
      <c r="AS1750" s="79"/>
      <c r="AT1750" s="79"/>
      <c r="AU1750" s="80"/>
      <c r="AV1750" s="79"/>
      <c r="AW1750" s="38"/>
      <c r="AX1750" s="79"/>
      <c r="AY1750" s="38"/>
      <c r="AZ1750" s="79"/>
      <c r="BA1750" s="80"/>
      <c r="BB1750" s="79"/>
      <c r="BC1750" s="80"/>
      <c r="BD1750" s="79"/>
      <c r="BE1750" s="38"/>
      <c r="BF1750" s="74"/>
      <c r="BG1750" s="68"/>
      <c r="BH1750" s="68"/>
      <c r="BI1750" s="68"/>
      <c r="BJ1750" s="68"/>
      <c r="BK1750" s="68"/>
      <c r="BL1750" s="68"/>
      <c r="BM1750" s="68"/>
      <c r="BN1750" s="68"/>
      <c r="BO1750" s="68"/>
      <c r="BP1750" s="68"/>
      <c r="BQ1750" s="68"/>
      <c r="BR1750" s="68"/>
      <c r="BS1750" s="68"/>
      <c r="BT1750" s="68"/>
      <c r="BU1750" s="68"/>
      <c r="BV1750" s="68"/>
      <c r="BW1750" s="68"/>
      <c r="BX1750" s="68"/>
      <c r="BY1750" s="68"/>
      <c r="BZ1750" s="68"/>
      <c r="CA1750" s="68"/>
      <c r="CB1750" s="68"/>
      <c r="CC1750" s="68"/>
      <c r="CD1750" s="68"/>
      <c r="CE1750" s="68"/>
      <c r="CF1750" s="68"/>
      <c r="CG1750" s="68"/>
      <c r="CH1750" s="68"/>
      <c r="CI1750" s="68"/>
      <c r="CJ1750" s="68"/>
      <c r="CK1750" s="68"/>
      <c r="CL1750" s="68"/>
      <c r="CM1750" s="68"/>
      <c r="CN1750" s="68"/>
      <c r="CO1750" s="68"/>
      <c r="CP1750" s="68"/>
    </row>
    <row r="1751" ht="15.75" customHeight="1">
      <c r="A1751" s="860" t="s">
        <v>8128</v>
      </c>
      <c r="B1751" s="116"/>
      <c r="C1751" s="116" t="s">
        <v>123</v>
      </c>
      <c r="D1751" s="192" t="s">
        <v>8129</v>
      </c>
      <c r="E1751" s="192" t="s">
        <v>8130</v>
      </c>
      <c r="F1751" s="118" t="s">
        <v>8131</v>
      </c>
      <c r="G1751" s="903"/>
      <c r="H1751" s="119" t="s">
        <v>8132</v>
      </c>
      <c r="I1751" s="25" t="s">
        <v>65</v>
      </c>
      <c r="J1751" s="1196"/>
      <c r="K1751" s="25"/>
      <c r="L1751" s="142">
        <v>2008.0</v>
      </c>
      <c r="M1751" s="25">
        <f t="shared" si="789"/>
        <v>17</v>
      </c>
      <c r="N1751" s="26">
        <f t="shared" si="790"/>
        <v>0</v>
      </c>
      <c r="O1751" s="27" t="str">
        <f t="shared" si="3"/>
        <v>#N/A</v>
      </c>
      <c r="P1751" s="28"/>
      <c r="Q1751" s="28"/>
      <c r="R1751" s="28"/>
      <c r="S1751" s="28"/>
      <c r="T1751" s="29">
        <f t="shared" si="791"/>
        <v>0</v>
      </c>
      <c r="U1751" s="28"/>
      <c r="V1751" s="30">
        <f t="shared" si="425"/>
        <v>0</v>
      </c>
      <c r="W1751" s="30"/>
      <c r="X1751" s="597"/>
      <c r="Y1751" s="33" t="str">
        <f t="shared" si="792"/>
        <v>#DIV/0!</v>
      </c>
      <c r="Z1751" s="692"/>
      <c r="AA1751" s="665"/>
      <c r="AB1751" s="123"/>
      <c r="AC1751" s="123"/>
      <c r="AD1751" s="164"/>
      <c r="AE1751" s="905"/>
      <c r="AF1751" s="1844"/>
      <c r="AG1751" s="127"/>
      <c r="AH1751" s="907"/>
      <c r="AI1751" s="908"/>
      <c r="AJ1751" s="1529"/>
      <c r="AK1751" s="165"/>
      <c r="AL1751" s="169"/>
      <c r="AM1751" s="127"/>
      <c r="AN1751" s="124"/>
      <c r="AO1751" s="125"/>
      <c r="AP1751" s="124"/>
      <c r="AQ1751" s="125"/>
      <c r="AR1751" s="124"/>
      <c r="AS1751" s="124"/>
      <c r="AT1751" s="124"/>
      <c r="AU1751" s="137"/>
      <c r="AV1751" s="124"/>
      <c r="AW1751" s="38"/>
      <c r="AX1751" s="124"/>
      <c r="AY1751" s="38"/>
      <c r="AZ1751" s="124"/>
      <c r="BA1751" s="137"/>
      <c r="BB1751" s="124"/>
      <c r="BC1751" s="137"/>
      <c r="BD1751" s="124"/>
      <c r="BE1751" s="38"/>
      <c r="BF1751" s="123"/>
      <c r="BG1751" s="68"/>
      <c r="BH1751" s="68"/>
      <c r="BI1751" s="68"/>
      <c r="BJ1751" s="68"/>
      <c r="BK1751" s="68"/>
      <c r="BL1751" s="68"/>
      <c r="BM1751" s="68"/>
      <c r="BN1751" s="68"/>
      <c r="BO1751" s="68"/>
      <c r="BP1751" s="68"/>
      <c r="BQ1751" s="68"/>
      <c r="BR1751" s="68"/>
      <c r="BS1751" s="68"/>
      <c r="BT1751" s="68"/>
      <c r="BU1751" s="68"/>
      <c r="BV1751" s="68"/>
      <c r="BW1751" s="68"/>
      <c r="BX1751" s="68"/>
      <c r="BY1751" s="68"/>
      <c r="BZ1751" s="68"/>
      <c r="CA1751" s="68"/>
      <c r="CB1751" s="68"/>
      <c r="CC1751" s="68"/>
      <c r="CD1751" s="68"/>
      <c r="CE1751" s="68"/>
      <c r="CF1751" s="68"/>
      <c r="CG1751" s="68"/>
      <c r="CH1751" s="68"/>
      <c r="CI1751" s="68"/>
      <c r="CJ1751" s="68"/>
      <c r="CK1751" s="68"/>
      <c r="CL1751" s="68"/>
      <c r="CM1751" s="68"/>
      <c r="CN1751" s="68"/>
      <c r="CO1751" s="68"/>
      <c r="CP1751" s="68"/>
    </row>
    <row r="1752" ht="15.75" customHeight="1">
      <c r="A1752" s="860" t="s">
        <v>8133</v>
      </c>
      <c r="B1752" s="68"/>
      <c r="C1752" s="69" t="s">
        <v>207</v>
      </c>
      <c r="D1752" s="192" t="s">
        <v>8134</v>
      </c>
      <c r="E1752" s="192" t="s">
        <v>8135</v>
      </c>
      <c r="F1752" s="118" t="s">
        <v>8136</v>
      </c>
      <c r="G1752" s="71"/>
      <c r="H1752" s="71" t="s">
        <v>8137</v>
      </c>
      <c r="I1752" s="26" t="s">
        <v>65</v>
      </c>
      <c r="J1752" s="72"/>
      <c r="K1752" s="26"/>
      <c r="L1752" s="26">
        <v>2015.0</v>
      </c>
      <c r="M1752" s="25">
        <f t="shared" si="789"/>
        <v>10</v>
      </c>
      <c r="N1752" s="26">
        <f t="shared" si="790"/>
        <v>0</v>
      </c>
      <c r="O1752" s="27" t="str">
        <f t="shared" si="3"/>
        <v>#N/A</v>
      </c>
      <c r="P1752" s="28"/>
      <c r="Q1752" s="28"/>
      <c r="R1752" s="28"/>
      <c r="S1752" s="28"/>
      <c r="T1752" s="29">
        <f t="shared" si="791"/>
        <v>0</v>
      </c>
      <c r="U1752" s="28"/>
      <c r="V1752" s="30">
        <f t="shared" si="425"/>
        <v>0</v>
      </c>
      <c r="W1752" s="30"/>
      <c r="X1752" s="73"/>
      <c r="Y1752" s="33" t="str">
        <f t="shared" si="792"/>
        <v>#DIV/0!</v>
      </c>
      <c r="Z1752" s="692"/>
      <c r="AA1752" s="665"/>
      <c r="AB1752" s="74"/>
      <c r="AC1752" s="74"/>
      <c r="AD1752" s="79"/>
      <c r="AE1752" s="84"/>
      <c r="AF1752" s="1169"/>
      <c r="AG1752" s="76"/>
      <c r="AH1752" s="74"/>
      <c r="AI1752" s="78"/>
      <c r="AJ1752" s="279"/>
      <c r="AK1752" s="76"/>
      <c r="AL1752" s="79"/>
      <c r="AM1752" s="84"/>
      <c r="AN1752" s="79"/>
      <c r="AO1752" s="84"/>
      <c r="AP1752" s="79"/>
      <c r="AQ1752" s="84"/>
      <c r="AR1752" s="79"/>
      <c r="AS1752" s="79"/>
      <c r="AT1752" s="79"/>
      <c r="AU1752" s="80"/>
      <c r="AV1752" s="79"/>
      <c r="AW1752" s="38"/>
      <c r="AX1752" s="79"/>
      <c r="AY1752" s="38"/>
      <c r="AZ1752" s="79"/>
      <c r="BA1752" s="80"/>
      <c r="BB1752" s="79"/>
      <c r="BC1752" s="80"/>
      <c r="BD1752" s="79"/>
      <c r="BE1752" s="38"/>
      <c r="BF1752" s="74"/>
      <c r="BG1752" s="68"/>
      <c r="BH1752" s="68"/>
      <c r="BI1752" s="68"/>
      <c r="BJ1752" s="68"/>
      <c r="BK1752" s="68"/>
      <c r="BL1752" s="68"/>
      <c r="BM1752" s="68"/>
      <c r="BN1752" s="68"/>
      <c r="BO1752" s="68"/>
      <c r="BP1752" s="68"/>
      <c r="BQ1752" s="68"/>
      <c r="BR1752" s="68"/>
      <c r="BS1752" s="68"/>
      <c r="BT1752" s="68"/>
      <c r="BU1752" s="68"/>
      <c r="BV1752" s="68"/>
      <c r="BW1752" s="68"/>
      <c r="BX1752" s="68"/>
      <c r="BY1752" s="68"/>
      <c r="BZ1752" s="68"/>
      <c r="CA1752" s="68"/>
      <c r="CB1752" s="68"/>
      <c r="CC1752" s="68"/>
      <c r="CD1752" s="68"/>
      <c r="CE1752" s="68"/>
      <c r="CF1752" s="68"/>
      <c r="CG1752" s="68"/>
      <c r="CH1752" s="68"/>
      <c r="CI1752" s="68"/>
      <c r="CJ1752" s="68"/>
      <c r="CK1752" s="68"/>
      <c r="CL1752" s="68"/>
      <c r="CM1752" s="68"/>
      <c r="CN1752" s="68"/>
      <c r="CO1752" s="68"/>
      <c r="CP1752" s="68"/>
    </row>
    <row r="1753" ht="15.75" customHeight="1">
      <c r="A1753" s="860" t="s">
        <v>8138</v>
      </c>
      <c r="B1753" s="68"/>
      <c r="C1753" s="69" t="s">
        <v>1360</v>
      </c>
      <c r="D1753" s="192" t="s">
        <v>8139</v>
      </c>
      <c r="E1753" s="192" t="s">
        <v>8140</v>
      </c>
      <c r="F1753" s="118" t="s">
        <v>8141</v>
      </c>
      <c r="G1753" s="186"/>
      <c r="H1753" s="71" t="s">
        <v>1923</v>
      </c>
      <c r="I1753" s="26" t="s">
        <v>115</v>
      </c>
      <c r="J1753" s="155"/>
      <c r="K1753" s="74"/>
      <c r="L1753" s="26">
        <v>2019.0</v>
      </c>
      <c r="M1753" s="25">
        <f t="shared" si="789"/>
        <v>6</v>
      </c>
      <c r="N1753" s="26">
        <f t="shared" si="790"/>
        <v>0</v>
      </c>
      <c r="O1753" s="27" t="str">
        <f t="shared" si="3"/>
        <v>#N/A</v>
      </c>
      <c r="P1753" s="28"/>
      <c r="Q1753" s="28"/>
      <c r="R1753" s="28"/>
      <c r="S1753" s="28"/>
      <c r="T1753" s="29">
        <f t="shared" si="791"/>
        <v>0</v>
      </c>
      <c r="U1753" s="28"/>
      <c r="V1753" s="30">
        <f t="shared" si="425"/>
        <v>0</v>
      </c>
      <c r="W1753" s="30"/>
      <c r="X1753" s="32"/>
      <c r="Y1753" s="33" t="str">
        <f t="shared" si="792"/>
        <v>#DIV/0!</v>
      </c>
      <c r="Z1753" s="692"/>
      <c r="AA1753" s="665"/>
      <c r="AB1753" s="74"/>
      <c r="AC1753" s="74"/>
      <c r="AD1753" s="79"/>
      <c r="AE1753" s="84"/>
      <c r="AF1753" s="338"/>
      <c r="AG1753" s="84"/>
      <c r="AH1753" s="74"/>
      <c r="AI1753" s="78"/>
      <c r="AJ1753" s="79"/>
      <c r="AK1753" s="84"/>
      <c r="AL1753" s="79"/>
      <c r="AM1753" s="84"/>
      <c r="AN1753" s="79"/>
      <c r="AO1753" s="84"/>
      <c r="AP1753" s="79"/>
      <c r="AQ1753" s="84"/>
      <c r="AR1753" s="79"/>
      <c r="AS1753" s="79"/>
      <c r="AT1753" s="79"/>
      <c r="AU1753" s="80"/>
      <c r="AV1753" s="79"/>
      <c r="AW1753" s="38"/>
      <c r="AX1753" s="79"/>
      <c r="AY1753" s="38"/>
      <c r="AZ1753" s="79"/>
      <c r="BA1753" s="80"/>
      <c r="BB1753" s="79"/>
      <c r="BC1753" s="80"/>
      <c r="BD1753" s="79"/>
      <c r="BE1753" s="38"/>
      <c r="BF1753" s="74"/>
      <c r="BG1753" s="68"/>
      <c r="BH1753" s="68"/>
      <c r="BI1753" s="68"/>
      <c r="BJ1753" s="68"/>
      <c r="BK1753" s="68"/>
      <c r="BL1753" s="68"/>
      <c r="BM1753" s="68"/>
      <c r="BN1753" s="68"/>
      <c r="BO1753" s="68"/>
      <c r="BP1753" s="68"/>
      <c r="BQ1753" s="68"/>
      <c r="BR1753" s="68"/>
      <c r="BS1753" s="68"/>
      <c r="BT1753" s="68"/>
      <c r="BU1753" s="68"/>
      <c r="BV1753" s="68"/>
      <c r="BW1753" s="68"/>
      <c r="BX1753" s="68"/>
      <c r="BY1753" s="68"/>
      <c r="BZ1753" s="68"/>
      <c r="CA1753" s="68"/>
      <c r="CB1753" s="68"/>
      <c r="CC1753" s="68"/>
      <c r="CD1753" s="68"/>
      <c r="CE1753" s="68"/>
      <c r="CF1753" s="68"/>
      <c r="CG1753" s="68"/>
      <c r="CH1753" s="68"/>
      <c r="CI1753" s="68"/>
      <c r="CJ1753" s="68"/>
      <c r="CK1753" s="68"/>
      <c r="CL1753" s="68"/>
      <c r="CM1753" s="68"/>
      <c r="CN1753" s="68"/>
      <c r="CO1753" s="68"/>
      <c r="CP1753" s="68"/>
    </row>
    <row r="1754" ht="15.75" customHeight="1">
      <c r="A1754" s="442" t="s">
        <v>8142</v>
      </c>
      <c r="B1754" s="68" t="s">
        <v>568</v>
      </c>
      <c r="C1754" s="69" t="s">
        <v>123</v>
      </c>
      <c r="D1754" s="337"/>
      <c r="E1754" s="200" t="s">
        <v>8143</v>
      </c>
      <c r="F1754" s="185" t="s">
        <v>8144</v>
      </c>
      <c r="G1754" s="186" t="s">
        <v>8145</v>
      </c>
      <c r="H1754" s="186" t="s">
        <v>241</v>
      </c>
      <c r="I1754" s="74" t="s">
        <v>287</v>
      </c>
      <c r="J1754" s="155" t="s">
        <v>8146</v>
      </c>
      <c r="K1754" s="74">
        <v>1.0</v>
      </c>
      <c r="L1754" s="79" t="s">
        <v>723</v>
      </c>
      <c r="M1754" s="169" t="str">
        <f t="shared" si="789"/>
        <v>#VALUE!</v>
      </c>
      <c r="N1754" s="26">
        <f t="shared" si="790"/>
        <v>0</v>
      </c>
      <c r="O1754" s="27" t="str">
        <f t="shared" si="3"/>
        <v>#N/A</v>
      </c>
      <c r="P1754" s="28"/>
      <c r="Q1754" s="28"/>
      <c r="R1754" s="28"/>
      <c r="S1754" s="28"/>
      <c r="T1754" s="28" t="str">
        <f t="shared" si="791"/>
        <v>#VALUE!</v>
      </c>
      <c r="U1754" s="28"/>
      <c r="V1754" s="30">
        <f t="shared" si="425"/>
        <v>0</v>
      </c>
      <c r="W1754" s="30"/>
      <c r="X1754" s="32"/>
      <c r="Y1754" s="33" t="str">
        <f t="shared" si="792"/>
        <v>#DIV/0!</v>
      </c>
      <c r="Z1754" s="692"/>
      <c r="AA1754" s="665"/>
      <c r="AB1754" s="74"/>
      <c r="AC1754" s="74"/>
      <c r="AD1754" s="79"/>
      <c r="AE1754" s="84"/>
      <c r="AF1754" s="338"/>
      <c r="AG1754" s="84"/>
      <c r="AH1754" s="74"/>
      <c r="AI1754" s="78"/>
      <c r="AJ1754" s="79"/>
      <c r="AK1754" s="84"/>
      <c r="AL1754" s="79"/>
      <c r="AM1754" s="84"/>
      <c r="AN1754" s="79"/>
      <c r="AO1754" s="84"/>
      <c r="AP1754" s="79"/>
      <c r="AQ1754" s="84"/>
      <c r="AR1754" s="79"/>
      <c r="AS1754" s="79"/>
      <c r="AT1754" s="79"/>
      <c r="AU1754" s="80"/>
      <c r="AV1754" s="79"/>
      <c r="AW1754" s="38"/>
      <c r="AX1754" s="79"/>
      <c r="AY1754" s="38"/>
      <c r="AZ1754" s="79"/>
      <c r="BA1754" s="80"/>
      <c r="BB1754" s="79"/>
      <c r="BC1754" s="80"/>
      <c r="BD1754" s="79"/>
      <c r="BE1754" s="38"/>
      <c r="BF1754" s="74"/>
      <c r="BG1754" s="68"/>
      <c r="BH1754" s="68"/>
      <c r="BI1754" s="68"/>
      <c r="BJ1754" s="68"/>
      <c r="BK1754" s="68"/>
      <c r="BL1754" s="68"/>
      <c r="BM1754" s="68"/>
      <c r="BN1754" s="68"/>
      <c r="BO1754" s="68"/>
      <c r="BP1754" s="68"/>
      <c r="BQ1754" s="68"/>
      <c r="BR1754" s="68"/>
      <c r="BS1754" s="68"/>
      <c r="BT1754" s="68"/>
      <c r="BU1754" s="68"/>
      <c r="BV1754" s="68"/>
      <c r="BW1754" s="68"/>
      <c r="BX1754" s="68"/>
      <c r="BY1754" s="68"/>
      <c r="BZ1754" s="68"/>
      <c r="CA1754" s="68"/>
      <c r="CB1754" s="68"/>
      <c r="CC1754" s="68"/>
      <c r="CD1754" s="68"/>
      <c r="CE1754" s="68"/>
      <c r="CF1754" s="68"/>
      <c r="CG1754" s="68"/>
      <c r="CH1754" s="68"/>
      <c r="CI1754" s="68"/>
      <c r="CJ1754" s="68"/>
      <c r="CK1754" s="68"/>
      <c r="CL1754" s="68"/>
      <c r="CM1754" s="68"/>
      <c r="CN1754" s="68"/>
      <c r="CO1754" s="68"/>
      <c r="CP1754" s="68"/>
    </row>
    <row r="1755" ht="15.75" customHeight="1">
      <c r="A1755" s="747" t="s">
        <v>8147</v>
      </c>
      <c r="B1755" s="68"/>
      <c r="C1755" s="69" t="s">
        <v>123</v>
      </c>
      <c r="D1755" s="337"/>
      <c r="E1755" s="192" t="s">
        <v>8148</v>
      </c>
      <c r="F1755" s="118" t="s">
        <v>8149</v>
      </c>
      <c r="G1755" s="186"/>
      <c r="H1755" s="71" t="s">
        <v>8150</v>
      </c>
      <c r="I1755" s="26" t="s">
        <v>329</v>
      </c>
      <c r="J1755" s="155"/>
      <c r="K1755" s="74"/>
      <c r="L1755" s="26">
        <v>2013.0</v>
      </c>
      <c r="M1755" s="25">
        <f t="shared" si="789"/>
        <v>12</v>
      </c>
      <c r="N1755" s="26">
        <f t="shared" si="790"/>
        <v>0</v>
      </c>
      <c r="O1755" s="27" t="str">
        <f t="shared" si="3"/>
        <v>#N/A</v>
      </c>
      <c r="P1755" s="28"/>
      <c r="Q1755" s="28"/>
      <c r="R1755" s="28"/>
      <c r="S1755" s="28"/>
      <c r="T1755" s="29">
        <f t="shared" si="791"/>
        <v>0</v>
      </c>
      <c r="U1755" s="28"/>
      <c r="V1755" s="30">
        <f t="shared" si="425"/>
        <v>0</v>
      </c>
      <c r="W1755" s="30"/>
      <c r="X1755" s="32"/>
      <c r="Y1755" s="33" t="str">
        <f t="shared" si="792"/>
        <v>#DIV/0!</v>
      </c>
      <c r="Z1755" s="692"/>
      <c r="AA1755" s="665"/>
      <c r="AB1755" s="74"/>
      <c r="AC1755" s="74"/>
      <c r="AD1755" s="79"/>
      <c r="AE1755" s="84"/>
      <c r="AF1755" s="338"/>
      <c r="AG1755" s="84"/>
      <c r="AH1755" s="74"/>
      <c r="AI1755" s="78"/>
      <c r="AJ1755" s="79"/>
      <c r="AK1755" s="84"/>
      <c r="AL1755" s="79"/>
      <c r="AM1755" s="84"/>
      <c r="AN1755" s="79"/>
      <c r="AO1755" s="84"/>
      <c r="AP1755" s="79"/>
      <c r="AQ1755" s="84"/>
      <c r="AR1755" s="79"/>
      <c r="AS1755" s="79"/>
      <c r="AT1755" s="79"/>
      <c r="AU1755" s="80"/>
      <c r="AV1755" s="79"/>
      <c r="AW1755" s="38"/>
      <c r="AX1755" s="79"/>
      <c r="AY1755" s="38"/>
      <c r="AZ1755" s="79"/>
      <c r="BA1755" s="80"/>
      <c r="BB1755" s="79"/>
      <c r="BC1755" s="80"/>
      <c r="BD1755" s="79"/>
      <c r="BE1755" s="38"/>
      <c r="BF1755" s="74"/>
      <c r="BG1755" s="68"/>
      <c r="BH1755" s="68"/>
      <c r="BI1755" s="68"/>
      <c r="BJ1755" s="68"/>
      <c r="BK1755" s="68"/>
      <c r="BL1755" s="68"/>
      <c r="BM1755" s="68"/>
      <c r="BN1755" s="68"/>
      <c r="BO1755" s="68"/>
      <c r="BP1755" s="68"/>
      <c r="BQ1755" s="68"/>
      <c r="BR1755" s="68"/>
      <c r="BS1755" s="68"/>
      <c r="BT1755" s="68"/>
      <c r="BU1755" s="68"/>
      <c r="BV1755" s="68"/>
      <c r="BW1755" s="68"/>
      <c r="BX1755" s="68"/>
      <c r="BY1755" s="68"/>
      <c r="BZ1755" s="68"/>
      <c r="CA1755" s="68"/>
      <c r="CB1755" s="68"/>
      <c r="CC1755" s="68"/>
      <c r="CD1755" s="68"/>
      <c r="CE1755" s="68"/>
      <c r="CF1755" s="68"/>
      <c r="CG1755" s="68"/>
      <c r="CH1755" s="68"/>
      <c r="CI1755" s="68"/>
      <c r="CJ1755" s="68"/>
      <c r="CK1755" s="68"/>
      <c r="CL1755" s="68"/>
      <c r="CM1755" s="68"/>
      <c r="CN1755" s="68"/>
      <c r="CO1755" s="68"/>
      <c r="CP1755" s="68"/>
    </row>
    <row r="1756" ht="15.75" customHeight="1">
      <c r="A1756" s="931" t="s">
        <v>8151</v>
      </c>
      <c r="B1756" s="68"/>
      <c r="C1756" s="69" t="s">
        <v>123</v>
      </c>
      <c r="D1756" s="337"/>
      <c r="E1756" s="192" t="s">
        <v>8152</v>
      </c>
      <c r="F1756" s="118" t="s">
        <v>8153</v>
      </c>
      <c r="G1756" s="186"/>
      <c r="H1756" s="71" t="s">
        <v>129</v>
      </c>
      <c r="I1756" s="26" t="s">
        <v>129</v>
      </c>
      <c r="J1756" s="155"/>
      <c r="K1756" s="74"/>
      <c r="L1756" s="26">
        <v>2011.0</v>
      </c>
      <c r="M1756" s="25">
        <f t="shared" si="789"/>
        <v>14</v>
      </c>
      <c r="N1756" s="26">
        <f t="shared" si="790"/>
        <v>0</v>
      </c>
      <c r="O1756" s="27" t="str">
        <f t="shared" si="3"/>
        <v>#N/A</v>
      </c>
      <c r="P1756" s="28"/>
      <c r="Q1756" s="28"/>
      <c r="R1756" s="28"/>
      <c r="S1756" s="28"/>
      <c r="T1756" s="29">
        <f t="shared" si="791"/>
        <v>0</v>
      </c>
      <c r="U1756" s="28"/>
      <c r="V1756" s="30">
        <f t="shared" si="425"/>
        <v>0</v>
      </c>
      <c r="W1756" s="30"/>
      <c r="X1756" s="32"/>
      <c r="Y1756" s="33" t="str">
        <f t="shared" si="792"/>
        <v>#DIV/0!</v>
      </c>
      <c r="Z1756" s="692"/>
      <c r="AA1756" s="665"/>
      <c r="AB1756" s="74"/>
      <c r="AC1756" s="74"/>
      <c r="AD1756" s="79"/>
      <c r="AE1756" s="84"/>
      <c r="AF1756" s="338"/>
      <c r="AG1756" s="84"/>
      <c r="AH1756" s="74"/>
      <c r="AI1756" s="78"/>
      <c r="AJ1756" s="79"/>
      <c r="AK1756" s="84"/>
      <c r="AL1756" s="79"/>
      <c r="AM1756" s="84"/>
      <c r="AN1756" s="79"/>
      <c r="AO1756" s="84"/>
      <c r="AP1756" s="79"/>
      <c r="AQ1756" s="84"/>
      <c r="AR1756" s="79"/>
      <c r="AS1756" s="79"/>
      <c r="AT1756" s="79"/>
      <c r="AU1756" s="80"/>
      <c r="AV1756" s="79"/>
      <c r="AW1756" s="38"/>
      <c r="AX1756" s="79"/>
      <c r="AY1756" s="38"/>
      <c r="AZ1756" s="79"/>
      <c r="BA1756" s="80"/>
      <c r="BB1756" s="79"/>
      <c r="BC1756" s="80"/>
      <c r="BD1756" s="79"/>
      <c r="BE1756" s="38"/>
      <c r="BF1756" s="74"/>
      <c r="BG1756" s="68"/>
      <c r="BH1756" s="68"/>
      <c r="BI1756" s="68"/>
      <c r="BJ1756" s="68"/>
      <c r="BK1756" s="68"/>
      <c r="BL1756" s="68"/>
      <c r="BM1756" s="68"/>
      <c r="BN1756" s="68"/>
      <c r="BO1756" s="68"/>
      <c r="BP1756" s="68"/>
      <c r="BQ1756" s="68"/>
      <c r="BR1756" s="68"/>
      <c r="BS1756" s="68"/>
      <c r="BT1756" s="68"/>
      <c r="BU1756" s="68"/>
      <c r="BV1756" s="68"/>
      <c r="BW1756" s="68"/>
      <c r="BX1756" s="68"/>
      <c r="BY1756" s="68"/>
      <c r="BZ1756" s="68"/>
      <c r="CA1756" s="68"/>
      <c r="CB1756" s="68"/>
      <c r="CC1756" s="68"/>
      <c r="CD1756" s="68"/>
      <c r="CE1756" s="68"/>
      <c r="CF1756" s="68"/>
      <c r="CG1756" s="68"/>
      <c r="CH1756" s="68"/>
      <c r="CI1756" s="68"/>
      <c r="CJ1756" s="68"/>
      <c r="CK1756" s="68"/>
      <c r="CL1756" s="68"/>
      <c r="CM1756" s="68"/>
      <c r="CN1756" s="68"/>
      <c r="CO1756" s="68"/>
      <c r="CP1756" s="68"/>
    </row>
    <row r="1757" ht="15.75" customHeight="1">
      <c r="A1757" s="931" t="s">
        <v>8154</v>
      </c>
      <c r="B1757" s="68"/>
      <c r="C1757" s="69" t="s">
        <v>123</v>
      </c>
      <c r="D1757" s="337"/>
      <c r="E1757" s="192" t="s">
        <v>8155</v>
      </c>
      <c r="F1757" s="118" t="s">
        <v>8156</v>
      </c>
      <c r="G1757" s="186"/>
      <c r="H1757" s="71" t="s">
        <v>6506</v>
      </c>
      <c r="I1757" s="26" t="s">
        <v>129</v>
      </c>
      <c r="J1757" s="155"/>
      <c r="K1757" s="74"/>
      <c r="L1757" s="26">
        <v>2015.0</v>
      </c>
      <c r="M1757" s="25">
        <f t="shared" si="789"/>
        <v>10</v>
      </c>
      <c r="N1757" s="26">
        <f t="shared" si="790"/>
        <v>0</v>
      </c>
      <c r="O1757" s="27" t="str">
        <f t="shared" si="3"/>
        <v>#N/A</v>
      </c>
      <c r="P1757" s="28"/>
      <c r="Q1757" s="28"/>
      <c r="R1757" s="28"/>
      <c r="S1757" s="28"/>
      <c r="T1757" s="29">
        <f t="shared" si="791"/>
        <v>0</v>
      </c>
      <c r="U1757" s="28"/>
      <c r="V1757" s="30">
        <f t="shared" si="425"/>
        <v>0</v>
      </c>
      <c r="W1757" s="30"/>
      <c r="X1757" s="32"/>
      <c r="Y1757" s="33" t="str">
        <f t="shared" si="792"/>
        <v>#DIV/0!</v>
      </c>
      <c r="Z1757" s="692"/>
      <c r="AA1757" s="665"/>
      <c r="AB1757" s="74"/>
      <c r="AC1757" s="74"/>
      <c r="AD1757" s="79"/>
      <c r="AE1757" s="84"/>
      <c r="AF1757" s="338"/>
      <c r="AG1757" s="84"/>
      <c r="AH1757" s="74"/>
      <c r="AI1757" s="78"/>
      <c r="AJ1757" s="79"/>
      <c r="AK1757" s="84"/>
      <c r="AL1757" s="79"/>
      <c r="AM1757" s="84"/>
      <c r="AN1757" s="79"/>
      <c r="AO1757" s="84"/>
      <c r="AP1757" s="79"/>
      <c r="AQ1757" s="84"/>
      <c r="AR1757" s="79"/>
      <c r="AS1757" s="79"/>
      <c r="AT1757" s="79"/>
      <c r="AU1757" s="80"/>
      <c r="AV1757" s="79"/>
      <c r="AW1757" s="38"/>
      <c r="AX1757" s="79"/>
      <c r="AY1757" s="38"/>
      <c r="AZ1757" s="79"/>
      <c r="BA1757" s="80"/>
      <c r="BB1757" s="79"/>
      <c r="BC1757" s="80"/>
      <c r="BD1757" s="79"/>
      <c r="BE1757" s="38"/>
      <c r="BF1757" s="74"/>
      <c r="BG1757" s="68"/>
      <c r="BH1757" s="68"/>
      <c r="BI1757" s="68"/>
      <c r="BJ1757" s="68"/>
      <c r="BK1757" s="68"/>
      <c r="BL1757" s="68"/>
      <c r="BM1757" s="68"/>
      <c r="BN1757" s="68"/>
      <c r="BO1757" s="68"/>
      <c r="BP1757" s="68"/>
      <c r="BQ1757" s="68"/>
      <c r="BR1757" s="68"/>
      <c r="BS1757" s="68"/>
      <c r="BT1757" s="68"/>
      <c r="BU1757" s="68"/>
      <c r="BV1757" s="68"/>
      <c r="BW1757" s="68"/>
      <c r="BX1757" s="68"/>
      <c r="BY1757" s="68"/>
      <c r="BZ1757" s="68"/>
      <c r="CA1757" s="68"/>
      <c r="CB1757" s="68"/>
      <c r="CC1757" s="68"/>
      <c r="CD1757" s="68"/>
      <c r="CE1757" s="68"/>
      <c r="CF1757" s="68"/>
      <c r="CG1757" s="68"/>
      <c r="CH1757" s="68"/>
      <c r="CI1757" s="68"/>
      <c r="CJ1757" s="68"/>
      <c r="CK1757" s="68"/>
      <c r="CL1757" s="68"/>
      <c r="CM1757" s="68"/>
      <c r="CN1757" s="68"/>
      <c r="CO1757" s="68"/>
      <c r="CP1757" s="68"/>
    </row>
    <row r="1758" ht="15.75" customHeight="1">
      <c r="A1758" s="442" t="s">
        <v>8157</v>
      </c>
      <c r="B1758" s="68" t="s">
        <v>122</v>
      </c>
      <c r="C1758" s="858" t="s">
        <v>123</v>
      </c>
      <c r="D1758" s="337"/>
      <c r="E1758" s="192" t="s">
        <v>8158</v>
      </c>
      <c r="F1758" s="118" t="s">
        <v>8159</v>
      </c>
      <c r="G1758" s="186"/>
      <c r="H1758" s="71" t="s">
        <v>839</v>
      </c>
      <c r="I1758" s="26" t="s">
        <v>115</v>
      </c>
      <c r="J1758" s="155">
        <v>20036.0</v>
      </c>
      <c r="K1758" s="74">
        <v>2.0</v>
      </c>
      <c r="L1758" s="26">
        <v>2001.0</v>
      </c>
      <c r="M1758" s="25">
        <f t="shared" si="789"/>
        <v>24</v>
      </c>
      <c r="N1758" s="26">
        <f t="shared" si="790"/>
        <v>0</v>
      </c>
      <c r="O1758" s="27" t="str">
        <f t="shared" si="3"/>
        <v>#N/A</v>
      </c>
      <c r="P1758" s="28"/>
      <c r="Q1758" s="28"/>
      <c r="R1758" s="28"/>
      <c r="S1758" s="28"/>
      <c r="T1758" s="29">
        <f t="shared" si="791"/>
        <v>0</v>
      </c>
      <c r="U1758" s="28"/>
      <c r="V1758" s="30">
        <f t="shared" si="425"/>
        <v>0</v>
      </c>
      <c r="W1758" s="30"/>
      <c r="X1758" s="32"/>
      <c r="Y1758" s="33" t="str">
        <f t="shared" si="792"/>
        <v>#DIV/0!</v>
      </c>
      <c r="Z1758" s="692"/>
      <c r="AA1758" s="665"/>
      <c r="AB1758" s="74"/>
      <c r="AC1758" s="74"/>
      <c r="AD1758" s="79"/>
      <c r="AE1758" s="84"/>
      <c r="AF1758" s="338"/>
      <c r="AG1758" s="84"/>
      <c r="AH1758" s="74"/>
      <c r="AI1758" s="78"/>
      <c r="AJ1758" s="79"/>
      <c r="AK1758" s="84"/>
      <c r="AL1758" s="79"/>
      <c r="AM1758" s="84"/>
      <c r="AN1758" s="79"/>
      <c r="AO1758" s="84"/>
      <c r="AP1758" s="79"/>
      <c r="AQ1758" s="84"/>
      <c r="AR1758" s="79"/>
      <c r="AS1758" s="79"/>
      <c r="AT1758" s="79"/>
      <c r="AU1758" s="80"/>
      <c r="AV1758" s="79"/>
      <c r="AW1758" s="38"/>
      <c r="AX1758" s="79"/>
      <c r="AY1758" s="38"/>
      <c r="AZ1758" s="79"/>
      <c r="BA1758" s="80"/>
      <c r="BB1758" s="79"/>
      <c r="BC1758" s="80"/>
      <c r="BD1758" s="79"/>
      <c r="BE1758" s="38"/>
      <c r="BF1758" s="74"/>
      <c r="BG1758" s="68"/>
      <c r="BH1758" s="68"/>
      <c r="BI1758" s="68"/>
      <c r="BJ1758" s="68"/>
      <c r="BK1758" s="68"/>
      <c r="BL1758" s="68"/>
      <c r="BM1758" s="68"/>
      <c r="BN1758" s="68"/>
      <c r="BO1758" s="68"/>
      <c r="BP1758" s="68"/>
      <c r="BQ1758" s="68"/>
      <c r="BR1758" s="68"/>
      <c r="BS1758" s="68"/>
      <c r="BT1758" s="68"/>
      <c r="BU1758" s="68"/>
      <c r="BV1758" s="68"/>
      <c r="BW1758" s="68"/>
      <c r="BX1758" s="68"/>
      <c r="BY1758" s="68"/>
      <c r="BZ1758" s="68"/>
      <c r="CA1758" s="68"/>
      <c r="CB1758" s="68"/>
      <c r="CC1758" s="68"/>
      <c r="CD1758" s="68"/>
      <c r="CE1758" s="68"/>
      <c r="CF1758" s="68"/>
      <c r="CG1758" s="68"/>
      <c r="CH1758" s="68"/>
      <c r="CI1758" s="68"/>
      <c r="CJ1758" s="68"/>
      <c r="CK1758" s="68"/>
      <c r="CL1758" s="68"/>
      <c r="CM1758" s="68"/>
      <c r="CN1758" s="68"/>
      <c r="CO1758" s="68"/>
      <c r="CP1758" s="68"/>
    </row>
    <row r="1759" ht="15.75" customHeight="1">
      <c r="A1759" s="21" t="s">
        <v>8160</v>
      </c>
      <c r="B1759" s="68"/>
      <c r="C1759" s="858" t="s">
        <v>1007</v>
      </c>
      <c r="D1759" s="380"/>
      <c r="E1759" s="192" t="s">
        <v>8161</v>
      </c>
      <c r="F1759" s="118" t="s">
        <v>8162</v>
      </c>
      <c r="G1759" s="1361" t="s">
        <v>8163</v>
      </c>
      <c r="H1759" s="140"/>
      <c r="I1759" s="26"/>
      <c r="J1759" s="155"/>
      <c r="K1759" s="74"/>
      <c r="L1759" s="712">
        <v>2012.0</v>
      </c>
      <c r="M1759" s="25">
        <f t="shared" si="789"/>
        <v>13</v>
      </c>
      <c r="N1759" s="26">
        <f t="shared" si="790"/>
        <v>0</v>
      </c>
      <c r="O1759" s="27" t="str">
        <f t="shared" si="3"/>
        <v>#N/A</v>
      </c>
      <c r="P1759" s="28"/>
      <c r="Q1759" s="28"/>
      <c r="R1759" s="28"/>
      <c r="S1759" s="28"/>
      <c r="T1759" s="29">
        <f t="shared" si="791"/>
        <v>0</v>
      </c>
      <c r="U1759" s="28"/>
      <c r="V1759" s="30">
        <f t="shared" si="425"/>
        <v>0</v>
      </c>
      <c r="W1759" s="30"/>
      <c r="X1759" s="32"/>
      <c r="Y1759" s="33" t="str">
        <f t="shared" si="792"/>
        <v>#DIV/0!</v>
      </c>
      <c r="Z1759" s="692"/>
      <c r="AA1759" s="665"/>
      <c r="AB1759" s="74"/>
      <c r="AC1759" s="74"/>
      <c r="AD1759" s="79"/>
      <c r="AE1759" s="84"/>
      <c r="AF1759" s="338"/>
      <c r="AG1759" s="84"/>
      <c r="AH1759" s="74"/>
      <c r="AI1759" s="78"/>
      <c r="AJ1759" s="79"/>
      <c r="AK1759" s="84"/>
      <c r="AL1759" s="79"/>
      <c r="AM1759" s="84"/>
      <c r="AN1759" s="79"/>
      <c r="AO1759" s="84"/>
      <c r="AP1759" s="79"/>
      <c r="AQ1759" s="84"/>
      <c r="AR1759" s="79"/>
      <c r="AS1759" s="79"/>
      <c r="AT1759" s="79"/>
      <c r="AU1759" s="80"/>
      <c r="AV1759" s="79"/>
      <c r="AW1759" s="38"/>
      <c r="AX1759" s="79"/>
      <c r="AY1759" s="38"/>
      <c r="AZ1759" s="79"/>
      <c r="BA1759" s="80"/>
      <c r="BB1759" s="79"/>
      <c r="BC1759" s="80"/>
      <c r="BD1759" s="79"/>
      <c r="BE1759" s="38"/>
      <c r="BF1759" s="74"/>
      <c r="BG1759" s="68"/>
      <c r="BH1759" s="68"/>
      <c r="BI1759" s="68"/>
      <c r="BJ1759" s="68"/>
      <c r="BK1759" s="68"/>
      <c r="BL1759" s="68"/>
      <c r="BM1759" s="68"/>
      <c r="BN1759" s="68"/>
      <c r="BO1759" s="68"/>
      <c r="BP1759" s="68"/>
      <c r="BQ1759" s="68"/>
      <c r="BR1759" s="68"/>
      <c r="BS1759" s="68"/>
      <c r="BT1759" s="68"/>
      <c r="BU1759" s="68"/>
      <c r="BV1759" s="68"/>
      <c r="BW1759" s="68"/>
      <c r="BX1759" s="68"/>
      <c r="BY1759" s="68"/>
      <c r="BZ1759" s="68"/>
      <c r="CA1759" s="68"/>
      <c r="CB1759" s="68"/>
      <c r="CC1759" s="68"/>
      <c r="CD1759" s="68"/>
      <c r="CE1759" s="68"/>
      <c r="CF1759" s="68"/>
      <c r="CG1759" s="68"/>
      <c r="CH1759" s="68"/>
      <c r="CI1759" s="68"/>
      <c r="CJ1759" s="68"/>
      <c r="CK1759" s="68"/>
      <c r="CL1759" s="68"/>
      <c r="CM1759" s="68"/>
      <c r="CN1759" s="68"/>
      <c r="CO1759" s="68"/>
      <c r="CP1759" s="68"/>
    </row>
    <row r="1760" ht="15.75" customHeight="1">
      <c r="A1760" s="747" t="s">
        <v>8164</v>
      </c>
      <c r="B1760" s="68"/>
      <c r="C1760" s="69" t="s">
        <v>1007</v>
      </c>
      <c r="D1760" s="48"/>
      <c r="E1760" s="48"/>
      <c r="F1760" s="118" t="s">
        <v>8165</v>
      </c>
      <c r="G1760" s="186"/>
      <c r="H1760" s="71" t="s">
        <v>357</v>
      </c>
      <c r="I1760" s="26" t="s">
        <v>358</v>
      </c>
      <c r="J1760" s="155"/>
      <c r="K1760" s="74"/>
      <c r="L1760" s="26"/>
      <c r="M1760" s="25">
        <f t="shared" si="789"/>
        <v>2025</v>
      </c>
      <c r="N1760" s="26">
        <f t="shared" si="790"/>
        <v>0</v>
      </c>
      <c r="O1760" s="27" t="str">
        <f t="shared" si="3"/>
        <v>#N/A</v>
      </c>
      <c r="P1760" s="28"/>
      <c r="Q1760" s="28"/>
      <c r="R1760" s="28"/>
      <c r="S1760" s="28"/>
      <c r="T1760" s="29">
        <f t="shared" si="791"/>
        <v>0</v>
      </c>
      <c r="U1760" s="28"/>
      <c r="V1760" s="30">
        <f t="shared" si="425"/>
        <v>0</v>
      </c>
      <c r="W1760" s="30"/>
      <c r="X1760" s="32"/>
      <c r="Y1760" s="33" t="str">
        <f t="shared" si="792"/>
        <v>#DIV/0!</v>
      </c>
      <c r="Z1760" s="692"/>
      <c r="AA1760" s="665"/>
      <c r="AB1760" s="74"/>
      <c r="AC1760" s="74"/>
      <c r="AD1760" s="79"/>
      <c r="AE1760" s="84"/>
      <c r="AF1760" s="225"/>
      <c r="AG1760" s="76"/>
      <c r="AH1760" s="74"/>
      <c r="AI1760" s="78"/>
      <c r="AJ1760" s="79"/>
      <c r="AK1760" s="84"/>
      <c r="AL1760" s="79"/>
      <c r="AM1760" s="84"/>
      <c r="AN1760" s="79"/>
      <c r="AO1760" s="84"/>
      <c r="AP1760" s="79"/>
      <c r="AQ1760" s="84"/>
      <c r="AR1760" s="79"/>
      <c r="AS1760" s="79"/>
      <c r="AT1760" s="79"/>
      <c r="AU1760" s="80"/>
      <c r="AV1760" s="79"/>
      <c r="AW1760" s="38"/>
      <c r="AX1760" s="79"/>
      <c r="AY1760" s="38"/>
      <c r="AZ1760" s="79"/>
      <c r="BA1760" s="80"/>
      <c r="BB1760" s="79"/>
      <c r="BC1760" s="80"/>
      <c r="BD1760" s="79"/>
      <c r="BE1760" s="38"/>
      <c r="BF1760" s="74"/>
      <c r="BG1760" s="68"/>
      <c r="BH1760" s="68"/>
      <c r="BI1760" s="68"/>
      <c r="BJ1760" s="68"/>
      <c r="BK1760" s="68"/>
      <c r="BL1760" s="68"/>
      <c r="BM1760" s="68"/>
      <c r="BN1760" s="68"/>
      <c r="BO1760" s="68"/>
      <c r="BP1760" s="68"/>
      <c r="BQ1760" s="68"/>
      <c r="BR1760" s="68"/>
      <c r="BS1760" s="68"/>
      <c r="BT1760" s="68"/>
      <c r="BU1760" s="68"/>
      <c r="BV1760" s="68"/>
      <c r="BW1760" s="68"/>
      <c r="BX1760" s="68"/>
      <c r="BY1760" s="68"/>
      <c r="BZ1760" s="68"/>
      <c r="CA1760" s="68"/>
      <c r="CB1760" s="68"/>
      <c r="CC1760" s="68"/>
      <c r="CD1760" s="68"/>
      <c r="CE1760" s="68"/>
      <c r="CF1760" s="68"/>
      <c r="CG1760" s="68"/>
      <c r="CH1760" s="68"/>
      <c r="CI1760" s="68"/>
      <c r="CJ1760" s="68"/>
      <c r="CK1760" s="68"/>
      <c r="CL1760" s="68"/>
      <c r="CM1760" s="68"/>
      <c r="CN1760" s="68"/>
      <c r="CO1760" s="68"/>
      <c r="CP1760" s="68"/>
    </row>
    <row r="1761" ht="15.75" customHeight="1">
      <c r="A1761" s="931" t="s">
        <v>8166</v>
      </c>
      <c r="B1761" s="68"/>
      <c r="C1761" s="69" t="s">
        <v>123</v>
      </c>
      <c r="D1761" s="192" t="s">
        <v>8167</v>
      </c>
      <c r="E1761" s="192" t="s">
        <v>8168</v>
      </c>
      <c r="F1761" s="118" t="s">
        <v>8169</v>
      </c>
      <c r="G1761" s="186"/>
      <c r="H1761" s="71" t="s">
        <v>1918</v>
      </c>
      <c r="I1761" s="26" t="s">
        <v>1384</v>
      </c>
      <c r="J1761" s="155"/>
      <c r="K1761" s="74"/>
      <c r="L1761" s="26">
        <v>2018.0</v>
      </c>
      <c r="M1761" s="25">
        <f t="shared" si="789"/>
        <v>7</v>
      </c>
      <c r="N1761" s="26">
        <f t="shared" si="790"/>
        <v>0</v>
      </c>
      <c r="O1761" s="27" t="str">
        <f t="shared" si="3"/>
        <v>#N/A</v>
      </c>
      <c r="P1761" s="28"/>
      <c r="Q1761" s="28"/>
      <c r="R1761" s="28"/>
      <c r="S1761" s="28"/>
      <c r="T1761" s="29">
        <f t="shared" si="791"/>
        <v>0</v>
      </c>
      <c r="U1761" s="28"/>
      <c r="V1761" s="30">
        <f t="shared" si="425"/>
        <v>0</v>
      </c>
      <c r="W1761" s="30"/>
      <c r="X1761" s="32"/>
      <c r="Y1761" s="33" t="str">
        <f t="shared" si="792"/>
        <v>#DIV/0!</v>
      </c>
      <c r="Z1761" s="692"/>
      <c r="AA1761" s="665"/>
      <c r="AB1761" s="74"/>
      <c r="AC1761" s="74"/>
      <c r="AD1761" s="79"/>
      <c r="AE1761" s="84"/>
      <c r="AF1761" s="338"/>
      <c r="AG1761" s="84"/>
      <c r="AH1761" s="74"/>
      <c r="AI1761" s="78"/>
      <c r="AJ1761" s="79"/>
      <c r="AK1761" s="84"/>
      <c r="AL1761" s="79"/>
      <c r="AM1761" s="84"/>
      <c r="AN1761" s="79"/>
      <c r="AO1761" s="84"/>
      <c r="AP1761" s="79"/>
      <c r="AQ1761" s="84"/>
      <c r="AR1761" s="79"/>
      <c r="AS1761" s="79"/>
      <c r="AT1761" s="79"/>
      <c r="AU1761" s="80"/>
      <c r="AV1761" s="79"/>
      <c r="AW1761" s="38"/>
      <c r="AX1761" s="79"/>
      <c r="AY1761" s="38"/>
      <c r="AZ1761" s="79"/>
      <c r="BA1761" s="80"/>
      <c r="BB1761" s="79"/>
      <c r="BC1761" s="80"/>
      <c r="BD1761" s="79"/>
      <c r="BE1761" s="38"/>
      <c r="BF1761" s="74"/>
      <c r="BG1761" s="68"/>
      <c r="BH1761" s="68"/>
      <c r="BI1761" s="68"/>
      <c r="BJ1761" s="68"/>
      <c r="BK1761" s="68"/>
      <c r="BL1761" s="68"/>
      <c r="BM1761" s="68"/>
      <c r="BN1761" s="68"/>
      <c r="BO1761" s="68"/>
      <c r="BP1761" s="68"/>
      <c r="BQ1761" s="68"/>
      <c r="BR1761" s="68"/>
      <c r="BS1761" s="68"/>
      <c r="BT1761" s="68"/>
      <c r="BU1761" s="68"/>
      <c r="BV1761" s="68"/>
      <c r="BW1761" s="68"/>
      <c r="BX1761" s="68"/>
      <c r="BY1761" s="68"/>
      <c r="BZ1761" s="68"/>
      <c r="CA1761" s="68"/>
      <c r="CB1761" s="68"/>
      <c r="CC1761" s="68"/>
      <c r="CD1761" s="68"/>
      <c r="CE1761" s="68"/>
      <c r="CF1761" s="68"/>
      <c r="CG1761" s="68"/>
      <c r="CH1761" s="68"/>
      <c r="CI1761" s="68"/>
      <c r="CJ1761" s="68"/>
      <c r="CK1761" s="68"/>
      <c r="CL1761" s="68"/>
      <c r="CM1761" s="68"/>
      <c r="CN1761" s="68"/>
      <c r="CO1761" s="68"/>
      <c r="CP1761" s="68"/>
    </row>
    <row r="1762" ht="15.75" customHeight="1">
      <c r="A1762" s="1821" t="s">
        <v>8170</v>
      </c>
      <c r="B1762" s="1644"/>
      <c r="C1762" s="1828" t="s">
        <v>123</v>
      </c>
      <c r="D1762" s="1829" t="s">
        <v>4781</v>
      </c>
      <c r="E1762" s="1829" t="s">
        <v>4781</v>
      </c>
      <c r="F1762" s="1845" t="s">
        <v>8171</v>
      </c>
      <c r="G1762" s="1807" t="s">
        <v>8172</v>
      </c>
      <c r="H1762" s="1744" t="s">
        <v>638</v>
      </c>
      <c r="I1762" s="1739" t="s">
        <v>639</v>
      </c>
      <c r="J1762" s="1765"/>
      <c r="K1762" s="1738"/>
      <c r="L1762" s="1739">
        <v>1998.0</v>
      </c>
      <c r="M1762" s="25">
        <f t="shared" si="789"/>
        <v>27</v>
      </c>
      <c r="N1762" s="26">
        <f t="shared" si="790"/>
        <v>0</v>
      </c>
      <c r="O1762" s="27" t="str">
        <f t="shared" si="3"/>
        <v>#N/A</v>
      </c>
      <c r="P1762" s="28"/>
      <c r="Q1762" s="28"/>
      <c r="R1762" s="28"/>
      <c r="S1762" s="28"/>
      <c r="T1762" s="29">
        <f t="shared" si="791"/>
        <v>0</v>
      </c>
      <c r="U1762" s="28"/>
      <c r="V1762" s="30">
        <f t="shared" si="425"/>
        <v>0</v>
      </c>
      <c r="W1762" s="30"/>
      <c r="X1762" s="1746"/>
      <c r="Y1762" s="33" t="str">
        <f t="shared" si="792"/>
        <v>#DIV/0!</v>
      </c>
      <c r="Z1762" s="692"/>
      <c r="AA1762" s="665"/>
      <c r="AB1762" s="1738"/>
      <c r="AC1762" s="1738"/>
      <c r="AD1762" s="1747"/>
      <c r="AE1762" s="1748"/>
      <c r="AF1762" s="1749"/>
      <c r="AG1762" s="1748"/>
      <c r="AH1762" s="1738"/>
      <c r="AI1762" s="1750"/>
      <c r="AJ1762" s="1747"/>
      <c r="AK1762" s="1748"/>
      <c r="AL1762" s="1747"/>
      <c r="AM1762" s="1748"/>
      <c r="AN1762" s="1747"/>
      <c r="AO1762" s="1748"/>
      <c r="AP1762" s="1747"/>
      <c r="AQ1762" s="1748"/>
      <c r="AR1762" s="1747"/>
      <c r="AS1762" s="1747"/>
      <c r="AT1762" s="1747"/>
      <c r="AU1762" s="1751"/>
      <c r="AV1762" s="1747"/>
      <c r="AW1762" s="38"/>
      <c r="AX1762" s="1747"/>
      <c r="AY1762" s="38"/>
      <c r="AZ1762" s="1747"/>
      <c r="BA1762" s="1751"/>
      <c r="BB1762" s="1747"/>
      <c r="BC1762" s="1751"/>
      <c r="BD1762" s="1747"/>
      <c r="BE1762" s="38"/>
      <c r="BF1762" s="1738"/>
      <c r="BG1762" s="68"/>
      <c r="BH1762" s="68"/>
      <c r="BI1762" s="68"/>
      <c r="BJ1762" s="68"/>
      <c r="BK1762" s="68"/>
      <c r="BL1762" s="68"/>
      <c r="BM1762" s="68"/>
      <c r="BN1762" s="68"/>
      <c r="BO1762" s="68"/>
      <c r="BP1762" s="68"/>
      <c r="BQ1762" s="68"/>
      <c r="BR1762" s="68"/>
      <c r="BS1762" s="68"/>
      <c r="BT1762" s="68"/>
      <c r="BU1762" s="68"/>
      <c r="BV1762" s="68"/>
      <c r="BW1762" s="68"/>
      <c r="BX1762" s="68"/>
      <c r="BY1762" s="68"/>
      <c r="BZ1762" s="68"/>
      <c r="CA1762" s="68"/>
      <c r="CB1762" s="68"/>
      <c r="CC1762" s="68"/>
      <c r="CD1762" s="68"/>
      <c r="CE1762" s="68"/>
      <c r="CF1762" s="68"/>
      <c r="CG1762" s="68"/>
      <c r="CH1762" s="68"/>
      <c r="CI1762" s="68"/>
      <c r="CJ1762" s="68"/>
      <c r="CK1762" s="68"/>
      <c r="CL1762" s="68"/>
      <c r="CM1762" s="68"/>
      <c r="CN1762" s="68"/>
      <c r="CO1762" s="68"/>
      <c r="CP1762" s="68"/>
    </row>
    <row r="1763" ht="15.75" customHeight="1">
      <c r="A1763" s="21" t="s">
        <v>8173</v>
      </c>
      <c r="B1763" s="68"/>
      <c r="C1763" s="858" t="s">
        <v>1007</v>
      </c>
      <c r="D1763" s="200" t="s">
        <v>8174</v>
      </c>
      <c r="E1763" s="200" t="s">
        <v>8175</v>
      </c>
      <c r="F1763" s="154" t="s">
        <v>8176</v>
      </c>
      <c r="G1763" s="174"/>
      <c r="H1763" s="140" t="s">
        <v>1388</v>
      </c>
      <c r="I1763" s="26" t="s">
        <v>115</v>
      </c>
      <c r="J1763" s="514"/>
      <c r="K1763" s="74" t="s">
        <v>723</v>
      </c>
      <c r="L1763" s="79" t="s">
        <v>723</v>
      </c>
      <c r="M1763" s="169" t="str">
        <f t="shared" si="789"/>
        <v>#VALUE!</v>
      </c>
      <c r="N1763" s="26">
        <f t="shared" si="790"/>
        <v>0</v>
      </c>
      <c r="O1763" s="27" t="str">
        <f t="shared" si="3"/>
        <v>#N/A</v>
      </c>
      <c r="P1763" s="28"/>
      <c r="Q1763" s="28"/>
      <c r="R1763" s="28"/>
      <c r="S1763" s="28"/>
      <c r="T1763" s="28" t="str">
        <f t="shared" si="791"/>
        <v>#VALUE!</v>
      </c>
      <c r="U1763" s="28"/>
      <c r="V1763" s="30">
        <f t="shared" si="425"/>
        <v>0</v>
      </c>
      <c r="W1763" s="30"/>
      <c r="X1763" s="32"/>
      <c r="Y1763" s="33" t="str">
        <f t="shared" si="792"/>
        <v>#DIV/0!</v>
      </c>
      <c r="Z1763" s="692"/>
      <c r="AA1763" s="665"/>
      <c r="AB1763" s="74"/>
      <c r="AC1763" s="74"/>
      <c r="AD1763" s="79"/>
      <c r="AE1763" s="84"/>
      <c r="AF1763" s="338"/>
      <c r="AG1763" s="84"/>
      <c r="AH1763" s="74"/>
      <c r="AI1763" s="78"/>
      <c r="AJ1763" s="79"/>
      <c r="AK1763" s="84"/>
      <c r="AL1763" s="79"/>
      <c r="AM1763" s="84"/>
      <c r="AN1763" s="79"/>
      <c r="AO1763" s="84"/>
      <c r="AP1763" s="79"/>
      <c r="AQ1763" s="84"/>
      <c r="AR1763" s="79"/>
      <c r="AS1763" s="79"/>
      <c r="AT1763" s="79"/>
      <c r="AU1763" s="80"/>
      <c r="AV1763" s="79"/>
      <c r="AW1763" s="38"/>
      <c r="AX1763" s="79"/>
      <c r="AY1763" s="38"/>
      <c r="AZ1763" s="79"/>
      <c r="BA1763" s="80"/>
      <c r="BB1763" s="79"/>
      <c r="BC1763" s="80"/>
      <c r="BD1763" s="79"/>
      <c r="BE1763" s="38"/>
      <c r="BF1763" s="74"/>
      <c r="BG1763" s="68"/>
      <c r="BH1763" s="68"/>
      <c r="BI1763" s="68"/>
      <c r="BJ1763" s="68"/>
      <c r="BK1763" s="68"/>
      <c r="BL1763" s="68"/>
      <c r="BM1763" s="68"/>
      <c r="BN1763" s="68"/>
      <c r="BO1763" s="68"/>
      <c r="BP1763" s="68"/>
      <c r="BQ1763" s="68"/>
      <c r="BR1763" s="68"/>
      <c r="BS1763" s="68"/>
      <c r="BT1763" s="68"/>
      <c r="BU1763" s="68"/>
      <c r="BV1763" s="68"/>
      <c r="BW1763" s="68"/>
      <c r="BX1763" s="68"/>
      <c r="BY1763" s="68"/>
      <c r="BZ1763" s="68"/>
      <c r="CA1763" s="68"/>
      <c r="CB1763" s="68"/>
      <c r="CC1763" s="68"/>
      <c r="CD1763" s="68"/>
      <c r="CE1763" s="68"/>
      <c r="CF1763" s="68"/>
      <c r="CG1763" s="68"/>
      <c r="CH1763" s="68"/>
      <c r="CI1763" s="68"/>
      <c r="CJ1763" s="68"/>
      <c r="CK1763" s="68"/>
      <c r="CL1763" s="68"/>
      <c r="CM1763" s="68"/>
      <c r="CN1763" s="68"/>
      <c r="CO1763" s="68"/>
      <c r="CP1763" s="68"/>
    </row>
    <row r="1764" ht="15.75" customHeight="1">
      <c r="A1764" s="1205" t="s">
        <v>8177</v>
      </c>
      <c r="B1764" s="582"/>
      <c r="C1764" s="1206" t="s">
        <v>132</v>
      </c>
      <c r="D1764" s="1354"/>
      <c r="E1764" s="1207" t="s">
        <v>8178</v>
      </c>
      <c r="F1764" s="1208" t="s">
        <v>8179</v>
      </c>
      <c r="G1764" s="1149" t="s">
        <v>8180</v>
      </c>
      <c r="H1764" s="1210" t="s">
        <v>108</v>
      </c>
      <c r="I1764" s="1211" t="s">
        <v>109</v>
      </c>
      <c r="J1764" s="1151" t="s">
        <v>8181</v>
      </c>
      <c r="K1764" s="1211">
        <v>2.0</v>
      </c>
      <c r="L1764" s="1211">
        <v>2015.0</v>
      </c>
      <c r="M1764" s="25">
        <f t="shared" si="789"/>
        <v>10</v>
      </c>
      <c r="N1764" s="26">
        <f t="shared" si="790"/>
        <v>0</v>
      </c>
      <c r="O1764" s="27" t="str">
        <f t="shared" si="3"/>
        <v>#N/A</v>
      </c>
      <c r="P1764" s="28"/>
      <c r="Q1764" s="28"/>
      <c r="R1764" s="28"/>
      <c r="S1764" s="28"/>
      <c r="T1764" s="29">
        <f t="shared" si="791"/>
        <v>0</v>
      </c>
      <c r="U1764" s="28"/>
      <c r="V1764" s="30">
        <f t="shared" si="425"/>
        <v>0</v>
      </c>
      <c r="W1764" s="30"/>
      <c r="X1764" s="1213"/>
      <c r="Y1764" s="33" t="str">
        <f t="shared" si="792"/>
        <v>#DIV/0!</v>
      </c>
      <c r="Z1764" s="692"/>
      <c r="AA1764" s="665"/>
      <c r="AB1764" s="1214"/>
      <c r="AC1764" s="1214"/>
      <c r="AD1764" s="1215"/>
      <c r="AE1764" s="1216"/>
      <c r="AF1764" s="1846"/>
      <c r="AG1764" s="1218"/>
      <c r="AH1764" s="1214"/>
      <c r="AI1764" s="1219"/>
      <c r="AJ1764" s="1215"/>
      <c r="AK1764" s="1216"/>
      <c r="AL1764" s="1215"/>
      <c r="AM1764" s="1216"/>
      <c r="AN1764" s="1215"/>
      <c r="AO1764" s="1216"/>
      <c r="AP1764" s="1215"/>
      <c r="AQ1764" s="1216"/>
      <c r="AR1764" s="1215"/>
      <c r="AS1764" s="1215"/>
      <c r="AT1764" s="1215"/>
      <c r="AU1764" s="1221"/>
      <c r="AV1764" s="1215"/>
      <c r="AW1764" s="38"/>
      <c r="AX1764" s="1215"/>
      <c r="AY1764" s="38"/>
      <c r="AZ1764" s="1215"/>
      <c r="BA1764" s="1221"/>
      <c r="BB1764" s="1215"/>
      <c r="BC1764" s="1221"/>
      <c r="BD1764" s="1215"/>
      <c r="BE1764" s="38"/>
      <c r="BF1764" s="1214"/>
      <c r="BG1764" s="68"/>
      <c r="BH1764" s="68"/>
      <c r="BI1764" s="68"/>
      <c r="BJ1764" s="68"/>
      <c r="BK1764" s="68"/>
      <c r="BL1764" s="68"/>
      <c r="BM1764" s="68"/>
      <c r="BN1764" s="68"/>
      <c r="BO1764" s="68"/>
      <c r="BP1764" s="68"/>
      <c r="BQ1764" s="68"/>
      <c r="BR1764" s="68"/>
      <c r="BS1764" s="68"/>
      <c r="BT1764" s="68"/>
      <c r="BU1764" s="68"/>
      <c r="BV1764" s="68"/>
      <c r="BW1764" s="68"/>
      <c r="BX1764" s="68"/>
      <c r="BY1764" s="68"/>
      <c r="BZ1764" s="68"/>
      <c r="CA1764" s="68"/>
      <c r="CB1764" s="68"/>
      <c r="CC1764" s="68"/>
      <c r="CD1764" s="68"/>
      <c r="CE1764" s="68"/>
      <c r="CF1764" s="68"/>
      <c r="CG1764" s="68"/>
      <c r="CH1764" s="68"/>
      <c r="CI1764" s="68"/>
      <c r="CJ1764" s="68"/>
      <c r="CK1764" s="68"/>
      <c r="CL1764" s="68"/>
      <c r="CM1764" s="68"/>
      <c r="CN1764" s="68"/>
      <c r="CO1764" s="68"/>
      <c r="CP1764" s="68"/>
    </row>
    <row r="1765" ht="15.75" customHeight="1">
      <c r="A1765" s="860" t="s">
        <v>8182</v>
      </c>
      <c r="B1765" s="68"/>
      <c r="C1765" s="858" t="s">
        <v>123</v>
      </c>
      <c r="D1765" s="192" t="s">
        <v>8183</v>
      </c>
      <c r="E1765" s="231"/>
      <c r="F1765" s="118" t="s">
        <v>8184</v>
      </c>
      <c r="G1765" s="186"/>
      <c r="H1765" s="186"/>
      <c r="I1765" s="74"/>
      <c r="J1765" s="155"/>
      <c r="K1765" s="74"/>
      <c r="L1765" s="26"/>
      <c r="M1765" s="25">
        <f t="shared" si="789"/>
        <v>2025</v>
      </c>
      <c r="N1765" s="26">
        <f t="shared" si="790"/>
        <v>0</v>
      </c>
      <c r="O1765" s="27" t="str">
        <f t="shared" si="3"/>
        <v>#N/A</v>
      </c>
      <c r="P1765" s="28"/>
      <c r="Q1765" s="28"/>
      <c r="R1765" s="28"/>
      <c r="S1765" s="28"/>
      <c r="T1765" s="29">
        <f t="shared" si="791"/>
        <v>0</v>
      </c>
      <c r="U1765" s="28"/>
      <c r="V1765" s="30">
        <f t="shared" si="425"/>
        <v>0</v>
      </c>
      <c r="W1765" s="30"/>
      <c r="X1765" s="32"/>
      <c r="Y1765" s="33" t="str">
        <f t="shared" si="792"/>
        <v>#DIV/0!</v>
      </c>
      <c r="Z1765" s="692"/>
      <c r="AA1765" s="665"/>
      <c r="AB1765" s="74"/>
      <c r="AC1765" s="74"/>
      <c r="AD1765" s="79"/>
      <c r="AE1765" s="84"/>
      <c r="AF1765" s="338"/>
      <c r="AG1765" s="76"/>
      <c r="AH1765" s="74"/>
      <c r="AI1765" s="78"/>
      <c r="AJ1765" s="79"/>
      <c r="AK1765" s="84"/>
      <c r="AL1765" s="79"/>
      <c r="AM1765" s="84"/>
      <c r="AN1765" s="79"/>
      <c r="AO1765" s="84"/>
      <c r="AP1765" s="79"/>
      <c r="AQ1765" s="84"/>
      <c r="AR1765" s="79"/>
      <c r="AS1765" s="79"/>
      <c r="AT1765" s="79"/>
      <c r="AU1765" s="80"/>
      <c r="AV1765" s="79"/>
      <c r="AW1765" s="38"/>
      <c r="AX1765" s="79"/>
      <c r="AY1765" s="38"/>
      <c r="AZ1765" s="79"/>
      <c r="BA1765" s="80"/>
      <c r="BB1765" s="79"/>
      <c r="BC1765" s="80"/>
      <c r="BD1765" s="79"/>
      <c r="BE1765" s="38"/>
      <c r="BF1765" s="74"/>
      <c r="BG1765" s="68"/>
      <c r="BH1765" s="68"/>
      <c r="BI1765" s="68"/>
      <c r="BJ1765" s="68"/>
      <c r="BK1765" s="68"/>
      <c r="BL1765" s="68"/>
      <c r="BM1765" s="68"/>
      <c r="BN1765" s="68"/>
      <c r="BO1765" s="68"/>
      <c r="BP1765" s="68"/>
      <c r="BQ1765" s="68"/>
      <c r="BR1765" s="68"/>
      <c r="BS1765" s="68"/>
      <c r="BT1765" s="68"/>
      <c r="BU1765" s="68"/>
      <c r="BV1765" s="68"/>
      <c r="BW1765" s="68"/>
      <c r="BX1765" s="68"/>
      <c r="BY1765" s="68"/>
      <c r="BZ1765" s="68"/>
      <c r="CA1765" s="68"/>
      <c r="CB1765" s="68"/>
      <c r="CC1765" s="68"/>
      <c r="CD1765" s="68"/>
      <c r="CE1765" s="68"/>
      <c r="CF1765" s="68"/>
      <c r="CG1765" s="68"/>
      <c r="CH1765" s="68"/>
      <c r="CI1765" s="68"/>
      <c r="CJ1765" s="68"/>
      <c r="CK1765" s="68"/>
      <c r="CL1765" s="68"/>
      <c r="CM1765" s="68"/>
      <c r="CN1765" s="68"/>
      <c r="CO1765" s="68"/>
      <c r="CP1765" s="68"/>
    </row>
    <row r="1766" ht="15.75" customHeight="1">
      <c r="A1766" s="860" t="s">
        <v>8185</v>
      </c>
      <c r="B1766" s="68"/>
      <c r="C1766" s="69" t="s">
        <v>123</v>
      </c>
      <c r="D1766" s="192" t="s">
        <v>8186</v>
      </c>
      <c r="E1766" s="231"/>
      <c r="F1766" s="192" t="s">
        <v>8187</v>
      </c>
      <c r="G1766" s="174"/>
      <c r="H1766" s="174"/>
      <c r="J1766" s="155"/>
      <c r="K1766" s="74"/>
      <c r="L1766" s="26"/>
      <c r="M1766" s="25">
        <f t="shared" si="789"/>
        <v>2025</v>
      </c>
      <c r="N1766" s="26">
        <f t="shared" si="790"/>
        <v>0</v>
      </c>
      <c r="O1766" s="27" t="str">
        <f t="shared" si="3"/>
        <v>#N/A</v>
      </c>
      <c r="P1766" s="28"/>
      <c r="Q1766" s="28"/>
      <c r="R1766" s="28"/>
      <c r="S1766" s="28"/>
      <c r="T1766" s="29">
        <f t="shared" si="791"/>
        <v>0</v>
      </c>
      <c r="U1766" s="28"/>
      <c r="V1766" s="30">
        <f t="shared" si="425"/>
        <v>0</v>
      </c>
      <c r="W1766" s="30"/>
      <c r="X1766" s="32"/>
      <c r="Y1766" s="33" t="str">
        <f t="shared" si="792"/>
        <v>#DIV/0!</v>
      </c>
      <c r="Z1766" s="692"/>
      <c r="AA1766" s="665"/>
      <c r="AB1766" s="74"/>
      <c r="AC1766" s="74"/>
      <c r="AD1766" s="79"/>
      <c r="AE1766" s="84"/>
      <c r="AF1766" s="338"/>
      <c r="AG1766" s="76"/>
      <c r="AH1766" s="74"/>
      <c r="AI1766" s="78"/>
      <c r="AJ1766" s="79"/>
      <c r="AK1766" s="84"/>
      <c r="AL1766" s="79"/>
      <c r="AM1766" s="84"/>
      <c r="AN1766" s="79"/>
      <c r="AO1766" s="84"/>
      <c r="AP1766" s="79"/>
      <c r="AQ1766" s="84"/>
      <c r="AR1766" s="79"/>
      <c r="AS1766" s="79"/>
      <c r="AT1766" s="79"/>
      <c r="AU1766" s="80"/>
      <c r="AV1766" s="79"/>
      <c r="AW1766" s="38"/>
      <c r="AX1766" s="79"/>
      <c r="AY1766" s="38"/>
      <c r="AZ1766" s="79"/>
      <c r="BA1766" s="80"/>
      <c r="BB1766" s="79"/>
      <c r="BC1766" s="80"/>
      <c r="BD1766" s="79"/>
      <c r="BE1766" s="38"/>
      <c r="BF1766" s="74"/>
      <c r="BG1766" s="68"/>
      <c r="BH1766" s="68"/>
      <c r="BI1766" s="68"/>
      <c r="BJ1766" s="68"/>
      <c r="BK1766" s="68"/>
      <c r="BL1766" s="68"/>
      <c r="BM1766" s="68"/>
      <c r="BN1766" s="68"/>
      <c r="BO1766" s="68"/>
      <c r="BP1766" s="68"/>
      <c r="BQ1766" s="68"/>
      <c r="BR1766" s="68"/>
      <c r="BS1766" s="68"/>
      <c r="BT1766" s="68"/>
      <c r="BU1766" s="68"/>
      <c r="BV1766" s="68"/>
      <c r="BW1766" s="68"/>
      <c r="BX1766" s="68"/>
      <c r="BY1766" s="68"/>
      <c r="BZ1766" s="68"/>
      <c r="CA1766" s="68"/>
      <c r="CB1766" s="68"/>
      <c r="CC1766" s="68"/>
      <c r="CD1766" s="68"/>
      <c r="CE1766" s="68"/>
      <c r="CF1766" s="68"/>
      <c r="CG1766" s="68"/>
      <c r="CH1766" s="68"/>
      <c r="CI1766" s="68"/>
      <c r="CJ1766" s="68"/>
      <c r="CK1766" s="68"/>
      <c r="CL1766" s="68"/>
      <c r="CM1766" s="68"/>
      <c r="CN1766" s="68"/>
      <c r="CO1766" s="68"/>
      <c r="CP1766" s="68"/>
    </row>
    <row r="1767" ht="15.75" customHeight="1">
      <c r="A1767" s="442" t="s">
        <v>8188</v>
      </c>
      <c r="B1767" s="68" t="s">
        <v>2105</v>
      </c>
      <c r="C1767" s="68" t="s">
        <v>59</v>
      </c>
      <c r="D1767" s="184" t="s">
        <v>8189</v>
      </c>
      <c r="E1767" s="231" t="s">
        <v>8190</v>
      </c>
      <c r="F1767" s="185" t="s">
        <v>8191</v>
      </c>
      <c r="G1767" s="186" t="s">
        <v>8192</v>
      </c>
      <c r="H1767" s="186" t="s">
        <v>3056</v>
      </c>
      <c r="I1767" s="26" t="s">
        <v>1384</v>
      </c>
      <c r="J1767" s="155">
        <v>33609.0</v>
      </c>
      <c r="K1767" s="74">
        <v>2.0</v>
      </c>
      <c r="L1767" s="26">
        <v>2012.0</v>
      </c>
      <c r="M1767" s="25">
        <f t="shared" si="789"/>
        <v>13</v>
      </c>
      <c r="N1767" s="26">
        <f t="shared" si="790"/>
        <v>1</v>
      </c>
      <c r="O1767" s="27" t="str">
        <f t="shared" si="3"/>
        <v>#N/A</v>
      </c>
      <c r="P1767" s="28"/>
      <c r="Q1767" s="28"/>
      <c r="R1767" s="28"/>
      <c r="S1767" s="28"/>
      <c r="T1767" s="29">
        <f t="shared" si="791"/>
        <v>0</v>
      </c>
      <c r="U1767" s="28"/>
      <c r="V1767" s="30">
        <f t="shared" si="425"/>
        <v>0</v>
      </c>
      <c r="W1767" s="30"/>
      <c r="X1767" s="32"/>
      <c r="Y1767" s="33" t="str">
        <f t="shared" si="792"/>
        <v>#DIV/0!</v>
      </c>
      <c r="Z1767" s="692"/>
      <c r="AA1767" s="665"/>
      <c r="AB1767" s="74"/>
      <c r="AC1767" s="74"/>
      <c r="AD1767" s="79"/>
      <c r="AE1767" s="84"/>
      <c r="AF1767" s="175" t="str">
        <f>HYPERLINK("https://www.crunchbase.com/funding_round/ravti-seed--431af120","Feb 20, 2017")</f>
        <v>Feb 20, 2017</v>
      </c>
      <c r="AG1767" s="76">
        <v>0.0</v>
      </c>
      <c r="AH1767" s="74"/>
      <c r="AI1767" s="78"/>
      <c r="AJ1767" s="79"/>
      <c r="AK1767" s="84"/>
      <c r="AL1767" s="79"/>
      <c r="AM1767" s="84"/>
      <c r="AN1767" s="79"/>
      <c r="AO1767" s="84"/>
      <c r="AP1767" s="79"/>
      <c r="AQ1767" s="84"/>
      <c r="AR1767" s="79"/>
      <c r="AS1767" s="79"/>
      <c r="AT1767" s="79"/>
      <c r="AU1767" s="80"/>
      <c r="AV1767" s="79"/>
      <c r="AW1767" s="38"/>
      <c r="AX1767" s="79"/>
      <c r="AY1767" s="38"/>
      <c r="AZ1767" s="79"/>
      <c r="BA1767" s="80"/>
      <c r="BB1767" s="79"/>
      <c r="BC1767" s="80"/>
      <c r="BD1767" s="79"/>
      <c r="BE1767" s="38"/>
      <c r="BF1767" s="74"/>
      <c r="BG1767" s="68"/>
      <c r="BH1767" s="68"/>
      <c r="BI1767" s="68"/>
      <c r="BJ1767" s="68"/>
      <c r="BK1767" s="68"/>
      <c r="BL1767" s="68"/>
      <c r="BM1767" s="68"/>
      <c r="BN1767" s="68"/>
      <c r="BO1767" s="68"/>
      <c r="BP1767" s="68"/>
      <c r="BQ1767" s="68"/>
      <c r="BR1767" s="68"/>
      <c r="BS1767" s="68"/>
      <c r="BT1767" s="68"/>
      <c r="BU1767" s="68"/>
      <c r="BV1767" s="68"/>
      <c r="BW1767" s="68"/>
      <c r="BX1767" s="68"/>
      <c r="BY1767" s="68"/>
      <c r="BZ1767" s="68"/>
      <c r="CA1767" s="68"/>
      <c r="CB1767" s="68"/>
      <c r="CC1767" s="68"/>
      <c r="CD1767" s="68"/>
      <c r="CE1767" s="68"/>
      <c r="CF1767" s="68"/>
      <c r="CG1767" s="68"/>
      <c r="CH1767" s="68"/>
      <c r="CI1767" s="68"/>
      <c r="CJ1767" s="68"/>
      <c r="CK1767" s="68"/>
      <c r="CL1767" s="68"/>
      <c r="CM1767" s="68"/>
      <c r="CN1767" s="68"/>
      <c r="CO1767" s="68"/>
      <c r="CP1767" s="68"/>
    </row>
    <row r="1768" ht="15.75" customHeight="1">
      <c r="A1768" s="442" t="s">
        <v>8193</v>
      </c>
      <c r="B1768" s="68" t="s">
        <v>1056</v>
      </c>
      <c r="C1768" s="858" t="s">
        <v>123</v>
      </c>
      <c r="D1768" s="337" t="s">
        <v>8194</v>
      </c>
      <c r="E1768" s="200" t="s">
        <v>8195</v>
      </c>
      <c r="F1768" s="652" t="s">
        <v>8196</v>
      </c>
      <c r="G1768" s="186" t="s">
        <v>8197</v>
      </c>
      <c r="H1768" s="74" t="s">
        <v>8198</v>
      </c>
      <c r="I1768" s="155" t="s">
        <v>218</v>
      </c>
      <c r="J1768" s="186" t="s">
        <v>8199</v>
      </c>
      <c r="K1768" s="74" t="s">
        <v>723</v>
      </c>
      <c r="L1768" s="26">
        <v>2011.0</v>
      </c>
      <c r="M1768" s="25">
        <f t="shared" si="789"/>
        <v>14</v>
      </c>
      <c r="N1768" s="26">
        <f t="shared" si="790"/>
        <v>0</v>
      </c>
      <c r="O1768" s="27" t="str">
        <f t="shared" si="3"/>
        <v>#N/A</v>
      </c>
      <c r="P1768" s="28"/>
      <c r="Q1768" s="28"/>
      <c r="R1768" s="28"/>
      <c r="S1768" s="28"/>
      <c r="T1768" s="29">
        <f t="shared" si="791"/>
        <v>0</v>
      </c>
      <c r="U1768" s="28"/>
      <c r="V1768" s="30">
        <f t="shared" si="425"/>
        <v>0</v>
      </c>
      <c r="W1768" s="30"/>
      <c r="X1768" s="32"/>
      <c r="Y1768" s="33" t="str">
        <f t="shared" si="792"/>
        <v>#DIV/0!</v>
      </c>
      <c r="Z1768" s="692"/>
      <c r="AA1768" s="665"/>
      <c r="AB1768" s="74" t="s">
        <v>3073</v>
      </c>
      <c r="AC1768" s="74"/>
      <c r="AD1768" s="79"/>
      <c r="AE1768" s="84"/>
      <c r="AF1768" s="338"/>
      <c r="AG1768" s="84"/>
      <c r="AH1768" s="74"/>
      <c r="AI1768" s="78"/>
      <c r="AJ1768" s="79"/>
      <c r="AK1768" s="84"/>
      <c r="AL1768" s="79"/>
      <c r="AM1768" s="84"/>
      <c r="AN1768" s="79"/>
      <c r="AO1768" s="84"/>
      <c r="AP1768" s="79"/>
      <c r="AQ1768" s="84"/>
      <c r="AR1768" s="79"/>
      <c r="AS1768" s="79"/>
      <c r="AT1768" s="79"/>
      <c r="AU1768" s="80"/>
      <c r="AV1768" s="79"/>
      <c r="AW1768" s="38"/>
      <c r="AX1768" s="79"/>
      <c r="AY1768" s="38"/>
      <c r="AZ1768" s="79"/>
      <c r="BA1768" s="80"/>
      <c r="BB1768" s="79"/>
      <c r="BC1768" s="80"/>
      <c r="BD1768" s="79"/>
      <c r="BE1768" s="38"/>
      <c r="BF1768" s="74"/>
      <c r="BG1768" s="1644"/>
      <c r="BH1768" s="1644"/>
      <c r="BI1768" s="1644"/>
      <c r="BJ1768" s="1644"/>
      <c r="BK1768" s="1644"/>
      <c r="BL1768" s="1644"/>
      <c r="BM1768" s="1644"/>
      <c r="BN1768" s="1644"/>
      <c r="BO1768" s="1644"/>
      <c r="BP1768" s="1644"/>
      <c r="BQ1768" s="1644"/>
      <c r="BR1768" s="1644"/>
      <c r="BS1768" s="1644"/>
      <c r="BT1768" s="1644"/>
      <c r="BU1768" s="1644"/>
      <c r="BV1768" s="1644"/>
      <c r="BW1768" s="1644"/>
      <c r="BX1768" s="1644"/>
      <c r="BY1768" s="1644"/>
      <c r="BZ1768" s="1644"/>
      <c r="CA1768" s="1644"/>
      <c r="CB1768" s="1644"/>
      <c r="CC1768" s="1644"/>
      <c r="CD1768" s="1644"/>
      <c r="CE1768" s="1644"/>
      <c r="CF1768" s="1644"/>
      <c r="CG1768" s="1644"/>
      <c r="CH1768" s="1644"/>
      <c r="CI1768" s="1644"/>
      <c r="CJ1768" s="1644"/>
      <c r="CK1768" s="1644"/>
      <c r="CL1768" s="1644"/>
      <c r="CM1768" s="1644"/>
      <c r="CN1768" s="1644"/>
      <c r="CO1768" s="1644"/>
      <c r="CP1768" s="1644"/>
    </row>
    <row r="1769" ht="15.75" customHeight="1">
      <c r="A1769" s="21" t="s">
        <v>8200</v>
      </c>
      <c r="B1769" s="68"/>
      <c r="C1769" s="69" t="s">
        <v>5442</v>
      </c>
      <c r="D1769" s="192" t="s">
        <v>8201</v>
      </c>
      <c r="E1769" s="192" t="s">
        <v>6392</v>
      </c>
      <c r="F1769" s="118" t="s">
        <v>8202</v>
      </c>
      <c r="G1769" s="186"/>
      <c r="H1769" s="71" t="s">
        <v>357</v>
      </c>
      <c r="I1769" s="26" t="s">
        <v>8203</v>
      </c>
      <c r="J1769" s="155"/>
      <c r="K1769" s="74"/>
      <c r="L1769" s="26">
        <v>2001.0</v>
      </c>
      <c r="M1769" s="25">
        <f t="shared" si="789"/>
        <v>24</v>
      </c>
      <c r="N1769" s="26">
        <f t="shared" si="790"/>
        <v>0</v>
      </c>
      <c r="O1769" s="27" t="str">
        <f t="shared" si="3"/>
        <v>#N/A</v>
      </c>
      <c r="P1769" s="273"/>
      <c r="Q1769" s="273"/>
      <c r="R1769" s="273"/>
      <c r="S1769" s="273"/>
      <c r="T1769" s="273"/>
      <c r="U1769" s="273"/>
      <c r="V1769" s="30">
        <f t="shared" si="425"/>
        <v>0</v>
      </c>
      <c r="W1769" s="30"/>
      <c r="X1769" s="32"/>
      <c r="Y1769" s="33" t="str">
        <f t="shared" si="792"/>
        <v>#DIV/0!</v>
      </c>
      <c r="Z1769" s="692"/>
      <c r="AA1769" s="665"/>
      <c r="AB1769" s="74"/>
      <c r="AC1769" s="74"/>
      <c r="AD1769" s="79"/>
      <c r="AE1769" s="84"/>
      <c r="AF1769" s="338"/>
      <c r="AG1769" s="84"/>
      <c r="AH1769" s="74"/>
      <c r="AI1769" s="78"/>
      <c r="AJ1769" s="79"/>
      <c r="AK1769" s="84"/>
      <c r="AL1769" s="79"/>
      <c r="AM1769" s="84"/>
      <c r="AN1769" s="79"/>
      <c r="AO1769" s="84"/>
      <c r="AP1769" s="79"/>
      <c r="AQ1769" s="84"/>
      <c r="AR1769" s="79"/>
      <c r="AS1769" s="79"/>
      <c r="AT1769" s="79"/>
      <c r="AU1769" s="80"/>
      <c r="AV1769" s="79"/>
      <c r="AW1769" s="38"/>
      <c r="AX1769" s="79"/>
      <c r="AY1769" s="38"/>
      <c r="AZ1769" s="79"/>
      <c r="BA1769" s="80"/>
      <c r="BB1769" s="79"/>
      <c r="BC1769" s="80"/>
      <c r="BD1769" s="79"/>
      <c r="BE1769" s="38"/>
      <c r="BF1769" s="74"/>
      <c r="BG1769" s="68"/>
      <c r="BH1769" s="68"/>
      <c r="BI1769" s="68"/>
      <c r="BJ1769" s="68"/>
      <c r="BK1769" s="68"/>
      <c r="BL1769" s="68"/>
      <c r="BM1769" s="68"/>
      <c r="BN1769" s="68"/>
      <c r="BO1769" s="68"/>
      <c r="BP1769" s="68"/>
      <c r="BQ1769" s="68"/>
      <c r="BR1769" s="68"/>
      <c r="BS1769" s="68"/>
      <c r="BT1769" s="68"/>
      <c r="BU1769" s="68"/>
      <c r="BV1769" s="68"/>
      <c r="BW1769" s="68"/>
      <c r="BX1769" s="68"/>
      <c r="BY1769" s="68"/>
      <c r="BZ1769" s="68"/>
      <c r="CA1769" s="68"/>
      <c r="CB1769" s="68"/>
      <c r="CC1769" s="68"/>
      <c r="CD1769" s="68"/>
      <c r="CE1769" s="68"/>
      <c r="CF1769" s="68"/>
      <c r="CG1769" s="68"/>
      <c r="CH1769" s="68"/>
      <c r="CI1769" s="68"/>
      <c r="CJ1769" s="68"/>
      <c r="CK1769" s="68"/>
      <c r="CL1769" s="68"/>
      <c r="CM1769" s="68"/>
      <c r="CN1769" s="68"/>
      <c r="CO1769" s="68"/>
      <c r="CP1769" s="68"/>
    </row>
    <row r="1770" ht="15.75" customHeight="1">
      <c r="A1770" s="860" t="s">
        <v>8204</v>
      </c>
      <c r="B1770" s="115"/>
      <c r="C1770" s="694" t="s">
        <v>123</v>
      </c>
      <c r="D1770" s="161" t="s">
        <v>8205</v>
      </c>
      <c r="E1770" s="449"/>
      <c r="F1770" s="118" t="s">
        <v>8206</v>
      </c>
      <c r="G1770" s="286"/>
      <c r="H1770" s="119" t="s">
        <v>322</v>
      </c>
      <c r="I1770" s="25" t="s">
        <v>323</v>
      </c>
      <c r="J1770" s="287"/>
      <c r="K1770" s="25">
        <v>2.0</v>
      </c>
      <c r="L1770" s="25">
        <v>2007.0</v>
      </c>
      <c r="M1770" s="25">
        <f t="shared" si="789"/>
        <v>18</v>
      </c>
      <c r="N1770" s="26">
        <f t="shared" si="790"/>
        <v>0</v>
      </c>
      <c r="O1770" s="27" t="str">
        <f t="shared" si="3"/>
        <v>#N/A</v>
      </c>
      <c r="P1770" s="55"/>
      <c r="Q1770" s="55"/>
      <c r="R1770" s="55"/>
      <c r="S1770" s="55"/>
      <c r="T1770" s="55"/>
      <c r="U1770" s="55"/>
      <c r="V1770" s="30">
        <f t="shared" si="425"/>
        <v>0</v>
      </c>
      <c r="W1770" s="30"/>
      <c r="X1770" s="597"/>
      <c r="Y1770" s="33" t="str">
        <f t="shared" si="792"/>
        <v>#DIV/0!</v>
      </c>
      <c r="Z1770" s="692"/>
      <c r="AA1770" s="665"/>
      <c r="AB1770" s="123"/>
      <c r="AC1770" s="123"/>
      <c r="AD1770" s="124"/>
      <c r="AE1770" s="125"/>
      <c r="AF1770" s="166"/>
      <c r="AG1770" s="125"/>
      <c r="AH1770" s="123"/>
      <c r="AI1770" s="128"/>
      <c r="AJ1770" s="124"/>
      <c r="AK1770" s="125"/>
      <c r="AL1770" s="124"/>
      <c r="AM1770" s="125"/>
      <c r="AN1770" s="124"/>
      <c r="AO1770" s="125"/>
      <c r="AP1770" s="124"/>
      <c r="AQ1770" s="125"/>
      <c r="AR1770" s="124"/>
      <c r="AS1770" s="124"/>
      <c r="AT1770" s="124"/>
      <c r="AU1770" s="137"/>
      <c r="AV1770" s="124"/>
      <c r="AW1770" s="38"/>
      <c r="AX1770" s="124"/>
      <c r="AY1770" s="38"/>
      <c r="AZ1770" s="124"/>
      <c r="BA1770" s="137"/>
      <c r="BB1770" s="124"/>
      <c r="BC1770" s="137"/>
      <c r="BD1770" s="124"/>
      <c r="BE1770" s="38"/>
      <c r="BF1770" s="123"/>
      <c r="BG1770" s="68"/>
      <c r="BH1770" s="68"/>
      <c r="BI1770" s="68"/>
      <c r="BJ1770" s="68"/>
      <c r="BK1770" s="68"/>
      <c r="BL1770" s="68"/>
      <c r="BM1770" s="68"/>
      <c r="BN1770" s="68"/>
      <c r="BO1770" s="68"/>
      <c r="BP1770" s="68"/>
      <c r="BQ1770" s="68"/>
      <c r="BR1770" s="68"/>
      <c r="BS1770" s="68"/>
      <c r="BT1770" s="68"/>
      <c r="BU1770" s="68"/>
      <c r="BV1770" s="68"/>
      <c r="BW1770" s="68"/>
      <c r="BX1770" s="68"/>
      <c r="BY1770" s="68"/>
      <c r="BZ1770" s="68"/>
      <c r="CA1770" s="68"/>
      <c r="CB1770" s="68"/>
      <c r="CC1770" s="68"/>
      <c r="CD1770" s="68"/>
      <c r="CE1770" s="68"/>
      <c r="CF1770" s="68"/>
      <c r="CG1770" s="68"/>
      <c r="CH1770" s="68"/>
      <c r="CI1770" s="68"/>
      <c r="CJ1770" s="68"/>
      <c r="CK1770" s="68"/>
      <c r="CL1770" s="68"/>
      <c r="CM1770" s="68"/>
      <c r="CN1770" s="68"/>
      <c r="CO1770" s="68"/>
      <c r="CP1770" s="68"/>
    </row>
    <row r="1771" ht="15.75" customHeight="1">
      <c r="A1771" s="860" t="s">
        <v>8207</v>
      </c>
      <c r="B1771" s="68"/>
      <c r="C1771" s="69" t="s">
        <v>123</v>
      </c>
      <c r="D1771" s="337"/>
      <c r="E1771" s="192" t="s">
        <v>8208</v>
      </c>
      <c r="F1771" s="118" t="s">
        <v>8209</v>
      </c>
      <c r="G1771" s="186"/>
      <c r="H1771" s="71" t="s">
        <v>328</v>
      </c>
      <c r="I1771" s="26" t="s">
        <v>329</v>
      </c>
      <c r="J1771" s="155"/>
      <c r="K1771" s="74"/>
      <c r="L1771" s="26">
        <v>2012.0</v>
      </c>
      <c r="M1771" s="25">
        <f t="shared" si="789"/>
        <v>13</v>
      </c>
      <c r="N1771" s="26">
        <f t="shared" si="790"/>
        <v>0</v>
      </c>
      <c r="O1771" s="27" t="str">
        <f t="shared" si="3"/>
        <v>#N/A</v>
      </c>
      <c r="P1771" s="273"/>
      <c r="Q1771" s="273"/>
      <c r="R1771" s="273"/>
      <c r="S1771" s="273"/>
      <c r="T1771" s="273"/>
      <c r="U1771" s="273"/>
      <c r="V1771" s="30">
        <f t="shared" si="425"/>
        <v>0</v>
      </c>
      <c r="W1771" s="30"/>
      <c r="X1771" s="32"/>
      <c r="Y1771" s="33" t="str">
        <f t="shared" si="792"/>
        <v>#DIV/0!</v>
      </c>
      <c r="Z1771" s="692"/>
      <c r="AA1771" s="665"/>
      <c r="AB1771" s="74"/>
      <c r="AC1771" s="74"/>
      <c r="AD1771" s="79"/>
      <c r="AE1771" s="84"/>
      <c r="AF1771" s="338"/>
      <c r="AG1771" s="84"/>
      <c r="AH1771" s="74"/>
      <c r="AI1771" s="78"/>
      <c r="AJ1771" s="79"/>
      <c r="AK1771" s="84"/>
      <c r="AL1771" s="79"/>
      <c r="AM1771" s="84"/>
      <c r="AN1771" s="79"/>
      <c r="AO1771" s="84"/>
      <c r="AP1771" s="79"/>
      <c r="AQ1771" s="84"/>
      <c r="AR1771" s="79"/>
      <c r="AS1771" s="79"/>
      <c r="AT1771" s="79"/>
      <c r="AU1771" s="80"/>
      <c r="AV1771" s="79"/>
      <c r="AW1771" s="38"/>
      <c r="AX1771" s="79"/>
      <c r="AY1771" s="38"/>
      <c r="AZ1771" s="79"/>
      <c r="BA1771" s="80"/>
      <c r="BB1771" s="79"/>
      <c r="BC1771" s="80"/>
      <c r="BD1771" s="79"/>
      <c r="BE1771" s="38"/>
      <c r="BF1771" s="74"/>
      <c r="BG1771" s="68"/>
      <c r="BH1771" s="68"/>
      <c r="BI1771" s="68"/>
      <c r="BJ1771" s="68"/>
      <c r="BK1771" s="68"/>
      <c r="BL1771" s="68"/>
      <c r="BM1771" s="68"/>
      <c r="BN1771" s="68"/>
      <c r="BO1771" s="68"/>
      <c r="BP1771" s="68"/>
      <c r="BQ1771" s="68"/>
      <c r="BR1771" s="68"/>
      <c r="BS1771" s="68"/>
      <c r="BT1771" s="68"/>
      <c r="BU1771" s="68"/>
      <c r="BV1771" s="68"/>
      <c r="BW1771" s="68"/>
      <c r="BX1771" s="68"/>
      <c r="BY1771" s="68"/>
      <c r="BZ1771" s="68"/>
      <c r="CA1771" s="68"/>
      <c r="CB1771" s="68"/>
      <c r="CC1771" s="68"/>
      <c r="CD1771" s="68"/>
      <c r="CE1771" s="68"/>
      <c r="CF1771" s="68"/>
      <c r="CG1771" s="68"/>
      <c r="CH1771" s="68"/>
      <c r="CI1771" s="68"/>
      <c r="CJ1771" s="68"/>
      <c r="CK1771" s="68"/>
      <c r="CL1771" s="68"/>
      <c r="CM1771" s="68"/>
      <c r="CN1771" s="68"/>
      <c r="CO1771" s="68"/>
      <c r="CP1771" s="68"/>
    </row>
    <row r="1772" ht="15.75" customHeight="1">
      <c r="A1772" s="860" t="s">
        <v>8210</v>
      </c>
      <c r="B1772" s="68"/>
      <c r="C1772" s="69" t="s">
        <v>123</v>
      </c>
      <c r="D1772" s="192" t="s">
        <v>8211</v>
      </c>
      <c r="E1772" s="192" t="s">
        <v>8212</v>
      </c>
      <c r="F1772" s="118" t="s">
        <v>8213</v>
      </c>
      <c r="G1772" s="186"/>
      <c r="H1772" s="71" t="s">
        <v>8214</v>
      </c>
      <c r="I1772" s="26" t="s">
        <v>772</v>
      </c>
      <c r="J1772" s="155"/>
      <c r="K1772" s="74"/>
      <c r="L1772" s="26">
        <v>2011.0</v>
      </c>
      <c r="M1772" s="25">
        <f t="shared" si="789"/>
        <v>14</v>
      </c>
      <c r="N1772" s="26">
        <f t="shared" si="790"/>
        <v>0</v>
      </c>
      <c r="O1772" s="27" t="str">
        <f t="shared" si="3"/>
        <v>#N/A</v>
      </c>
      <c r="P1772" s="273"/>
      <c r="Q1772" s="273"/>
      <c r="R1772" s="273"/>
      <c r="S1772" s="273"/>
      <c r="T1772" s="273"/>
      <c r="U1772" s="273"/>
      <c r="V1772" s="30">
        <f t="shared" si="425"/>
        <v>0</v>
      </c>
      <c r="W1772" s="30"/>
      <c r="X1772" s="32"/>
      <c r="Y1772" s="33" t="str">
        <f t="shared" si="792"/>
        <v>#DIV/0!</v>
      </c>
      <c r="Z1772" s="692"/>
      <c r="AA1772" s="665"/>
      <c r="AB1772" s="74"/>
      <c r="AC1772" s="74"/>
      <c r="AD1772" s="79"/>
      <c r="AE1772" s="84"/>
      <c r="AF1772" s="338"/>
      <c r="AG1772" s="84"/>
      <c r="AH1772" s="74"/>
      <c r="AI1772" s="78"/>
      <c r="AJ1772" s="79"/>
      <c r="AK1772" s="84"/>
      <c r="AL1772" s="79"/>
      <c r="AM1772" s="84"/>
      <c r="AN1772" s="79"/>
      <c r="AO1772" s="84"/>
      <c r="AP1772" s="79"/>
      <c r="AQ1772" s="84"/>
      <c r="AR1772" s="79"/>
      <c r="AS1772" s="79"/>
      <c r="AT1772" s="79"/>
      <c r="AU1772" s="80"/>
      <c r="AV1772" s="79"/>
      <c r="AW1772" s="38"/>
      <c r="AX1772" s="79"/>
      <c r="AY1772" s="38"/>
      <c r="AZ1772" s="79"/>
      <c r="BA1772" s="80"/>
      <c r="BB1772" s="79"/>
      <c r="BC1772" s="80"/>
      <c r="BD1772" s="79"/>
      <c r="BE1772" s="38"/>
      <c r="BF1772" s="74"/>
      <c r="BG1772" s="68"/>
      <c r="BH1772" s="68"/>
      <c r="BI1772" s="68"/>
      <c r="BJ1772" s="68"/>
      <c r="BK1772" s="68"/>
      <c r="BL1772" s="68"/>
      <c r="BM1772" s="68"/>
      <c r="BN1772" s="68"/>
      <c r="BO1772" s="68"/>
      <c r="BP1772" s="68"/>
      <c r="BQ1772" s="68"/>
      <c r="BR1772" s="68"/>
      <c r="BS1772" s="68"/>
      <c r="BT1772" s="68"/>
      <c r="BU1772" s="68"/>
      <c r="BV1772" s="68"/>
      <c r="BW1772" s="68"/>
      <c r="BX1772" s="68"/>
      <c r="BY1772" s="68"/>
      <c r="BZ1772" s="68"/>
      <c r="CA1772" s="68"/>
      <c r="CB1772" s="68"/>
      <c r="CC1772" s="68"/>
      <c r="CD1772" s="68"/>
      <c r="CE1772" s="68"/>
      <c r="CF1772" s="68"/>
      <c r="CG1772" s="68"/>
      <c r="CH1772" s="68"/>
      <c r="CI1772" s="68"/>
      <c r="CJ1772" s="68"/>
      <c r="CK1772" s="68"/>
      <c r="CL1772" s="68"/>
      <c r="CM1772" s="68"/>
      <c r="CN1772" s="68"/>
      <c r="CO1772" s="68"/>
      <c r="CP1772" s="68"/>
    </row>
    <row r="1773" ht="17.25" customHeight="1">
      <c r="A1773" s="860" t="s">
        <v>8215</v>
      </c>
      <c r="B1773" s="68"/>
      <c r="C1773" s="858" t="s">
        <v>132</v>
      </c>
      <c r="D1773" s="192" t="s">
        <v>8216</v>
      </c>
      <c r="E1773" s="337"/>
      <c r="F1773" s="118" t="s">
        <v>8217</v>
      </c>
      <c r="G1773" s="186"/>
      <c r="H1773" s="186"/>
      <c r="I1773" s="74"/>
      <c r="J1773" s="155"/>
      <c r="K1773" s="74"/>
      <c r="L1773" s="26"/>
      <c r="M1773" s="25">
        <f t="shared" si="789"/>
        <v>2025</v>
      </c>
      <c r="N1773" s="26">
        <f t="shared" si="790"/>
        <v>0</v>
      </c>
      <c r="O1773" s="27" t="str">
        <f t="shared" si="3"/>
        <v>#N/A</v>
      </c>
      <c r="P1773" s="273"/>
      <c r="Q1773" s="273"/>
      <c r="R1773" s="273"/>
      <c r="S1773" s="273"/>
      <c r="T1773" s="273"/>
      <c r="U1773" s="273"/>
      <c r="V1773" s="30">
        <f t="shared" si="425"/>
        <v>0</v>
      </c>
      <c r="W1773" s="30"/>
      <c r="X1773" s="32"/>
      <c r="Y1773" s="33" t="str">
        <f t="shared" si="792"/>
        <v>#DIV/0!</v>
      </c>
      <c r="Z1773" s="692"/>
      <c r="AA1773" s="665"/>
      <c r="AB1773" s="74"/>
      <c r="AC1773" s="74"/>
      <c r="AD1773" s="79"/>
      <c r="AE1773" s="84"/>
      <c r="AF1773" s="338"/>
      <c r="AG1773" s="84"/>
      <c r="AH1773" s="74"/>
      <c r="AI1773" s="78"/>
      <c r="AJ1773" s="79"/>
      <c r="AK1773" s="84"/>
      <c r="AL1773" s="79"/>
      <c r="AM1773" s="84"/>
      <c r="AN1773" s="79"/>
      <c r="AO1773" s="84"/>
      <c r="AP1773" s="79"/>
      <c r="AQ1773" s="84"/>
      <c r="AR1773" s="79"/>
      <c r="AS1773" s="79"/>
      <c r="AT1773" s="79"/>
      <c r="AU1773" s="80"/>
      <c r="AV1773" s="79"/>
      <c r="AW1773" s="38"/>
      <c r="AX1773" s="79"/>
      <c r="AY1773" s="38"/>
      <c r="AZ1773" s="79"/>
      <c r="BA1773" s="80"/>
      <c r="BB1773" s="79"/>
      <c r="BC1773" s="80"/>
      <c r="BD1773" s="79"/>
      <c r="BE1773" s="38"/>
      <c r="BF1773" s="74"/>
      <c r="BG1773" s="115"/>
      <c r="BH1773" s="115"/>
      <c r="BI1773" s="115"/>
      <c r="BJ1773" s="115"/>
      <c r="BK1773" s="115"/>
      <c r="BL1773" s="115"/>
      <c r="BM1773" s="115"/>
      <c r="BN1773" s="115"/>
      <c r="BO1773" s="115"/>
      <c r="BP1773" s="115"/>
      <c r="BQ1773" s="115"/>
      <c r="BR1773" s="115"/>
      <c r="BS1773" s="115"/>
      <c r="BT1773" s="115"/>
      <c r="BU1773" s="115"/>
      <c r="BV1773" s="115"/>
      <c r="BW1773" s="115"/>
      <c r="BX1773" s="115"/>
      <c r="BY1773" s="115"/>
      <c r="BZ1773" s="115"/>
      <c r="CA1773" s="115"/>
      <c r="CB1773" s="115"/>
      <c r="CC1773" s="115"/>
      <c r="CD1773" s="115"/>
      <c r="CE1773" s="115"/>
      <c r="CF1773" s="115"/>
      <c r="CG1773" s="115"/>
      <c r="CH1773" s="115"/>
      <c r="CI1773" s="115"/>
      <c r="CJ1773" s="115"/>
      <c r="CK1773" s="115"/>
      <c r="CL1773" s="115"/>
      <c r="CM1773" s="115"/>
      <c r="CN1773" s="115"/>
      <c r="CO1773" s="115"/>
      <c r="CP1773" s="115"/>
    </row>
    <row r="1774" ht="17.25" customHeight="1">
      <c r="A1774" s="1805" t="s">
        <v>8218</v>
      </c>
      <c r="B1774" s="1407"/>
      <c r="C1774" s="1463" t="s">
        <v>5423</v>
      </c>
      <c r="D1774" s="1720" t="s">
        <v>6069</v>
      </c>
      <c r="E1774" s="1720" t="s">
        <v>4781</v>
      </c>
      <c r="F1774" s="1721" t="s">
        <v>8219</v>
      </c>
      <c r="G1774" s="1467" t="s">
        <v>8220</v>
      </c>
      <c r="H1774" s="1468" t="s">
        <v>771</v>
      </c>
      <c r="I1774" s="1469" t="s">
        <v>772</v>
      </c>
      <c r="J1774" s="1470" t="s">
        <v>8221</v>
      </c>
      <c r="K1774" s="1469">
        <v>2.0</v>
      </c>
      <c r="L1774" s="1469">
        <v>2019.0</v>
      </c>
      <c r="M1774" s="25">
        <f t="shared" si="789"/>
        <v>6</v>
      </c>
      <c r="N1774" s="26">
        <f t="shared" si="790"/>
        <v>0</v>
      </c>
      <c r="O1774" s="27" t="str">
        <f t="shared" si="3"/>
        <v>#N/A</v>
      </c>
      <c r="P1774" s="1847"/>
      <c r="Q1774" s="1847"/>
      <c r="R1774" s="1847"/>
      <c r="S1774" s="1847"/>
      <c r="T1774" s="1847"/>
      <c r="U1774" s="1847"/>
      <c r="V1774" s="30">
        <f t="shared" si="425"/>
        <v>0</v>
      </c>
      <c r="W1774" s="30"/>
      <c r="X1774" s="1473"/>
      <c r="Y1774" s="33" t="str">
        <f t="shared" si="792"/>
        <v>#DIV/0!</v>
      </c>
      <c r="Z1774" s="692"/>
      <c r="AA1774" s="665"/>
      <c r="AB1774" s="1474"/>
      <c r="AC1774" s="1474"/>
      <c r="AD1774" s="1482"/>
      <c r="AE1774" s="1717"/>
      <c r="AF1774" s="1722"/>
      <c r="AG1774" s="1717"/>
      <c r="AH1774" s="1474"/>
      <c r="AI1774" s="1479"/>
      <c r="AJ1774" s="1482"/>
      <c r="AK1774" s="1717"/>
      <c r="AL1774" s="1482"/>
      <c r="AM1774" s="1717"/>
      <c r="AN1774" s="1482"/>
      <c r="AO1774" s="1717"/>
      <c r="AP1774" s="1482"/>
      <c r="AQ1774" s="1717"/>
      <c r="AR1774" s="1482"/>
      <c r="AS1774" s="1482"/>
      <c r="AT1774" s="1482"/>
      <c r="AU1774" s="1483"/>
      <c r="AV1774" s="1482"/>
      <c r="AW1774" s="38"/>
      <c r="AX1774" s="1482"/>
      <c r="AY1774" s="38"/>
      <c r="AZ1774" s="1482"/>
      <c r="BA1774" s="1483"/>
      <c r="BB1774" s="1482"/>
      <c r="BC1774" s="1483"/>
      <c r="BD1774" s="1482"/>
      <c r="BE1774" s="38"/>
      <c r="BF1774" s="1474"/>
      <c r="BG1774" s="68"/>
      <c r="BH1774" s="68"/>
      <c r="BI1774" s="68"/>
      <c r="BJ1774" s="68"/>
      <c r="BK1774" s="68"/>
      <c r="BL1774" s="68"/>
      <c r="BM1774" s="68"/>
      <c r="BN1774" s="68"/>
      <c r="BO1774" s="68"/>
      <c r="BP1774" s="68"/>
      <c r="BQ1774" s="68"/>
      <c r="BR1774" s="68"/>
      <c r="BS1774" s="68"/>
      <c r="BT1774" s="68"/>
      <c r="BU1774" s="68"/>
      <c r="BV1774" s="68"/>
      <c r="BW1774" s="68"/>
      <c r="BX1774" s="68"/>
      <c r="BY1774" s="68"/>
      <c r="BZ1774" s="68"/>
      <c r="CA1774" s="68"/>
      <c r="CB1774" s="68"/>
      <c r="CC1774" s="68"/>
      <c r="CD1774" s="68"/>
      <c r="CE1774" s="68"/>
      <c r="CF1774" s="68"/>
      <c r="CG1774" s="68"/>
      <c r="CH1774" s="68"/>
      <c r="CI1774" s="68"/>
      <c r="CJ1774" s="68"/>
      <c r="CK1774" s="68"/>
      <c r="CL1774" s="68"/>
      <c r="CM1774" s="68"/>
      <c r="CN1774" s="68"/>
      <c r="CO1774" s="68"/>
      <c r="CP1774" s="68"/>
    </row>
    <row r="1775" ht="15.75" customHeight="1">
      <c r="A1775" s="21" t="s">
        <v>8222</v>
      </c>
      <c r="B1775" s="68"/>
      <c r="C1775" s="69" t="s">
        <v>1186</v>
      </c>
      <c r="D1775" s="192" t="s">
        <v>8223</v>
      </c>
      <c r="E1775" s="192" t="s">
        <v>8224</v>
      </c>
      <c r="F1775" s="173" t="s">
        <v>8225</v>
      </c>
      <c r="G1775" s="186"/>
      <c r="H1775" s="71" t="s">
        <v>8013</v>
      </c>
      <c r="I1775" s="26" t="s">
        <v>65</v>
      </c>
      <c r="J1775" s="155"/>
      <c r="K1775" s="74"/>
      <c r="L1775" s="26">
        <v>1999.0</v>
      </c>
      <c r="M1775" s="25">
        <f t="shared" si="789"/>
        <v>26</v>
      </c>
      <c r="N1775" s="26">
        <f t="shared" si="790"/>
        <v>0</v>
      </c>
      <c r="O1775" s="27" t="str">
        <f t="shared" si="3"/>
        <v>#N/A</v>
      </c>
      <c r="P1775" s="273"/>
      <c r="Q1775" s="273"/>
      <c r="R1775" s="273"/>
      <c r="S1775" s="273"/>
      <c r="T1775" s="273"/>
      <c r="U1775" s="273"/>
      <c r="V1775" s="30">
        <f t="shared" si="425"/>
        <v>0</v>
      </c>
      <c r="W1775" s="30"/>
      <c r="X1775" s="32"/>
      <c r="Y1775" s="33" t="str">
        <f t="shared" si="792"/>
        <v>#DIV/0!</v>
      </c>
      <c r="Z1775" s="692"/>
      <c r="AA1775" s="665"/>
      <c r="AB1775" s="74"/>
      <c r="AC1775" s="74"/>
      <c r="AD1775" s="81"/>
      <c r="AE1775" s="963"/>
      <c r="AF1775" s="338"/>
      <c r="AG1775" s="84"/>
      <c r="AH1775" s="74"/>
      <c r="AI1775" s="78"/>
      <c r="AJ1775" s="79"/>
      <c r="AK1775" s="84"/>
      <c r="AL1775" s="79"/>
      <c r="AM1775" s="84"/>
      <c r="AN1775" s="79"/>
      <c r="AO1775" s="84"/>
      <c r="AP1775" s="79"/>
      <c r="AQ1775" s="84"/>
      <c r="AR1775" s="79"/>
      <c r="AS1775" s="79"/>
      <c r="AT1775" s="79"/>
      <c r="AU1775" s="80"/>
      <c r="AV1775" s="79"/>
      <c r="AW1775" s="38"/>
      <c r="AX1775" s="79"/>
      <c r="AY1775" s="38"/>
      <c r="AZ1775" s="79"/>
      <c r="BA1775" s="80"/>
      <c r="BB1775" s="79"/>
      <c r="BC1775" s="80"/>
      <c r="BD1775" s="79"/>
      <c r="BE1775" s="38"/>
      <c r="BF1775" s="74"/>
      <c r="BG1775" s="68"/>
      <c r="BH1775" s="68"/>
      <c r="BI1775" s="68"/>
      <c r="BJ1775" s="68"/>
      <c r="BK1775" s="68"/>
      <c r="BL1775" s="68"/>
      <c r="BM1775" s="68"/>
      <c r="BN1775" s="68"/>
      <c r="BO1775" s="68"/>
      <c r="BP1775" s="68"/>
      <c r="BQ1775" s="68"/>
      <c r="BR1775" s="68"/>
      <c r="BS1775" s="68"/>
      <c r="BT1775" s="68"/>
      <c r="BU1775" s="68"/>
      <c r="BV1775" s="68"/>
      <c r="BW1775" s="68"/>
      <c r="BX1775" s="68"/>
      <c r="BY1775" s="68"/>
      <c r="BZ1775" s="68"/>
      <c r="CA1775" s="68"/>
      <c r="CB1775" s="68"/>
      <c r="CC1775" s="68"/>
      <c r="CD1775" s="68"/>
      <c r="CE1775" s="68"/>
      <c r="CF1775" s="68"/>
      <c r="CG1775" s="68"/>
      <c r="CH1775" s="68"/>
      <c r="CI1775" s="68"/>
      <c r="CJ1775" s="68"/>
      <c r="CK1775" s="68"/>
      <c r="CL1775" s="68"/>
      <c r="CM1775" s="68"/>
      <c r="CN1775" s="68"/>
      <c r="CO1775" s="68"/>
      <c r="CP1775" s="68"/>
    </row>
    <row r="1776" ht="15.75" customHeight="1">
      <c r="A1776" s="860" t="s">
        <v>8226</v>
      </c>
      <c r="B1776" s="68"/>
      <c r="C1776" s="858" t="s">
        <v>1186</v>
      </c>
      <c r="D1776" s="337"/>
      <c r="E1776" s="192" t="s">
        <v>8227</v>
      </c>
      <c r="F1776" s="386" t="s">
        <v>8228</v>
      </c>
      <c r="G1776" s="186"/>
      <c r="H1776" s="71" t="s">
        <v>8229</v>
      </c>
      <c r="I1776" s="26" t="s">
        <v>263</v>
      </c>
      <c r="J1776" s="155"/>
      <c r="K1776" s="74"/>
      <c r="L1776" s="26">
        <v>2010.0</v>
      </c>
      <c r="M1776" s="25">
        <f t="shared" si="789"/>
        <v>15</v>
      </c>
      <c r="N1776" s="26">
        <f t="shared" si="790"/>
        <v>0</v>
      </c>
      <c r="O1776" s="27" t="str">
        <f t="shared" si="3"/>
        <v>#N/A</v>
      </c>
      <c r="P1776" s="273"/>
      <c r="Q1776" s="273"/>
      <c r="R1776" s="273"/>
      <c r="S1776" s="273"/>
      <c r="T1776" s="273"/>
      <c r="U1776" s="273"/>
      <c r="V1776" s="30">
        <f t="shared" si="425"/>
        <v>0</v>
      </c>
      <c r="W1776" s="30"/>
      <c r="X1776" s="32"/>
      <c r="Y1776" s="33" t="str">
        <f t="shared" si="792"/>
        <v>#DIV/0!</v>
      </c>
      <c r="Z1776" s="692"/>
      <c r="AA1776" s="665"/>
      <c r="AB1776" s="74"/>
      <c r="AC1776" s="74"/>
      <c r="AD1776" s="79"/>
      <c r="AE1776" s="84"/>
      <c r="AF1776" s="338"/>
      <c r="AG1776" s="84"/>
      <c r="AH1776" s="74"/>
      <c r="AI1776" s="78"/>
      <c r="AJ1776" s="79"/>
      <c r="AK1776" s="84"/>
      <c r="AL1776" s="79"/>
      <c r="AM1776" s="84"/>
      <c r="AN1776" s="79"/>
      <c r="AO1776" s="84"/>
      <c r="AP1776" s="79"/>
      <c r="AQ1776" s="84"/>
      <c r="AR1776" s="79"/>
      <c r="AS1776" s="79"/>
      <c r="AT1776" s="79"/>
      <c r="AU1776" s="80"/>
      <c r="AV1776" s="79"/>
      <c r="AW1776" s="38"/>
      <c r="AX1776" s="79"/>
      <c r="AY1776" s="38"/>
      <c r="AZ1776" s="79"/>
      <c r="BA1776" s="80"/>
      <c r="BB1776" s="79"/>
      <c r="BC1776" s="80"/>
      <c r="BD1776" s="79"/>
      <c r="BE1776" s="38"/>
      <c r="BF1776" s="74"/>
      <c r="BG1776" s="68"/>
      <c r="BH1776" s="68"/>
      <c r="BI1776" s="68"/>
      <c r="BJ1776" s="68"/>
      <c r="BK1776" s="68"/>
      <c r="BL1776" s="68"/>
      <c r="BM1776" s="68"/>
      <c r="BN1776" s="68"/>
      <c r="BO1776" s="68"/>
      <c r="BP1776" s="68"/>
      <c r="BQ1776" s="68"/>
      <c r="BR1776" s="68"/>
      <c r="BS1776" s="68"/>
      <c r="BT1776" s="68"/>
      <c r="BU1776" s="68"/>
      <c r="BV1776" s="68"/>
      <c r="BW1776" s="68"/>
      <c r="BX1776" s="68"/>
      <c r="BY1776" s="68"/>
      <c r="BZ1776" s="68"/>
      <c r="CA1776" s="68"/>
      <c r="CB1776" s="68"/>
      <c r="CC1776" s="68"/>
      <c r="CD1776" s="68"/>
      <c r="CE1776" s="68"/>
      <c r="CF1776" s="68"/>
      <c r="CG1776" s="68"/>
      <c r="CH1776" s="68"/>
      <c r="CI1776" s="68"/>
      <c r="CJ1776" s="68"/>
      <c r="CK1776" s="68"/>
      <c r="CL1776" s="68"/>
      <c r="CM1776" s="68"/>
      <c r="CN1776" s="68"/>
      <c r="CO1776" s="68"/>
      <c r="CP1776" s="68"/>
    </row>
    <row r="1777" ht="15.75" customHeight="1">
      <c r="A1777" s="442" t="s">
        <v>8230</v>
      </c>
      <c r="B1777" s="68" t="s">
        <v>501</v>
      </c>
      <c r="C1777" s="69" t="s">
        <v>123</v>
      </c>
      <c r="D1777" s="184" t="s">
        <v>8231</v>
      </c>
      <c r="E1777" s="184" t="s">
        <v>8232</v>
      </c>
      <c r="F1777" s="652" t="s">
        <v>8233</v>
      </c>
      <c r="G1777" s="186" t="s">
        <v>8234</v>
      </c>
      <c r="H1777" s="186" t="s">
        <v>1918</v>
      </c>
      <c r="I1777" s="74" t="s">
        <v>3593</v>
      </c>
      <c r="J1777" s="155">
        <v>33145.0</v>
      </c>
      <c r="K1777" s="74" t="s">
        <v>723</v>
      </c>
      <c r="L1777" s="26">
        <v>2016.0</v>
      </c>
      <c r="M1777" s="25">
        <f t="shared" si="789"/>
        <v>9</v>
      </c>
      <c r="N1777" s="26">
        <f t="shared" si="790"/>
        <v>0</v>
      </c>
      <c r="O1777" s="27" t="str">
        <f t="shared" si="3"/>
        <v>#N/A</v>
      </c>
      <c r="P1777" s="273"/>
      <c r="Q1777" s="273"/>
      <c r="R1777" s="273"/>
      <c r="S1777" s="273"/>
      <c r="T1777" s="273"/>
      <c r="U1777" s="273"/>
      <c r="V1777" s="30">
        <f t="shared" si="425"/>
        <v>0</v>
      </c>
      <c r="W1777" s="30"/>
      <c r="X1777" s="32"/>
      <c r="Y1777" s="33" t="str">
        <f t="shared" si="792"/>
        <v>#DIV/0!</v>
      </c>
      <c r="Z1777" s="692"/>
      <c r="AA1777" s="665"/>
      <c r="AB1777" s="74"/>
      <c r="AC1777" s="74"/>
      <c r="AD1777" s="79"/>
      <c r="AE1777" s="84"/>
      <c r="AF1777" s="338"/>
      <c r="AG1777" s="84"/>
      <c r="AH1777" s="74"/>
      <c r="AI1777" s="78"/>
      <c r="AJ1777" s="79"/>
      <c r="AK1777" s="84"/>
      <c r="AL1777" s="79"/>
      <c r="AM1777" s="84"/>
      <c r="AN1777" s="79"/>
      <c r="AO1777" s="84"/>
      <c r="AP1777" s="79"/>
      <c r="AQ1777" s="84"/>
      <c r="AR1777" s="79"/>
      <c r="AS1777" s="79"/>
      <c r="AT1777" s="79"/>
      <c r="AU1777" s="80"/>
      <c r="AV1777" s="79"/>
      <c r="AW1777" s="38"/>
      <c r="AX1777" s="79"/>
      <c r="AY1777" s="38"/>
      <c r="AZ1777" s="79"/>
      <c r="BA1777" s="80"/>
      <c r="BB1777" s="79"/>
      <c r="BC1777" s="80"/>
      <c r="BD1777" s="79"/>
      <c r="BE1777" s="38"/>
      <c r="BF1777" s="74"/>
      <c r="BG1777" s="68"/>
      <c r="BH1777" s="68"/>
      <c r="BI1777" s="68"/>
      <c r="BJ1777" s="68"/>
      <c r="BK1777" s="68"/>
      <c r="BL1777" s="68"/>
      <c r="BM1777" s="68"/>
      <c r="BN1777" s="68"/>
      <c r="BO1777" s="68"/>
      <c r="BP1777" s="68"/>
      <c r="BQ1777" s="68"/>
      <c r="BR1777" s="68"/>
      <c r="BS1777" s="68"/>
      <c r="BT1777" s="68"/>
      <c r="BU1777" s="68"/>
      <c r="BV1777" s="68"/>
      <c r="BW1777" s="68"/>
      <c r="BX1777" s="68"/>
      <c r="BY1777" s="68"/>
      <c r="BZ1777" s="68"/>
      <c r="CA1777" s="68"/>
      <c r="CB1777" s="68"/>
      <c r="CC1777" s="68"/>
      <c r="CD1777" s="68"/>
      <c r="CE1777" s="68"/>
      <c r="CF1777" s="68"/>
      <c r="CG1777" s="68"/>
      <c r="CH1777" s="68"/>
      <c r="CI1777" s="68"/>
      <c r="CJ1777" s="68"/>
      <c r="CK1777" s="68"/>
      <c r="CL1777" s="68"/>
      <c r="CM1777" s="68"/>
      <c r="CN1777" s="68"/>
      <c r="CO1777" s="68"/>
      <c r="CP1777" s="68"/>
    </row>
    <row r="1778" ht="15.75" customHeight="1">
      <c r="A1778" s="442" t="s">
        <v>8235</v>
      </c>
      <c r="B1778" s="68" t="s">
        <v>4660</v>
      </c>
      <c r="C1778" s="858" t="s">
        <v>1186</v>
      </c>
      <c r="D1778" s="138" t="s">
        <v>8236</v>
      </c>
      <c r="E1778" s="200" t="s">
        <v>8237</v>
      </c>
      <c r="F1778" s="185" t="s">
        <v>8238</v>
      </c>
      <c r="G1778" s="186" t="s">
        <v>8239</v>
      </c>
      <c r="H1778" s="186" t="s">
        <v>128</v>
      </c>
      <c r="I1778" s="26" t="s">
        <v>156</v>
      </c>
      <c r="J1778" s="155">
        <v>10016.0</v>
      </c>
      <c r="K1778" s="74">
        <v>2.0</v>
      </c>
      <c r="L1778" s="26">
        <v>2017.0</v>
      </c>
      <c r="M1778" s="25">
        <f t="shared" si="789"/>
        <v>8</v>
      </c>
      <c r="N1778" s="26">
        <f t="shared" si="790"/>
        <v>0</v>
      </c>
      <c r="O1778" s="27" t="str">
        <f t="shared" si="3"/>
        <v>#N/A</v>
      </c>
      <c r="P1778" s="273"/>
      <c r="Q1778" s="273"/>
      <c r="R1778" s="273"/>
      <c r="S1778" s="273"/>
      <c r="T1778" s="273"/>
      <c r="U1778" s="273"/>
      <c r="V1778" s="30">
        <f t="shared" si="425"/>
        <v>0</v>
      </c>
      <c r="W1778" s="30"/>
      <c r="X1778" s="32"/>
      <c r="Y1778" s="33" t="str">
        <f t="shared" si="792"/>
        <v>#DIV/0!</v>
      </c>
      <c r="Z1778" s="692"/>
      <c r="AA1778" s="665"/>
      <c r="AB1778" s="74"/>
      <c r="AC1778" s="74"/>
      <c r="AD1778" s="79"/>
      <c r="AE1778" s="84"/>
      <c r="AF1778" s="338"/>
      <c r="AG1778" s="84"/>
      <c r="AH1778" s="74"/>
      <c r="AI1778" s="78"/>
      <c r="AJ1778" s="79"/>
      <c r="AK1778" s="84"/>
      <c r="AL1778" s="79"/>
      <c r="AM1778" s="84"/>
      <c r="AN1778" s="79"/>
      <c r="AO1778" s="84"/>
      <c r="AP1778" s="79"/>
      <c r="AQ1778" s="84"/>
      <c r="AR1778" s="79"/>
      <c r="AS1778" s="79"/>
      <c r="AT1778" s="79"/>
      <c r="AU1778" s="80"/>
      <c r="AV1778" s="79"/>
      <c r="AW1778" s="38"/>
      <c r="AX1778" s="79"/>
      <c r="AY1778" s="38"/>
      <c r="AZ1778" s="79"/>
      <c r="BA1778" s="80"/>
      <c r="BB1778" s="79"/>
      <c r="BC1778" s="80"/>
      <c r="BD1778" s="79"/>
      <c r="BE1778" s="38"/>
      <c r="BF1778" s="74"/>
      <c r="BG1778" s="68"/>
      <c r="BH1778" s="68"/>
      <c r="BI1778" s="68"/>
      <c r="BJ1778" s="68"/>
      <c r="BK1778" s="68"/>
      <c r="BL1778" s="68"/>
      <c r="BM1778" s="68"/>
      <c r="BN1778" s="68"/>
      <c r="BO1778" s="68"/>
      <c r="BP1778" s="68"/>
      <c r="BQ1778" s="68"/>
      <c r="BR1778" s="68"/>
      <c r="BS1778" s="68"/>
      <c r="BT1778" s="68"/>
      <c r="BU1778" s="68"/>
      <c r="BV1778" s="68"/>
      <c r="BW1778" s="68"/>
      <c r="BX1778" s="68"/>
      <c r="BY1778" s="68"/>
      <c r="BZ1778" s="68"/>
      <c r="CA1778" s="68"/>
      <c r="CB1778" s="68"/>
      <c r="CC1778" s="68"/>
      <c r="CD1778" s="68"/>
      <c r="CE1778" s="68"/>
      <c r="CF1778" s="68"/>
      <c r="CG1778" s="68"/>
      <c r="CH1778" s="68"/>
      <c r="CI1778" s="68"/>
      <c r="CJ1778" s="68"/>
      <c r="CK1778" s="68"/>
      <c r="CL1778" s="68"/>
      <c r="CM1778" s="68"/>
      <c r="CN1778" s="68"/>
      <c r="CO1778" s="68"/>
      <c r="CP1778" s="68"/>
    </row>
    <row r="1779" ht="15.75" customHeight="1">
      <c r="A1779" s="860" t="s">
        <v>8240</v>
      </c>
      <c r="B1779" s="115"/>
      <c r="C1779" s="116" t="s">
        <v>123</v>
      </c>
      <c r="D1779" s="161" t="s">
        <v>8241</v>
      </c>
      <c r="E1779" s="449"/>
      <c r="F1779" s="118" t="s">
        <v>8242</v>
      </c>
      <c r="G1779" s="54" t="s">
        <v>8243</v>
      </c>
      <c r="H1779" s="119" t="s">
        <v>163</v>
      </c>
      <c r="I1779" s="25" t="s">
        <v>164</v>
      </c>
      <c r="J1779" s="178" t="s">
        <v>5053</v>
      </c>
      <c r="K1779" s="123"/>
      <c r="L1779" s="25">
        <v>2016.0</v>
      </c>
      <c r="M1779" s="25">
        <f t="shared" si="789"/>
        <v>9</v>
      </c>
      <c r="N1779" s="26">
        <f t="shared" si="790"/>
        <v>0</v>
      </c>
      <c r="O1779" s="27" t="str">
        <f t="shared" si="3"/>
        <v>#N/A</v>
      </c>
      <c r="P1779" s="55"/>
      <c r="Q1779" s="55"/>
      <c r="R1779" s="55"/>
      <c r="S1779" s="55"/>
      <c r="T1779" s="55"/>
      <c r="U1779" s="55"/>
      <c r="V1779" s="30">
        <f t="shared" si="425"/>
        <v>0</v>
      </c>
      <c r="W1779" s="30"/>
      <c r="X1779" s="403"/>
      <c r="Y1779" s="33" t="str">
        <f t="shared" si="792"/>
        <v>#DIV/0!</v>
      </c>
      <c r="Z1779" s="692"/>
      <c r="AA1779" s="665"/>
      <c r="AB1779" s="123"/>
      <c r="AC1779" s="123"/>
      <c r="AD1779" s="124"/>
      <c r="AE1779" s="125"/>
      <c r="AF1779" s="166"/>
      <c r="AG1779" s="125"/>
      <c r="AH1779" s="123"/>
      <c r="AI1779" s="128"/>
      <c r="AJ1779" s="124"/>
      <c r="AK1779" s="125"/>
      <c r="AL1779" s="124"/>
      <c r="AM1779" s="125"/>
      <c r="AN1779" s="124"/>
      <c r="AO1779" s="125"/>
      <c r="AP1779" s="124"/>
      <c r="AQ1779" s="125"/>
      <c r="AR1779" s="124"/>
      <c r="AS1779" s="124"/>
      <c r="AT1779" s="124"/>
      <c r="AU1779" s="137"/>
      <c r="AV1779" s="124"/>
      <c r="AW1779" s="38"/>
      <c r="AX1779" s="124"/>
      <c r="AY1779" s="38"/>
      <c r="AZ1779" s="124"/>
      <c r="BA1779" s="137"/>
      <c r="BB1779" s="124"/>
      <c r="BC1779" s="137"/>
      <c r="BD1779" s="124"/>
      <c r="BE1779" s="38"/>
      <c r="BF1779" s="123"/>
      <c r="BG1779" s="16"/>
      <c r="BH1779" s="16"/>
      <c r="BI1779" s="16"/>
      <c r="BJ1779" s="16"/>
      <c r="BK1779" s="16"/>
      <c r="BL1779" s="16"/>
      <c r="BM1779" s="16"/>
      <c r="BN1779" s="16"/>
      <c r="BO1779" s="16"/>
      <c r="BP1779" s="16"/>
      <c r="BQ1779" s="16"/>
      <c r="BR1779" s="16"/>
      <c r="BS1779" s="16"/>
      <c r="BT1779" s="16"/>
      <c r="BU1779" s="16"/>
      <c r="BV1779" s="16"/>
      <c r="BW1779" s="16"/>
      <c r="BX1779" s="16"/>
      <c r="BY1779" s="16"/>
      <c r="BZ1779" s="16"/>
      <c r="CA1779" s="16"/>
      <c r="CB1779" s="16"/>
      <c r="CC1779" s="16"/>
      <c r="CD1779" s="16"/>
      <c r="CE1779" s="16"/>
      <c r="CF1779" s="16"/>
      <c r="CG1779" s="16"/>
      <c r="CH1779" s="16"/>
      <c r="CI1779" s="16"/>
      <c r="CJ1779" s="16"/>
      <c r="CK1779" s="16"/>
      <c r="CL1779" s="16"/>
      <c r="CM1779" s="16"/>
      <c r="CN1779" s="16"/>
      <c r="CO1779" s="16"/>
      <c r="CP1779" s="16"/>
    </row>
    <row r="1780" ht="15.75" customHeight="1">
      <c r="A1780" s="1848" t="s">
        <v>8244</v>
      </c>
      <c r="B1780" s="68"/>
      <c r="C1780" s="858" t="s">
        <v>1007</v>
      </c>
      <c r="D1780" s="48"/>
      <c r="E1780" s="192" t="s">
        <v>8245</v>
      </c>
      <c r="F1780" s="118" t="s">
        <v>8246</v>
      </c>
      <c r="G1780" s="71" t="s">
        <v>8247</v>
      </c>
      <c r="H1780" s="26" t="s">
        <v>1104</v>
      </c>
      <c r="I1780" s="26" t="s">
        <v>8248</v>
      </c>
      <c r="J1780" s="155"/>
      <c r="K1780" s="74"/>
      <c r="L1780" s="26">
        <v>2015.0</v>
      </c>
      <c r="M1780" s="25">
        <f t="shared" si="789"/>
        <v>10</v>
      </c>
      <c r="N1780" s="26">
        <f t="shared" si="790"/>
        <v>0</v>
      </c>
      <c r="O1780" s="27" t="str">
        <f t="shared" si="3"/>
        <v>#N/A</v>
      </c>
      <c r="P1780" s="273"/>
      <c r="Q1780" s="273"/>
      <c r="R1780" s="273"/>
      <c r="S1780" s="273"/>
      <c r="T1780" s="273"/>
      <c r="U1780" s="273"/>
      <c r="V1780" s="30">
        <f t="shared" si="425"/>
        <v>0</v>
      </c>
      <c r="W1780" s="30"/>
      <c r="X1780" s="32"/>
      <c r="Y1780" s="33" t="str">
        <f t="shared" si="792"/>
        <v>#DIV/0!</v>
      </c>
      <c r="Z1780" s="692"/>
      <c r="AA1780" s="665"/>
      <c r="AB1780" s="74"/>
      <c r="AC1780" s="74"/>
      <c r="AD1780" s="79"/>
      <c r="AE1780" s="84"/>
      <c r="AF1780" s="320"/>
      <c r="AG1780" s="84"/>
      <c r="AH1780" s="74"/>
      <c r="AI1780" s="78"/>
      <c r="AJ1780" s="42"/>
      <c r="AK1780" s="76"/>
      <c r="AL1780" s="79"/>
      <c r="AM1780" s="84"/>
      <c r="AN1780" s="79"/>
      <c r="AO1780" s="84"/>
      <c r="AP1780" s="79"/>
      <c r="AQ1780" s="84"/>
      <c r="AR1780" s="79"/>
      <c r="AS1780" s="79"/>
      <c r="AT1780" s="79"/>
      <c r="AU1780" s="80"/>
      <c r="AV1780" s="79"/>
      <c r="AW1780" s="38"/>
      <c r="AX1780" s="79"/>
      <c r="AY1780" s="38"/>
      <c r="AZ1780" s="79"/>
      <c r="BA1780" s="80"/>
      <c r="BB1780" s="79"/>
      <c r="BC1780" s="80"/>
      <c r="BD1780" s="79"/>
      <c r="BE1780" s="38"/>
      <c r="BF1780" s="74"/>
      <c r="BG1780" s="16"/>
      <c r="BH1780" s="16"/>
      <c r="BI1780" s="16"/>
      <c r="BJ1780" s="16"/>
      <c r="BK1780" s="16"/>
      <c r="BL1780" s="16"/>
      <c r="BM1780" s="16"/>
      <c r="BN1780" s="16"/>
      <c r="BO1780" s="16"/>
      <c r="BP1780" s="16"/>
      <c r="BQ1780" s="16"/>
      <c r="BR1780" s="16"/>
      <c r="BS1780" s="16"/>
      <c r="BT1780" s="16"/>
      <c r="BU1780" s="16"/>
      <c r="BV1780" s="16"/>
      <c r="BW1780" s="16"/>
      <c r="BX1780" s="16"/>
      <c r="BY1780" s="16"/>
      <c r="BZ1780" s="16"/>
      <c r="CA1780" s="16"/>
      <c r="CB1780" s="16"/>
      <c r="CC1780" s="16"/>
      <c r="CD1780" s="16"/>
      <c r="CE1780" s="16"/>
      <c r="CF1780" s="16"/>
      <c r="CG1780" s="16"/>
      <c r="CH1780" s="16"/>
      <c r="CI1780" s="16"/>
      <c r="CJ1780" s="16"/>
      <c r="CK1780" s="16"/>
      <c r="CL1780" s="16"/>
      <c r="CM1780" s="16"/>
      <c r="CN1780" s="16"/>
      <c r="CO1780" s="16"/>
      <c r="CP1780" s="16"/>
    </row>
    <row r="1781" ht="15.75" customHeight="1">
      <c r="A1781" s="666" t="s">
        <v>8249</v>
      </c>
      <c r="B1781" s="115" t="s">
        <v>8250</v>
      </c>
      <c r="C1781" s="69" t="s">
        <v>123</v>
      </c>
      <c r="D1781" s="667" t="s">
        <v>8251</v>
      </c>
      <c r="E1781" s="667" t="s">
        <v>8252</v>
      </c>
      <c r="F1781" s="668" t="s">
        <v>8253</v>
      </c>
      <c r="G1781" s="286"/>
      <c r="H1781" s="286" t="s">
        <v>128</v>
      </c>
      <c r="I1781" s="25" t="s">
        <v>129</v>
      </c>
      <c r="J1781" s="287"/>
      <c r="K1781" s="123">
        <v>2.0</v>
      </c>
      <c r="L1781" s="25">
        <v>2013.0</v>
      </c>
      <c r="M1781" s="25">
        <f t="shared" si="789"/>
        <v>12</v>
      </c>
      <c r="N1781" s="26">
        <f t="shared" si="790"/>
        <v>0</v>
      </c>
      <c r="O1781" s="27" t="str">
        <f t="shared" si="3"/>
        <v>#N/A</v>
      </c>
      <c r="P1781" s="55"/>
      <c r="Q1781" s="55"/>
      <c r="R1781" s="55"/>
      <c r="S1781" s="55"/>
      <c r="T1781" s="55"/>
      <c r="U1781" s="55"/>
      <c r="V1781" s="30">
        <f t="shared" si="425"/>
        <v>0</v>
      </c>
      <c r="W1781" s="30"/>
      <c r="X1781" s="403"/>
      <c r="Y1781" s="33" t="str">
        <f t="shared" si="792"/>
        <v>#DIV/0!</v>
      </c>
      <c r="Z1781" s="692"/>
      <c r="AA1781" s="665"/>
      <c r="AB1781" s="123"/>
      <c r="AC1781" s="123"/>
      <c r="AD1781" s="124"/>
      <c r="AE1781" s="125"/>
      <c r="AF1781" s="166"/>
      <c r="AG1781" s="125"/>
      <c r="AH1781" s="123"/>
      <c r="AI1781" s="128"/>
      <c r="AJ1781" s="124"/>
      <c r="AK1781" s="125"/>
      <c r="AL1781" s="124"/>
      <c r="AM1781" s="125"/>
      <c r="AN1781" s="124"/>
      <c r="AO1781" s="125"/>
      <c r="AP1781" s="124"/>
      <c r="AQ1781" s="125"/>
      <c r="AR1781" s="124"/>
      <c r="AS1781" s="124"/>
      <c r="AT1781" s="124"/>
      <c r="AU1781" s="137"/>
      <c r="AV1781" s="124"/>
      <c r="AW1781" s="38"/>
      <c r="AX1781" s="124"/>
      <c r="AY1781" s="38"/>
      <c r="AZ1781" s="124"/>
      <c r="BA1781" s="137"/>
      <c r="BB1781" s="124"/>
      <c r="BC1781" s="137"/>
      <c r="BD1781" s="124"/>
      <c r="BE1781" s="38"/>
      <c r="BF1781" s="123"/>
      <c r="BG1781" s="534"/>
      <c r="BH1781" s="534"/>
      <c r="BI1781" s="534"/>
      <c r="BJ1781" s="534"/>
      <c r="BK1781" s="534"/>
      <c r="BL1781" s="534"/>
      <c r="BM1781" s="534"/>
      <c r="BN1781" s="534"/>
      <c r="BO1781" s="534"/>
      <c r="BP1781" s="534"/>
      <c r="BQ1781" s="534"/>
      <c r="BR1781" s="534"/>
      <c r="BS1781" s="534"/>
      <c r="BT1781" s="534"/>
      <c r="BU1781" s="534"/>
      <c r="BV1781" s="534"/>
      <c r="BW1781" s="534"/>
      <c r="BX1781" s="534"/>
      <c r="BY1781" s="534"/>
      <c r="BZ1781" s="534"/>
      <c r="CA1781" s="534"/>
      <c r="CB1781" s="534"/>
      <c r="CC1781" s="534"/>
      <c r="CD1781" s="534"/>
      <c r="CE1781" s="534"/>
      <c r="CF1781" s="534"/>
      <c r="CG1781" s="534"/>
      <c r="CH1781" s="534"/>
      <c r="CI1781" s="534"/>
      <c r="CJ1781" s="534"/>
      <c r="CK1781" s="534"/>
      <c r="CL1781" s="534"/>
      <c r="CM1781" s="534"/>
      <c r="CN1781" s="534"/>
      <c r="CO1781" s="534"/>
      <c r="CP1781" s="534"/>
    </row>
    <row r="1782" ht="15.75" customHeight="1">
      <c r="A1782" s="442" t="s">
        <v>8254</v>
      </c>
      <c r="B1782" s="68" t="s">
        <v>545</v>
      </c>
      <c r="C1782" s="68" t="s">
        <v>59</v>
      </c>
      <c r="D1782" s="184" t="s">
        <v>8255</v>
      </c>
      <c r="E1782" s="184" t="s">
        <v>8256</v>
      </c>
      <c r="F1782" s="185" t="s">
        <v>8257</v>
      </c>
      <c r="G1782" s="54" t="s">
        <v>8258</v>
      </c>
      <c r="H1782" s="71" t="s">
        <v>8259</v>
      </c>
      <c r="I1782" s="71" t="s">
        <v>2785</v>
      </c>
      <c r="J1782" s="178" t="s">
        <v>8260</v>
      </c>
      <c r="K1782" s="26">
        <v>4.0</v>
      </c>
      <c r="L1782" s="26">
        <v>2004.0</v>
      </c>
      <c r="M1782" s="25">
        <f t="shared" si="789"/>
        <v>21</v>
      </c>
      <c r="N1782" s="26">
        <f t="shared" si="790"/>
        <v>0</v>
      </c>
      <c r="O1782" s="27" t="str">
        <f t="shared" si="3"/>
        <v>#N/A</v>
      </c>
      <c r="P1782" s="28"/>
      <c r="Q1782" s="28"/>
      <c r="R1782" s="28"/>
      <c r="S1782" s="28"/>
      <c r="T1782" s="28"/>
      <c r="U1782" s="28"/>
      <c r="V1782" s="30">
        <f t="shared" si="425"/>
        <v>0</v>
      </c>
      <c r="W1782" s="30"/>
      <c r="X1782" s="73"/>
      <c r="Y1782" s="33" t="str">
        <f t="shared" si="792"/>
        <v>#DIV/0!</v>
      </c>
      <c r="Z1782" s="692"/>
      <c r="AA1782" s="665"/>
      <c r="AB1782" s="74"/>
      <c r="AC1782" s="74"/>
      <c r="AD1782" s="79"/>
      <c r="AE1782" s="84"/>
      <c r="AF1782" s="338"/>
      <c r="AG1782" s="84"/>
      <c r="AH1782" s="77"/>
      <c r="AI1782" s="78"/>
      <c r="AJ1782" s="79"/>
      <c r="AK1782" s="84"/>
      <c r="AL1782" s="79"/>
      <c r="AM1782" s="84"/>
      <c r="AN1782" s="79"/>
      <c r="AO1782" s="84"/>
      <c r="AP1782" s="79"/>
      <c r="AQ1782" s="84"/>
      <c r="AR1782" s="79"/>
      <c r="AS1782" s="79"/>
      <c r="AT1782" s="79"/>
      <c r="AU1782" s="80"/>
      <c r="AV1782" s="79"/>
      <c r="AW1782" s="38"/>
      <c r="AX1782" s="79"/>
      <c r="AY1782" s="38"/>
      <c r="AZ1782" s="79"/>
      <c r="BA1782" s="80"/>
      <c r="BB1782" s="79"/>
      <c r="BC1782" s="80"/>
      <c r="BD1782" s="79"/>
      <c r="BE1782" s="38"/>
      <c r="BF1782" s="74"/>
      <c r="BG1782" s="16"/>
      <c r="BH1782" s="16"/>
      <c r="BI1782" s="16"/>
      <c r="BJ1782" s="16"/>
      <c r="BK1782" s="16"/>
      <c r="BL1782" s="16"/>
      <c r="BM1782" s="16"/>
      <c r="BN1782" s="16"/>
      <c r="BO1782" s="16"/>
      <c r="BP1782" s="16"/>
      <c r="BQ1782" s="16"/>
      <c r="BR1782" s="16"/>
      <c r="BS1782" s="16"/>
      <c r="BT1782" s="16"/>
      <c r="BU1782" s="16"/>
      <c r="BV1782" s="16"/>
      <c r="BW1782" s="16"/>
      <c r="BX1782" s="16"/>
      <c r="BY1782" s="16"/>
      <c r="BZ1782" s="16"/>
      <c r="CA1782" s="16"/>
      <c r="CB1782" s="16"/>
      <c r="CC1782" s="16"/>
      <c r="CD1782" s="16"/>
      <c r="CE1782" s="16"/>
      <c r="CF1782" s="16"/>
      <c r="CG1782" s="16"/>
      <c r="CH1782" s="16"/>
      <c r="CI1782" s="16"/>
      <c r="CJ1782" s="16"/>
      <c r="CK1782" s="16"/>
      <c r="CL1782" s="16"/>
      <c r="CM1782" s="16"/>
      <c r="CN1782" s="16"/>
      <c r="CO1782" s="16"/>
      <c r="CP1782" s="16"/>
    </row>
    <row r="1783" ht="15.75" customHeight="1">
      <c r="A1783" s="21" t="s">
        <v>8261</v>
      </c>
      <c r="B1783" s="68"/>
      <c r="C1783" s="69" t="s">
        <v>123</v>
      </c>
      <c r="D1783" s="337"/>
      <c r="E1783" s="192" t="s">
        <v>8262</v>
      </c>
      <c r="F1783" s="173" t="s">
        <v>8263</v>
      </c>
      <c r="G1783" s="186"/>
      <c r="H1783" s="71" t="s">
        <v>8264</v>
      </c>
      <c r="I1783" s="26" t="s">
        <v>115</v>
      </c>
      <c r="J1783" s="155"/>
      <c r="K1783" s="74"/>
      <c r="L1783" s="26">
        <v>2014.0</v>
      </c>
      <c r="M1783" s="25">
        <f t="shared" si="789"/>
        <v>11</v>
      </c>
      <c r="N1783" s="26">
        <f t="shared" si="790"/>
        <v>0</v>
      </c>
      <c r="O1783" s="27" t="str">
        <f t="shared" si="3"/>
        <v>#N/A</v>
      </c>
      <c r="P1783" s="273"/>
      <c r="Q1783" s="273"/>
      <c r="R1783" s="273"/>
      <c r="S1783" s="273"/>
      <c r="T1783" s="273"/>
      <c r="U1783" s="273"/>
      <c r="V1783" s="30">
        <f t="shared" si="425"/>
        <v>0</v>
      </c>
      <c r="W1783" s="30"/>
      <c r="X1783" s="32"/>
      <c r="Y1783" s="33" t="str">
        <f t="shared" si="792"/>
        <v>#DIV/0!</v>
      </c>
      <c r="Z1783" s="692"/>
      <c r="AA1783" s="665"/>
      <c r="AB1783" s="74"/>
      <c r="AC1783" s="74"/>
      <c r="AD1783" s="79"/>
      <c r="AE1783" s="84"/>
      <c r="AF1783" s="338"/>
      <c r="AG1783" s="84"/>
      <c r="AH1783" s="74"/>
      <c r="AI1783" s="78"/>
      <c r="AJ1783" s="279"/>
      <c r="AK1783" s="76"/>
      <c r="AL1783" s="279"/>
      <c r="AM1783" s="76"/>
      <c r="AN1783" s="279"/>
      <c r="AO1783" s="894"/>
      <c r="AP1783" s="79"/>
      <c r="AQ1783" s="84"/>
      <c r="AR1783" s="79"/>
      <c r="AS1783" s="79"/>
      <c r="AT1783" s="79"/>
      <c r="AU1783" s="80"/>
      <c r="AV1783" s="79"/>
      <c r="AW1783" s="38"/>
      <c r="AX1783" s="79"/>
      <c r="AY1783" s="38"/>
      <c r="AZ1783" s="79"/>
      <c r="BA1783" s="80"/>
      <c r="BB1783" s="79"/>
      <c r="BC1783" s="80"/>
      <c r="BD1783" s="79"/>
      <c r="BE1783" s="38"/>
      <c r="BF1783" s="74"/>
      <c r="BG1783" s="16"/>
      <c r="BH1783" s="16"/>
      <c r="BI1783" s="16"/>
      <c r="BJ1783" s="16"/>
      <c r="BK1783" s="16"/>
      <c r="BL1783" s="16"/>
      <c r="BM1783" s="16"/>
      <c r="BN1783" s="16"/>
      <c r="BO1783" s="16"/>
      <c r="BP1783" s="16"/>
      <c r="BQ1783" s="16"/>
      <c r="BR1783" s="16"/>
      <c r="BS1783" s="16"/>
      <c r="BT1783" s="16"/>
      <c r="BU1783" s="16"/>
      <c r="BV1783" s="16"/>
      <c r="BW1783" s="16"/>
      <c r="BX1783" s="16"/>
      <c r="BY1783" s="16"/>
      <c r="BZ1783" s="16"/>
      <c r="CA1783" s="16"/>
      <c r="CB1783" s="16"/>
      <c r="CC1783" s="16"/>
      <c r="CD1783" s="16"/>
      <c r="CE1783" s="16"/>
      <c r="CF1783" s="16"/>
      <c r="CG1783" s="16"/>
      <c r="CH1783" s="16"/>
      <c r="CI1783" s="16"/>
      <c r="CJ1783" s="16"/>
      <c r="CK1783" s="16"/>
      <c r="CL1783" s="16"/>
      <c r="CM1783" s="16"/>
      <c r="CN1783" s="16"/>
      <c r="CO1783" s="16"/>
      <c r="CP1783" s="16"/>
    </row>
    <row r="1784" ht="15.75" customHeight="1">
      <c r="A1784" s="931" t="s">
        <v>8265</v>
      </c>
      <c r="B1784" s="68"/>
      <c r="C1784" s="69" t="s">
        <v>123</v>
      </c>
      <c r="D1784" s="192" t="s">
        <v>8266</v>
      </c>
      <c r="E1784" s="192" t="s">
        <v>8267</v>
      </c>
      <c r="F1784" s="118" t="s">
        <v>8268</v>
      </c>
      <c r="G1784" s="186"/>
      <c r="H1784" s="71" t="s">
        <v>8269</v>
      </c>
      <c r="I1784" s="26" t="s">
        <v>2352</v>
      </c>
      <c r="J1784" s="155"/>
      <c r="K1784" s="74"/>
      <c r="L1784" s="26">
        <v>2012.0</v>
      </c>
      <c r="M1784" s="25">
        <f t="shared" si="789"/>
        <v>13</v>
      </c>
      <c r="N1784" s="26">
        <f t="shared" si="790"/>
        <v>0</v>
      </c>
      <c r="O1784" s="27" t="str">
        <f t="shared" si="3"/>
        <v>#N/A</v>
      </c>
      <c r="P1784" s="273"/>
      <c r="Q1784" s="273"/>
      <c r="R1784" s="273"/>
      <c r="S1784" s="273"/>
      <c r="T1784" s="273"/>
      <c r="U1784" s="273"/>
      <c r="V1784" s="30">
        <f t="shared" si="425"/>
        <v>0</v>
      </c>
      <c r="W1784" s="30"/>
      <c r="X1784" s="32"/>
      <c r="Y1784" s="33" t="str">
        <f t="shared" si="792"/>
        <v>#DIV/0!</v>
      </c>
      <c r="Z1784" s="692"/>
      <c r="AA1784" s="665"/>
      <c r="AB1784" s="74"/>
      <c r="AC1784" s="74"/>
      <c r="AD1784" s="79"/>
      <c r="AE1784" s="84"/>
      <c r="AF1784" s="338"/>
      <c r="AG1784" s="84"/>
      <c r="AH1784" s="74"/>
      <c r="AI1784" s="78"/>
      <c r="AJ1784" s="79"/>
      <c r="AK1784" s="84"/>
      <c r="AL1784" s="79"/>
      <c r="AM1784" s="84"/>
      <c r="AN1784" s="79"/>
      <c r="AO1784" s="84"/>
      <c r="AP1784" s="79"/>
      <c r="AQ1784" s="84"/>
      <c r="AR1784" s="79"/>
      <c r="AS1784" s="79"/>
      <c r="AT1784" s="79"/>
      <c r="AU1784" s="80"/>
      <c r="AV1784" s="79"/>
      <c r="AW1784" s="38"/>
      <c r="AX1784" s="79"/>
      <c r="AY1784" s="38"/>
      <c r="AZ1784" s="79"/>
      <c r="BA1784" s="80"/>
      <c r="BB1784" s="79"/>
      <c r="BC1784" s="80"/>
      <c r="BD1784" s="79"/>
      <c r="BE1784" s="38"/>
      <c r="BF1784" s="74"/>
      <c r="BG1784" s="16"/>
      <c r="BH1784" s="16"/>
      <c r="BI1784" s="16"/>
      <c r="BJ1784" s="16"/>
      <c r="BK1784" s="16"/>
      <c r="BL1784" s="16"/>
      <c r="BM1784" s="16"/>
      <c r="BN1784" s="16"/>
      <c r="BO1784" s="16"/>
      <c r="BP1784" s="16"/>
      <c r="BQ1784" s="16"/>
      <c r="BR1784" s="16"/>
      <c r="BS1784" s="16"/>
      <c r="BT1784" s="16"/>
      <c r="BU1784" s="16"/>
      <c r="BV1784" s="16"/>
      <c r="BW1784" s="16"/>
      <c r="BX1784" s="16"/>
      <c r="BY1784" s="16"/>
      <c r="BZ1784" s="16"/>
      <c r="CA1784" s="16"/>
      <c r="CB1784" s="16"/>
      <c r="CC1784" s="16"/>
      <c r="CD1784" s="16"/>
      <c r="CE1784" s="16"/>
      <c r="CF1784" s="16"/>
      <c r="CG1784" s="16"/>
      <c r="CH1784" s="16"/>
      <c r="CI1784" s="16"/>
      <c r="CJ1784" s="16"/>
      <c r="CK1784" s="16"/>
      <c r="CL1784" s="16"/>
      <c r="CM1784" s="16"/>
      <c r="CN1784" s="16"/>
      <c r="CO1784" s="16"/>
      <c r="CP1784" s="16"/>
    </row>
    <row r="1785" ht="15.75" customHeight="1">
      <c r="A1785" s="747" t="s">
        <v>8270</v>
      </c>
      <c r="B1785" s="68"/>
      <c r="C1785" s="858" t="s">
        <v>1007</v>
      </c>
      <c r="D1785" s="192" t="s">
        <v>8271</v>
      </c>
      <c r="E1785" s="118" t="s">
        <v>8272</v>
      </c>
      <c r="F1785" s="192" t="s">
        <v>8273</v>
      </c>
      <c r="G1785" s="186"/>
      <c r="H1785" s="186"/>
      <c r="I1785" s="74"/>
      <c r="J1785" s="155"/>
      <c r="K1785" s="74"/>
      <c r="L1785" s="26"/>
      <c r="M1785" s="25">
        <f t="shared" si="789"/>
        <v>2025</v>
      </c>
      <c r="N1785" s="26">
        <f t="shared" si="790"/>
        <v>0</v>
      </c>
      <c r="O1785" s="27" t="str">
        <f t="shared" si="3"/>
        <v>#N/A</v>
      </c>
      <c r="P1785" s="273"/>
      <c r="Q1785" s="273"/>
      <c r="R1785" s="273"/>
      <c r="S1785" s="273"/>
      <c r="T1785" s="273"/>
      <c r="U1785" s="273"/>
      <c r="V1785" s="30">
        <f t="shared" si="425"/>
        <v>0</v>
      </c>
      <c r="W1785" s="30"/>
      <c r="X1785" s="32"/>
      <c r="Y1785" s="33" t="str">
        <f t="shared" si="792"/>
        <v>#DIV/0!</v>
      </c>
      <c r="Z1785" s="692"/>
      <c r="AA1785" s="665"/>
      <c r="AB1785" s="74"/>
      <c r="AC1785" s="74"/>
      <c r="AD1785" s="79"/>
      <c r="AE1785" s="84"/>
      <c r="AF1785" s="338"/>
      <c r="AG1785" s="84"/>
      <c r="AH1785" s="74"/>
      <c r="AI1785" s="78"/>
      <c r="AJ1785" s="79"/>
      <c r="AK1785" s="84"/>
      <c r="AL1785" s="79"/>
      <c r="AM1785" s="84"/>
      <c r="AN1785" s="79"/>
      <c r="AO1785" s="84"/>
      <c r="AP1785" s="79"/>
      <c r="AQ1785" s="84"/>
      <c r="AR1785" s="79"/>
      <c r="AS1785" s="79"/>
      <c r="AT1785" s="79"/>
      <c r="AU1785" s="80"/>
      <c r="AV1785" s="79"/>
      <c r="AW1785" s="38"/>
      <c r="AX1785" s="79"/>
      <c r="AY1785" s="38"/>
      <c r="AZ1785" s="79"/>
      <c r="BA1785" s="80"/>
      <c r="BB1785" s="79"/>
      <c r="BC1785" s="80"/>
      <c r="BD1785" s="79"/>
      <c r="BE1785" s="38"/>
      <c r="BF1785" s="74"/>
      <c r="BG1785" s="16"/>
      <c r="BH1785" s="16"/>
      <c r="BI1785" s="16"/>
      <c r="BJ1785" s="16"/>
      <c r="BK1785" s="16"/>
      <c r="BL1785" s="16"/>
      <c r="BM1785" s="16"/>
      <c r="BN1785" s="16"/>
      <c r="BO1785" s="16"/>
      <c r="BP1785" s="16"/>
      <c r="BQ1785" s="16"/>
      <c r="BR1785" s="16"/>
      <c r="BS1785" s="16"/>
      <c r="BT1785" s="16"/>
      <c r="BU1785" s="16"/>
      <c r="BV1785" s="16"/>
      <c r="BW1785" s="16"/>
      <c r="BX1785" s="16"/>
      <c r="BY1785" s="16"/>
      <c r="BZ1785" s="16"/>
      <c r="CA1785" s="16"/>
      <c r="CB1785" s="16"/>
      <c r="CC1785" s="16"/>
      <c r="CD1785" s="16"/>
      <c r="CE1785" s="16"/>
      <c r="CF1785" s="16"/>
      <c r="CG1785" s="16"/>
      <c r="CH1785" s="16"/>
      <c r="CI1785" s="16"/>
      <c r="CJ1785" s="16"/>
      <c r="CK1785" s="16"/>
      <c r="CL1785" s="16"/>
      <c r="CM1785" s="16"/>
      <c r="CN1785" s="16"/>
      <c r="CO1785" s="16"/>
      <c r="CP1785" s="16"/>
    </row>
    <row r="1786" ht="15.75" customHeight="1">
      <c r="A1786" s="931" t="s">
        <v>8274</v>
      </c>
      <c r="B1786" s="68"/>
      <c r="C1786" s="69" t="s">
        <v>207</v>
      </c>
      <c r="D1786" s="192" t="s">
        <v>8275</v>
      </c>
      <c r="E1786" s="192" t="s">
        <v>8276</v>
      </c>
      <c r="F1786" s="1849"/>
      <c r="G1786" s="186"/>
      <c r="H1786" s="186"/>
      <c r="I1786" s="74"/>
      <c r="J1786" s="155"/>
      <c r="K1786" s="74"/>
      <c r="L1786" s="26">
        <v>2016.0</v>
      </c>
      <c r="M1786" s="25">
        <f t="shared" si="789"/>
        <v>9</v>
      </c>
      <c r="N1786" s="26">
        <f t="shared" si="790"/>
        <v>0</v>
      </c>
      <c r="O1786" s="27" t="str">
        <f t="shared" si="3"/>
        <v>#N/A</v>
      </c>
      <c r="P1786" s="273"/>
      <c r="Q1786" s="273"/>
      <c r="R1786" s="273"/>
      <c r="S1786" s="273"/>
      <c r="T1786" s="273"/>
      <c r="U1786" s="273"/>
      <c r="V1786" s="30">
        <f t="shared" si="425"/>
        <v>0</v>
      </c>
      <c r="W1786" s="30"/>
      <c r="X1786" s="32"/>
      <c r="Y1786" s="33" t="str">
        <f t="shared" si="792"/>
        <v>#DIV/0!</v>
      </c>
      <c r="Z1786" s="692"/>
      <c r="AA1786" s="665"/>
      <c r="AB1786" s="74"/>
      <c r="AC1786" s="74"/>
      <c r="AD1786" s="79"/>
      <c r="AE1786" s="84"/>
      <c r="AF1786" s="338"/>
      <c r="AG1786" s="84"/>
      <c r="AH1786" s="74"/>
      <c r="AI1786" s="78"/>
      <c r="AJ1786" s="79"/>
      <c r="AK1786" s="84"/>
      <c r="AL1786" s="79"/>
      <c r="AM1786" s="84"/>
      <c r="AN1786" s="79"/>
      <c r="AO1786" s="84"/>
      <c r="AP1786" s="79"/>
      <c r="AQ1786" s="84"/>
      <c r="AR1786" s="79"/>
      <c r="AS1786" s="79"/>
      <c r="AT1786" s="79"/>
      <c r="AU1786" s="80"/>
      <c r="AV1786" s="79"/>
      <c r="AW1786" s="38"/>
      <c r="AX1786" s="79"/>
      <c r="AY1786" s="38"/>
      <c r="AZ1786" s="79"/>
      <c r="BA1786" s="80"/>
      <c r="BB1786" s="79"/>
      <c r="BC1786" s="80"/>
      <c r="BD1786" s="79"/>
      <c r="BE1786" s="38"/>
      <c r="BF1786" s="74"/>
      <c r="BG1786" s="16"/>
      <c r="BH1786" s="16"/>
      <c r="BI1786" s="16"/>
      <c r="BJ1786" s="16"/>
      <c r="BK1786" s="16"/>
      <c r="BL1786" s="16"/>
      <c r="BM1786" s="16"/>
      <c r="BN1786" s="16"/>
      <c r="BO1786" s="16"/>
      <c r="BP1786" s="16"/>
      <c r="BQ1786" s="16"/>
      <c r="BR1786" s="16"/>
      <c r="BS1786" s="16"/>
      <c r="BT1786" s="16"/>
      <c r="BU1786" s="16"/>
      <c r="BV1786" s="16"/>
      <c r="BW1786" s="16"/>
      <c r="BX1786" s="16"/>
      <c r="BY1786" s="16"/>
      <c r="BZ1786" s="16"/>
      <c r="CA1786" s="16"/>
      <c r="CB1786" s="16"/>
      <c r="CC1786" s="16"/>
      <c r="CD1786" s="16"/>
      <c r="CE1786" s="16"/>
      <c r="CF1786" s="16"/>
      <c r="CG1786" s="16"/>
      <c r="CH1786" s="16"/>
      <c r="CI1786" s="16"/>
      <c r="CJ1786" s="16"/>
      <c r="CK1786" s="16"/>
      <c r="CL1786" s="16"/>
      <c r="CM1786" s="16"/>
      <c r="CN1786" s="16"/>
      <c r="CO1786" s="16"/>
      <c r="CP1786" s="16"/>
    </row>
    <row r="1787" ht="15.75" customHeight="1">
      <c r="A1787" s="1850" t="s">
        <v>8277</v>
      </c>
      <c r="B1787" s="1407"/>
      <c r="C1787" s="1851" t="s">
        <v>123</v>
      </c>
      <c r="D1787" s="1720" t="s">
        <v>4781</v>
      </c>
      <c r="E1787" s="1720" t="s">
        <v>4781</v>
      </c>
      <c r="F1787" s="1721" t="s">
        <v>8278</v>
      </c>
      <c r="G1787" s="1467" t="s">
        <v>8279</v>
      </c>
      <c r="H1787" s="1468" t="s">
        <v>187</v>
      </c>
      <c r="I1787" s="1852" t="s">
        <v>188</v>
      </c>
      <c r="J1787" s="1470" t="s">
        <v>3382</v>
      </c>
      <c r="K1787" s="1474"/>
      <c r="L1787" s="1469">
        <v>2019.0</v>
      </c>
      <c r="M1787" s="25">
        <f t="shared" si="789"/>
        <v>6</v>
      </c>
      <c r="N1787" s="26">
        <f t="shared" si="790"/>
        <v>0</v>
      </c>
      <c r="O1787" s="27" t="str">
        <f t="shared" si="3"/>
        <v>#N/A</v>
      </c>
      <c r="P1787" s="1847"/>
      <c r="Q1787" s="1847"/>
      <c r="R1787" s="1847"/>
      <c r="S1787" s="1847"/>
      <c r="T1787" s="1847"/>
      <c r="U1787" s="1847"/>
      <c r="V1787" s="30">
        <f t="shared" si="425"/>
        <v>0</v>
      </c>
      <c r="W1787" s="30"/>
      <c r="X1787" s="1736"/>
      <c r="Y1787" s="33" t="str">
        <f t="shared" si="792"/>
        <v>#DIV/0!</v>
      </c>
      <c r="Z1787" s="692"/>
      <c r="AA1787" s="665"/>
      <c r="AB1787" s="1474"/>
      <c r="AC1787" s="1474"/>
      <c r="AD1787" s="1482"/>
      <c r="AE1787" s="1717"/>
      <c r="AF1787" s="1722"/>
      <c r="AG1787" s="1476"/>
      <c r="AH1787" s="1474"/>
      <c r="AI1787" s="1479"/>
      <c r="AJ1787" s="1482"/>
      <c r="AK1787" s="1853"/>
      <c r="AL1787" s="1482"/>
      <c r="AM1787" s="1717"/>
      <c r="AN1787" s="1482"/>
      <c r="AO1787" s="1717"/>
      <c r="AP1787" s="1482"/>
      <c r="AQ1787" s="1717"/>
      <c r="AR1787" s="1482"/>
      <c r="AS1787" s="1482"/>
      <c r="AT1787" s="1482"/>
      <c r="AU1787" s="1483"/>
      <c r="AV1787" s="1482"/>
      <c r="AW1787" s="38"/>
      <c r="AX1787" s="1482"/>
      <c r="AY1787" s="38"/>
      <c r="AZ1787" s="1482"/>
      <c r="BA1787" s="1483"/>
      <c r="BB1787" s="1482"/>
      <c r="BC1787" s="1483"/>
      <c r="BD1787" s="1482"/>
      <c r="BE1787" s="38"/>
      <c r="BF1787" s="1474"/>
      <c r="BG1787" s="16"/>
      <c r="BH1787" s="16"/>
      <c r="BI1787" s="16"/>
      <c r="BJ1787" s="16"/>
      <c r="BK1787" s="16"/>
      <c r="BL1787" s="16"/>
      <c r="BM1787" s="16"/>
      <c r="BN1787" s="16"/>
      <c r="BO1787" s="16"/>
      <c r="BP1787" s="16"/>
      <c r="BQ1787" s="16"/>
      <c r="BR1787" s="16"/>
      <c r="BS1787" s="16"/>
      <c r="BT1787" s="16"/>
      <c r="BU1787" s="16"/>
      <c r="BV1787" s="16"/>
      <c r="BW1787" s="16"/>
      <c r="BX1787" s="16"/>
      <c r="BY1787" s="16"/>
      <c r="BZ1787" s="16"/>
      <c r="CA1787" s="16"/>
      <c r="CB1787" s="16"/>
      <c r="CC1787" s="16"/>
      <c r="CD1787" s="16"/>
      <c r="CE1787" s="16"/>
      <c r="CF1787" s="16"/>
      <c r="CG1787" s="16"/>
      <c r="CH1787" s="16"/>
      <c r="CI1787" s="16"/>
      <c r="CJ1787" s="16"/>
      <c r="CK1787" s="16"/>
      <c r="CL1787" s="16"/>
      <c r="CM1787" s="16"/>
      <c r="CN1787" s="16"/>
      <c r="CO1787" s="16"/>
      <c r="CP1787" s="16"/>
    </row>
    <row r="1788" ht="15.75" customHeight="1">
      <c r="A1788" s="931" t="s">
        <v>8280</v>
      </c>
      <c r="B1788" s="68"/>
      <c r="C1788" s="858" t="s">
        <v>123</v>
      </c>
      <c r="D1788" s="192" t="s">
        <v>8281</v>
      </c>
      <c r="E1788" s="192" t="s">
        <v>8282</v>
      </c>
      <c r="F1788" s="652"/>
      <c r="G1788" s="174"/>
      <c r="H1788" s="71" t="s">
        <v>7410</v>
      </c>
      <c r="I1788" s="746" t="s">
        <v>1384</v>
      </c>
      <c r="J1788" s="155"/>
      <c r="K1788" s="74"/>
      <c r="L1788" s="26">
        <v>2016.0</v>
      </c>
      <c r="M1788" s="25">
        <f t="shared" si="789"/>
        <v>9</v>
      </c>
      <c r="N1788" s="26">
        <f t="shared" si="790"/>
        <v>0</v>
      </c>
      <c r="O1788" s="27" t="str">
        <f t="shared" si="3"/>
        <v>#N/A</v>
      </c>
      <c r="P1788" s="273"/>
      <c r="Q1788" s="273"/>
      <c r="R1788" s="273"/>
      <c r="S1788" s="273"/>
      <c r="T1788" s="273"/>
      <c r="U1788" s="273"/>
      <c r="V1788" s="30">
        <f t="shared" si="425"/>
        <v>0</v>
      </c>
      <c r="W1788" s="30"/>
      <c r="X1788" s="32"/>
      <c r="Y1788" s="33" t="str">
        <f t="shared" si="792"/>
        <v>#DIV/0!</v>
      </c>
      <c r="Z1788" s="692"/>
      <c r="AA1788" s="665"/>
      <c r="AB1788" s="74"/>
      <c r="AC1788" s="74"/>
      <c r="AD1788" s="79"/>
      <c r="AE1788" s="84"/>
      <c r="AF1788" s="338"/>
      <c r="AG1788" s="76"/>
      <c r="AH1788" s="74"/>
      <c r="AI1788" s="78"/>
      <c r="AJ1788" s="79"/>
      <c r="AK1788" s="807"/>
      <c r="AL1788" s="79"/>
      <c r="AM1788" s="84"/>
      <c r="AN1788" s="79"/>
      <c r="AO1788" s="84"/>
      <c r="AP1788" s="79"/>
      <c r="AQ1788" s="84"/>
      <c r="AR1788" s="79"/>
      <c r="AS1788" s="79"/>
      <c r="AT1788" s="79"/>
      <c r="AU1788" s="80"/>
      <c r="AV1788" s="79"/>
      <c r="AW1788" s="38"/>
      <c r="AX1788" s="79"/>
      <c r="AY1788" s="38"/>
      <c r="AZ1788" s="79"/>
      <c r="BA1788" s="80"/>
      <c r="BB1788" s="79"/>
      <c r="BC1788" s="80"/>
      <c r="BD1788" s="79"/>
      <c r="BE1788" s="38"/>
      <c r="BF1788" s="74"/>
      <c r="BG1788" s="16"/>
      <c r="BH1788" s="16"/>
      <c r="BI1788" s="16"/>
      <c r="BJ1788" s="16"/>
      <c r="BK1788" s="16"/>
      <c r="BL1788" s="16"/>
      <c r="BM1788" s="16"/>
      <c r="BN1788" s="16"/>
      <c r="BO1788" s="16"/>
      <c r="BP1788" s="16"/>
      <c r="BQ1788" s="16"/>
      <c r="BR1788" s="16"/>
      <c r="BS1788" s="16"/>
      <c r="BT1788" s="16"/>
      <c r="BU1788" s="16"/>
      <c r="BV1788" s="16"/>
      <c r="BW1788" s="16"/>
      <c r="BX1788" s="16"/>
      <c r="BY1788" s="16"/>
      <c r="BZ1788" s="16"/>
      <c r="CA1788" s="16"/>
      <c r="CB1788" s="16"/>
      <c r="CC1788" s="16"/>
      <c r="CD1788" s="16"/>
      <c r="CE1788" s="16"/>
      <c r="CF1788" s="16"/>
      <c r="CG1788" s="16"/>
      <c r="CH1788" s="16"/>
      <c r="CI1788" s="16"/>
      <c r="CJ1788" s="16"/>
      <c r="CK1788" s="16"/>
      <c r="CL1788" s="16"/>
      <c r="CM1788" s="16"/>
      <c r="CN1788" s="16"/>
      <c r="CO1788" s="16"/>
      <c r="CP1788" s="16"/>
    </row>
    <row r="1789" ht="15.75" customHeight="1">
      <c r="A1789" s="931" t="s">
        <v>8283</v>
      </c>
      <c r="B1789" s="68"/>
      <c r="C1789" s="858" t="s">
        <v>123</v>
      </c>
      <c r="D1789" s="337"/>
      <c r="E1789" s="192" t="s">
        <v>8284</v>
      </c>
      <c r="F1789" s="118" t="s">
        <v>8285</v>
      </c>
      <c r="G1789" s="174"/>
      <c r="H1789" s="71" t="s">
        <v>8286</v>
      </c>
      <c r="I1789" s="746" t="s">
        <v>8287</v>
      </c>
      <c r="J1789" s="155"/>
      <c r="K1789" s="74"/>
      <c r="L1789" s="26">
        <v>2012.0</v>
      </c>
      <c r="M1789" s="25">
        <f t="shared" si="789"/>
        <v>13</v>
      </c>
      <c r="N1789" s="26">
        <f t="shared" si="790"/>
        <v>0</v>
      </c>
      <c r="O1789" s="27" t="str">
        <f t="shared" si="3"/>
        <v>#N/A</v>
      </c>
      <c r="P1789" s="273"/>
      <c r="Q1789" s="273"/>
      <c r="R1789" s="273"/>
      <c r="S1789" s="273"/>
      <c r="T1789" s="273"/>
      <c r="U1789" s="273"/>
      <c r="V1789" s="30">
        <f t="shared" si="425"/>
        <v>0</v>
      </c>
      <c r="W1789" s="30"/>
      <c r="X1789" s="32"/>
      <c r="Y1789" s="33" t="str">
        <f t="shared" si="792"/>
        <v>#DIV/0!</v>
      </c>
      <c r="Z1789" s="692"/>
      <c r="AA1789" s="665"/>
      <c r="AB1789" s="74"/>
      <c r="AC1789" s="74"/>
      <c r="AD1789" s="79"/>
      <c r="AE1789" s="84"/>
      <c r="AF1789" s="338"/>
      <c r="AG1789" s="76"/>
      <c r="AH1789" s="74"/>
      <c r="AI1789" s="78"/>
      <c r="AJ1789" s="79"/>
      <c r="AK1789" s="807"/>
      <c r="AL1789" s="79"/>
      <c r="AM1789" s="84"/>
      <c r="AN1789" s="79"/>
      <c r="AO1789" s="84"/>
      <c r="AP1789" s="79"/>
      <c r="AQ1789" s="84"/>
      <c r="AR1789" s="79"/>
      <c r="AS1789" s="79"/>
      <c r="AT1789" s="79"/>
      <c r="AU1789" s="80"/>
      <c r="AV1789" s="79"/>
      <c r="AW1789" s="38"/>
      <c r="AX1789" s="79"/>
      <c r="AY1789" s="38"/>
      <c r="AZ1789" s="79"/>
      <c r="BA1789" s="80"/>
      <c r="BB1789" s="79"/>
      <c r="BC1789" s="80"/>
      <c r="BD1789" s="79"/>
      <c r="BE1789" s="38"/>
      <c r="BF1789" s="74"/>
      <c r="BG1789" s="16"/>
      <c r="BH1789" s="16"/>
      <c r="BI1789" s="16"/>
      <c r="BJ1789" s="16"/>
      <c r="BK1789" s="16"/>
      <c r="BL1789" s="16"/>
      <c r="BM1789" s="16"/>
      <c r="BN1789" s="16"/>
      <c r="BO1789" s="16"/>
      <c r="BP1789" s="16"/>
      <c r="BQ1789" s="16"/>
      <c r="BR1789" s="16"/>
      <c r="BS1789" s="16"/>
      <c r="BT1789" s="16"/>
      <c r="BU1789" s="16"/>
      <c r="BV1789" s="16"/>
      <c r="BW1789" s="16"/>
      <c r="BX1789" s="16"/>
      <c r="BY1789" s="16"/>
      <c r="BZ1789" s="16"/>
      <c r="CA1789" s="16"/>
      <c r="CB1789" s="16"/>
      <c r="CC1789" s="16"/>
      <c r="CD1789" s="16"/>
      <c r="CE1789" s="16"/>
      <c r="CF1789" s="16"/>
      <c r="CG1789" s="16"/>
      <c r="CH1789" s="16"/>
      <c r="CI1789" s="16"/>
      <c r="CJ1789" s="16"/>
      <c r="CK1789" s="16"/>
      <c r="CL1789" s="16"/>
      <c r="CM1789" s="16"/>
      <c r="CN1789" s="16"/>
      <c r="CO1789" s="16"/>
      <c r="CP1789" s="16"/>
    </row>
    <row r="1790" ht="15.75" customHeight="1">
      <c r="A1790" s="931" t="s">
        <v>8288</v>
      </c>
      <c r="B1790" s="68"/>
      <c r="C1790" s="69" t="s">
        <v>84</v>
      </c>
      <c r="D1790" s="337"/>
      <c r="E1790" s="192" t="s">
        <v>8289</v>
      </c>
      <c r="F1790" s="118" t="s">
        <v>8290</v>
      </c>
      <c r="G1790" s="186"/>
      <c r="H1790" s="71" t="s">
        <v>650</v>
      </c>
      <c r="I1790" s="746" t="s">
        <v>8291</v>
      </c>
      <c r="J1790" s="155"/>
      <c r="K1790" s="74"/>
      <c r="L1790" s="26"/>
      <c r="M1790" s="25">
        <f t="shared" si="789"/>
        <v>2025</v>
      </c>
      <c r="N1790" s="26">
        <f t="shared" si="790"/>
        <v>0</v>
      </c>
      <c r="O1790" s="27" t="str">
        <f t="shared" si="3"/>
        <v>#N/A</v>
      </c>
      <c r="P1790" s="273"/>
      <c r="Q1790" s="273"/>
      <c r="R1790" s="273"/>
      <c r="S1790" s="273"/>
      <c r="T1790" s="273"/>
      <c r="U1790" s="273"/>
      <c r="V1790" s="30">
        <f t="shared" si="425"/>
        <v>0</v>
      </c>
      <c r="W1790" s="30"/>
      <c r="X1790" s="32"/>
      <c r="Y1790" s="33" t="str">
        <f t="shared" si="792"/>
        <v>#DIV/0!</v>
      </c>
      <c r="Z1790" s="692"/>
      <c r="AA1790" s="665"/>
      <c r="AB1790" s="74"/>
      <c r="AC1790" s="74"/>
      <c r="AD1790" s="79"/>
      <c r="AE1790" s="84"/>
      <c r="AF1790" s="338"/>
      <c r="AG1790" s="76"/>
      <c r="AH1790" s="74"/>
      <c r="AI1790" s="78"/>
      <c r="AJ1790" s="79"/>
      <c r="AK1790" s="807"/>
      <c r="AL1790" s="79"/>
      <c r="AM1790" s="84"/>
      <c r="AN1790" s="79"/>
      <c r="AO1790" s="84"/>
      <c r="AP1790" s="79"/>
      <c r="AQ1790" s="84"/>
      <c r="AR1790" s="79"/>
      <c r="AS1790" s="79"/>
      <c r="AT1790" s="79"/>
      <c r="AU1790" s="80"/>
      <c r="AV1790" s="79"/>
      <c r="AW1790" s="38"/>
      <c r="AX1790" s="79"/>
      <c r="AY1790" s="38"/>
      <c r="AZ1790" s="79"/>
      <c r="BA1790" s="80"/>
      <c r="BB1790" s="79"/>
      <c r="BC1790" s="80"/>
      <c r="BD1790" s="79"/>
      <c r="BE1790" s="38"/>
      <c r="BF1790" s="74"/>
      <c r="BG1790" s="16"/>
      <c r="BH1790" s="16"/>
      <c r="BI1790" s="16"/>
      <c r="BJ1790" s="16"/>
      <c r="BK1790" s="16"/>
      <c r="BL1790" s="16"/>
      <c r="BM1790" s="16"/>
      <c r="BN1790" s="16"/>
      <c r="BO1790" s="16"/>
      <c r="BP1790" s="16"/>
      <c r="BQ1790" s="16"/>
      <c r="BR1790" s="16"/>
      <c r="BS1790" s="16"/>
      <c r="BT1790" s="16"/>
      <c r="BU1790" s="16"/>
      <c r="BV1790" s="16"/>
      <c r="BW1790" s="16"/>
      <c r="BX1790" s="16"/>
      <c r="BY1790" s="16"/>
      <c r="BZ1790" s="16"/>
      <c r="CA1790" s="16"/>
      <c r="CB1790" s="16"/>
      <c r="CC1790" s="16"/>
      <c r="CD1790" s="16"/>
      <c r="CE1790" s="16"/>
      <c r="CF1790" s="16"/>
      <c r="CG1790" s="16"/>
      <c r="CH1790" s="16"/>
      <c r="CI1790" s="16"/>
      <c r="CJ1790" s="16"/>
      <c r="CK1790" s="16"/>
      <c r="CL1790" s="16"/>
      <c r="CM1790" s="16"/>
      <c r="CN1790" s="16"/>
      <c r="CO1790" s="16"/>
      <c r="CP1790" s="16"/>
    </row>
    <row r="1791" ht="15.75" customHeight="1">
      <c r="A1791" s="931" t="s">
        <v>8292</v>
      </c>
      <c r="B1791" s="68"/>
      <c r="C1791" s="858" t="s">
        <v>123</v>
      </c>
      <c r="D1791" s="184"/>
      <c r="E1791" s="192" t="s">
        <v>8293</v>
      </c>
      <c r="F1791" s="118" t="s">
        <v>8294</v>
      </c>
      <c r="G1791" s="71"/>
      <c r="H1791" s="71"/>
      <c r="I1791" s="1455"/>
      <c r="J1791" s="155"/>
      <c r="K1791" s="26"/>
      <c r="L1791" s="26">
        <v>2016.0</v>
      </c>
      <c r="M1791" s="25">
        <f t="shared" si="789"/>
        <v>9</v>
      </c>
      <c r="N1791" s="26">
        <f t="shared" si="790"/>
        <v>0</v>
      </c>
      <c r="O1791" s="27" t="str">
        <f t="shared" si="3"/>
        <v>#N/A</v>
      </c>
      <c r="P1791" s="28"/>
      <c r="Q1791" s="28"/>
      <c r="R1791" s="28"/>
      <c r="S1791" s="28"/>
      <c r="T1791" s="28"/>
      <c r="U1791" s="28"/>
      <c r="V1791" s="30">
        <f t="shared" si="425"/>
        <v>0</v>
      </c>
      <c r="W1791" s="30"/>
      <c r="X1791" s="73"/>
      <c r="Y1791" s="33" t="str">
        <f t="shared" si="792"/>
        <v>#DIV/0!</v>
      </c>
      <c r="Z1791" s="692"/>
      <c r="AA1791" s="665"/>
      <c r="AB1791" s="74"/>
      <c r="AC1791" s="74"/>
      <c r="AD1791" s="79"/>
      <c r="AE1791" s="84"/>
      <c r="AF1791" s="338"/>
      <c r="AG1791" s="84"/>
      <c r="AH1791" s="74"/>
      <c r="AI1791" s="78"/>
      <c r="AJ1791" s="79"/>
      <c r="AK1791" s="963"/>
      <c r="AL1791" s="79"/>
      <c r="AM1791" s="84"/>
      <c r="AN1791" s="79"/>
      <c r="AO1791" s="84"/>
      <c r="AP1791" s="79"/>
      <c r="AQ1791" s="84"/>
      <c r="AR1791" s="79"/>
      <c r="AS1791" s="79"/>
      <c r="AT1791" s="79"/>
      <c r="AU1791" s="80"/>
      <c r="AV1791" s="79"/>
      <c r="AW1791" s="38"/>
      <c r="AX1791" s="79"/>
      <c r="AY1791" s="38"/>
      <c r="AZ1791" s="79"/>
      <c r="BA1791" s="80"/>
      <c r="BB1791" s="79"/>
      <c r="BC1791" s="80"/>
      <c r="BD1791" s="79"/>
      <c r="BE1791" s="38"/>
      <c r="BF1791" s="74"/>
      <c r="BG1791" s="16"/>
      <c r="BH1791" s="16"/>
      <c r="BI1791" s="16"/>
      <c r="BJ1791" s="16"/>
      <c r="BK1791" s="16"/>
      <c r="BL1791" s="16"/>
      <c r="BM1791" s="16"/>
      <c r="BN1791" s="16"/>
      <c r="BO1791" s="16"/>
      <c r="BP1791" s="16"/>
      <c r="BQ1791" s="16"/>
      <c r="BR1791" s="16"/>
      <c r="BS1791" s="16"/>
      <c r="BT1791" s="16"/>
      <c r="BU1791" s="16"/>
      <c r="BV1791" s="16"/>
      <c r="BW1791" s="16"/>
      <c r="BX1791" s="16"/>
      <c r="BY1791" s="16"/>
      <c r="BZ1791" s="16"/>
      <c r="CA1791" s="16"/>
      <c r="CB1791" s="16"/>
      <c r="CC1791" s="16"/>
      <c r="CD1791" s="16"/>
      <c r="CE1791" s="16"/>
      <c r="CF1791" s="16"/>
      <c r="CG1791" s="16"/>
      <c r="CH1791" s="16"/>
      <c r="CI1791" s="16"/>
      <c r="CJ1791" s="16"/>
      <c r="CK1791" s="16"/>
      <c r="CL1791" s="16"/>
      <c r="CM1791" s="16"/>
      <c r="CN1791" s="16"/>
      <c r="CO1791" s="16"/>
      <c r="CP1791" s="16"/>
    </row>
    <row r="1792" ht="15.75" customHeight="1">
      <c r="A1792" s="860" t="s">
        <v>8295</v>
      </c>
      <c r="B1792" s="68"/>
      <c r="C1792" s="858" t="s">
        <v>123</v>
      </c>
      <c r="D1792" s="192" t="s">
        <v>8296</v>
      </c>
      <c r="E1792" s="192" t="s">
        <v>8297</v>
      </c>
      <c r="F1792" s="118" t="s">
        <v>8298</v>
      </c>
      <c r="G1792" s="140"/>
      <c r="H1792" s="71" t="s">
        <v>450</v>
      </c>
      <c r="I1792" s="71" t="s">
        <v>450</v>
      </c>
      <c r="J1792" s="155"/>
      <c r="K1792" s="26"/>
      <c r="L1792" s="26">
        <v>2019.0</v>
      </c>
      <c r="M1792" s="25">
        <f t="shared" si="789"/>
        <v>6</v>
      </c>
      <c r="N1792" s="26">
        <f t="shared" si="790"/>
        <v>0</v>
      </c>
      <c r="O1792" s="27" t="str">
        <f t="shared" si="3"/>
        <v>#N/A</v>
      </c>
      <c r="P1792" s="28"/>
      <c r="Q1792" s="28"/>
      <c r="R1792" s="28"/>
      <c r="S1792" s="28"/>
      <c r="T1792" s="28"/>
      <c r="U1792" s="28"/>
      <c r="V1792" s="30">
        <f t="shared" si="425"/>
        <v>0</v>
      </c>
      <c r="W1792" s="30"/>
      <c r="X1792" s="73"/>
      <c r="Y1792" s="33" t="str">
        <f t="shared" si="792"/>
        <v>#DIV/0!</v>
      </c>
      <c r="Z1792" s="692"/>
      <c r="AA1792" s="665"/>
      <c r="AB1792" s="74"/>
      <c r="AC1792" s="74"/>
      <c r="AD1792" s="79"/>
      <c r="AE1792" s="84"/>
      <c r="AF1792" s="338"/>
      <c r="AG1792" s="84"/>
      <c r="AH1792" s="74"/>
      <c r="AI1792" s="78"/>
      <c r="AJ1792" s="79"/>
      <c r="AK1792" s="84"/>
      <c r="AL1792" s="79"/>
      <c r="AM1792" s="84"/>
      <c r="AN1792" s="79"/>
      <c r="AO1792" s="84"/>
      <c r="AP1792" s="79"/>
      <c r="AQ1792" s="84"/>
      <c r="AR1792" s="79"/>
      <c r="AS1792" s="79"/>
      <c r="AT1792" s="79"/>
      <c r="AU1792" s="80"/>
      <c r="AV1792" s="79"/>
      <c r="AW1792" s="38"/>
      <c r="AX1792" s="79"/>
      <c r="AY1792" s="38"/>
      <c r="AZ1792" s="79"/>
      <c r="BA1792" s="80"/>
      <c r="BB1792" s="79"/>
      <c r="BC1792" s="80"/>
      <c r="BD1792" s="79"/>
      <c r="BE1792" s="38"/>
      <c r="BF1792" s="74"/>
      <c r="BG1792" s="16"/>
      <c r="BH1792" s="16"/>
      <c r="BI1792" s="16"/>
      <c r="BJ1792" s="16"/>
      <c r="BK1792" s="16"/>
      <c r="BL1792" s="16"/>
      <c r="BM1792" s="16"/>
      <c r="BN1792" s="16"/>
      <c r="BO1792" s="16"/>
      <c r="BP1792" s="16"/>
      <c r="BQ1792" s="16"/>
      <c r="BR1792" s="16"/>
      <c r="BS1792" s="16"/>
      <c r="BT1792" s="16"/>
      <c r="BU1792" s="16"/>
      <c r="BV1792" s="16"/>
      <c r="BW1792" s="16"/>
      <c r="BX1792" s="16"/>
      <c r="BY1792" s="16"/>
      <c r="BZ1792" s="16"/>
      <c r="CA1792" s="16"/>
      <c r="CB1792" s="16"/>
      <c r="CC1792" s="16"/>
      <c r="CD1792" s="16"/>
      <c r="CE1792" s="16"/>
      <c r="CF1792" s="16"/>
      <c r="CG1792" s="16"/>
      <c r="CH1792" s="16"/>
      <c r="CI1792" s="16"/>
      <c r="CJ1792" s="16"/>
      <c r="CK1792" s="16"/>
      <c r="CL1792" s="16"/>
      <c r="CM1792" s="16"/>
      <c r="CN1792" s="16"/>
      <c r="CO1792" s="16"/>
      <c r="CP1792" s="16"/>
    </row>
    <row r="1793" ht="15.75" customHeight="1">
      <c r="A1793" s="860" t="s">
        <v>8299</v>
      </c>
      <c r="B1793" s="68"/>
      <c r="C1793" s="69" t="s">
        <v>1007</v>
      </c>
      <c r="D1793" s="192" t="s">
        <v>8300</v>
      </c>
      <c r="E1793" s="192" t="s">
        <v>8301</v>
      </c>
      <c r="F1793" s="192" t="s">
        <v>8302</v>
      </c>
      <c r="G1793" s="1110"/>
      <c r="H1793" s="407" t="s">
        <v>937</v>
      </c>
      <c r="I1793" s="69" t="s">
        <v>65</v>
      </c>
      <c r="J1793" s="155"/>
      <c r="K1793" s="26"/>
      <c r="L1793" s="26"/>
      <c r="M1793" s="25">
        <f t="shared" si="789"/>
        <v>2025</v>
      </c>
      <c r="N1793" s="26">
        <f t="shared" si="790"/>
        <v>0</v>
      </c>
      <c r="O1793" s="27" t="str">
        <f t="shared" si="3"/>
        <v>#N/A</v>
      </c>
      <c r="P1793" s="28"/>
      <c r="Q1793" s="28"/>
      <c r="R1793" s="28"/>
      <c r="S1793" s="28"/>
      <c r="T1793" s="28"/>
      <c r="U1793" s="28"/>
      <c r="V1793" s="30">
        <f t="shared" si="425"/>
        <v>0</v>
      </c>
      <c r="W1793" s="30"/>
      <c r="X1793" s="73"/>
      <c r="Y1793" s="33" t="str">
        <f t="shared" si="792"/>
        <v>#DIV/0!</v>
      </c>
      <c r="Z1793" s="692"/>
      <c r="AA1793" s="665"/>
      <c r="AB1793" s="74"/>
      <c r="AC1793" s="74"/>
      <c r="AD1793" s="79"/>
      <c r="AE1793" s="84"/>
      <c r="AF1793" s="338"/>
      <c r="AG1793" s="84"/>
      <c r="AH1793" s="74"/>
      <c r="AI1793" s="78"/>
      <c r="AJ1793" s="79"/>
      <c r="AK1793" s="84"/>
      <c r="AL1793" s="79"/>
      <c r="AM1793" s="84"/>
      <c r="AN1793" s="79"/>
      <c r="AO1793" s="84"/>
      <c r="AP1793" s="79"/>
      <c r="AQ1793" s="84"/>
      <c r="AR1793" s="79"/>
      <c r="AS1793" s="79"/>
      <c r="AT1793" s="79"/>
      <c r="AU1793" s="80"/>
      <c r="AV1793" s="79"/>
      <c r="AW1793" s="38"/>
      <c r="AX1793" s="79"/>
      <c r="AY1793" s="38"/>
      <c r="AZ1793" s="79"/>
      <c r="BA1793" s="80"/>
      <c r="BB1793" s="79"/>
      <c r="BC1793" s="80"/>
      <c r="BD1793" s="79"/>
      <c r="BE1793" s="38"/>
      <c r="BF1793" s="74"/>
      <c r="BG1793" s="68"/>
      <c r="BH1793" s="68"/>
      <c r="BI1793" s="68"/>
      <c r="BJ1793" s="68"/>
      <c r="BK1793" s="68"/>
      <c r="BL1793" s="68"/>
      <c r="BM1793" s="68"/>
      <c r="BN1793" s="68"/>
      <c r="BO1793" s="68"/>
      <c r="BP1793" s="68"/>
      <c r="BQ1793" s="68"/>
      <c r="BR1793" s="68"/>
      <c r="BS1793" s="68"/>
      <c r="BT1793" s="68"/>
      <c r="BU1793" s="68"/>
      <c r="BV1793" s="68"/>
      <c r="BW1793" s="68"/>
      <c r="BX1793" s="68"/>
      <c r="BY1793" s="68"/>
      <c r="BZ1793" s="68"/>
      <c r="CA1793" s="68"/>
      <c r="CB1793" s="68"/>
      <c r="CC1793" s="68"/>
      <c r="CD1793" s="68"/>
      <c r="CE1793" s="68"/>
      <c r="CF1793" s="68"/>
      <c r="CG1793" s="68"/>
      <c r="CH1793" s="68"/>
      <c r="CI1793" s="68"/>
      <c r="CJ1793" s="68"/>
      <c r="CK1793" s="68"/>
      <c r="CL1793" s="68"/>
      <c r="CM1793" s="68"/>
      <c r="CN1793" s="68"/>
      <c r="CO1793" s="68"/>
      <c r="CP1793" s="68"/>
    </row>
    <row r="1794" ht="15.75" customHeight="1">
      <c r="A1794" s="21" t="s">
        <v>8303</v>
      </c>
      <c r="B1794" s="68"/>
      <c r="C1794" s="69" t="s">
        <v>123</v>
      </c>
      <c r="D1794" s="184"/>
      <c r="E1794" s="540" t="s">
        <v>8304</v>
      </c>
      <c r="F1794" s="185" t="s">
        <v>8305</v>
      </c>
      <c r="G1794" s="71" t="s">
        <v>8306</v>
      </c>
      <c r="H1794" s="407" t="s">
        <v>8307</v>
      </c>
      <c r="I1794" s="1854" t="s">
        <v>8308</v>
      </c>
      <c r="J1794" s="155"/>
      <c r="K1794" s="26">
        <v>1.0</v>
      </c>
      <c r="L1794" s="26">
        <v>2017.0</v>
      </c>
      <c r="M1794" s="25">
        <f t="shared" si="789"/>
        <v>8</v>
      </c>
      <c r="N1794" s="26">
        <f t="shared" si="790"/>
        <v>0</v>
      </c>
      <c r="O1794" s="27" t="str">
        <f t="shared" si="3"/>
        <v>#N/A</v>
      </c>
      <c r="P1794" s="28"/>
      <c r="Q1794" s="28"/>
      <c r="R1794" s="28"/>
      <c r="S1794" s="28"/>
      <c r="T1794" s="28"/>
      <c r="U1794" s="28"/>
      <c r="V1794" s="30">
        <f t="shared" si="425"/>
        <v>0</v>
      </c>
      <c r="W1794" s="30"/>
      <c r="X1794" s="73"/>
      <c r="Y1794" s="33" t="str">
        <f t="shared" si="792"/>
        <v>#DIV/0!</v>
      </c>
      <c r="Z1794" s="692"/>
      <c r="AA1794" s="665"/>
      <c r="AB1794" s="74"/>
      <c r="AC1794" s="74"/>
      <c r="AD1794" s="79"/>
      <c r="AE1794" s="84"/>
      <c r="AF1794" s="338"/>
      <c r="AG1794" s="84"/>
      <c r="AH1794" s="74"/>
      <c r="AI1794" s="78"/>
      <c r="AJ1794" s="79"/>
      <c r="AK1794" s="84"/>
      <c r="AL1794" s="79"/>
      <c r="AM1794" s="84"/>
      <c r="AN1794" s="79"/>
      <c r="AO1794" s="84"/>
      <c r="AP1794" s="79"/>
      <c r="AQ1794" s="84"/>
      <c r="AR1794" s="79"/>
      <c r="AS1794" s="79"/>
      <c r="AT1794" s="79"/>
      <c r="AU1794" s="80"/>
      <c r="AV1794" s="79"/>
      <c r="AW1794" s="38"/>
      <c r="AX1794" s="79"/>
      <c r="AY1794" s="38"/>
      <c r="AZ1794" s="79"/>
      <c r="BA1794" s="80"/>
      <c r="BB1794" s="79"/>
      <c r="BC1794" s="80"/>
      <c r="BD1794" s="79"/>
      <c r="BE1794" s="38"/>
      <c r="BF1794" s="74"/>
      <c r="BG1794" s="68"/>
      <c r="BH1794" s="68"/>
      <c r="BI1794" s="68"/>
      <c r="BJ1794" s="68"/>
      <c r="BK1794" s="68"/>
      <c r="BL1794" s="68"/>
      <c r="BM1794" s="68"/>
      <c r="BN1794" s="68"/>
      <c r="BO1794" s="68"/>
      <c r="BP1794" s="68"/>
      <c r="BQ1794" s="68"/>
      <c r="BR1794" s="68"/>
      <c r="BS1794" s="68"/>
      <c r="BT1794" s="68"/>
      <c r="BU1794" s="68"/>
      <c r="BV1794" s="68"/>
      <c r="BW1794" s="68"/>
      <c r="BX1794" s="68"/>
      <c r="BY1794" s="68"/>
      <c r="BZ1794" s="68"/>
      <c r="CA1794" s="68"/>
      <c r="CB1794" s="68"/>
      <c r="CC1794" s="68"/>
      <c r="CD1794" s="68"/>
      <c r="CE1794" s="68"/>
      <c r="CF1794" s="68"/>
      <c r="CG1794" s="68"/>
      <c r="CH1794" s="68"/>
      <c r="CI1794" s="68"/>
      <c r="CJ1794" s="68"/>
      <c r="CK1794" s="68"/>
      <c r="CL1794" s="68"/>
      <c r="CM1794" s="68"/>
      <c r="CN1794" s="68"/>
      <c r="CO1794" s="68"/>
      <c r="CP1794" s="68"/>
    </row>
    <row r="1795" ht="15.75" customHeight="1">
      <c r="A1795" s="17" t="s">
        <v>8309</v>
      </c>
      <c r="B1795" s="69" t="s">
        <v>8310</v>
      </c>
      <c r="C1795" s="69" t="s">
        <v>123</v>
      </c>
      <c r="D1795" s="184"/>
      <c r="E1795" s="236" t="s">
        <v>8311</v>
      </c>
      <c r="F1795" s="236" t="s">
        <v>8312</v>
      </c>
      <c r="G1795" s="71"/>
      <c r="H1795" s="71" t="s">
        <v>328</v>
      </c>
      <c r="I1795" s="746" t="s">
        <v>329</v>
      </c>
      <c r="J1795" s="72"/>
      <c r="K1795" s="26"/>
      <c r="L1795" s="26">
        <v>2018.0</v>
      </c>
      <c r="M1795" s="25">
        <f t="shared" si="789"/>
        <v>7</v>
      </c>
      <c r="N1795" s="26">
        <f t="shared" si="790"/>
        <v>0</v>
      </c>
      <c r="O1795" s="27" t="str">
        <f t="shared" si="3"/>
        <v>#N/A</v>
      </c>
      <c r="P1795" s="28"/>
      <c r="Q1795" s="28"/>
      <c r="R1795" s="28"/>
      <c r="S1795" s="28"/>
      <c r="T1795" s="28"/>
      <c r="U1795" s="28"/>
      <c r="V1795" s="30">
        <f t="shared" si="425"/>
        <v>0</v>
      </c>
      <c r="W1795" s="30"/>
      <c r="X1795" s="73"/>
      <c r="Y1795" s="33" t="str">
        <f t="shared" si="792"/>
        <v>#DIV/0!</v>
      </c>
      <c r="Z1795" s="695"/>
      <c r="AA1795" s="696"/>
      <c r="AB1795" s="74"/>
      <c r="AC1795" s="74"/>
      <c r="AD1795" s="81"/>
      <c r="AE1795" s="84"/>
      <c r="AF1795" s="338"/>
      <c r="AG1795" s="84"/>
      <c r="AH1795" s="74"/>
      <c r="AI1795" s="78"/>
      <c r="AJ1795" s="79"/>
      <c r="AK1795" s="84"/>
      <c r="AL1795" s="79"/>
      <c r="AM1795" s="84"/>
      <c r="AN1795" s="79"/>
      <c r="AO1795" s="84"/>
      <c r="AP1795" s="79"/>
      <c r="AQ1795" s="84"/>
      <c r="AR1795" s="79"/>
      <c r="AS1795" s="79"/>
      <c r="AT1795" s="79"/>
      <c r="AU1795" s="80"/>
      <c r="AV1795" s="79"/>
      <c r="AW1795" s="38"/>
      <c r="AX1795" s="79"/>
      <c r="AY1795" s="38"/>
      <c r="AZ1795" s="79"/>
      <c r="BA1795" s="80"/>
      <c r="BB1795" s="79"/>
      <c r="BC1795" s="80"/>
      <c r="BD1795" s="79"/>
      <c r="BE1795" s="38"/>
      <c r="BF1795" s="74"/>
      <c r="BG1795" s="68"/>
      <c r="BH1795" s="68"/>
      <c r="BI1795" s="68"/>
      <c r="BJ1795" s="68"/>
      <c r="BK1795" s="68"/>
      <c r="BL1795" s="68"/>
      <c r="BM1795" s="68"/>
      <c r="BN1795" s="68"/>
      <c r="BO1795" s="68"/>
      <c r="BP1795" s="68"/>
      <c r="BQ1795" s="68"/>
      <c r="BR1795" s="68"/>
      <c r="BS1795" s="68"/>
      <c r="BT1795" s="68"/>
      <c r="BU1795" s="68"/>
      <c r="BV1795" s="68"/>
      <c r="BW1795" s="68"/>
      <c r="BX1795" s="68"/>
      <c r="BY1795" s="68"/>
      <c r="BZ1795" s="68"/>
      <c r="CA1795" s="68"/>
      <c r="CB1795" s="68"/>
      <c r="CC1795" s="68"/>
      <c r="CD1795" s="68"/>
      <c r="CE1795" s="68"/>
      <c r="CF1795" s="68"/>
      <c r="CG1795" s="68"/>
      <c r="CH1795" s="68"/>
      <c r="CI1795" s="68"/>
      <c r="CJ1795" s="68"/>
      <c r="CK1795" s="68"/>
      <c r="CL1795" s="68"/>
      <c r="CM1795" s="68"/>
      <c r="CN1795" s="68"/>
      <c r="CO1795" s="68"/>
      <c r="CP1795" s="68"/>
    </row>
    <row r="1796" ht="15.75" customHeight="1">
      <c r="A1796" s="860" t="s">
        <v>8313</v>
      </c>
      <c r="B1796" s="115"/>
      <c r="C1796" s="116" t="s">
        <v>123</v>
      </c>
      <c r="D1796" s="1199"/>
      <c r="E1796" s="540" t="s">
        <v>8314</v>
      </c>
      <c r="F1796" s="118" t="s">
        <v>8315</v>
      </c>
      <c r="G1796" s="54" t="s">
        <v>8316</v>
      </c>
      <c r="H1796" s="119" t="s">
        <v>1109</v>
      </c>
      <c r="I1796" s="25" t="s">
        <v>959</v>
      </c>
      <c r="J1796" s="120" t="s">
        <v>8317</v>
      </c>
      <c r="K1796" s="25">
        <v>2.0</v>
      </c>
      <c r="L1796" s="25">
        <v>2020.0</v>
      </c>
      <c r="M1796" s="25">
        <f t="shared" si="789"/>
        <v>5</v>
      </c>
      <c r="N1796" s="26">
        <f t="shared" si="790"/>
        <v>0</v>
      </c>
      <c r="O1796" s="27" t="str">
        <f t="shared" si="3"/>
        <v>#N/A</v>
      </c>
      <c r="P1796" s="356"/>
      <c r="Q1796" s="356"/>
      <c r="R1796" s="356"/>
      <c r="S1796" s="356"/>
      <c r="T1796" s="356"/>
      <c r="U1796" s="356"/>
      <c r="V1796" s="30">
        <f t="shared" si="425"/>
        <v>0</v>
      </c>
      <c r="W1796" s="30"/>
      <c r="X1796" s="597"/>
      <c r="Y1796" s="33" t="str">
        <f t="shared" si="792"/>
        <v>#DIV/0!</v>
      </c>
      <c r="Z1796" s="692"/>
      <c r="AA1796" s="696"/>
      <c r="AB1796" s="123"/>
      <c r="AC1796" s="123"/>
      <c r="AD1796" s="169"/>
      <c r="AE1796" s="127"/>
      <c r="AF1796" s="166"/>
      <c r="AG1796" s="127"/>
      <c r="AH1796" s="123"/>
      <c r="AI1796" s="128"/>
      <c r="AJ1796" s="169"/>
      <c r="AK1796" s="127"/>
      <c r="AL1796" s="169"/>
      <c r="AM1796" s="127"/>
      <c r="AN1796" s="169"/>
      <c r="AO1796" s="127"/>
      <c r="AP1796" s="124"/>
      <c r="AQ1796" s="125"/>
      <c r="AR1796" s="124"/>
      <c r="AS1796" s="124"/>
      <c r="AT1796" s="124"/>
      <c r="AU1796" s="137"/>
      <c r="AV1796" s="124"/>
      <c r="AW1796" s="38"/>
      <c r="AX1796" s="124"/>
      <c r="AY1796" s="38"/>
      <c r="AZ1796" s="124"/>
      <c r="BA1796" s="137"/>
      <c r="BB1796" s="124"/>
      <c r="BC1796" s="137"/>
      <c r="BD1796" s="124"/>
      <c r="BE1796" s="38"/>
      <c r="BF1796" s="123"/>
      <c r="BG1796" s="115"/>
      <c r="BH1796" s="115"/>
      <c r="BI1796" s="115"/>
      <c r="BJ1796" s="115"/>
      <c r="BK1796" s="115"/>
      <c r="BL1796" s="115"/>
      <c r="BM1796" s="115"/>
      <c r="BN1796" s="115"/>
      <c r="BO1796" s="115"/>
      <c r="BP1796" s="115"/>
      <c r="BQ1796" s="115"/>
      <c r="BR1796" s="115"/>
      <c r="BS1796" s="115"/>
      <c r="BT1796" s="115"/>
      <c r="BU1796" s="115"/>
      <c r="BV1796" s="115"/>
      <c r="BW1796" s="115"/>
      <c r="BX1796" s="115"/>
      <c r="BY1796" s="115"/>
      <c r="BZ1796" s="115"/>
      <c r="CA1796" s="115"/>
      <c r="CB1796" s="115"/>
      <c r="CC1796" s="115"/>
      <c r="CD1796" s="115"/>
      <c r="CE1796" s="115"/>
      <c r="CF1796" s="115"/>
      <c r="CG1796" s="115"/>
      <c r="CH1796" s="115"/>
      <c r="CI1796" s="115"/>
      <c r="CJ1796" s="115"/>
      <c r="CK1796" s="115"/>
      <c r="CL1796" s="115"/>
      <c r="CM1796" s="115"/>
      <c r="CN1796" s="115"/>
      <c r="CO1796" s="115"/>
      <c r="CP1796" s="115"/>
    </row>
    <row r="1797" ht="15.75" customHeight="1">
      <c r="A1797" s="442" t="s">
        <v>8318</v>
      </c>
      <c r="B1797" s="68" t="s">
        <v>944</v>
      </c>
      <c r="C1797" s="68" t="s">
        <v>132</v>
      </c>
      <c r="D1797" s="200" t="s">
        <v>8319</v>
      </c>
      <c r="E1797" s="200" t="s">
        <v>8320</v>
      </c>
      <c r="F1797" s="185" t="s">
        <v>8321</v>
      </c>
      <c r="G1797" s="140" t="s">
        <v>3273</v>
      </c>
      <c r="H1797" s="186" t="s">
        <v>128</v>
      </c>
      <c r="I1797" s="74" t="s">
        <v>156</v>
      </c>
      <c r="J1797" s="155"/>
      <c r="K1797" s="26">
        <v>1.0</v>
      </c>
      <c r="L1797" s="26">
        <v>2010.0</v>
      </c>
      <c r="M1797" s="25">
        <f t="shared" si="789"/>
        <v>15</v>
      </c>
      <c r="N1797" s="26">
        <f t="shared" si="790"/>
        <v>1</v>
      </c>
      <c r="O1797" s="27" t="str">
        <f t="shared" si="3"/>
        <v>#N/A</v>
      </c>
      <c r="P1797" s="28"/>
      <c r="Q1797" s="28"/>
      <c r="R1797" s="28"/>
      <c r="S1797" s="28"/>
      <c r="T1797" s="28"/>
      <c r="U1797" s="28"/>
      <c r="V1797" s="30">
        <f t="shared" si="425"/>
        <v>0</v>
      </c>
      <c r="W1797" s="30"/>
      <c r="X1797" s="73"/>
      <c r="Y1797" s="33" t="str">
        <f t="shared" si="792"/>
        <v>#DIV/0!</v>
      </c>
      <c r="Z1797" s="692"/>
      <c r="AA1797" s="665"/>
      <c r="AB1797" s="74"/>
      <c r="AC1797" s="74"/>
      <c r="AD1797" s="279"/>
      <c r="AE1797" s="76"/>
      <c r="AF1797" s="175" t="str">
        <f>HYPERLINK("https://www.crunchbase.com/funding_round/resimodel-seed--ae0d46f6","Sep 14, 2014")</f>
        <v>Sep 14, 2014</v>
      </c>
      <c r="AG1797" s="76">
        <v>0.0</v>
      </c>
      <c r="AH1797" s="74"/>
      <c r="AI1797" s="78"/>
      <c r="AJ1797" s="279"/>
      <c r="AK1797" s="76"/>
      <c r="AL1797" s="279"/>
      <c r="AM1797" s="76"/>
      <c r="AN1797" s="279"/>
      <c r="AO1797" s="76"/>
      <c r="AP1797" s="79"/>
      <c r="AQ1797" s="84"/>
      <c r="AR1797" s="79"/>
      <c r="AS1797" s="79"/>
      <c r="AT1797" s="79"/>
      <c r="AU1797" s="80"/>
      <c r="AV1797" s="79"/>
      <c r="AW1797" s="38"/>
      <c r="AX1797" s="79"/>
      <c r="AY1797" s="38"/>
      <c r="AZ1797" s="79"/>
      <c r="BA1797" s="80"/>
      <c r="BB1797" s="79"/>
      <c r="BC1797" s="80"/>
      <c r="BD1797" s="79"/>
      <c r="BE1797" s="38"/>
      <c r="BF1797" s="74"/>
      <c r="BG1797" s="115"/>
      <c r="BH1797" s="115"/>
      <c r="BI1797" s="115"/>
      <c r="BJ1797" s="115"/>
      <c r="BK1797" s="115"/>
      <c r="BL1797" s="115"/>
      <c r="BM1797" s="115"/>
      <c r="BN1797" s="115"/>
      <c r="BO1797" s="115"/>
      <c r="BP1797" s="115"/>
      <c r="BQ1797" s="115"/>
      <c r="BR1797" s="115"/>
      <c r="BS1797" s="115"/>
      <c r="BT1797" s="115"/>
      <c r="BU1797" s="115"/>
      <c r="BV1797" s="115"/>
      <c r="BW1797" s="115"/>
      <c r="BX1797" s="115"/>
      <c r="BY1797" s="115"/>
      <c r="BZ1797" s="115"/>
      <c r="CA1797" s="115"/>
      <c r="CB1797" s="115"/>
      <c r="CC1797" s="115"/>
      <c r="CD1797" s="115"/>
      <c r="CE1797" s="115"/>
      <c r="CF1797" s="115"/>
      <c r="CG1797" s="115"/>
      <c r="CH1797" s="115"/>
      <c r="CI1797" s="115"/>
      <c r="CJ1797" s="115"/>
      <c r="CK1797" s="115"/>
      <c r="CL1797" s="115"/>
      <c r="CM1797" s="115"/>
      <c r="CN1797" s="115"/>
      <c r="CO1797" s="115"/>
      <c r="CP1797" s="115"/>
    </row>
    <row r="1798" ht="15.75" customHeight="1">
      <c r="A1798" s="442" t="s">
        <v>8322</v>
      </c>
      <c r="B1798" s="68" t="s">
        <v>545</v>
      </c>
      <c r="C1798" s="69" t="s">
        <v>123</v>
      </c>
      <c r="D1798" s="200" t="s">
        <v>8323</v>
      </c>
      <c r="E1798" s="200" t="s">
        <v>8324</v>
      </c>
      <c r="F1798" s="185" t="s">
        <v>8325</v>
      </c>
      <c r="G1798" s="186" t="s">
        <v>8326</v>
      </c>
      <c r="H1798" s="186" t="s">
        <v>7804</v>
      </c>
      <c r="I1798" s="74" t="s">
        <v>4539</v>
      </c>
      <c r="J1798" s="155" t="s">
        <v>7805</v>
      </c>
      <c r="K1798" s="74" t="s">
        <v>723</v>
      </c>
      <c r="L1798" s="26">
        <v>2001.0</v>
      </c>
      <c r="M1798" s="25">
        <f t="shared" si="789"/>
        <v>24</v>
      </c>
      <c r="N1798" s="26">
        <f t="shared" si="790"/>
        <v>1</v>
      </c>
      <c r="O1798" s="27" t="str">
        <f t="shared" si="3"/>
        <v>#N/A</v>
      </c>
      <c r="P1798" s="273"/>
      <c r="Q1798" s="273"/>
      <c r="R1798" s="273"/>
      <c r="S1798" s="273"/>
      <c r="T1798" s="273"/>
      <c r="U1798" s="273"/>
      <c r="V1798" s="30">
        <f t="shared" si="425"/>
        <v>0</v>
      </c>
      <c r="W1798" s="30"/>
      <c r="X1798" s="32"/>
      <c r="Y1798" s="33" t="str">
        <f t="shared" si="792"/>
        <v>#DIV/0!</v>
      </c>
      <c r="Z1798" s="692"/>
      <c r="AA1798" s="665"/>
      <c r="AB1798" s="74"/>
      <c r="AC1798" s="74"/>
      <c r="AD1798" s="79"/>
      <c r="AE1798" s="84"/>
      <c r="AF1798" s="338"/>
      <c r="AG1798" s="84"/>
      <c r="AH1798" s="74"/>
      <c r="AI1798" s="78"/>
      <c r="AJ1798" s="181" t="str">
        <f>HYPERLINK("https://www.crunchbase.com/funding_round/redvision-system-series-a--e540599d","Nov 1, 2003")</f>
        <v>Nov 1, 2003</v>
      </c>
      <c r="AK1798" s="76">
        <v>0.0</v>
      </c>
      <c r="AL1798" s="279"/>
      <c r="AM1798" s="76"/>
      <c r="AN1798" s="279"/>
      <c r="AO1798" s="76"/>
      <c r="AP1798" s="79"/>
      <c r="AQ1798" s="84"/>
      <c r="AR1798" s="79"/>
      <c r="AS1798" s="79"/>
      <c r="AT1798" s="79"/>
      <c r="AU1798" s="80"/>
      <c r="AV1798" s="79"/>
      <c r="AW1798" s="38"/>
      <c r="AX1798" s="79"/>
      <c r="AY1798" s="38"/>
      <c r="AZ1798" s="79"/>
      <c r="BA1798" s="80"/>
      <c r="BB1798" s="79"/>
      <c r="BC1798" s="80"/>
      <c r="BD1798" s="79"/>
      <c r="BE1798" s="38"/>
      <c r="BF1798" s="74"/>
      <c r="BG1798" s="68"/>
      <c r="BH1798" s="68"/>
      <c r="BI1798" s="68"/>
      <c r="BJ1798" s="68"/>
      <c r="BK1798" s="68"/>
      <c r="BL1798" s="68"/>
      <c r="BM1798" s="68"/>
      <c r="BN1798" s="68"/>
      <c r="BO1798" s="68"/>
      <c r="BP1798" s="68"/>
      <c r="BQ1798" s="68"/>
      <c r="BR1798" s="68"/>
      <c r="BS1798" s="68"/>
      <c r="BT1798" s="68"/>
      <c r="BU1798" s="68"/>
      <c r="BV1798" s="68"/>
      <c r="BW1798" s="68"/>
      <c r="BX1798" s="68"/>
      <c r="BY1798" s="68"/>
      <c r="BZ1798" s="68"/>
      <c r="CA1798" s="68"/>
      <c r="CB1798" s="68"/>
      <c r="CC1798" s="68"/>
      <c r="CD1798" s="68"/>
      <c r="CE1798" s="68"/>
      <c r="CF1798" s="68"/>
      <c r="CG1798" s="68"/>
      <c r="CH1798" s="68"/>
      <c r="CI1798" s="68"/>
      <c r="CJ1798" s="68"/>
      <c r="CK1798" s="68"/>
      <c r="CL1798" s="68"/>
      <c r="CM1798" s="68"/>
      <c r="CN1798" s="68"/>
      <c r="CO1798" s="68"/>
      <c r="CP1798" s="68"/>
    </row>
    <row r="1799" ht="15.75" customHeight="1">
      <c r="A1799" s="860" t="s">
        <v>8327</v>
      </c>
      <c r="B1799" s="115"/>
      <c r="C1799" s="694" t="s">
        <v>123</v>
      </c>
      <c r="D1799" s="449"/>
      <c r="E1799" s="192" t="s">
        <v>8328</v>
      </c>
      <c r="F1799" s="118" t="s">
        <v>8329</v>
      </c>
      <c r="G1799" s="286"/>
      <c r="H1799" s="119" t="s">
        <v>8259</v>
      </c>
      <c r="I1799" s="25" t="s">
        <v>639</v>
      </c>
      <c r="J1799" s="287"/>
      <c r="K1799" s="123"/>
      <c r="L1799" s="25"/>
      <c r="M1799" s="25">
        <f t="shared" si="789"/>
        <v>2025</v>
      </c>
      <c r="N1799" s="26">
        <f t="shared" si="790"/>
        <v>0</v>
      </c>
      <c r="O1799" s="27" t="str">
        <f t="shared" si="3"/>
        <v>#N/A</v>
      </c>
      <c r="P1799" s="55"/>
      <c r="Q1799" s="55"/>
      <c r="R1799" s="55"/>
      <c r="S1799" s="55"/>
      <c r="T1799" s="55"/>
      <c r="U1799" s="55"/>
      <c r="V1799" s="30">
        <f t="shared" si="425"/>
        <v>0</v>
      </c>
      <c r="W1799" s="30"/>
      <c r="X1799" s="403"/>
      <c r="Y1799" s="33" t="str">
        <f t="shared" si="792"/>
        <v>#DIV/0!</v>
      </c>
      <c r="Z1799" s="692"/>
      <c r="AA1799" s="665"/>
      <c r="AB1799" s="123"/>
      <c r="AC1799" s="123"/>
      <c r="AD1799" s="169"/>
      <c r="AE1799" s="127"/>
      <c r="AF1799" s="932"/>
      <c r="AG1799" s="125"/>
      <c r="AH1799" s="123"/>
      <c r="AI1799" s="128"/>
      <c r="AJ1799" s="124"/>
      <c r="AK1799" s="125"/>
      <c r="AL1799" s="124"/>
      <c r="AM1799" s="125"/>
      <c r="AN1799" s="124"/>
      <c r="AO1799" s="125"/>
      <c r="AP1799" s="124"/>
      <c r="AQ1799" s="125"/>
      <c r="AR1799" s="124"/>
      <c r="AS1799" s="124"/>
      <c r="AT1799" s="124"/>
      <c r="AU1799" s="137"/>
      <c r="AV1799" s="124"/>
      <c r="AW1799" s="38"/>
      <c r="AX1799" s="124"/>
      <c r="AY1799" s="38"/>
      <c r="AZ1799" s="124"/>
      <c r="BA1799" s="137"/>
      <c r="BB1799" s="124"/>
      <c r="BC1799" s="137"/>
      <c r="BD1799" s="124"/>
      <c r="BE1799" s="38"/>
      <c r="BF1799" s="123"/>
      <c r="BG1799" s="68"/>
      <c r="BH1799" s="68"/>
      <c r="BI1799" s="68"/>
      <c r="BJ1799" s="68"/>
      <c r="BK1799" s="68"/>
      <c r="BL1799" s="68"/>
      <c r="BM1799" s="68"/>
      <c r="BN1799" s="68"/>
      <c r="BO1799" s="68"/>
      <c r="BP1799" s="68"/>
      <c r="BQ1799" s="68"/>
      <c r="BR1799" s="68"/>
      <c r="BS1799" s="68"/>
      <c r="BT1799" s="68"/>
      <c r="BU1799" s="68"/>
      <c r="BV1799" s="68"/>
      <c r="BW1799" s="68"/>
      <c r="BX1799" s="68"/>
      <c r="BY1799" s="68"/>
      <c r="BZ1799" s="68"/>
      <c r="CA1799" s="68"/>
      <c r="CB1799" s="68"/>
      <c r="CC1799" s="68"/>
      <c r="CD1799" s="68"/>
      <c r="CE1799" s="68"/>
      <c r="CF1799" s="68"/>
      <c r="CG1799" s="68"/>
      <c r="CH1799" s="68"/>
      <c r="CI1799" s="68"/>
      <c r="CJ1799" s="68"/>
      <c r="CK1799" s="68"/>
      <c r="CL1799" s="68"/>
      <c r="CM1799" s="68"/>
      <c r="CN1799" s="68"/>
      <c r="CO1799" s="68"/>
      <c r="CP1799" s="68"/>
    </row>
    <row r="1800" ht="15.75" customHeight="1">
      <c r="A1800" s="666" t="s">
        <v>8330</v>
      </c>
      <c r="B1800" s="115" t="s">
        <v>5243</v>
      </c>
      <c r="C1800" s="116" t="s">
        <v>123</v>
      </c>
      <c r="D1800" s="667" t="s">
        <v>8331</v>
      </c>
      <c r="E1800" s="667" t="s">
        <v>8332</v>
      </c>
      <c r="F1800" s="668" t="s">
        <v>8333</v>
      </c>
      <c r="G1800" s="286" t="s">
        <v>8334</v>
      </c>
      <c r="H1800" s="286" t="s">
        <v>128</v>
      </c>
      <c r="I1800" s="123" t="s">
        <v>128</v>
      </c>
      <c r="J1800" s="287" t="s">
        <v>550</v>
      </c>
      <c r="K1800" s="123">
        <v>1.0</v>
      </c>
      <c r="L1800" s="25">
        <v>2017.0</v>
      </c>
      <c r="M1800" s="25">
        <f t="shared" si="789"/>
        <v>8</v>
      </c>
      <c r="N1800" s="26">
        <f t="shared" si="790"/>
        <v>1</v>
      </c>
      <c r="O1800" s="27" t="str">
        <f t="shared" si="3"/>
        <v>#N/A</v>
      </c>
      <c r="P1800" s="55"/>
      <c r="Q1800" s="55"/>
      <c r="R1800" s="55"/>
      <c r="S1800" s="55"/>
      <c r="T1800" s="55"/>
      <c r="U1800" s="55"/>
      <c r="V1800" s="30">
        <f t="shared" si="425"/>
        <v>0</v>
      </c>
      <c r="W1800" s="30"/>
      <c r="X1800" s="403"/>
      <c r="Y1800" s="33" t="str">
        <f t="shared" si="792"/>
        <v>#DIV/0!</v>
      </c>
      <c r="Z1800" s="692"/>
      <c r="AA1800" s="665"/>
      <c r="AB1800" s="123" t="s">
        <v>3073</v>
      </c>
      <c r="AC1800" s="123"/>
      <c r="AD1800" s="167" t="str">
        <f>HYPERLINK("https://www.crunchbase.com/funding_round/refinere-pre-seed--c71d13b9", "Sep 10, 2010")</f>
        <v>Sep 10, 2010</v>
      </c>
      <c r="AE1800" s="127">
        <v>0.0</v>
      </c>
      <c r="AF1800" s="166"/>
      <c r="AG1800" s="125"/>
      <c r="AH1800" s="123"/>
      <c r="AI1800" s="128"/>
      <c r="AJ1800" s="124"/>
      <c r="AK1800" s="125"/>
      <c r="AL1800" s="124"/>
      <c r="AM1800" s="125"/>
      <c r="AN1800" s="124"/>
      <c r="AO1800" s="125"/>
      <c r="AP1800" s="124"/>
      <c r="AQ1800" s="125"/>
      <c r="AR1800" s="124"/>
      <c r="AS1800" s="124"/>
      <c r="AT1800" s="124"/>
      <c r="AU1800" s="137"/>
      <c r="AV1800" s="124"/>
      <c r="AW1800" s="38"/>
      <c r="AX1800" s="124"/>
      <c r="AY1800" s="38"/>
      <c r="AZ1800" s="124"/>
      <c r="BA1800" s="137"/>
      <c r="BB1800" s="124"/>
      <c r="BC1800" s="137"/>
      <c r="BD1800" s="124"/>
      <c r="BE1800" s="38"/>
      <c r="BF1800" s="123"/>
      <c r="BG1800" s="68"/>
      <c r="BH1800" s="68"/>
      <c r="BI1800" s="68"/>
      <c r="BJ1800" s="68"/>
      <c r="BK1800" s="68"/>
      <c r="BL1800" s="68"/>
      <c r="BM1800" s="68"/>
      <c r="BN1800" s="68"/>
      <c r="BO1800" s="68"/>
      <c r="BP1800" s="68"/>
      <c r="BQ1800" s="68"/>
      <c r="BR1800" s="68"/>
      <c r="BS1800" s="68"/>
      <c r="BT1800" s="68"/>
      <c r="BU1800" s="68"/>
      <c r="BV1800" s="68"/>
      <c r="BW1800" s="68"/>
      <c r="BX1800" s="68"/>
      <c r="BY1800" s="68"/>
      <c r="BZ1800" s="68"/>
      <c r="CA1800" s="68"/>
      <c r="CB1800" s="68"/>
      <c r="CC1800" s="68"/>
      <c r="CD1800" s="68"/>
      <c r="CE1800" s="68"/>
      <c r="CF1800" s="68"/>
      <c r="CG1800" s="68"/>
      <c r="CH1800" s="68"/>
      <c r="CI1800" s="68"/>
      <c r="CJ1800" s="68"/>
      <c r="CK1800" s="68"/>
      <c r="CL1800" s="68"/>
      <c r="CM1800" s="68"/>
      <c r="CN1800" s="68"/>
      <c r="CO1800" s="68"/>
      <c r="CP1800" s="68"/>
    </row>
    <row r="1801" ht="15.75" customHeight="1">
      <c r="A1801" s="860" t="s">
        <v>8335</v>
      </c>
      <c r="B1801" s="115"/>
      <c r="C1801" s="694" t="s">
        <v>123</v>
      </c>
      <c r="D1801" s="192" t="s">
        <v>8336</v>
      </c>
      <c r="E1801" s="192" t="s">
        <v>8337</v>
      </c>
      <c r="F1801" s="118" t="s">
        <v>8338</v>
      </c>
      <c r="G1801" s="286"/>
      <c r="H1801" s="119" t="s">
        <v>1079</v>
      </c>
      <c r="I1801" s="25" t="s">
        <v>6015</v>
      </c>
      <c r="J1801" s="287"/>
      <c r="K1801" s="123"/>
      <c r="L1801" s="25">
        <v>2019.0</v>
      </c>
      <c r="M1801" s="25">
        <f t="shared" si="789"/>
        <v>6</v>
      </c>
      <c r="N1801" s="26">
        <f t="shared" si="790"/>
        <v>0</v>
      </c>
      <c r="O1801" s="27" t="str">
        <f t="shared" si="3"/>
        <v>#N/A</v>
      </c>
      <c r="P1801" s="356"/>
      <c r="Q1801" s="356"/>
      <c r="R1801" s="356"/>
      <c r="S1801" s="356"/>
      <c r="T1801" s="356"/>
      <c r="U1801" s="356"/>
      <c r="V1801" s="30">
        <f t="shared" si="425"/>
        <v>0</v>
      </c>
      <c r="W1801" s="30"/>
      <c r="X1801" s="403"/>
      <c r="Y1801" s="33" t="str">
        <f t="shared" si="792"/>
        <v>#DIV/0!</v>
      </c>
      <c r="Z1801" s="692"/>
      <c r="AA1801" s="665"/>
      <c r="AB1801" s="123"/>
      <c r="AC1801" s="123"/>
      <c r="AD1801" s="124"/>
      <c r="AE1801" s="125"/>
      <c r="AF1801" s="166"/>
      <c r="AG1801" s="125"/>
      <c r="AH1801" s="123"/>
      <c r="AI1801" s="128"/>
      <c r="AJ1801" s="124"/>
      <c r="AK1801" s="125"/>
      <c r="AL1801" s="124"/>
      <c r="AM1801" s="125"/>
      <c r="AN1801" s="124"/>
      <c r="AO1801" s="125"/>
      <c r="AP1801" s="124"/>
      <c r="AQ1801" s="125"/>
      <c r="AR1801" s="124"/>
      <c r="AS1801" s="124"/>
      <c r="AT1801" s="124"/>
      <c r="AU1801" s="137"/>
      <c r="AV1801" s="124"/>
      <c r="AW1801" s="38"/>
      <c r="AX1801" s="124"/>
      <c r="AY1801" s="38"/>
      <c r="AZ1801" s="124"/>
      <c r="BA1801" s="137"/>
      <c r="BB1801" s="124"/>
      <c r="BC1801" s="137"/>
      <c r="BD1801" s="124"/>
      <c r="BE1801" s="38"/>
      <c r="BF1801" s="123"/>
      <c r="BG1801" s="68"/>
      <c r="BH1801" s="68"/>
      <c r="BI1801" s="68"/>
      <c r="BJ1801" s="68"/>
      <c r="BK1801" s="68"/>
      <c r="BL1801" s="68"/>
      <c r="BM1801" s="68"/>
      <c r="BN1801" s="68"/>
      <c r="BO1801" s="68"/>
      <c r="BP1801" s="68"/>
      <c r="BQ1801" s="68"/>
      <c r="BR1801" s="68"/>
      <c r="BS1801" s="68"/>
      <c r="BT1801" s="68"/>
      <c r="BU1801" s="68"/>
      <c r="BV1801" s="68"/>
      <c r="BW1801" s="68"/>
      <c r="BX1801" s="68"/>
      <c r="BY1801" s="68"/>
      <c r="BZ1801" s="68"/>
      <c r="CA1801" s="68"/>
      <c r="CB1801" s="68"/>
      <c r="CC1801" s="68"/>
      <c r="CD1801" s="68"/>
      <c r="CE1801" s="68"/>
      <c r="CF1801" s="68"/>
      <c r="CG1801" s="68"/>
      <c r="CH1801" s="68"/>
      <c r="CI1801" s="68"/>
      <c r="CJ1801" s="68"/>
      <c r="CK1801" s="68"/>
      <c r="CL1801" s="68"/>
      <c r="CM1801" s="68"/>
      <c r="CN1801" s="68"/>
      <c r="CO1801" s="68"/>
      <c r="CP1801" s="68"/>
    </row>
    <row r="1802" ht="15.75" customHeight="1">
      <c r="A1802" s="666" t="s">
        <v>8339</v>
      </c>
      <c r="B1802" s="115" t="s">
        <v>8340</v>
      </c>
      <c r="C1802" s="115" t="s">
        <v>755</v>
      </c>
      <c r="D1802" s="1434"/>
      <c r="E1802" s="667" t="s">
        <v>8341</v>
      </c>
      <c r="F1802" s="668" t="s">
        <v>8342</v>
      </c>
      <c r="G1802" s="286" t="s">
        <v>8343</v>
      </c>
      <c r="H1802" s="286" t="s">
        <v>187</v>
      </c>
      <c r="I1802" s="123" t="s">
        <v>1171</v>
      </c>
      <c r="J1802" s="287" t="s">
        <v>8344</v>
      </c>
      <c r="K1802" s="123">
        <v>2.0</v>
      </c>
      <c r="L1802" s="25">
        <v>2014.0</v>
      </c>
      <c r="M1802" s="25">
        <f t="shared" si="789"/>
        <v>11</v>
      </c>
      <c r="N1802" s="26">
        <f t="shared" si="790"/>
        <v>0</v>
      </c>
      <c r="O1802" s="27" t="str">
        <f t="shared" si="3"/>
        <v>#N/A</v>
      </c>
      <c r="P1802" s="55"/>
      <c r="Q1802" s="55"/>
      <c r="R1802" s="55"/>
      <c r="S1802" s="55"/>
      <c r="T1802" s="55"/>
      <c r="U1802" s="55"/>
      <c r="V1802" s="30">
        <f t="shared" si="425"/>
        <v>0</v>
      </c>
      <c r="W1802" s="30"/>
      <c r="X1802" s="403"/>
      <c r="Y1802" s="33" t="str">
        <f t="shared" si="792"/>
        <v>#DIV/0!</v>
      </c>
      <c r="Z1802" s="692"/>
      <c r="AA1802" s="665"/>
      <c r="AB1802" s="123"/>
      <c r="AC1802" s="123"/>
      <c r="AD1802" s="124"/>
      <c r="AE1802" s="125"/>
      <c r="AF1802" s="166"/>
      <c r="AG1802" s="125"/>
      <c r="AH1802" s="123"/>
      <c r="AI1802" s="128"/>
      <c r="AJ1802" s="124"/>
      <c r="AK1802" s="125"/>
      <c r="AL1802" s="124"/>
      <c r="AM1802" s="125"/>
      <c r="AN1802" s="124"/>
      <c r="AO1802" s="125"/>
      <c r="AP1802" s="124"/>
      <c r="AQ1802" s="125"/>
      <c r="AR1802" s="124"/>
      <c r="AS1802" s="124"/>
      <c r="AT1802" s="124"/>
      <c r="AU1802" s="137"/>
      <c r="AV1802" s="124"/>
      <c r="AW1802" s="38"/>
      <c r="AX1802" s="124"/>
      <c r="AY1802" s="38"/>
      <c r="AZ1802" s="124"/>
      <c r="BA1802" s="137"/>
      <c r="BB1802" s="124"/>
      <c r="BC1802" s="137"/>
      <c r="BD1802" s="124"/>
      <c r="BE1802" s="38"/>
      <c r="BF1802" s="123"/>
      <c r="BG1802" s="582"/>
      <c r="BH1802" s="582"/>
      <c r="BI1802" s="582"/>
      <c r="BJ1802" s="582"/>
      <c r="BK1802" s="582"/>
      <c r="BL1802" s="582"/>
      <c r="BM1802" s="582"/>
      <c r="BN1802" s="582"/>
      <c r="BO1802" s="582"/>
      <c r="BP1802" s="582"/>
      <c r="BQ1802" s="582"/>
      <c r="BR1802" s="582"/>
      <c r="BS1802" s="582"/>
      <c r="BT1802" s="582"/>
      <c r="BU1802" s="582"/>
      <c r="BV1802" s="582"/>
      <c r="BW1802" s="582"/>
      <c r="BX1802" s="582"/>
      <c r="BY1802" s="582"/>
      <c r="BZ1802" s="582"/>
      <c r="CA1802" s="582"/>
      <c r="CB1802" s="582"/>
      <c r="CC1802" s="582"/>
      <c r="CD1802" s="582"/>
      <c r="CE1802" s="582"/>
      <c r="CF1802" s="582"/>
      <c r="CG1802" s="582"/>
      <c r="CH1802" s="582"/>
      <c r="CI1802" s="582"/>
      <c r="CJ1802" s="582"/>
      <c r="CK1802" s="582"/>
      <c r="CL1802" s="582"/>
      <c r="CM1802" s="582"/>
      <c r="CN1802" s="582"/>
      <c r="CO1802" s="582"/>
      <c r="CP1802" s="582"/>
    </row>
    <row r="1803" ht="15.75" customHeight="1">
      <c r="A1803" s="1805" t="s">
        <v>8345</v>
      </c>
      <c r="B1803" s="1407"/>
      <c r="C1803" s="1463" t="s">
        <v>123</v>
      </c>
      <c r="D1803" s="1720" t="s">
        <v>4781</v>
      </c>
      <c r="E1803" s="1720" t="s">
        <v>4781</v>
      </c>
      <c r="F1803" s="1721" t="s">
        <v>8346</v>
      </c>
      <c r="G1803" s="1852" t="s">
        <v>8347</v>
      </c>
      <c r="H1803" s="1468" t="s">
        <v>8348</v>
      </c>
      <c r="I1803" s="1469" t="s">
        <v>1492</v>
      </c>
      <c r="J1803" s="1470" t="s">
        <v>8349</v>
      </c>
      <c r="K1803" s="1469">
        <v>1.0</v>
      </c>
      <c r="L1803" s="1469">
        <v>2019.0</v>
      </c>
      <c r="M1803" s="25">
        <f t="shared" si="789"/>
        <v>6</v>
      </c>
      <c r="N1803" s="26">
        <f t="shared" si="790"/>
        <v>0</v>
      </c>
      <c r="O1803" s="27" t="str">
        <f t="shared" si="3"/>
        <v>#N/A</v>
      </c>
      <c r="P1803" s="1847"/>
      <c r="Q1803" s="1847"/>
      <c r="R1803" s="1847"/>
      <c r="S1803" s="1847"/>
      <c r="T1803" s="1847"/>
      <c r="U1803" s="1847"/>
      <c r="V1803" s="30">
        <f t="shared" si="425"/>
        <v>0</v>
      </c>
      <c r="W1803" s="30"/>
      <c r="X1803" s="1473"/>
      <c r="Y1803" s="33" t="str">
        <f t="shared" si="792"/>
        <v>#DIV/0!</v>
      </c>
      <c r="Z1803" s="692"/>
      <c r="AA1803" s="665"/>
      <c r="AB1803" s="1474"/>
      <c r="AC1803" s="1474"/>
      <c r="AD1803" s="1482"/>
      <c r="AE1803" s="1717"/>
      <c r="AF1803" s="1722"/>
      <c r="AG1803" s="1717"/>
      <c r="AH1803" s="1474"/>
      <c r="AI1803" s="1479"/>
      <c r="AJ1803" s="1482"/>
      <c r="AK1803" s="1717"/>
      <c r="AL1803" s="1482"/>
      <c r="AM1803" s="1717"/>
      <c r="AN1803" s="1482"/>
      <c r="AO1803" s="1717"/>
      <c r="AP1803" s="1482"/>
      <c r="AQ1803" s="1717"/>
      <c r="AR1803" s="1482"/>
      <c r="AS1803" s="1482"/>
      <c r="AT1803" s="1482"/>
      <c r="AU1803" s="1483"/>
      <c r="AV1803" s="1482"/>
      <c r="AW1803" s="38"/>
      <c r="AX1803" s="1482"/>
      <c r="AY1803" s="38"/>
      <c r="AZ1803" s="1482"/>
      <c r="BA1803" s="1483"/>
      <c r="BB1803" s="1482"/>
      <c r="BC1803" s="1483"/>
      <c r="BD1803" s="1482"/>
      <c r="BE1803" s="38"/>
      <c r="BF1803" s="1474"/>
      <c r="BG1803" s="115"/>
      <c r="BH1803" s="115"/>
      <c r="BI1803" s="115"/>
      <c r="BJ1803" s="115"/>
      <c r="BK1803" s="115"/>
      <c r="BL1803" s="115"/>
      <c r="BM1803" s="115"/>
      <c r="BN1803" s="115"/>
      <c r="BO1803" s="115"/>
      <c r="BP1803" s="115"/>
      <c r="BQ1803" s="115"/>
      <c r="BR1803" s="115"/>
      <c r="BS1803" s="115"/>
      <c r="BT1803" s="115"/>
      <c r="BU1803" s="115"/>
      <c r="BV1803" s="115"/>
      <c r="BW1803" s="115"/>
      <c r="BX1803" s="115"/>
      <c r="BY1803" s="115"/>
      <c r="BZ1803" s="115"/>
      <c r="CA1803" s="115"/>
      <c r="CB1803" s="115"/>
      <c r="CC1803" s="115"/>
      <c r="CD1803" s="115"/>
      <c r="CE1803" s="115"/>
      <c r="CF1803" s="115"/>
      <c r="CG1803" s="115"/>
      <c r="CH1803" s="115"/>
      <c r="CI1803" s="115"/>
      <c r="CJ1803" s="115"/>
      <c r="CK1803" s="115"/>
      <c r="CL1803" s="115"/>
      <c r="CM1803" s="115"/>
      <c r="CN1803" s="115"/>
      <c r="CO1803" s="115"/>
      <c r="CP1803" s="115"/>
    </row>
    <row r="1804" ht="15.75" customHeight="1">
      <c r="A1804" s="860" t="s">
        <v>8350</v>
      </c>
      <c r="B1804" s="115"/>
      <c r="C1804" s="116" t="s">
        <v>207</v>
      </c>
      <c r="D1804" s="449"/>
      <c r="E1804" s="192" t="s">
        <v>8351</v>
      </c>
      <c r="F1804" s="118" t="s">
        <v>8352</v>
      </c>
      <c r="G1804" s="286"/>
      <c r="H1804" s="119" t="s">
        <v>129</v>
      </c>
      <c r="I1804" s="25" t="s">
        <v>129</v>
      </c>
      <c r="J1804" s="287"/>
      <c r="K1804" s="123"/>
      <c r="L1804" s="25">
        <v>2012.0</v>
      </c>
      <c r="M1804" s="25">
        <f t="shared" si="789"/>
        <v>13</v>
      </c>
      <c r="N1804" s="26">
        <f t="shared" si="790"/>
        <v>0</v>
      </c>
      <c r="O1804" s="27" t="str">
        <f t="shared" si="3"/>
        <v>#N/A</v>
      </c>
      <c r="P1804" s="55"/>
      <c r="Q1804" s="55"/>
      <c r="R1804" s="55"/>
      <c r="S1804" s="55"/>
      <c r="T1804" s="55"/>
      <c r="U1804" s="55"/>
      <c r="V1804" s="30">
        <f t="shared" si="425"/>
        <v>0</v>
      </c>
      <c r="W1804" s="30"/>
      <c r="X1804" s="403"/>
      <c r="Y1804" s="33" t="str">
        <f t="shared" si="792"/>
        <v>#DIV/0!</v>
      </c>
      <c r="Z1804" s="692"/>
      <c r="AA1804" s="665"/>
      <c r="AB1804" s="123"/>
      <c r="AC1804" s="123"/>
      <c r="AD1804" s="124"/>
      <c r="AE1804" s="125"/>
      <c r="AF1804" s="166"/>
      <c r="AG1804" s="125"/>
      <c r="AH1804" s="123"/>
      <c r="AI1804" s="128"/>
      <c r="AJ1804" s="124"/>
      <c r="AK1804" s="125"/>
      <c r="AL1804" s="124"/>
      <c r="AM1804" s="125"/>
      <c r="AN1804" s="124"/>
      <c r="AO1804" s="125"/>
      <c r="AP1804" s="124"/>
      <c r="AQ1804" s="125"/>
      <c r="AR1804" s="124"/>
      <c r="AS1804" s="124"/>
      <c r="AT1804" s="124"/>
      <c r="AU1804" s="137"/>
      <c r="AV1804" s="124"/>
      <c r="AW1804" s="38"/>
      <c r="AX1804" s="124"/>
      <c r="AY1804" s="38"/>
      <c r="AZ1804" s="124"/>
      <c r="BA1804" s="137"/>
      <c r="BB1804" s="124"/>
      <c r="BC1804" s="137"/>
      <c r="BD1804" s="124"/>
      <c r="BE1804" s="38"/>
      <c r="BF1804" s="123"/>
      <c r="BG1804" s="68"/>
      <c r="BH1804" s="68"/>
      <c r="BI1804" s="68"/>
      <c r="BJ1804" s="68"/>
      <c r="BK1804" s="68"/>
      <c r="BL1804" s="68"/>
      <c r="BM1804" s="68"/>
      <c r="BN1804" s="68"/>
      <c r="BO1804" s="68"/>
      <c r="BP1804" s="68"/>
      <c r="BQ1804" s="68"/>
      <c r="BR1804" s="68"/>
      <c r="BS1804" s="68"/>
      <c r="BT1804" s="68"/>
      <c r="BU1804" s="68"/>
      <c r="BV1804" s="68"/>
      <c r="BW1804" s="68"/>
      <c r="BX1804" s="68"/>
      <c r="BY1804" s="68"/>
      <c r="BZ1804" s="68"/>
      <c r="CA1804" s="68"/>
      <c r="CB1804" s="68"/>
      <c r="CC1804" s="68"/>
      <c r="CD1804" s="68"/>
      <c r="CE1804" s="68"/>
      <c r="CF1804" s="68"/>
      <c r="CG1804" s="68"/>
      <c r="CH1804" s="68"/>
      <c r="CI1804" s="68"/>
      <c r="CJ1804" s="68"/>
      <c r="CK1804" s="68"/>
      <c r="CL1804" s="68"/>
      <c r="CM1804" s="68"/>
      <c r="CN1804" s="68"/>
      <c r="CO1804" s="68"/>
      <c r="CP1804" s="68"/>
    </row>
    <row r="1805" ht="15.75" customHeight="1">
      <c r="A1805" s="47" t="s">
        <v>8353</v>
      </c>
      <c r="B1805" s="115"/>
      <c r="C1805" s="116" t="s">
        <v>132</v>
      </c>
      <c r="D1805" s="192" t="s">
        <v>8354</v>
      </c>
      <c r="E1805" s="388" t="s">
        <v>8355</v>
      </c>
      <c r="F1805" s="118" t="s">
        <v>8356</v>
      </c>
      <c r="G1805" s="286"/>
      <c r="H1805" s="119" t="s">
        <v>8357</v>
      </c>
      <c r="I1805" s="25" t="s">
        <v>1088</v>
      </c>
      <c r="J1805" s="287"/>
      <c r="K1805" s="25">
        <v>1.0</v>
      </c>
      <c r="L1805" s="25">
        <v>2020.0</v>
      </c>
      <c r="M1805" s="25">
        <f t="shared" si="789"/>
        <v>5</v>
      </c>
      <c r="N1805" s="26">
        <f t="shared" si="790"/>
        <v>0</v>
      </c>
      <c r="O1805" s="27" t="str">
        <f t="shared" si="3"/>
        <v>#N/A</v>
      </c>
      <c r="P1805" s="55"/>
      <c r="Q1805" s="55"/>
      <c r="R1805" s="55"/>
      <c r="S1805" s="55"/>
      <c r="T1805" s="55"/>
      <c r="U1805" s="55"/>
      <c r="V1805" s="30">
        <f t="shared" si="425"/>
        <v>0</v>
      </c>
      <c r="W1805" s="30"/>
      <c r="X1805" s="597"/>
      <c r="Y1805" s="33" t="str">
        <f t="shared" si="792"/>
        <v>#DIV/0!</v>
      </c>
      <c r="Z1805" s="692"/>
      <c r="AA1805" s="665"/>
      <c r="AB1805" s="123"/>
      <c r="AC1805" s="123"/>
      <c r="AD1805" s="124"/>
      <c r="AE1805" s="125"/>
      <c r="AF1805" s="166"/>
      <c r="AG1805" s="125"/>
      <c r="AH1805" s="123"/>
      <c r="AI1805" s="128"/>
      <c r="AJ1805" s="124"/>
      <c r="AK1805" s="125"/>
      <c r="AL1805" s="124"/>
      <c r="AM1805" s="125"/>
      <c r="AN1805" s="124"/>
      <c r="AO1805" s="125"/>
      <c r="AP1805" s="124"/>
      <c r="AQ1805" s="125"/>
      <c r="AR1805" s="124"/>
      <c r="AS1805" s="124"/>
      <c r="AT1805" s="124"/>
      <c r="AU1805" s="137"/>
      <c r="AV1805" s="124"/>
      <c r="AW1805" s="38"/>
      <c r="AX1805" s="124"/>
      <c r="AY1805" s="38"/>
      <c r="AZ1805" s="124"/>
      <c r="BA1805" s="137"/>
      <c r="BB1805" s="124"/>
      <c r="BC1805" s="137"/>
      <c r="BD1805" s="124"/>
      <c r="BE1805" s="38"/>
      <c r="BF1805" s="123"/>
      <c r="BG1805" s="68"/>
      <c r="BH1805" s="68"/>
      <c r="BI1805" s="68"/>
      <c r="BJ1805" s="68"/>
      <c r="BK1805" s="68"/>
      <c r="BL1805" s="68"/>
      <c r="BM1805" s="68"/>
      <c r="BN1805" s="68"/>
      <c r="BO1805" s="68"/>
      <c r="BP1805" s="68"/>
      <c r="BQ1805" s="68"/>
      <c r="BR1805" s="68"/>
      <c r="BS1805" s="68"/>
      <c r="BT1805" s="68"/>
      <c r="BU1805" s="68"/>
      <c r="BV1805" s="68"/>
      <c r="BW1805" s="68"/>
      <c r="BX1805" s="68"/>
      <c r="BY1805" s="68"/>
      <c r="BZ1805" s="68"/>
      <c r="CA1805" s="68"/>
      <c r="CB1805" s="68"/>
      <c r="CC1805" s="68"/>
      <c r="CD1805" s="68"/>
      <c r="CE1805" s="68"/>
      <c r="CF1805" s="68"/>
      <c r="CG1805" s="68"/>
      <c r="CH1805" s="68"/>
      <c r="CI1805" s="68"/>
      <c r="CJ1805" s="68"/>
      <c r="CK1805" s="68"/>
      <c r="CL1805" s="68"/>
      <c r="CM1805" s="68"/>
      <c r="CN1805" s="68"/>
      <c r="CO1805" s="68"/>
      <c r="CP1805" s="68"/>
    </row>
    <row r="1806" ht="15.75" customHeight="1">
      <c r="A1806" s="860" t="s">
        <v>8358</v>
      </c>
      <c r="B1806" s="115"/>
      <c r="C1806" s="116" t="s">
        <v>1007</v>
      </c>
      <c r="D1806" s="192" t="s">
        <v>8359</v>
      </c>
      <c r="E1806" s="192" t="s">
        <v>8360</v>
      </c>
      <c r="F1806" s="118" t="s">
        <v>8361</v>
      </c>
      <c r="G1806" s="286"/>
      <c r="H1806" s="119" t="s">
        <v>8362</v>
      </c>
      <c r="I1806" s="25" t="s">
        <v>1384</v>
      </c>
      <c r="J1806" s="287"/>
      <c r="K1806" s="123"/>
      <c r="L1806" s="25">
        <v>2016.0</v>
      </c>
      <c r="M1806" s="25">
        <f t="shared" si="789"/>
        <v>9</v>
      </c>
      <c r="N1806" s="26">
        <f t="shared" si="790"/>
        <v>0</v>
      </c>
      <c r="O1806" s="27" t="str">
        <f t="shared" si="3"/>
        <v>#N/A</v>
      </c>
      <c r="P1806" s="55"/>
      <c r="Q1806" s="55"/>
      <c r="R1806" s="55"/>
      <c r="S1806" s="55"/>
      <c r="T1806" s="55"/>
      <c r="U1806" s="55"/>
      <c r="V1806" s="30">
        <f t="shared" si="425"/>
        <v>0</v>
      </c>
      <c r="W1806" s="30"/>
      <c r="X1806" s="403"/>
      <c r="Y1806" s="33" t="str">
        <f t="shared" si="792"/>
        <v>#DIV/0!</v>
      </c>
      <c r="Z1806" s="692"/>
      <c r="AA1806" s="665"/>
      <c r="AB1806" s="123"/>
      <c r="AC1806" s="123"/>
      <c r="AD1806" s="124"/>
      <c r="AE1806" s="125"/>
      <c r="AF1806" s="166"/>
      <c r="AG1806" s="125"/>
      <c r="AH1806" s="123"/>
      <c r="AI1806" s="128"/>
      <c r="AJ1806" s="124"/>
      <c r="AK1806" s="125"/>
      <c r="AL1806" s="124"/>
      <c r="AM1806" s="125"/>
      <c r="AN1806" s="124"/>
      <c r="AO1806" s="125"/>
      <c r="AP1806" s="124"/>
      <c r="AQ1806" s="125"/>
      <c r="AR1806" s="124"/>
      <c r="AS1806" s="124"/>
      <c r="AT1806" s="124"/>
      <c r="AU1806" s="137"/>
      <c r="AV1806" s="124"/>
      <c r="AW1806" s="38"/>
      <c r="AX1806" s="124"/>
      <c r="AY1806" s="38"/>
      <c r="AZ1806" s="124"/>
      <c r="BA1806" s="137"/>
      <c r="BB1806" s="124"/>
      <c r="BC1806" s="137"/>
      <c r="BD1806" s="124"/>
      <c r="BE1806" s="38"/>
      <c r="BF1806" s="123"/>
      <c r="BG1806" s="68"/>
      <c r="BH1806" s="68"/>
      <c r="BI1806" s="68"/>
      <c r="BJ1806" s="68"/>
      <c r="BK1806" s="68"/>
      <c r="BL1806" s="68"/>
      <c r="BM1806" s="68"/>
      <c r="BN1806" s="68"/>
      <c r="BO1806" s="68"/>
      <c r="BP1806" s="68"/>
      <c r="BQ1806" s="68"/>
      <c r="BR1806" s="68"/>
      <c r="BS1806" s="68"/>
      <c r="BT1806" s="68"/>
      <c r="BU1806" s="68"/>
      <c r="BV1806" s="68"/>
      <c r="BW1806" s="68"/>
      <c r="BX1806" s="68"/>
      <c r="BY1806" s="68"/>
      <c r="BZ1806" s="68"/>
      <c r="CA1806" s="68"/>
      <c r="CB1806" s="68"/>
      <c r="CC1806" s="68"/>
      <c r="CD1806" s="68"/>
      <c r="CE1806" s="68"/>
      <c r="CF1806" s="68"/>
      <c r="CG1806" s="68"/>
      <c r="CH1806" s="68"/>
      <c r="CI1806" s="68"/>
      <c r="CJ1806" s="68"/>
      <c r="CK1806" s="68"/>
      <c r="CL1806" s="68"/>
      <c r="CM1806" s="68"/>
      <c r="CN1806" s="68"/>
      <c r="CO1806" s="68"/>
      <c r="CP1806" s="68"/>
    </row>
    <row r="1807" ht="15.75" customHeight="1">
      <c r="A1807" s="666" t="s">
        <v>8363</v>
      </c>
      <c r="B1807" s="115" t="s">
        <v>944</v>
      </c>
      <c r="C1807" s="116" t="s">
        <v>1007</v>
      </c>
      <c r="D1807" s="449"/>
      <c r="E1807" s="667" t="s">
        <v>8364</v>
      </c>
      <c r="F1807" s="668" t="s">
        <v>8365</v>
      </c>
      <c r="G1807" s="286" t="s">
        <v>8366</v>
      </c>
      <c r="H1807" s="286" t="s">
        <v>148</v>
      </c>
      <c r="I1807" s="123" t="s">
        <v>149</v>
      </c>
      <c r="J1807" s="287">
        <v>45249.0</v>
      </c>
      <c r="K1807" s="123" t="s">
        <v>723</v>
      </c>
      <c r="L1807" s="25">
        <v>1987.0</v>
      </c>
      <c r="M1807" s="25">
        <f t="shared" si="789"/>
        <v>38</v>
      </c>
      <c r="N1807" s="26">
        <f t="shared" si="790"/>
        <v>0</v>
      </c>
      <c r="O1807" s="27" t="str">
        <f t="shared" si="3"/>
        <v>#N/A</v>
      </c>
      <c r="P1807" s="55"/>
      <c r="Q1807" s="55"/>
      <c r="R1807" s="55"/>
      <c r="S1807" s="55"/>
      <c r="T1807" s="55"/>
      <c r="U1807" s="55"/>
      <c r="V1807" s="30">
        <f t="shared" si="425"/>
        <v>0</v>
      </c>
      <c r="W1807" s="30"/>
      <c r="X1807" s="403"/>
      <c r="Y1807" s="33" t="str">
        <f t="shared" si="792"/>
        <v>#DIV/0!</v>
      </c>
      <c r="Z1807" s="692"/>
      <c r="AA1807" s="665"/>
      <c r="AB1807" s="123"/>
      <c r="AC1807" s="123"/>
      <c r="AD1807" s="124"/>
      <c r="AE1807" s="125"/>
      <c r="AF1807" s="166"/>
      <c r="AG1807" s="125"/>
      <c r="AH1807" s="123"/>
      <c r="AI1807" s="128"/>
      <c r="AJ1807" s="124"/>
      <c r="AK1807" s="125"/>
      <c r="AL1807" s="124"/>
      <c r="AM1807" s="125"/>
      <c r="AN1807" s="124"/>
      <c r="AO1807" s="125"/>
      <c r="AP1807" s="124"/>
      <c r="AQ1807" s="125"/>
      <c r="AR1807" s="124"/>
      <c r="AS1807" s="124"/>
      <c r="AT1807" s="124"/>
      <c r="AU1807" s="137"/>
      <c r="AV1807" s="124"/>
      <c r="AW1807" s="38"/>
      <c r="AX1807" s="124"/>
      <c r="AY1807" s="38"/>
      <c r="AZ1807" s="124"/>
      <c r="BA1807" s="137"/>
      <c r="BB1807" s="124"/>
      <c r="BC1807" s="137"/>
      <c r="BD1807" s="124"/>
      <c r="BE1807" s="38"/>
      <c r="BF1807" s="123"/>
      <c r="BG1807" s="115"/>
      <c r="BH1807" s="115"/>
      <c r="BI1807" s="115"/>
      <c r="BJ1807" s="115"/>
      <c r="BK1807" s="115"/>
      <c r="BL1807" s="115"/>
      <c r="BM1807" s="115"/>
      <c r="BN1807" s="115"/>
      <c r="BO1807" s="115"/>
      <c r="BP1807" s="115"/>
      <c r="BQ1807" s="115"/>
      <c r="BR1807" s="115"/>
      <c r="BS1807" s="115"/>
      <c r="BT1807" s="115"/>
      <c r="BU1807" s="115"/>
      <c r="BV1807" s="115"/>
      <c r="BW1807" s="115"/>
      <c r="BX1807" s="115"/>
      <c r="BY1807" s="115"/>
      <c r="BZ1807" s="115"/>
      <c r="CA1807" s="115"/>
      <c r="CB1807" s="115"/>
      <c r="CC1807" s="115"/>
      <c r="CD1807" s="115"/>
      <c r="CE1807" s="115"/>
      <c r="CF1807" s="115"/>
      <c r="CG1807" s="115"/>
      <c r="CH1807" s="115"/>
      <c r="CI1807" s="115"/>
      <c r="CJ1807" s="115"/>
      <c r="CK1807" s="115"/>
      <c r="CL1807" s="115"/>
      <c r="CM1807" s="115"/>
      <c r="CN1807" s="115"/>
      <c r="CO1807" s="115"/>
      <c r="CP1807" s="115"/>
    </row>
    <row r="1808" ht="15.75" customHeight="1">
      <c r="A1808" s="1805" t="s">
        <v>8367</v>
      </c>
      <c r="B1808" s="1407"/>
      <c r="C1808" s="1463" t="s">
        <v>123</v>
      </c>
      <c r="D1808" s="1855" t="s">
        <v>4781</v>
      </c>
      <c r="E1808" s="1855" t="s">
        <v>4781</v>
      </c>
      <c r="F1808" s="1721" t="s">
        <v>8368</v>
      </c>
      <c r="G1808" s="1467" t="s">
        <v>8369</v>
      </c>
      <c r="H1808" s="1468" t="s">
        <v>128</v>
      </c>
      <c r="I1808" s="1469" t="s">
        <v>129</v>
      </c>
      <c r="J1808" s="1470" t="s">
        <v>1245</v>
      </c>
      <c r="K1808" s="1474"/>
      <c r="L1808" s="1469"/>
      <c r="M1808" s="25">
        <f t="shared" si="789"/>
        <v>2025</v>
      </c>
      <c r="N1808" s="26">
        <f t="shared" si="790"/>
        <v>0</v>
      </c>
      <c r="O1808" s="27" t="str">
        <f t="shared" si="3"/>
        <v>#N/A</v>
      </c>
      <c r="P1808" s="1847"/>
      <c r="Q1808" s="1847"/>
      <c r="R1808" s="1847"/>
      <c r="S1808" s="1847"/>
      <c r="T1808" s="1847"/>
      <c r="U1808" s="1847"/>
      <c r="V1808" s="30">
        <f t="shared" si="425"/>
        <v>0</v>
      </c>
      <c r="W1808" s="30"/>
      <c r="X1808" s="1736"/>
      <c r="Y1808" s="33" t="str">
        <f t="shared" si="792"/>
        <v>#DIV/0!</v>
      </c>
      <c r="Z1808" s="692"/>
      <c r="AA1808" s="665"/>
      <c r="AB1808" s="1474"/>
      <c r="AC1808" s="1474"/>
      <c r="AD1808" s="1482"/>
      <c r="AE1808" s="1717"/>
      <c r="AF1808" s="1722"/>
      <c r="AG1808" s="1717"/>
      <c r="AH1808" s="1474"/>
      <c r="AI1808" s="1479"/>
      <c r="AJ1808" s="1482"/>
      <c r="AK1808" s="1717"/>
      <c r="AL1808" s="1482"/>
      <c r="AM1808" s="1717"/>
      <c r="AN1808" s="1482"/>
      <c r="AO1808" s="1717"/>
      <c r="AP1808" s="1482"/>
      <c r="AQ1808" s="1717"/>
      <c r="AR1808" s="1482"/>
      <c r="AS1808" s="1482"/>
      <c r="AT1808" s="1482"/>
      <c r="AU1808" s="1483"/>
      <c r="AV1808" s="1482"/>
      <c r="AW1808" s="38"/>
      <c r="AX1808" s="1482"/>
      <c r="AY1808" s="38"/>
      <c r="AZ1808" s="1482"/>
      <c r="BA1808" s="1483"/>
      <c r="BB1808" s="1482"/>
      <c r="BC1808" s="1483"/>
      <c r="BD1808" s="1482"/>
      <c r="BE1808" s="38"/>
      <c r="BF1808" s="1474"/>
      <c r="BG1808" s="115"/>
      <c r="BH1808" s="115"/>
      <c r="BI1808" s="115"/>
      <c r="BJ1808" s="115"/>
      <c r="BK1808" s="115"/>
      <c r="BL1808" s="115"/>
      <c r="BM1808" s="115"/>
      <c r="BN1808" s="115"/>
      <c r="BO1808" s="115"/>
      <c r="BP1808" s="115"/>
      <c r="BQ1808" s="115"/>
      <c r="BR1808" s="115"/>
      <c r="BS1808" s="115"/>
      <c r="BT1808" s="115"/>
      <c r="BU1808" s="115"/>
      <c r="BV1808" s="115"/>
      <c r="BW1808" s="115"/>
      <c r="BX1808" s="115"/>
      <c r="BY1808" s="115"/>
      <c r="BZ1808" s="115"/>
      <c r="CA1808" s="115"/>
      <c r="CB1808" s="115"/>
      <c r="CC1808" s="115"/>
      <c r="CD1808" s="115"/>
      <c r="CE1808" s="115"/>
      <c r="CF1808" s="115"/>
      <c r="CG1808" s="115"/>
      <c r="CH1808" s="115"/>
      <c r="CI1808" s="115"/>
      <c r="CJ1808" s="115"/>
      <c r="CK1808" s="115"/>
      <c r="CL1808" s="115"/>
      <c r="CM1808" s="115"/>
      <c r="CN1808" s="115"/>
      <c r="CO1808" s="115"/>
      <c r="CP1808" s="115"/>
    </row>
    <row r="1809" ht="15.75" customHeight="1">
      <c r="A1809" s="860" t="s">
        <v>8370</v>
      </c>
      <c r="B1809" s="115"/>
      <c r="C1809" s="694" t="s">
        <v>1007</v>
      </c>
      <c r="D1809" s="192" t="s">
        <v>8371</v>
      </c>
      <c r="E1809" s="192" t="s">
        <v>8372</v>
      </c>
      <c r="F1809" s="118" t="s">
        <v>8373</v>
      </c>
      <c r="G1809" s="286"/>
      <c r="H1809" s="119" t="s">
        <v>1616</v>
      </c>
      <c r="I1809" s="25" t="s">
        <v>518</v>
      </c>
      <c r="J1809" s="287"/>
      <c r="K1809" s="123"/>
      <c r="L1809" s="25">
        <v>2013.0</v>
      </c>
      <c r="M1809" s="25">
        <f t="shared" si="789"/>
        <v>12</v>
      </c>
      <c r="N1809" s="26">
        <f t="shared" si="790"/>
        <v>0</v>
      </c>
      <c r="O1809" s="27" t="str">
        <f t="shared" si="3"/>
        <v>#N/A</v>
      </c>
      <c r="P1809" s="55"/>
      <c r="Q1809" s="55"/>
      <c r="R1809" s="55"/>
      <c r="S1809" s="55"/>
      <c r="T1809" s="55"/>
      <c r="U1809" s="55"/>
      <c r="V1809" s="30">
        <f t="shared" si="425"/>
        <v>0</v>
      </c>
      <c r="W1809" s="30"/>
      <c r="X1809" s="403"/>
      <c r="Y1809" s="33" t="str">
        <f t="shared" si="792"/>
        <v>#DIV/0!</v>
      </c>
      <c r="Z1809" s="692"/>
      <c r="AA1809" s="665"/>
      <c r="AB1809" s="123"/>
      <c r="AC1809" s="123"/>
      <c r="AD1809" s="124"/>
      <c r="AE1809" s="125"/>
      <c r="AF1809" s="166"/>
      <c r="AG1809" s="125"/>
      <c r="AH1809" s="123"/>
      <c r="AI1809" s="128"/>
      <c r="AJ1809" s="124"/>
      <c r="AK1809" s="125"/>
      <c r="AL1809" s="124"/>
      <c r="AM1809" s="125"/>
      <c r="AN1809" s="124"/>
      <c r="AO1809" s="125"/>
      <c r="AP1809" s="124"/>
      <c r="AQ1809" s="125"/>
      <c r="AR1809" s="124"/>
      <c r="AS1809" s="124"/>
      <c r="AT1809" s="124"/>
      <c r="AU1809" s="137"/>
      <c r="AV1809" s="124"/>
      <c r="AW1809" s="38"/>
      <c r="AX1809" s="124"/>
      <c r="AY1809" s="38"/>
      <c r="AZ1809" s="124"/>
      <c r="BA1809" s="137"/>
      <c r="BB1809" s="124"/>
      <c r="BC1809" s="137"/>
      <c r="BD1809" s="124"/>
      <c r="BE1809" s="38"/>
      <c r="BF1809" s="123"/>
      <c r="BG1809" s="115"/>
      <c r="BH1809" s="115"/>
      <c r="BI1809" s="115"/>
      <c r="BJ1809" s="115"/>
      <c r="BK1809" s="115"/>
      <c r="BL1809" s="115"/>
      <c r="BM1809" s="115"/>
      <c r="BN1809" s="115"/>
      <c r="BO1809" s="115"/>
      <c r="BP1809" s="115"/>
      <c r="BQ1809" s="115"/>
      <c r="BR1809" s="115"/>
      <c r="BS1809" s="115"/>
      <c r="BT1809" s="115"/>
      <c r="BU1809" s="115"/>
      <c r="BV1809" s="115"/>
      <c r="BW1809" s="115"/>
      <c r="BX1809" s="115"/>
      <c r="BY1809" s="115"/>
      <c r="BZ1809" s="115"/>
      <c r="CA1809" s="115"/>
      <c r="CB1809" s="115"/>
      <c r="CC1809" s="115"/>
      <c r="CD1809" s="115"/>
      <c r="CE1809" s="115"/>
      <c r="CF1809" s="115"/>
      <c r="CG1809" s="115"/>
      <c r="CH1809" s="115"/>
      <c r="CI1809" s="115"/>
      <c r="CJ1809" s="115"/>
      <c r="CK1809" s="115"/>
      <c r="CL1809" s="115"/>
      <c r="CM1809" s="115"/>
      <c r="CN1809" s="115"/>
      <c r="CO1809" s="115"/>
      <c r="CP1809" s="115"/>
    </row>
    <row r="1810" ht="15.75" customHeight="1">
      <c r="A1810" s="860" t="s">
        <v>8374</v>
      </c>
      <c r="B1810" s="115"/>
      <c r="C1810" s="694" t="s">
        <v>1007</v>
      </c>
      <c r="D1810" s="192" t="s">
        <v>8375</v>
      </c>
      <c r="E1810" s="48"/>
      <c r="F1810" s="118" t="s">
        <v>8376</v>
      </c>
      <c r="G1810" s="286"/>
      <c r="H1810" s="119" t="s">
        <v>8377</v>
      </c>
      <c r="I1810" s="25" t="s">
        <v>8378</v>
      </c>
      <c r="J1810" s="287"/>
      <c r="K1810" s="123"/>
      <c r="L1810" s="25">
        <v>1997.0</v>
      </c>
      <c r="M1810" s="25">
        <f t="shared" si="789"/>
        <v>28</v>
      </c>
      <c r="N1810" s="26">
        <f t="shared" si="790"/>
        <v>0</v>
      </c>
      <c r="O1810" s="27" t="str">
        <f t="shared" si="3"/>
        <v>#N/A</v>
      </c>
      <c r="P1810" s="55"/>
      <c r="Q1810" s="55"/>
      <c r="R1810" s="55"/>
      <c r="S1810" s="55"/>
      <c r="T1810" s="55"/>
      <c r="U1810" s="55"/>
      <c r="V1810" s="30">
        <f t="shared" si="425"/>
        <v>0</v>
      </c>
      <c r="W1810" s="30"/>
      <c r="X1810" s="403"/>
      <c r="Y1810" s="33" t="str">
        <f t="shared" si="792"/>
        <v>#DIV/0!</v>
      </c>
      <c r="Z1810" s="692"/>
      <c r="AA1810" s="665"/>
      <c r="AB1810" s="123"/>
      <c r="AC1810" s="123"/>
      <c r="AD1810" s="124"/>
      <c r="AE1810" s="125"/>
      <c r="AF1810" s="166"/>
      <c r="AG1810" s="125"/>
      <c r="AH1810" s="123"/>
      <c r="AI1810" s="128"/>
      <c r="AJ1810" s="124"/>
      <c r="AK1810" s="125"/>
      <c r="AL1810" s="124"/>
      <c r="AM1810" s="125"/>
      <c r="AN1810" s="124"/>
      <c r="AO1810" s="125"/>
      <c r="AP1810" s="124"/>
      <c r="AQ1810" s="125"/>
      <c r="AR1810" s="124"/>
      <c r="AS1810" s="124"/>
      <c r="AT1810" s="124"/>
      <c r="AU1810" s="137"/>
      <c r="AV1810" s="124"/>
      <c r="AW1810" s="38"/>
      <c r="AX1810" s="124"/>
      <c r="AY1810" s="38"/>
      <c r="AZ1810" s="124"/>
      <c r="BA1810" s="137"/>
      <c r="BB1810" s="124"/>
      <c r="BC1810" s="137"/>
      <c r="BD1810" s="124"/>
      <c r="BE1810" s="38"/>
      <c r="BF1810" s="123"/>
      <c r="BG1810" s="115"/>
      <c r="BH1810" s="115"/>
      <c r="BI1810" s="115"/>
      <c r="BJ1810" s="115"/>
      <c r="BK1810" s="115"/>
      <c r="BL1810" s="115"/>
      <c r="BM1810" s="115"/>
      <c r="BN1810" s="115"/>
      <c r="BO1810" s="115"/>
      <c r="BP1810" s="115"/>
      <c r="BQ1810" s="115"/>
      <c r="BR1810" s="115"/>
      <c r="BS1810" s="115"/>
      <c r="BT1810" s="115"/>
      <c r="BU1810" s="115"/>
      <c r="BV1810" s="115"/>
      <c r="BW1810" s="115"/>
      <c r="BX1810" s="115"/>
      <c r="BY1810" s="115"/>
      <c r="BZ1810" s="115"/>
      <c r="CA1810" s="115"/>
      <c r="CB1810" s="115"/>
      <c r="CC1810" s="115"/>
      <c r="CD1810" s="115"/>
      <c r="CE1810" s="115"/>
      <c r="CF1810" s="115"/>
      <c r="CG1810" s="115"/>
      <c r="CH1810" s="115"/>
      <c r="CI1810" s="115"/>
      <c r="CJ1810" s="115"/>
      <c r="CK1810" s="115"/>
      <c r="CL1810" s="115"/>
      <c r="CM1810" s="115"/>
      <c r="CN1810" s="115"/>
      <c r="CO1810" s="115"/>
      <c r="CP1810" s="115"/>
    </row>
    <row r="1811" ht="15.75" customHeight="1">
      <c r="A1811" s="666" t="s">
        <v>8379</v>
      </c>
      <c r="B1811" s="115" t="s">
        <v>944</v>
      </c>
      <c r="C1811" s="694" t="s">
        <v>1007</v>
      </c>
      <c r="D1811" s="1434"/>
      <c r="E1811" s="667" t="s">
        <v>8380</v>
      </c>
      <c r="F1811" s="668" t="s">
        <v>8381</v>
      </c>
      <c r="G1811" s="286" t="s">
        <v>8382</v>
      </c>
      <c r="H1811" s="286" t="s">
        <v>8383</v>
      </c>
      <c r="I1811" s="123" t="s">
        <v>959</v>
      </c>
      <c r="J1811" s="287">
        <v>97526.0</v>
      </c>
      <c r="K1811" s="123" t="s">
        <v>723</v>
      </c>
      <c r="L1811" s="25">
        <v>2009.0</v>
      </c>
      <c r="M1811" s="25">
        <f t="shared" si="789"/>
        <v>16</v>
      </c>
      <c r="N1811" s="26">
        <f t="shared" si="790"/>
        <v>0</v>
      </c>
      <c r="O1811" s="27" t="str">
        <f t="shared" si="3"/>
        <v>#N/A</v>
      </c>
      <c r="P1811" s="55"/>
      <c r="Q1811" s="55"/>
      <c r="R1811" s="55"/>
      <c r="S1811" s="55"/>
      <c r="T1811" s="55"/>
      <c r="U1811" s="55"/>
      <c r="V1811" s="30">
        <f t="shared" si="425"/>
        <v>0</v>
      </c>
      <c r="W1811" s="30"/>
      <c r="X1811" s="403"/>
      <c r="Y1811" s="33" t="str">
        <f t="shared" si="792"/>
        <v>#DIV/0!</v>
      </c>
      <c r="Z1811" s="692"/>
      <c r="AA1811" s="665"/>
      <c r="AB1811" s="123"/>
      <c r="AC1811" s="123"/>
      <c r="AD1811" s="124"/>
      <c r="AE1811" s="125"/>
      <c r="AF1811" s="166"/>
      <c r="AG1811" s="125"/>
      <c r="AH1811" s="123"/>
      <c r="AI1811" s="128"/>
      <c r="AJ1811" s="124"/>
      <c r="AK1811" s="125"/>
      <c r="AL1811" s="124"/>
      <c r="AM1811" s="125"/>
      <c r="AN1811" s="124"/>
      <c r="AO1811" s="125"/>
      <c r="AP1811" s="124"/>
      <c r="AQ1811" s="125"/>
      <c r="AR1811" s="124"/>
      <c r="AS1811" s="124"/>
      <c r="AT1811" s="124"/>
      <c r="AU1811" s="137"/>
      <c r="AV1811" s="124"/>
      <c r="AW1811" s="38"/>
      <c r="AX1811" s="124"/>
      <c r="AY1811" s="38"/>
      <c r="AZ1811" s="124"/>
      <c r="BA1811" s="137"/>
      <c r="BB1811" s="124"/>
      <c r="BC1811" s="137"/>
      <c r="BD1811" s="124"/>
      <c r="BE1811" s="38"/>
      <c r="BF1811" s="123"/>
      <c r="BG1811" s="115"/>
      <c r="BH1811" s="115"/>
      <c r="BI1811" s="115"/>
      <c r="BJ1811" s="115"/>
      <c r="BK1811" s="115"/>
      <c r="BL1811" s="115"/>
      <c r="BM1811" s="115"/>
      <c r="BN1811" s="115"/>
      <c r="BO1811" s="115"/>
      <c r="BP1811" s="115"/>
      <c r="BQ1811" s="115"/>
      <c r="BR1811" s="115"/>
      <c r="BS1811" s="115"/>
      <c r="BT1811" s="115"/>
      <c r="BU1811" s="115"/>
      <c r="BV1811" s="115"/>
      <c r="BW1811" s="115"/>
      <c r="BX1811" s="115"/>
      <c r="BY1811" s="115"/>
      <c r="BZ1811" s="115"/>
      <c r="CA1811" s="115"/>
      <c r="CB1811" s="115"/>
      <c r="CC1811" s="115"/>
      <c r="CD1811" s="115"/>
      <c r="CE1811" s="115"/>
      <c r="CF1811" s="115"/>
      <c r="CG1811" s="115"/>
      <c r="CH1811" s="115"/>
      <c r="CI1811" s="115"/>
      <c r="CJ1811" s="115"/>
      <c r="CK1811" s="115"/>
      <c r="CL1811" s="115"/>
      <c r="CM1811" s="115"/>
      <c r="CN1811" s="115"/>
      <c r="CO1811" s="115"/>
      <c r="CP1811" s="115"/>
    </row>
    <row r="1812" ht="15.75" customHeight="1">
      <c r="A1812" s="21" t="s">
        <v>8384</v>
      </c>
      <c r="B1812" s="68"/>
      <c r="C1812" s="69" t="s">
        <v>1007</v>
      </c>
      <c r="D1812" s="192" t="s">
        <v>8385</v>
      </c>
      <c r="E1812" s="192" t="s">
        <v>8386</v>
      </c>
      <c r="F1812" s="118" t="s">
        <v>8387</v>
      </c>
      <c r="G1812" s="186"/>
      <c r="H1812" s="71" t="s">
        <v>129</v>
      </c>
      <c r="I1812" s="26" t="s">
        <v>129</v>
      </c>
      <c r="J1812" s="155"/>
      <c r="K1812" s="74"/>
      <c r="L1812" s="26">
        <v>2015.0</v>
      </c>
      <c r="M1812" s="25">
        <f t="shared" si="789"/>
        <v>10</v>
      </c>
      <c r="N1812" s="26">
        <f t="shared" si="790"/>
        <v>0</v>
      </c>
      <c r="O1812" s="27" t="str">
        <f t="shared" si="3"/>
        <v>#N/A</v>
      </c>
      <c r="P1812" s="273"/>
      <c r="Q1812" s="273"/>
      <c r="R1812" s="273"/>
      <c r="S1812" s="273"/>
      <c r="T1812" s="273"/>
      <c r="U1812" s="273"/>
      <c r="V1812" s="30">
        <f t="shared" si="425"/>
        <v>0</v>
      </c>
      <c r="W1812" s="30"/>
      <c r="X1812" s="32"/>
      <c r="Y1812" s="33" t="str">
        <f t="shared" si="792"/>
        <v>#DIV/0!</v>
      </c>
      <c r="Z1812" s="692"/>
      <c r="AA1812" s="665"/>
      <c r="AB1812" s="74"/>
      <c r="AC1812" s="74"/>
      <c r="AD1812" s="79"/>
      <c r="AE1812" s="84"/>
      <c r="AF1812" s="338"/>
      <c r="AG1812" s="84"/>
      <c r="AH1812" s="74"/>
      <c r="AI1812" s="78"/>
      <c r="AJ1812" s="79"/>
      <c r="AK1812" s="84"/>
      <c r="AL1812" s="79"/>
      <c r="AM1812" s="84"/>
      <c r="AN1812" s="79"/>
      <c r="AO1812" s="84"/>
      <c r="AP1812" s="79"/>
      <c r="AQ1812" s="84"/>
      <c r="AR1812" s="79"/>
      <c r="AS1812" s="79"/>
      <c r="AT1812" s="79"/>
      <c r="AU1812" s="80"/>
      <c r="AV1812" s="79"/>
      <c r="AW1812" s="38"/>
      <c r="AX1812" s="79"/>
      <c r="AY1812" s="38"/>
      <c r="AZ1812" s="79"/>
      <c r="BA1812" s="80"/>
      <c r="BB1812" s="79"/>
      <c r="BC1812" s="80"/>
      <c r="BD1812" s="79"/>
      <c r="BE1812" s="38"/>
      <c r="BF1812" s="74"/>
      <c r="BG1812" s="115"/>
      <c r="BH1812" s="115"/>
      <c r="BI1812" s="115"/>
      <c r="BJ1812" s="115"/>
      <c r="BK1812" s="115"/>
      <c r="BL1812" s="115"/>
      <c r="BM1812" s="115"/>
      <c r="BN1812" s="115"/>
      <c r="BO1812" s="115"/>
      <c r="BP1812" s="115"/>
      <c r="BQ1812" s="115"/>
      <c r="BR1812" s="115"/>
      <c r="BS1812" s="115"/>
      <c r="BT1812" s="115"/>
      <c r="BU1812" s="115"/>
      <c r="BV1812" s="115"/>
      <c r="BW1812" s="115"/>
      <c r="BX1812" s="115"/>
      <c r="BY1812" s="115"/>
      <c r="BZ1812" s="115"/>
      <c r="CA1812" s="115"/>
      <c r="CB1812" s="115"/>
      <c r="CC1812" s="115"/>
      <c r="CD1812" s="115"/>
      <c r="CE1812" s="115"/>
      <c r="CF1812" s="115"/>
      <c r="CG1812" s="115"/>
      <c r="CH1812" s="115"/>
      <c r="CI1812" s="115"/>
      <c r="CJ1812" s="115"/>
      <c r="CK1812" s="115"/>
      <c r="CL1812" s="115"/>
      <c r="CM1812" s="115"/>
      <c r="CN1812" s="115"/>
      <c r="CO1812" s="115"/>
      <c r="CP1812" s="115"/>
    </row>
    <row r="1813" ht="15.75" customHeight="1">
      <c r="A1813" s="1719" t="s">
        <v>8388</v>
      </c>
      <c r="B1813" s="1407"/>
      <c r="C1813" s="1463" t="s">
        <v>1007</v>
      </c>
      <c r="D1813" s="1720" t="s">
        <v>4781</v>
      </c>
      <c r="E1813" s="1720" t="s">
        <v>4781</v>
      </c>
      <c r="F1813" s="1753" t="s">
        <v>8389</v>
      </c>
      <c r="G1813" s="1735"/>
      <c r="H1813" s="1735"/>
      <c r="I1813" s="1474"/>
      <c r="J1813" s="1856"/>
      <c r="K1813" s="1474" t="s">
        <v>723</v>
      </c>
      <c r="L1813" s="1474" t="s">
        <v>723</v>
      </c>
      <c r="M1813" s="25" t="str">
        <f t="shared" si="789"/>
        <v>#VALUE!</v>
      </c>
      <c r="N1813" s="26">
        <f t="shared" si="790"/>
        <v>0</v>
      </c>
      <c r="O1813" s="27" t="str">
        <f t="shared" si="3"/>
        <v>#N/A</v>
      </c>
      <c r="P1813" s="1847"/>
      <c r="Q1813" s="1847"/>
      <c r="R1813" s="1847"/>
      <c r="S1813" s="1847"/>
      <c r="T1813" s="1847"/>
      <c r="U1813" s="1847"/>
      <c r="V1813" s="30">
        <f t="shared" si="425"/>
        <v>0</v>
      </c>
      <c r="W1813" s="30"/>
      <c r="X1813" s="1736"/>
      <c r="Y1813" s="33" t="str">
        <f t="shared" si="792"/>
        <v>#DIV/0!</v>
      </c>
      <c r="Z1813" s="692"/>
      <c r="AA1813" s="665"/>
      <c r="AB1813" s="1474"/>
      <c r="AC1813" s="1474"/>
      <c r="AD1813" s="1482"/>
      <c r="AE1813" s="1717"/>
      <c r="AF1813" s="1722"/>
      <c r="AG1813" s="1717"/>
      <c r="AH1813" s="1474"/>
      <c r="AI1813" s="1479"/>
      <c r="AJ1813" s="1482"/>
      <c r="AK1813" s="1717"/>
      <c r="AL1813" s="1482"/>
      <c r="AM1813" s="1717"/>
      <c r="AN1813" s="1482"/>
      <c r="AO1813" s="1717"/>
      <c r="AP1813" s="1482"/>
      <c r="AQ1813" s="1717"/>
      <c r="AR1813" s="1482"/>
      <c r="AS1813" s="1482"/>
      <c r="AT1813" s="1482"/>
      <c r="AU1813" s="1483"/>
      <c r="AV1813" s="1482"/>
      <c r="AW1813" s="38"/>
      <c r="AX1813" s="1482"/>
      <c r="AY1813" s="38"/>
      <c r="AZ1813" s="1482"/>
      <c r="BA1813" s="1483"/>
      <c r="BB1813" s="1482"/>
      <c r="BC1813" s="1483"/>
      <c r="BD1813" s="1482"/>
      <c r="BE1813" s="38"/>
      <c r="BF1813" s="1474"/>
      <c r="BG1813" s="115"/>
      <c r="BH1813" s="115"/>
      <c r="BI1813" s="115"/>
      <c r="BJ1813" s="115"/>
      <c r="BK1813" s="115"/>
      <c r="BL1813" s="115"/>
      <c r="BM1813" s="115"/>
      <c r="BN1813" s="115"/>
      <c r="BO1813" s="115"/>
      <c r="BP1813" s="115"/>
      <c r="BQ1813" s="115"/>
      <c r="BR1813" s="115"/>
      <c r="BS1813" s="115"/>
      <c r="BT1813" s="115"/>
      <c r="BU1813" s="115"/>
      <c r="BV1813" s="115"/>
      <c r="BW1813" s="115"/>
      <c r="BX1813" s="115"/>
      <c r="BY1813" s="115"/>
      <c r="BZ1813" s="115"/>
      <c r="CA1813" s="115"/>
      <c r="CB1813" s="115"/>
      <c r="CC1813" s="115"/>
      <c r="CD1813" s="115"/>
      <c r="CE1813" s="115"/>
      <c r="CF1813" s="115"/>
      <c r="CG1813" s="115"/>
      <c r="CH1813" s="115"/>
      <c r="CI1813" s="115"/>
      <c r="CJ1813" s="115"/>
      <c r="CK1813" s="115"/>
      <c r="CL1813" s="115"/>
      <c r="CM1813" s="115"/>
      <c r="CN1813" s="115"/>
      <c r="CO1813" s="115"/>
      <c r="CP1813" s="115"/>
    </row>
    <row r="1814" ht="15.75" customHeight="1">
      <c r="A1814" s="442" t="s">
        <v>8390</v>
      </c>
      <c r="B1814" s="68"/>
      <c r="C1814" s="858" t="s">
        <v>1007</v>
      </c>
      <c r="D1814" s="184" t="s">
        <v>8391</v>
      </c>
      <c r="E1814" s="184" t="s">
        <v>8392</v>
      </c>
      <c r="F1814" s="185" t="s">
        <v>8393</v>
      </c>
      <c r="G1814" s="186" t="s">
        <v>8394</v>
      </c>
      <c r="H1814" s="186" t="s">
        <v>394</v>
      </c>
      <c r="I1814" s="74" t="s">
        <v>395</v>
      </c>
      <c r="J1814" s="155">
        <v>30326.0</v>
      </c>
      <c r="K1814" s="74">
        <v>1.0</v>
      </c>
      <c r="L1814" s="26">
        <v>1989.0</v>
      </c>
      <c r="M1814" s="25">
        <f t="shared" si="789"/>
        <v>36</v>
      </c>
      <c r="N1814" s="26">
        <f t="shared" si="790"/>
        <v>0</v>
      </c>
      <c r="O1814" s="27" t="str">
        <f t="shared" si="3"/>
        <v>#N/A</v>
      </c>
      <c r="P1814" s="273"/>
      <c r="Q1814" s="273"/>
      <c r="R1814" s="273"/>
      <c r="S1814" s="273"/>
      <c r="T1814" s="273"/>
      <c r="U1814" s="273"/>
      <c r="V1814" s="30">
        <f t="shared" si="425"/>
        <v>0</v>
      </c>
      <c r="W1814" s="30"/>
      <c r="X1814" s="32"/>
      <c r="Y1814" s="33" t="str">
        <f t="shared" si="792"/>
        <v>#DIV/0!</v>
      </c>
      <c r="Z1814" s="692"/>
      <c r="AA1814" s="665"/>
      <c r="AB1814" s="74"/>
      <c r="AC1814" s="74"/>
      <c r="AD1814" s="79"/>
      <c r="AE1814" s="84"/>
      <c r="AF1814" s="338"/>
      <c r="AG1814" s="84"/>
      <c r="AH1814" s="74"/>
      <c r="AI1814" s="78"/>
      <c r="AJ1814" s="79"/>
      <c r="AK1814" s="84"/>
      <c r="AL1814" s="79"/>
      <c r="AM1814" s="84"/>
      <c r="AN1814" s="79"/>
      <c r="AO1814" s="84"/>
      <c r="AP1814" s="79"/>
      <c r="AQ1814" s="84"/>
      <c r="AR1814" s="79"/>
      <c r="AS1814" s="79"/>
      <c r="AT1814" s="79"/>
      <c r="AU1814" s="80"/>
      <c r="AV1814" s="79"/>
      <c r="AW1814" s="38"/>
      <c r="AX1814" s="79"/>
      <c r="AY1814" s="38"/>
      <c r="AZ1814" s="79"/>
      <c r="BA1814" s="80"/>
      <c r="BB1814" s="79"/>
      <c r="BC1814" s="80"/>
      <c r="BD1814" s="79"/>
      <c r="BE1814" s="38"/>
      <c r="BF1814" s="74"/>
      <c r="BG1814" s="115"/>
      <c r="BH1814" s="115"/>
      <c r="BI1814" s="115"/>
      <c r="BJ1814" s="115"/>
      <c r="BK1814" s="115"/>
      <c r="BL1814" s="115"/>
      <c r="BM1814" s="115"/>
      <c r="BN1814" s="115"/>
      <c r="BO1814" s="115"/>
      <c r="BP1814" s="115"/>
      <c r="BQ1814" s="115"/>
      <c r="BR1814" s="115"/>
      <c r="BS1814" s="115"/>
      <c r="BT1814" s="115"/>
      <c r="BU1814" s="115"/>
      <c r="BV1814" s="115"/>
      <c r="BW1814" s="115"/>
      <c r="BX1814" s="115"/>
      <c r="BY1814" s="115"/>
      <c r="BZ1814" s="115"/>
      <c r="CA1814" s="115"/>
      <c r="CB1814" s="115"/>
      <c r="CC1814" s="115"/>
      <c r="CD1814" s="115"/>
      <c r="CE1814" s="115"/>
      <c r="CF1814" s="115"/>
      <c r="CG1814" s="115"/>
      <c r="CH1814" s="115"/>
      <c r="CI1814" s="115"/>
      <c r="CJ1814" s="115"/>
      <c r="CK1814" s="115"/>
      <c r="CL1814" s="115"/>
      <c r="CM1814" s="115"/>
      <c r="CN1814" s="115"/>
      <c r="CO1814" s="115"/>
      <c r="CP1814" s="115"/>
    </row>
    <row r="1815" ht="15.75" customHeight="1">
      <c r="A1815" s="462" t="s">
        <v>8395</v>
      </c>
      <c r="B1815" s="16"/>
      <c r="C1815" s="1495" t="s">
        <v>123</v>
      </c>
      <c r="D1815" s="236" t="s">
        <v>8396</v>
      </c>
      <c r="E1815" s="236" t="s">
        <v>8397</v>
      </c>
      <c r="F1815" s="20" t="s">
        <v>8398</v>
      </c>
      <c r="G1815" s="317"/>
      <c r="H1815" s="22" t="s">
        <v>129</v>
      </c>
      <c r="I1815" s="23" t="s">
        <v>129</v>
      </c>
      <c r="J1815" s="237"/>
      <c r="K1815" s="36"/>
      <c r="L1815" s="23">
        <v>2016.0</v>
      </c>
      <c r="M1815" s="25">
        <f t="shared" si="789"/>
        <v>9</v>
      </c>
      <c r="N1815" s="26">
        <f t="shared" si="790"/>
        <v>0</v>
      </c>
      <c r="O1815" s="27" t="str">
        <f t="shared" si="3"/>
        <v>#N/A</v>
      </c>
      <c r="P1815" s="464"/>
      <c r="Q1815" s="464"/>
      <c r="R1815" s="464"/>
      <c r="S1815" s="464"/>
      <c r="T1815" s="464"/>
      <c r="U1815" s="464"/>
      <c r="V1815" s="30">
        <f t="shared" si="425"/>
        <v>0</v>
      </c>
      <c r="W1815" s="30"/>
      <c r="X1815" s="847"/>
      <c r="Y1815" s="33" t="str">
        <f t="shared" si="792"/>
        <v>#DIV/0!</v>
      </c>
      <c r="Z1815" s="692"/>
      <c r="AA1815" s="665"/>
      <c r="AB1815" s="36"/>
      <c r="AC1815" s="36"/>
      <c r="AD1815" s="44"/>
      <c r="AE1815" s="46"/>
      <c r="AF1815" s="39"/>
      <c r="AG1815" s="887"/>
      <c r="AH1815" s="36"/>
      <c r="AI1815" s="159"/>
      <c r="AJ1815" s="44"/>
      <c r="AK1815" s="46"/>
      <c r="AL1815" s="44"/>
      <c r="AM1815" s="46"/>
      <c r="AN1815" s="44"/>
      <c r="AO1815" s="46"/>
      <c r="AP1815" s="44"/>
      <c r="AQ1815" s="46"/>
      <c r="AR1815" s="44"/>
      <c r="AS1815" s="44"/>
      <c r="AT1815" s="44"/>
      <c r="AU1815" s="45"/>
      <c r="AV1815" s="44"/>
      <c r="AW1815" s="38"/>
      <c r="AX1815" s="44"/>
      <c r="AY1815" s="38"/>
      <c r="AZ1815" s="44"/>
      <c r="BA1815" s="45"/>
      <c r="BB1815" s="44"/>
      <c r="BC1815" s="45"/>
      <c r="BD1815" s="44"/>
      <c r="BE1815" s="38"/>
      <c r="BF1815" s="36"/>
      <c r="BG1815" s="115"/>
      <c r="BH1815" s="115"/>
      <c r="BI1815" s="115"/>
      <c r="BJ1815" s="115"/>
      <c r="BK1815" s="115"/>
      <c r="BL1815" s="115"/>
      <c r="BM1815" s="115"/>
      <c r="BN1815" s="115"/>
      <c r="BO1815" s="115"/>
      <c r="BP1815" s="115"/>
      <c r="BQ1815" s="115"/>
      <c r="BR1815" s="115"/>
      <c r="BS1815" s="115"/>
      <c r="BT1815" s="115"/>
      <c r="BU1815" s="115"/>
      <c r="BV1815" s="115"/>
      <c r="BW1815" s="115"/>
      <c r="BX1815" s="115"/>
      <c r="BY1815" s="115"/>
      <c r="BZ1815" s="115"/>
      <c r="CA1815" s="115"/>
      <c r="CB1815" s="115"/>
      <c r="CC1815" s="115"/>
      <c r="CD1815" s="115"/>
      <c r="CE1815" s="115"/>
      <c r="CF1815" s="115"/>
      <c r="CG1815" s="115"/>
      <c r="CH1815" s="115"/>
      <c r="CI1815" s="115"/>
      <c r="CJ1815" s="115"/>
      <c r="CK1815" s="115"/>
      <c r="CL1815" s="115"/>
      <c r="CM1815" s="115"/>
      <c r="CN1815" s="115"/>
      <c r="CO1815" s="115"/>
      <c r="CP1815" s="115"/>
    </row>
    <row r="1816" ht="15.75" customHeight="1">
      <c r="A1816" s="860" t="s">
        <v>8399</v>
      </c>
      <c r="B1816" s="115"/>
      <c r="C1816" s="116" t="s">
        <v>123</v>
      </c>
      <c r="D1816" s="192" t="s">
        <v>8400</v>
      </c>
      <c r="E1816" s="192" t="s">
        <v>8401</v>
      </c>
      <c r="F1816" s="118" t="s">
        <v>8402</v>
      </c>
      <c r="G1816" s="286"/>
      <c r="H1816" s="119" t="s">
        <v>1272</v>
      </c>
      <c r="I1816" s="25" t="s">
        <v>65</v>
      </c>
      <c r="J1816" s="287"/>
      <c r="K1816" s="123"/>
      <c r="L1816" s="25">
        <v>2015.0</v>
      </c>
      <c r="M1816" s="25">
        <f t="shared" si="789"/>
        <v>10</v>
      </c>
      <c r="N1816" s="26">
        <f t="shared" si="790"/>
        <v>0</v>
      </c>
      <c r="O1816" s="27" t="str">
        <f t="shared" si="3"/>
        <v>#N/A</v>
      </c>
      <c r="P1816" s="55"/>
      <c r="Q1816" s="55"/>
      <c r="R1816" s="55"/>
      <c r="S1816" s="55"/>
      <c r="T1816" s="55"/>
      <c r="U1816" s="55"/>
      <c r="V1816" s="30">
        <f t="shared" si="425"/>
        <v>0</v>
      </c>
      <c r="W1816" s="30"/>
      <c r="X1816" s="403"/>
      <c r="Y1816" s="33" t="str">
        <f t="shared" si="792"/>
        <v>#DIV/0!</v>
      </c>
      <c r="Z1816" s="692"/>
      <c r="AA1816" s="665"/>
      <c r="AB1816" s="123"/>
      <c r="AC1816" s="123"/>
      <c r="AD1816" s="124"/>
      <c r="AE1816" s="125"/>
      <c r="AF1816" s="166"/>
      <c r="AG1816" s="125"/>
      <c r="AH1816" s="123"/>
      <c r="AI1816" s="128"/>
      <c r="AJ1816" s="124"/>
      <c r="AK1816" s="125"/>
      <c r="AL1816" s="124"/>
      <c r="AM1816" s="125"/>
      <c r="AN1816" s="124"/>
      <c r="AO1816" s="125"/>
      <c r="AP1816" s="124"/>
      <c r="AQ1816" s="125"/>
      <c r="AR1816" s="124"/>
      <c r="AS1816" s="124"/>
      <c r="AT1816" s="124"/>
      <c r="AU1816" s="137"/>
      <c r="AV1816" s="124"/>
      <c r="AW1816" s="38"/>
      <c r="AX1816" s="124"/>
      <c r="AY1816" s="38"/>
      <c r="AZ1816" s="124"/>
      <c r="BA1816" s="137"/>
      <c r="BB1816" s="124"/>
      <c r="BC1816" s="137"/>
      <c r="BD1816" s="124"/>
      <c r="BE1816" s="38"/>
      <c r="BF1816" s="123"/>
      <c r="BG1816" s="115"/>
      <c r="BH1816" s="115"/>
      <c r="BI1816" s="115"/>
      <c r="BJ1816" s="115"/>
      <c r="BK1816" s="115"/>
      <c r="BL1816" s="115"/>
      <c r="BM1816" s="115"/>
      <c r="BN1816" s="115"/>
      <c r="BO1816" s="115"/>
      <c r="BP1816" s="115"/>
      <c r="BQ1816" s="115"/>
      <c r="BR1816" s="115"/>
      <c r="BS1816" s="115"/>
      <c r="BT1816" s="115"/>
      <c r="BU1816" s="115"/>
      <c r="BV1816" s="115"/>
      <c r="BW1816" s="115"/>
      <c r="BX1816" s="115"/>
      <c r="BY1816" s="115"/>
      <c r="BZ1816" s="115"/>
      <c r="CA1816" s="115"/>
      <c r="CB1816" s="115"/>
      <c r="CC1816" s="115"/>
      <c r="CD1816" s="115"/>
      <c r="CE1816" s="115"/>
      <c r="CF1816" s="115"/>
      <c r="CG1816" s="115"/>
      <c r="CH1816" s="115"/>
      <c r="CI1816" s="115"/>
      <c r="CJ1816" s="115"/>
      <c r="CK1816" s="115"/>
      <c r="CL1816" s="115"/>
      <c r="CM1816" s="115"/>
      <c r="CN1816" s="115"/>
      <c r="CO1816" s="115"/>
      <c r="CP1816" s="115"/>
    </row>
    <row r="1817" ht="15.75" customHeight="1">
      <c r="A1817" s="860" t="s">
        <v>8403</v>
      </c>
      <c r="B1817" s="68"/>
      <c r="C1817" s="69" t="s">
        <v>5200</v>
      </c>
      <c r="D1817" s="337"/>
      <c r="E1817" s="192" t="s">
        <v>2434</v>
      </c>
      <c r="F1817" s="118" t="s">
        <v>8404</v>
      </c>
      <c r="G1817" s="186"/>
      <c r="H1817" s="71" t="s">
        <v>371</v>
      </c>
      <c r="I1817" s="26" t="s">
        <v>372</v>
      </c>
      <c r="J1817" s="155"/>
      <c r="K1817" s="74"/>
      <c r="L1817" s="26">
        <v>2013.0</v>
      </c>
      <c r="M1817" s="25">
        <f t="shared" si="789"/>
        <v>12</v>
      </c>
      <c r="N1817" s="26">
        <f t="shared" si="790"/>
        <v>0</v>
      </c>
      <c r="O1817" s="27" t="str">
        <f t="shared" si="3"/>
        <v>#N/A</v>
      </c>
      <c r="P1817" s="273"/>
      <c r="Q1817" s="273"/>
      <c r="R1817" s="273"/>
      <c r="S1817" s="273"/>
      <c r="T1817" s="273"/>
      <c r="U1817" s="273"/>
      <c r="V1817" s="30">
        <f t="shared" si="425"/>
        <v>0</v>
      </c>
      <c r="W1817" s="30"/>
      <c r="X1817" s="32"/>
      <c r="Y1817" s="33" t="str">
        <f t="shared" si="792"/>
        <v>#DIV/0!</v>
      </c>
      <c r="Z1817" s="692"/>
      <c r="AA1817" s="665"/>
      <c r="AB1817" s="74"/>
      <c r="AC1817" s="74"/>
      <c r="AD1817" s="79"/>
      <c r="AE1817" s="84"/>
      <c r="AF1817" s="338"/>
      <c r="AG1817" s="894"/>
      <c r="AH1817" s="74"/>
      <c r="AI1817" s="78"/>
      <c r="AJ1817" s="79"/>
      <c r="AK1817" s="84"/>
      <c r="AL1817" s="79"/>
      <c r="AM1817" s="84"/>
      <c r="AN1817" s="79"/>
      <c r="AO1817" s="84"/>
      <c r="AP1817" s="79"/>
      <c r="AQ1817" s="84"/>
      <c r="AR1817" s="79"/>
      <c r="AS1817" s="79"/>
      <c r="AT1817" s="79"/>
      <c r="AU1817" s="80"/>
      <c r="AV1817" s="79"/>
      <c r="AW1817" s="38"/>
      <c r="AX1817" s="79"/>
      <c r="AY1817" s="38"/>
      <c r="AZ1817" s="79"/>
      <c r="BA1817" s="80"/>
      <c r="BB1817" s="79"/>
      <c r="BC1817" s="80"/>
      <c r="BD1817" s="79"/>
      <c r="BE1817" s="38"/>
      <c r="BF1817" s="74"/>
      <c r="BG1817" s="115"/>
      <c r="BH1817" s="115"/>
      <c r="BI1817" s="115"/>
      <c r="BJ1817" s="115"/>
      <c r="BK1817" s="115"/>
      <c r="BL1817" s="115"/>
      <c r="BM1817" s="115"/>
      <c r="BN1817" s="115"/>
      <c r="BO1817" s="115"/>
      <c r="BP1817" s="115"/>
      <c r="BQ1817" s="115"/>
      <c r="BR1817" s="115"/>
      <c r="BS1817" s="115"/>
      <c r="BT1817" s="115"/>
      <c r="BU1817" s="115"/>
      <c r="BV1817" s="115"/>
      <c r="BW1817" s="115"/>
      <c r="BX1817" s="115"/>
      <c r="BY1817" s="115"/>
      <c r="BZ1817" s="115"/>
      <c r="CA1817" s="115"/>
      <c r="CB1817" s="115"/>
      <c r="CC1817" s="115"/>
      <c r="CD1817" s="115"/>
      <c r="CE1817" s="115"/>
      <c r="CF1817" s="115"/>
      <c r="CG1817" s="115"/>
      <c r="CH1817" s="115"/>
      <c r="CI1817" s="115"/>
      <c r="CJ1817" s="115"/>
      <c r="CK1817" s="115"/>
      <c r="CL1817" s="115"/>
      <c r="CM1817" s="115"/>
      <c r="CN1817" s="115"/>
      <c r="CO1817" s="115"/>
      <c r="CP1817" s="115"/>
    </row>
    <row r="1818" ht="15.75" customHeight="1">
      <c r="A1818" s="860" t="s">
        <v>8405</v>
      </c>
      <c r="B1818" s="115"/>
      <c r="C1818" s="116" t="s">
        <v>276</v>
      </c>
      <c r="D1818" s="161" t="s">
        <v>8406</v>
      </c>
      <c r="E1818" s="449"/>
      <c r="F1818" s="118" t="s">
        <v>8407</v>
      </c>
      <c r="G1818" s="54" t="s">
        <v>8408</v>
      </c>
      <c r="H1818" s="119" t="s">
        <v>8409</v>
      </c>
      <c r="I1818" s="25" t="s">
        <v>149</v>
      </c>
      <c r="J1818" s="178" t="s">
        <v>150</v>
      </c>
      <c r="K1818" s="25">
        <v>2.0</v>
      </c>
      <c r="L1818" s="25">
        <v>2020.0</v>
      </c>
      <c r="M1818" s="25">
        <f t="shared" si="789"/>
        <v>5</v>
      </c>
      <c r="N1818" s="26">
        <f t="shared" si="790"/>
        <v>0</v>
      </c>
      <c r="O1818" s="27" t="str">
        <f t="shared" si="3"/>
        <v>#N/A</v>
      </c>
      <c r="P1818" s="55"/>
      <c r="Q1818" s="55"/>
      <c r="R1818" s="55"/>
      <c r="S1818" s="55"/>
      <c r="T1818" s="55"/>
      <c r="U1818" s="55"/>
      <c r="V1818" s="30">
        <f t="shared" si="425"/>
        <v>0</v>
      </c>
      <c r="W1818" s="30"/>
      <c r="X1818" s="597"/>
      <c r="Y1818" s="33" t="str">
        <f t="shared" si="792"/>
        <v>#DIV/0!</v>
      </c>
      <c r="Z1818" s="692"/>
      <c r="AA1818" s="665"/>
      <c r="AB1818" s="123"/>
      <c r="AC1818" s="123"/>
      <c r="AD1818" s="124"/>
      <c r="AE1818" s="125"/>
      <c r="AF1818" s="166"/>
      <c r="AG1818" s="1857"/>
      <c r="AH1818" s="123"/>
      <c r="AI1818" s="128"/>
      <c r="AJ1818" s="124"/>
      <c r="AK1818" s="125"/>
      <c r="AL1818" s="124"/>
      <c r="AM1818" s="125"/>
      <c r="AN1818" s="124"/>
      <c r="AO1818" s="125"/>
      <c r="AP1818" s="124"/>
      <c r="AQ1818" s="125"/>
      <c r="AR1818" s="124"/>
      <c r="AS1818" s="124"/>
      <c r="AT1818" s="124"/>
      <c r="AU1818" s="137"/>
      <c r="AV1818" s="124"/>
      <c r="AW1818" s="38"/>
      <c r="AX1818" s="124"/>
      <c r="AY1818" s="38"/>
      <c r="AZ1818" s="124"/>
      <c r="BA1818" s="137"/>
      <c r="BB1818" s="124"/>
      <c r="BC1818" s="137"/>
      <c r="BD1818" s="124"/>
      <c r="BE1818" s="38"/>
      <c r="BF1818" s="123"/>
      <c r="BG1818" s="115"/>
      <c r="BH1818" s="115"/>
      <c r="BI1818" s="115"/>
      <c r="BJ1818" s="115"/>
      <c r="BK1818" s="115"/>
      <c r="BL1818" s="115"/>
      <c r="BM1818" s="115"/>
      <c r="BN1818" s="115"/>
      <c r="BO1818" s="115"/>
      <c r="BP1818" s="115"/>
      <c r="BQ1818" s="115"/>
      <c r="BR1818" s="115"/>
      <c r="BS1818" s="115"/>
      <c r="BT1818" s="115"/>
      <c r="BU1818" s="115"/>
      <c r="BV1818" s="115"/>
      <c r="BW1818" s="115"/>
      <c r="BX1818" s="115"/>
      <c r="BY1818" s="115"/>
      <c r="BZ1818" s="115"/>
      <c r="CA1818" s="115"/>
      <c r="CB1818" s="115"/>
      <c r="CC1818" s="115"/>
      <c r="CD1818" s="115"/>
      <c r="CE1818" s="115"/>
      <c r="CF1818" s="115"/>
      <c r="CG1818" s="115"/>
      <c r="CH1818" s="115"/>
      <c r="CI1818" s="115"/>
      <c r="CJ1818" s="115"/>
      <c r="CK1818" s="115"/>
      <c r="CL1818" s="115"/>
      <c r="CM1818" s="115"/>
      <c r="CN1818" s="115"/>
      <c r="CO1818" s="115"/>
      <c r="CP1818" s="115"/>
    </row>
    <row r="1819" ht="15.75" customHeight="1">
      <c r="A1819" s="860" t="s">
        <v>8410</v>
      </c>
      <c r="B1819" s="68"/>
      <c r="C1819" s="116" t="s">
        <v>123</v>
      </c>
      <c r="D1819" s="337"/>
      <c r="E1819" s="192" t="s">
        <v>8411</v>
      </c>
      <c r="F1819" s="118" t="s">
        <v>8412</v>
      </c>
      <c r="G1819" s="186"/>
      <c r="H1819" s="71" t="s">
        <v>673</v>
      </c>
      <c r="I1819" s="26" t="s">
        <v>674</v>
      </c>
      <c r="J1819" s="155"/>
      <c r="K1819" s="74"/>
      <c r="L1819" s="26"/>
      <c r="M1819" s="25">
        <f t="shared" si="789"/>
        <v>2025</v>
      </c>
      <c r="N1819" s="26">
        <f t="shared" si="790"/>
        <v>0</v>
      </c>
      <c r="O1819" s="27" t="str">
        <f t="shared" si="3"/>
        <v>#N/A</v>
      </c>
      <c r="P1819" s="273"/>
      <c r="Q1819" s="273"/>
      <c r="R1819" s="273"/>
      <c r="S1819" s="273"/>
      <c r="T1819" s="273"/>
      <c r="U1819" s="273"/>
      <c r="V1819" s="30">
        <f t="shared" si="425"/>
        <v>0</v>
      </c>
      <c r="W1819" s="30"/>
      <c r="X1819" s="32"/>
      <c r="Y1819" s="33" t="str">
        <f t="shared" si="792"/>
        <v>#DIV/0!</v>
      </c>
      <c r="Z1819" s="692"/>
      <c r="AA1819" s="665"/>
      <c r="AB1819" s="74"/>
      <c r="AC1819" s="74"/>
      <c r="AD1819" s="79"/>
      <c r="AE1819" s="84"/>
      <c r="AF1819" s="338"/>
      <c r="AG1819" s="894"/>
      <c r="AH1819" s="74"/>
      <c r="AI1819" s="78"/>
      <c r="AJ1819" s="79"/>
      <c r="AK1819" s="84"/>
      <c r="AL1819" s="79"/>
      <c r="AM1819" s="84"/>
      <c r="AN1819" s="79"/>
      <c r="AO1819" s="84"/>
      <c r="AP1819" s="79"/>
      <c r="AQ1819" s="84"/>
      <c r="AR1819" s="79"/>
      <c r="AS1819" s="79"/>
      <c r="AT1819" s="79"/>
      <c r="AU1819" s="80"/>
      <c r="AV1819" s="79"/>
      <c r="AW1819" s="38"/>
      <c r="AX1819" s="79"/>
      <c r="AY1819" s="38"/>
      <c r="AZ1819" s="79"/>
      <c r="BA1819" s="80"/>
      <c r="BB1819" s="79"/>
      <c r="BC1819" s="80"/>
      <c r="BD1819" s="79"/>
      <c r="BE1819" s="38"/>
      <c r="BF1819" s="74"/>
      <c r="BG1819" s="115"/>
      <c r="BH1819" s="115"/>
      <c r="BI1819" s="115"/>
      <c r="BJ1819" s="115"/>
      <c r="BK1819" s="115"/>
      <c r="BL1819" s="115"/>
      <c r="BM1819" s="115"/>
      <c r="BN1819" s="115"/>
      <c r="BO1819" s="115"/>
      <c r="BP1819" s="115"/>
      <c r="BQ1819" s="115"/>
      <c r="BR1819" s="115"/>
      <c r="BS1819" s="115"/>
      <c r="BT1819" s="115"/>
      <c r="BU1819" s="115"/>
      <c r="BV1819" s="115"/>
      <c r="BW1819" s="115"/>
      <c r="BX1819" s="115"/>
      <c r="BY1819" s="115"/>
      <c r="BZ1819" s="115"/>
      <c r="CA1819" s="115"/>
      <c r="CB1819" s="115"/>
      <c r="CC1819" s="115"/>
      <c r="CD1819" s="115"/>
      <c r="CE1819" s="115"/>
      <c r="CF1819" s="115"/>
      <c r="CG1819" s="115"/>
      <c r="CH1819" s="115"/>
      <c r="CI1819" s="115"/>
      <c r="CJ1819" s="115"/>
      <c r="CK1819" s="115"/>
      <c r="CL1819" s="115"/>
      <c r="CM1819" s="115"/>
      <c r="CN1819" s="115"/>
      <c r="CO1819" s="115"/>
      <c r="CP1819" s="115"/>
    </row>
    <row r="1820" ht="15.75" customHeight="1">
      <c r="A1820" s="1524" t="s">
        <v>8413</v>
      </c>
      <c r="B1820" s="760"/>
      <c r="C1820" s="824" t="s">
        <v>513</v>
      </c>
      <c r="D1820" s="1685"/>
      <c r="E1820" s="1685"/>
      <c r="F1820" s="826" t="s">
        <v>8414</v>
      </c>
      <c r="G1820" s="1245"/>
      <c r="H1820" s="1245"/>
      <c r="I1820" s="831"/>
      <c r="J1820" s="829"/>
      <c r="K1820" s="831"/>
      <c r="L1820" s="830"/>
      <c r="M1820" s="25">
        <f t="shared" si="789"/>
        <v>2025</v>
      </c>
      <c r="N1820" s="26">
        <f t="shared" si="790"/>
        <v>0</v>
      </c>
      <c r="O1820" s="27" t="str">
        <f t="shared" si="3"/>
        <v>#N/A</v>
      </c>
      <c r="P1820" s="1858"/>
      <c r="Q1820" s="1858"/>
      <c r="R1820" s="1858"/>
      <c r="S1820" s="1858"/>
      <c r="T1820" s="1858"/>
      <c r="U1820" s="1858"/>
      <c r="V1820" s="30">
        <f t="shared" si="425"/>
        <v>0</v>
      </c>
      <c r="W1820" s="30"/>
      <c r="X1820" s="1526"/>
      <c r="Y1820" s="33" t="str">
        <f t="shared" si="792"/>
        <v>#DIV/0!</v>
      </c>
      <c r="Z1820" s="692"/>
      <c r="AA1820" s="665"/>
      <c r="AB1820" s="831"/>
      <c r="AC1820" s="831"/>
      <c r="AD1820" s="1859"/>
      <c r="AE1820" s="1860"/>
      <c r="AF1820" s="1686"/>
      <c r="AG1820" s="1861"/>
      <c r="AH1820" s="831"/>
      <c r="AI1820" s="835"/>
      <c r="AJ1820" s="832"/>
      <c r="AK1820" s="833"/>
      <c r="AL1820" s="832"/>
      <c r="AM1820" s="833"/>
      <c r="AN1820" s="832"/>
      <c r="AO1820" s="833"/>
      <c r="AP1820" s="832"/>
      <c r="AQ1820" s="833"/>
      <c r="AR1820" s="832"/>
      <c r="AS1820" s="832"/>
      <c r="AT1820" s="832"/>
      <c r="AU1820" s="838"/>
      <c r="AV1820" s="832"/>
      <c r="AW1820" s="38"/>
      <c r="AX1820" s="832"/>
      <c r="AY1820" s="38"/>
      <c r="AZ1820" s="832"/>
      <c r="BA1820" s="838"/>
      <c r="BB1820" s="832"/>
      <c r="BC1820" s="838"/>
      <c r="BD1820" s="832"/>
      <c r="BE1820" s="38"/>
      <c r="BF1820" s="831"/>
      <c r="BG1820" s="115"/>
      <c r="BH1820" s="115"/>
      <c r="BI1820" s="115"/>
      <c r="BJ1820" s="115"/>
      <c r="BK1820" s="115"/>
      <c r="BL1820" s="115"/>
      <c r="BM1820" s="115"/>
      <c r="BN1820" s="115"/>
      <c r="BO1820" s="115"/>
      <c r="BP1820" s="115"/>
      <c r="BQ1820" s="115"/>
      <c r="BR1820" s="115"/>
      <c r="BS1820" s="115"/>
      <c r="BT1820" s="115"/>
      <c r="BU1820" s="115"/>
      <c r="BV1820" s="115"/>
      <c r="BW1820" s="115"/>
      <c r="BX1820" s="115"/>
      <c r="BY1820" s="115"/>
      <c r="BZ1820" s="115"/>
      <c r="CA1820" s="115"/>
      <c r="CB1820" s="115"/>
      <c r="CC1820" s="115"/>
      <c r="CD1820" s="115"/>
      <c r="CE1820" s="115"/>
      <c r="CF1820" s="115"/>
      <c r="CG1820" s="115"/>
      <c r="CH1820" s="115"/>
      <c r="CI1820" s="115"/>
      <c r="CJ1820" s="115"/>
      <c r="CK1820" s="115"/>
      <c r="CL1820" s="115"/>
      <c r="CM1820" s="115"/>
      <c r="CN1820" s="115"/>
      <c r="CO1820" s="115"/>
      <c r="CP1820" s="115"/>
    </row>
    <row r="1821" ht="15.75" customHeight="1">
      <c r="A1821" s="860" t="s">
        <v>8415</v>
      </c>
      <c r="B1821" s="68"/>
      <c r="C1821" s="858" t="s">
        <v>123</v>
      </c>
      <c r="D1821" s="337"/>
      <c r="E1821" s="192" t="s">
        <v>8416</v>
      </c>
      <c r="F1821" s="118" t="s">
        <v>8417</v>
      </c>
      <c r="G1821" s="186"/>
      <c r="H1821" s="71" t="s">
        <v>381</v>
      </c>
      <c r="I1821" s="26" t="s">
        <v>65</v>
      </c>
      <c r="J1821" s="155"/>
      <c r="K1821" s="74"/>
      <c r="L1821" s="26">
        <v>2015.0</v>
      </c>
      <c r="M1821" s="25">
        <f t="shared" si="789"/>
        <v>10</v>
      </c>
      <c r="N1821" s="26">
        <f t="shared" si="790"/>
        <v>0</v>
      </c>
      <c r="O1821" s="27" t="str">
        <f t="shared" si="3"/>
        <v>#N/A</v>
      </c>
      <c r="P1821" s="273"/>
      <c r="Q1821" s="273"/>
      <c r="R1821" s="273"/>
      <c r="S1821" s="273"/>
      <c r="T1821" s="273"/>
      <c r="U1821" s="273"/>
      <c r="V1821" s="30">
        <f t="shared" si="425"/>
        <v>0</v>
      </c>
      <c r="W1821" s="30"/>
      <c r="X1821" s="32"/>
      <c r="Y1821" s="33" t="str">
        <f t="shared" si="792"/>
        <v>#DIV/0!</v>
      </c>
      <c r="Z1821" s="692"/>
      <c r="AA1821" s="665"/>
      <c r="AB1821" s="74"/>
      <c r="AC1821" s="74"/>
      <c r="AD1821" s="79"/>
      <c r="AE1821" s="84"/>
      <c r="AF1821" s="39"/>
      <c r="AG1821" s="894"/>
      <c r="AH1821" s="74"/>
      <c r="AI1821" s="78"/>
      <c r="AJ1821" s="79"/>
      <c r="AK1821" s="84"/>
      <c r="AL1821" s="79"/>
      <c r="AM1821" s="84"/>
      <c r="AN1821" s="79"/>
      <c r="AO1821" s="84"/>
      <c r="AP1821" s="79"/>
      <c r="AQ1821" s="84"/>
      <c r="AR1821" s="79"/>
      <c r="AS1821" s="79"/>
      <c r="AT1821" s="79"/>
      <c r="AU1821" s="80"/>
      <c r="AV1821" s="79"/>
      <c r="AW1821" s="38"/>
      <c r="AX1821" s="79"/>
      <c r="AY1821" s="38"/>
      <c r="AZ1821" s="79"/>
      <c r="BA1821" s="80"/>
      <c r="BB1821" s="79"/>
      <c r="BC1821" s="80"/>
      <c r="BD1821" s="79"/>
      <c r="BE1821" s="38"/>
      <c r="BF1821" s="74"/>
      <c r="BG1821" s="115"/>
      <c r="BH1821" s="115"/>
      <c r="BI1821" s="115"/>
      <c r="BJ1821" s="115"/>
      <c r="BK1821" s="115"/>
      <c r="BL1821" s="115"/>
      <c r="BM1821" s="115"/>
      <c r="BN1821" s="115"/>
      <c r="BO1821" s="115"/>
      <c r="BP1821" s="115"/>
      <c r="BQ1821" s="115"/>
      <c r="BR1821" s="115"/>
      <c r="BS1821" s="115"/>
      <c r="BT1821" s="115"/>
      <c r="BU1821" s="115"/>
      <c r="BV1821" s="115"/>
      <c r="BW1821" s="115"/>
      <c r="BX1821" s="115"/>
      <c r="BY1821" s="115"/>
      <c r="BZ1821" s="115"/>
      <c r="CA1821" s="115"/>
      <c r="CB1821" s="115"/>
      <c r="CC1821" s="115"/>
      <c r="CD1821" s="115"/>
      <c r="CE1821" s="115"/>
      <c r="CF1821" s="115"/>
      <c r="CG1821" s="115"/>
      <c r="CH1821" s="115"/>
      <c r="CI1821" s="115"/>
      <c r="CJ1821" s="115"/>
      <c r="CK1821" s="115"/>
      <c r="CL1821" s="115"/>
      <c r="CM1821" s="115"/>
      <c r="CN1821" s="115"/>
      <c r="CO1821" s="115"/>
      <c r="CP1821" s="115"/>
    </row>
    <row r="1822" ht="15.75" customHeight="1">
      <c r="A1822" s="1862" t="s">
        <v>8418</v>
      </c>
      <c r="B1822" s="760"/>
      <c r="C1822" s="1863" t="s">
        <v>513</v>
      </c>
      <c r="D1822" s="1685"/>
      <c r="E1822" s="825" t="s">
        <v>8419</v>
      </c>
      <c r="F1822" s="826" t="s">
        <v>8420</v>
      </c>
      <c r="G1822" s="1245"/>
      <c r="H1822" s="827" t="s">
        <v>2922</v>
      </c>
      <c r="I1822" s="830" t="s">
        <v>65</v>
      </c>
      <c r="J1822" s="829"/>
      <c r="K1822" s="831"/>
      <c r="L1822" s="830">
        <v>2015.0</v>
      </c>
      <c r="M1822" s="25">
        <f t="shared" si="789"/>
        <v>10</v>
      </c>
      <c r="N1822" s="26">
        <f t="shared" si="790"/>
        <v>0</v>
      </c>
      <c r="O1822" s="27" t="str">
        <f t="shared" si="3"/>
        <v>#N/A</v>
      </c>
      <c r="P1822" s="1858"/>
      <c r="Q1822" s="1858"/>
      <c r="R1822" s="1858"/>
      <c r="S1822" s="1858"/>
      <c r="T1822" s="1858"/>
      <c r="U1822" s="1858"/>
      <c r="V1822" s="30">
        <f t="shared" si="425"/>
        <v>0</v>
      </c>
      <c r="W1822" s="30"/>
      <c r="X1822" s="1526"/>
      <c r="Y1822" s="33" t="str">
        <f t="shared" si="792"/>
        <v>#DIV/0!</v>
      </c>
      <c r="Z1822" s="692"/>
      <c r="AA1822" s="665"/>
      <c r="AB1822" s="831"/>
      <c r="AC1822" s="831"/>
      <c r="AD1822" s="832"/>
      <c r="AE1822" s="833"/>
      <c r="AF1822" s="1686"/>
      <c r="AG1822" s="1861"/>
      <c r="AH1822" s="831"/>
      <c r="AI1822" s="835"/>
      <c r="AJ1822" s="832"/>
      <c r="AK1822" s="833"/>
      <c r="AL1822" s="832"/>
      <c r="AM1822" s="833"/>
      <c r="AN1822" s="832"/>
      <c r="AO1822" s="833"/>
      <c r="AP1822" s="832"/>
      <c r="AQ1822" s="833"/>
      <c r="AR1822" s="832"/>
      <c r="AS1822" s="832"/>
      <c r="AT1822" s="832"/>
      <c r="AU1822" s="838"/>
      <c r="AV1822" s="832"/>
      <c r="AW1822" s="38"/>
      <c r="AX1822" s="832"/>
      <c r="AY1822" s="38"/>
      <c r="AZ1822" s="832"/>
      <c r="BA1822" s="838"/>
      <c r="BB1822" s="832"/>
      <c r="BC1822" s="838"/>
      <c r="BD1822" s="832"/>
      <c r="BE1822" s="38"/>
      <c r="BF1822" s="831"/>
      <c r="BG1822" s="115"/>
      <c r="BH1822" s="115"/>
      <c r="BI1822" s="115"/>
      <c r="BJ1822" s="115"/>
      <c r="BK1822" s="115"/>
      <c r="BL1822" s="115"/>
      <c r="BM1822" s="115"/>
      <c r="BN1822" s="115"/>
      <c r="BO1822" s="115"/>
      <c r="BP1822" s="115"/>
      <c r="BQ1822" s="115"/>
      <c r="BR1822" s="115"/>
      <c r="BS1822" s="115"/>
      <c r="BT1822" s="115"/>
      <c r="BU1822" s="115"/>
      <c r="BV1822" s="115"/>
      <c r="BW1822" s="115"/>
      <c r="BX1822" s="115"/>
      <c r="BY1822" s="115"/>
      <c r="BZ1822" s="115"/>
      <c r="CA1822" s="115"/>
      <c r="CB1822" s="115"/>
      <c r="CC1822" s="115"/>
      <c r="CD1822" s="115"/>
      <c r="CE1822" s="115"/>
      <c r="CF1822" s="115"/>
      <c r="CG1822" s="115"/>
      <c r="CH1822" s="115"/>
      <c r="CI1822" s="115"/>
      <c r="CJ1822" s="115"/>
      <c r="CK1822" s="115"/>
      <c r="CL1822" s="115"/>
      <c r="CM1822" s="115"/>
      <c r="CN1822" s="115"/>
      <c r="CO1822" s="115"/>
      <c r="CP1822" s="115"/>
    </row>
    <row r="1823" ht="15.75" customHeight="1">
      <c r="A1823" s="442" t="s">
        <v>8421</v>
      </c>
      <c r="B1823" s="68" t="s">
        <v>2156</v>
      </c>
      <c r="C1823" s="858" t="s">
        <v>5200</v>
      </c>
      <c r="D1823" s="184" t="s">
        <v>8422</v>
      </c>
      <c r="E1823" s="184" t="s">
        <v>8423</v>
      </c>
      <c r="F1823" s="185" t="s">
        <v>8424</v>
      </c>
      <c r="G1823" s="186" t="s">
        <v>8425</v>
      </c>
      <c r="H1823" s="186" t="s">
        <v>114</v>
      </c>
      <c r="I1823" s="74" t="s">
        <v>115</v>
      </c>
      <c r="J1823" s="155">
        <v>78702.0</v>
      </c>
      <c r="K1823" s="74">
        <v>1.0</v>
      </c>
      <c r="L1823" s="26">
        <v>2007.0</v>
      </c>
      <c r="M1823" s="25">
        <f t="shared" si="789"/>
        <v>18</v>
      </c>
      <c r="N1823" s="26">
        <f t="shared" si="790"/>
        <v>0</v>
      </c>
      <c r="O1823" s="27" t="str">
        <f t="shared" si="3"/>
        <v>#N/A</v>
      </c>
      <c r="P1823" s="273"/>
      <c r="Q1823" s="273"/>
      <c r="R1823" s="273"/>
      <c r="S1823" s="273"/>
      <c r="T1823" s="273"/>
      <c r="U1823" s="273"/>
      <c r="V1823" s="30">
        <f t="shared" si="425"/>
        <v>0</v>
      </c>
      <c r="W1823" s="30"/>
      <c r="X1823" s="32"/>
      <c r="Y1823" s="33" t="str">
        <f t="shared" si="792"/>
        <v>#DIV/0!</v>
      </c>
      <c r="Z1823" s="692"/>
      <c r="AA1823" s="665"/>
      <c r="AB1823" s="74"/>
      <c r="AC1823" s="74"/>
      <c r="AD1823" s="79"/>
      <c r="AE1823" s="84"/>
      <c r="AF1823" s="39"/>
      <c r="AG1823" s="894"/>
      <c r="AH1823" s="74"/>
      <c r="AI1823" s="78"/>
      <c r="AJ1823" s="79"/>
      <c r="AK1823" s="84"/>
      <c r="AL1823" s="79"/>
      <c r="AM1823" s="84"/>
      <c r="AN1823" s="79"/>
      <c r="AO1823" s="84"/>
      <c r="AP1823" s="79"/>
      <c r="AQ1823" s="84"/>
      <c r="AR1823" s="79"/>
      <c r="AS1823" s="79"/>
      <c r="AT1823" s="79"/>
      <c r="AU1823" s="80"/>
      <c r="AV1823" s="79"/>
      <c r="AW1823" s="38"/>
      <c r="AX1823" s="79"/>
      <c r="AY1823" s="38"/>
      <c r="AZ1823" s="79"/>
      <c r="BA1823" s="80"/>
      <c r="BB1823" s="79"/>
      <c r="BC1823" s="80"/>
      <c r="BD1823" s="79"/>
      <c r="BE1823" s="38"/>
      <c r="BF1823" s="74"/>
      <c r="BG1823" s="115"/>
      <c r="BH1823" s="115"/>
      <c r="BI1823" s="115"/>
      <c r="BJ1823" s="115"/>
      <c r="BK1823" s="115"/>
      <c r="BL1823" s="115"/>
      <c r="BM1823" s="115"/>
      <c r="BN1823" s="115"/>
      <c r="BO1823" s="115"/>
      <c r="BP1823" s="115"/>
      <c r="BQ1823" s="115"/>
      <c r="BR1823" s="115"/>
      <c r="BS1823" s="115"/>
      <c r="BT1823" s="115"/>
      <c r="BU1823" s="115"/>
      <c r="BV1823" s="115"/>
      <c r="BW1823" s="115"/>
      <c r="BX1823" s="115"/>
      <c r="BY1823" s="115"/>
      <c r="BZ1823" s="115"/>
      <c r="CA1823" s="115"/>
      <c r="CB1823" s="115"/>
      <c r="CC1823" s="115"/>
      <c r="CD1823" s="115"/>
      <c r="CE1823" s="115"/>
      <c r="CF1823" s="115"/>
      <c r="CG1823" s="115"/>
      <c r="CH1823" s="115"/>
      <c r="CI1823" s="115"/>
      <c r="CJ1823" s="115"/>
      <c r="CK1823" s="115"/>
      <c r="CL1823" s="115"/>
      <c r="CM1823" s="115"/>
      <c r="CN1823" s="115"/>
      <c r="CO1823" s="115"/>
      <c r="CP1823" s="115"/>
    </row>
    <row r="1824" ht="15.75" customHeight="1">
      <c r="A1824" s="860" t="s">
        <v>8426</v>
      </c>
      <c r="B1824" s="68"/>
      <c r="C1824" s="858" t="s">
        <v>123</v>
      </c>
      <c r="D1824" s="337"/>
      <c r="E1824" s="192" t="s">
        <v>8427</v>
      </c>
      <c r="F1824" s="118" t="s">
        <v>8428</v>
      </c>
      <c r="G1824" s="186"/>
      <c r="H1824" s="71" t="s">
        <v>1065</v>
      </c>
      <c r="I1824" s="26" t="s">
        <v>639</v>
      </c>
      <c r="J1824" s="155"/>
      <c r="K1824" s="74"/>
      <c r="L1824" s="26">
        <v>2001.0</v>
      </c>
      <c r="M1824" s="25">
        <f t="shared" si="789"/>
        <v>24</v>
      </c>
      <c r="N1824" s="26">
        <f t="shared" si="790"/>
        <v>0</v>
      </c>
      <c r="O1824" s="27" t="str">
        <f t="shared" si="3"/>
        <v>#N/A</v>
      </c>
      <c r="P1824" s="273"/>
      <c r="Q1824" s="273"/>
      <c r="R1824" s="273"/>
      <c r="S1824" s="273"/>
      <c r="T1824" s="273"/>
      <c r="U1824" s="273"/>
      <c r="V1824" s="30">
        <f t="shared" si="425"/>
        <v>0</v>
      </c>
      <c r="W1824" s="30"/>
      <c r="X1824" s="32"/>
      <c r="Y1824" s="33" t="str">
        <f t="shared" si="792"/>
        <v>#DIV/0!</v>
      </c>
      <c r="Z1824" s="692"/>
      <c r="AA1824" s="665"/>
      <c r="AB1824" s="74"/>
      <c r="AC1824" s="74"/>
      <c r="AD1824" s="79"/>
      <c r="AE1824" s="84"/>
      <c r="AF1824" s="39"/>
      <c r="AG1824" s="76"/>
      <c r="AH1824" s="74"/>
      <c r="AI1824" s="435"/>
      <c r="AJ1824" s="79"/>
      <c r="AK1824" s="84"/>
      <c r="AL1824" s="79"/>
      <c r="AM1824" s="84"/>
      <c r="AN1824" s="79"/>
      <c r="AO1824" s="84"/>
      <c r="AP1824" s="79"/>
      <c r="AQ1824" s="84"/>
      <c r="AR1824" s="79"/>
      <c r="AS1824" s="79"/>
      <c r="AT1824" s="79"/>
      <c r="AU1824" s="80"/>
      <c r="AV1824" s="79"/>
      <c r="AW1824" s="38"/>
      <c r="AX1824" s="79"/>
      <c r="AY1824" s="38"/>
      <c r="AZ1824" s="79"/>
      <c r="BA1824" s="80"/>
      <c r="BB1824" s="79"/>
      <c r="BC1824" s="80"/>
      <c r="BD1824" s="79"/>
      <c r="BE1824" s="38"/>
      <c r="BF1824" s="74"/>
      <c r="BG1824" s="115"/>
      <c r="BH1824" s="115"/>
      <c r="BI1824" s="115"/>
      <c r="BJ1824" s="115"/>
      <c r="BK1824" s="115"/>
      <c r="BL1824" s="115"/>
      <c r="BM1824" s="115"/>
      <c r="BN1824" s="115"/>
      <c r="BO1824" s="115"/>
      <c r="BP1824" s="115"/>
      <c r="BQ1824" s="115"/>
      <c r="BR1824" s="115"/>
      <c r="BS1824" s="115"/>
      <c r="BT1824" s="115"/>
      <c r="BU1824" s="115"/>
      <c r="BV1824" s="115"/>
      <c r="BW1824" s="115"/>
      <c r="BX1824" s="115"/>
      <c r="BY1824" s="115"/>
      <c r="BZ1824" s="115"/>
      <c r="CA1824" s="115"/>
      <c r="CB1824" s="115"/>
      <c r="CC1824" s="115"/>
      <c r="CD1824" s="115"/>
      <c r="CE1824" s="115"/>
      <c r="CF1824" s="115"/>
      <c r="CG1824" s="115"/>
      <c r="CH1824" s="115"/>
      <c r="CI1824" s="115"/>
      <c r="CJ1824" s="115"/>
      <c r="CK1824" s="115"/>
      <c r="CL1824" s="115"/>
      <c r="CM1824" s="115"/>
      <c r="CN1824" s="115"/>
      <c r="CO1824" s="115"/>
      <c r="CP1824" s="115"/>
    </row>
    <row r="1825" ht="15.75" customHeight="1">
      <c r="A1825" s="860" t="s">
        <v>8429</v>
      </c>
      <c r="B1825" s="68"/>
      <c r="C1825" s="858" t="s">
        <v>123</v>
      </c>
      <c r="D1825" s="337"/>
      <c r="E1825" s="192" t="s">
        <v>8430</v>
      </c>
      <c r="F1825" s="118" t="s">
        <v>8431</v>
      </c>
      <c r="G1825" s="186"/>
      <c r="H1825" s="71" t="s">
        <v>309</v>
      </c>
      <c r="I1825" s="26" t="s">
        <v>115</v>
      </c>
      <c r="J1825" s="155"/>
      <c r="K1825" s="74"/>
      <c r="L1825" s="26">
        <v>2005.0</v>
      </c>
      <c r="M1825" s="25">
        <f t="shared" si="789"/>
        <v>20</v>
      </c>
      <c r="N1825" s="26">
        <f t="shared" si="790"/>
        <v>0</v>
      </c>
      <c r="O1825" s="27" t="str">
        <f t="shared" si="3"/>
        <v>#N/A</v>
      </c>
      <c r="P1825" s="273"/>
      <c r="Q1825" s="273"/>
      <c r="R1825" s="273"/>
      <c r="S1825" s="273"/>
      <c r="T1825" s="273"/>
      <c r="U1825" s="273"/>
      <c r="V1825" s="30">
        <f t="shared" si="425"/>
        <v>0</v>
      </c>
      <c r="W1825" s="30"/>
      <c r="X1825" s="32"/>
      <c r="Y1825" s="33" t="str">
        <f t="shared" si="792"/>
        <v>#DIV/0!</v>
      </c>
      <c r="Z1825" s="692"/>
      <c r="AA1825" s="665"/>
      <c r="AB1825" s="74"/>
      <c r="AC1825" s="74"/>
      <c r="AD1825" s="79"/>
      <c r="AE1825" s="84"/>
      <c r="AF1825" s="39"/>
      <c r="AG1825" s="76"/>
      <c r="AH1825" s="74"/>
      <c r="AI1825" s="435"/>
      <c r="AJ1825" s="79"/>
      <c r="AK1825" s="84"/>
      <c r="AL1825" s="79"/>
      <c r="AM1825" s="84"/>
      <c r="AN1825" s="79"/>
      <c r="AO1825" s="84"/>
      <c r="AP1825" s="79"/>
      <c r="AQ1825" s="84"/>
      <c r="AR1825" s="79"/>
      <c r="AS1825" s="79"/>
      <c r="AT1825" s="79"/>
      <c r="AU1825" s="80"/>
      <c r="AV1825" s="79"/>
      <c r="AW1825" s="38"/>
      <c r="AX1825" s="79"/>
      <c r="AY1825" s="38"/>
      <c r="AZ1825" s="79"/>
      <c r="BA1825" s="80"/>
      <c r="BB1825" s="79"/>
      <c r="BC1825" s="80"/>
      <c r="BD1825" s="79"/>
      <c r="BE1825" s="38"/>
      <c r="BF1825" s="74"/>
      <c r="BG1825" s="115"/>
      <c r="BH1825" s="115"/>
      <c r="BI1825" s="115"/>
      <c r="BJ1825" s="115"/>
      <c r="BK1825" s="115"/>
      <c r="BL1825" s="115"/>
      <c r="BM1825" s="115"/>
      <c r="BN1825" s="115"/>
      <c r="BO1825" s="115"/>
      <c r="BP1825" s="115"/>
      <c r="BQ1825" s="115"/>
      <c r="BR1825" s="115"/>
      <c r="BS1825" s="115"/>
      <c r="BT1825" s="115"/>
      <c r="BU1825" s="115"/>
      <c r="BV1825" s="115"/>
      <c r="BW1825" s="115"/>
      <c r="BX1825" s="115"/>
      <c r="BY1825" s="115"/>
      <c r="BZ1825" s="115"/>
      <c r="CA1825" s="115"/>
      <c r="CB1825" s="115"/>
      <c r="CC1825" s="115"/>
      <c r="CD1825" s="115"/>
      <c r="CE1825" s="115"/>
      <c r="CF1825" s="115"/>
      <c r="CG1825" s="115"/>
      <c r="CH1825" s="115"/>
      <c r="CI1825" s="115"/>
      <c r="CJ1825" s="115"/>
      <c r="CK1825" s="115"/>
      <c r="CL1825" s="115"/>
      <c r="CM1825" s="115"/>
      <c r="CN1825" s="115"/>
      <c r="CO1825" s="115"/>
      <c r="CP1825" s="115"/>
    </row>
    <row r="1826" ht="15.75" customHeight="1">
      <c r="A1826" s="860" t="s">
        <v>8432</v>
      </c>
      <c r="B1826" s="68"/>
      <c r="C1826" s="858" t="s">
        <v>123</v>
      </c>
      <c r="D1826" s="192" t="s">
        <v>8433</v>
      </c>
      <c r="E1826" s="192" t="s">
        <v>8434</v>
      </c>
      <c r="F1826" s="118" t="s">
        <v>8435</v>
      </c>
      <c r="G1826" s="186"/>
      <c r="H1826" s="71" t="s">
        <v>1153</v>
      </c>
      <c r="I1826" s="26" t="s">
        <v>65</v>
      </c>
      <c r="J1826" s="155"/>
      <c r="K1826" s="74"/>
      <c r="L1826" s="26">
        <v>2018.0</v>
      </c>
      <c r="M1826" s="25">
        <f t="shared" si="789"/>
        <v>7</v>
      </c>
      <c r="N1826" s="26">
        <f t="shared" si="790"/>
        <v>0</v>
      </c>
      <c r="O1826" s="27" t="str">
        <f t="shared" si="3"/>
        <v>#N/A</v>
      </c>
      <c r="P1826" s="273"/>
      <c r="Q1826" s="273"/>
      <c r="R1826" s="273"/>
      <c r="S1826" s="273"/>
      <c r="T1826" s="273"/>
      <c r="U1826" s="273"/>
      <c r="V1826" s="30">
        <f t="shared" si="425"/>
        <v>0</v>
      </c>
      <c r="W1826" s="30"/>
      <c r="X1826" s="32"/>
      <c r="Y1826" s="33" t="str">
        <f t="shared" si="792"/>
        <v>#DIV/0!</v>
      </c>
      <c r="Z1826" s="692"/>
      <c r="AA1826" s="665"/>
      <c r="AB1826" s="74"/>
      <c r="AC1826" s="74"/>
      <c r="AD1826" s="79"/>
      <c r="AE1826" s="84"/>
      <c r="AF1826" s="39"/>
      <c r="AG1826" s="76"/>
      <c r="AH1826" s="74"/>
      <c r="AI1826" s="435"/>
      <c r="AJ1826" s="79"/>
      <c r="AK1826" s="84"/>
      <c r="AL1826" s="79"/>
      <c r="AM1826" s="84"/>
      <c r="AN1826" s="79"/>
      <c r="AO1826" s="84"/>
      <c r="AP1826" s="79"/>
      <c r="AQ1826" s="84"/>
      <c r="AR1826" s="79"/>
      <c r="AS1826" s="79"/>
      <c r="AT1826" s="79"/>
      <c r="AU1826" s="80"/>
      <c r="AV1826" s="79"/>
      <c r="AW1826" s="38"/>
      <c r="AX1826" s="79"/>
      <c r="AY1826" s="38"/>
      <c r="AZ1826" s="79"/>
      <c r="BA1826" s="80"/>
      <c r="BB1826" s="79"/>
      <c r="BC1826" s="80"/>
      <c r="BD1826" s="79"/>
      <c r="BE1826" s="38"/>
      <c r="BF1826" s="74"/>
      <c r="BG1826" s="115"/>
      <c r="BH1826" s="115"/>
      <c r="BI1826" s="115"/>
      <c r="BJ1826" s="115"/>
      <c r="BK1826" s="115"/>
      <c r="BL1826" s="115"/>
      <c r="BM1826" s="115"/>
      <c r="BN1826" s="115"/>
      <c r="BO1826" s="115"/>
      <c r="BP1826" s="115"/>
      <c r="BQ1826" s="115"/>
      <c r="BR1826" s="115"/>
      <c r="BS1826" s="115"/>
      <c r="BT1826" s="115"/>
      <c r="BU1826" s="115"/>
      <c r="BV1826" s="115"/>
      <c r="BW1826" s="115"/>
      <c r="BX1826" s="115"/>
      <c r="BY1826" s="115"/>
      <c r="BZ1826" s="115"/>
      <c r="CA1826" s="115"/>
      <c r="CB1826" s="115"/>
      <c r="CC1826" s="115"/>
      <c r="CD1826" s="115"/>
      <c r="CE1826" s="115"/>
      <c r="CF1826" s="115"/>
      <c r="CG1826" s="115"/>
      <c r="CH1826" s="115"/>
      <c r="CI1826" s="115"/>
      <c r="CJ1826" s="115"/>
      <c r="CK1826" s="115"/>
      <c r="CL1826" s="115"/>
      <c r="CM1826" s="115"/>
      <c r="CN1826" s="115"/>
      <c r="CO1826" s="115"/>
      <c r="CP1826" s="115"/>
    </row>
    <row r="1827" ht="15.75" customHeight="1">
      <c r="A1827" s="860" t="s">
        <v>8436</v>
      </c>
      <c r="B1827" s="68"/>
      <c r="C1827" s="858" t="s">
        <v>123</v>
      </c>
      <c r="D1827" s="192" t="s">
        <v>8437</v>
      </c>
      <c r="E1827" s="192" t="s">
        <v>8438</v>
      </c>
      <c r="F1827" s="118" t="s">
        <v>8439</v>
      </c>
      <c r="G1827" s="186"/>
      <c r="H1827" s="71" t="s">
        <v>114</v>
      </c>
      <c r="I1827" s="26" t="s">
        <v>115</v>
      </c>
      <c r="J1827" s="155"/>
      <c r="K1827" s="74"/>
      <c r="L1827" s="26">
        <v>2011.0</v>
      </c>
      <c r="M1827" s="25">
        <f t="shared" si="789"/>
        <v>14</v>
      </c>
      <c r="N1827" s="26">
        <f t="shared" si="790"/>
        <v>0</v>
      </c>
      <c r="O1827" s="27" t="str">
        <f t="shared" si="3"/>
        <v>#N/A</v>
      </c>
      <c r="P1827" s="273"/>
      <c r="Q1827" s="273"/>
      <c r="R1827" s="273"/>
      <c r="S1827" s="273"/>
      <c r="T1827" s="273"/>
      <c r="U1827" s="273"/>
      <c r="V1827" s="30">
        <f t="shared" si="425"/>
        <v>0</v>
      </c>
      <c r="W1827" s="30"/>
      <c r="X1827" s="32"/>
      <c r="Y1827" s="33" t="str">
        <f t="shared" si="792"/>
        <v>#DIV/0!</v>
      </c>
      <c r="Z1827" s="692"/>
      <c r="AA1827" s="665"/>
      <c r="AB1827" s="74"/>
      <c r="AC1827" s="74"/>
      <c r="AD1827" s="79"/>
      <c r="AE1827" s="84"/>
      <c r="AF1827" s="39"/>
      <c r="AG1827" s="76"/>
      <c r="AH1827" s="74"/>
      <c r="AI1827" s="435"/>
      <c r="AJ1827" s="79"/>
      <c r="AK1827" s="84"/>
      <c r="AL1827" s="79"/>
      <c r="AM1827" s="84"/>
      <c r="AN1827" s="79"/>
      <c r="AO1827" s="84"/>
      <c r="AP1827" s="79"/>
      <c r="AQ1827" s="84"/>
      <c r="AR1827" s="79"/>
      <c r="AS1827" s="79"/>
      <c r="AT1827" s="79"/>
      <c r="AU1827" s="80"/>
      <c r="AV1827" s="79"/>
      <c r="AW1827" s="38"/>
      <c r="AX1827" s="79"/>
      <c r="AY1827" s="38"/>
      <c r="AZ1827" s="79"/>
      <c r="BA1827" s="80"/>
      <c r="BB1827" s="79"/>
      <c r="BC1827" s="80"/>
      <c r="BD1827" s="79"/>
      <c r="BE1827" s="38"/>
      <c r="BF1827" s="74"/>
      <c r="BG1827" s="115"/>
      <c r="BH1827" s="115"/>
      <c r="BI1827" s="115"/>
      <c r="BJ1827" s="115"/>
      <c r="BK1827" s="115"/>
      <c r="BL1827" s="115"/>
      <c r="BM1827" s="115"/>
      <c r="BN1827" s="115"/>
      <c r="BO1827" s="115"/>
      <c r="BP1827" s="115"/>
      <c r="BQ1827" s="115"/>
      <c r="BR1827" s="115"/>
      <c r="BS1827" s="115"/>
      <c r="BT1827" s="115"/>
      <c r="BU1827" s="115"/>
      <c r="BV1827" s="115"/>
      <c r="BW1827" s="115"/>
      <c r="BX1827" s="115"/>
      <c r="BY1827" s="115"/>
      <c r="BZ1827" s="115"/>
      <c r="CA1827" s="115"/>
      <c r="CB1827" s="115"/>
      <c r="CC1827" s="115"/>
      <c r="CD1827" s="115"/>
      <c r="CE1827" s="115"/>
      <c r="CF1827" s="115"/>
      <c r="CG1827" s="115"/>
      <c r="CH1827" s="115"/>
      <c r="CI1827" s="115"/>
      <c r="CJ1827" s="115"/>
      <c r="CK1827" s="115"/>
      <c r="CL1827" s="115"/>
      <c r="CM1827" s="115"/>
      <c r="CN1827" s="115"/>
      <c r="CO1827" s="115"/>
      <c r="CP1827" s="115"/>
    </row>
    <row r="1828" ht="15.75" customHeight="1">
      <c r="A1828" s="1723" t="s">
        <v>8440</v>
      </c>
      <c r="B1828" s="1407"/>
      <c r="C1828" s="1463" t="s">
        <v>5442</v>
      </c>
      <c r="D1828" s="1720" t="s">
        <v>4781</v>
      </c>
      <c r="E1828" s="1720" t="s">
        <v>4781</v>
      </c>
      <c r="F1828" s="1721" t="s">
        <v>8441</v>
      </c>
      <c r="G1828" s="1467" t="s">
        <v>8442</v>
      </c>
      <c r="H1828" s="1468" t="s">
        <v>309</v>
      </c>
      <c r="I1828" s="1469" t="s">
        <v>115</v>
      </c>
      <c r="J1828" s="1714" t="s">
        <v>8443</v>
      </c>
      <c r="K1828" s="1474"/>
      <c r="L1828" s="1469">
        <v>2018.0</v>
      </c>
      <c r="M1828" s="25">
        <f t="shared" si="789"/>
        <v>7</v>
      </c>
      <c r="N1828" s="26">
        <f t="shared" si="790"/>
        <v>0</v>
      </c>
      <c r="O1828" s="27" t="str">
        <f t="shared" si="3"/>
        <v>#N/A</v>
      </c>
      <c r="P1828" s="1847"/>
      <c r="Q1828" s="1847"/>
      <c r="R1828" s="1847"/>
      <c r="S1828" s="1847"/>
      <c r="T1828" s="1847"/>
      <c r="U1828" s="1847"/>
      <c r="V1828" s="30">
        <f t="shared" si="425"/>
        <v>0</v>
      </c>
      <c r="W1828" s="30"/>
      <c r="X1828" s="1736"/>
      <c r="Y1828" s="33" t="str">
        <f t="shared" si="792"/>
        <v>#DIV/0!</v>
      </c>
      <c r="Z1828" s="692"/>
      <c r="AA1828" s="665"/>
      <c r="AB1828" s="1474"/>
      <c r="AC1828" s="1474"/>
      <c r="AD1828" s="1482"/>
      <c r="AE1828" s="1717"/>
      <c r="AF1828" s="1864"/>
      <c r="AG1828" s="1476"/>
      <c r="AH1828" s="1474"/>
      <c r="AI1828" s="1837"/>
      <c r="AJ1828" s="1482"/>
      <c r="AK1828" s="1717"/>
      <c r="AL1828" s="1482"/>
      <c r="AM1828" s="1717"/>
      <c r="AN1828" s="1482"/>
      <c r="AO1828" s="1717"/>
      <c r="AP1828" s="1482"/>
      <c r="AQ1828" s="1717"/>
      <c r="AR1828" s="1482"/>
      <c r="AS1828" s="1482"/>
      <c r="AT1828" s="1482"/>
      <c r="AU1828" s="1483"/>
      <c r="AV1828" s="1482"/>
      <c r="AW1828" s="38"/>
      <c r="AX1828" s="1482"/>
      <c r="AY1828" s="38"/>
      <c r="AZ1828" s="1482"/>
      <c r="BA1828" s="1483"/>
      <c r="BB1828" s="1482"/>
      <c r="BC1828" s="1483"/>
      <c r="BD1828" s="1482"/>
      <c r="BE1828" s="38"/>
      <c r="BF1828" s="1474"/>
      <c r="BG1828" s="115"/>
      <c r="BH1828" s="115"/>
      <c r="BI1828" s="115"/>
      <c r="BJ1828" s="115"/>
      <c r="BK1828" s="115"/>
      <c r="BL1828" s="115"/>
      <c r="BM1828" s="115"/>
      <c r="BN1828" s="115"/>
      <c r="BO1828" s="115"/>
      <c r="BP1828" s="115"/>
      <c r="BQ1828" s="115"/>
      <c r="BR1828" s="115"/>
      <c r="BS1828" s="115"/>
      <c r="BT1828" s="115"/>
      <c r="BU1828" s="115"/>
      <c r="BV1828" s="115"/>
      <c r="BW1828" s="115"/>
      <c r="BX1828" s="115"/>
      <c r="BY1828" s="115"/>
      <c r="BZ1828" s="115"/>
      <c r="CA1828" s="115"/>
      <c r="CB1828" s="115"/>
      <c r="CC1828" s="115"/>
      <c r="CD1828" s="115"/>
      <c r="CE1828" s="115"/>
      <c r="CF1828" s="115"/>
      <c r="CG1828" s="115"/>
      <c r="CH1828" s="115"/>
      <c r="CI1828" s="115"/>
      <c r="CJ1828" s="115"/>
      <c r="CK1828" s="115"/>
      <c r="CL1828" s="115"/>
      <c r="CM1828" s="115"/>
      <c r="CN1828" s="115"/>
      <c r="CO1828" s="115"/>
      <c r="CP1828" s="115"/>
    </row>
    <row r="1829" ht="15.75" customHeight="1">
      <c r="A1829" s="1524" t="s">
        <v>8444</v>
      </c>
      <c r="B1829" s="760"/>
      <c r="C1829" s="824" t="s">
        <v>513</v>
      </c>
      <c r="D1829" s="825" t="s">
        <v>8445</v>
      </c>
      <c r="E1829" s="825" t="s">
        <v>8446</v>
      </c>
      <c r="F1829" s="1865" t="s">
        <v>8447</v>
      </c>
      <c r="G1829" s="1245"/>
      <c r="H1829" s="827" t="s">
        <v>1491</v>
      </c>
      <c r="I1829" s="830" t="s">
        <v>395</v>
      </c>
      <c r="J1829" s="829"/>
      <c r="K1829" s="831"/>
      <c r="L1829" s="830">
        <v>2014.0</v>
      </c>
      <c r="M1829" s="25">
        <f t="shared" si="789"/>
        <v>11</v>
      </c>
      <c r="N1829" s="26">
        <f t="shared" si="790"/>
        <v>0</v>
      </c>
      <c r="O1829" s="27" t="str">
        <f t="shared" si="3"/>
        <v>#N/A</v>
      </c>
      <c r="P1829" s="1858"/>
      <c r="Q1829" s="1858"/>
      <c r="R1829" s="1858"/>
      <c r="S1829" s="1858"/>
      <c r="T1829" s="1858"/>
      <c r="U1829" s="1858"/>
      <c r="V1829" s="30">
        <f t="shared" si="425"/>
        <v>0</v>
      </c>
      <c r="W1829" s="30"/>
      <c r="X1829" s="1526"/>
      <c r="Y1829" s="33" t="str">
        <f t="shared" si="792"/>
        <v>#DIV/0!</v>
      </c>
      <c r="Z1829" s="692"/>
      <c r="AA1829" s="665"/>
      <c r="AB1829" s="831"/>
      <c r="AC1829" s="831"/>
      <c r="AD1829" s="832"/>
      <c r="AE1829" s="833"/>
      <c r="AF1829" s="1686"/>
      <c r="AG1829" s="837"/>
      <c r="AH1829" s="831"/>
      <c r="AI1829" s="1866"/>
      <c r="AJ1829" s="832"/>
      <c r="AK1829" s="833"/>
      <c r="AL1829" s="832"/>
      <c r="AM1829" s="833"/>
      <c r="AN1829" s="832"/>
      <c r="AO1829" s="833"/>
      <c r="AP1829" s="832"/>
      <c r="AQ1829" s="833"/>
      <c r="AR1829" s="832"/>
      <c r="AS1829" s="832"/>
      <c r="AT1829" s="832"/>
      <c r="AU1829" s="838"/>
      <c r="AV1829" s="832"/>
      <c r="AW1829" s="38"/>
      <c r="AX1829" s="832"/>
      <c r="AY1829" s="38"/>
      <c r="AZ1829" s="832"/>
      <c r="BA1829" s="838"/>
      <c r="BB1829" s="832"/>
      <c r="BC1829" s="838"/>
      <c r="BD1829" s="832"/>
      <c r="BE1829" s="38"/>
      <c r="BF1829" s="831"/>
      <c r="BG1829" s="115"/>
      <c r="BH1829" s="115"/>
      <c r="BI1829" s="115"/>
      <c r="BJ1829" s="115"/>
      <c r="BK1829" s="115"/>
      <c r="BL1829" s="115"/>
      <c r="BM1829" s="115"/>
      <c r="BN1829" s="115"/>
      <c r="BO1829" s="115"/>
      <c r="BP1829" s="115"/>
      <c r="BQ1829" s="115"/>
      <c r="BR1829" s="115"/>
      <c r="BS1829" s="115"/>
      <c r="BT1829" s="115"/>
      <c r="BU1829" s="115"/>
      <c r="BV1829" s="115"/>
      <c r="BW1829" s="115"/>
      <c r="BX1829" s="115"/>
      <c r="BY1829" s="115"/>
      <c r="BZ1829" s="115"/>
      <c r="CA1829" s="115"/>
      <c r="CB1829" s="115"/>
      <c r="CC1829" s="115"/>
      <c r="CD1829" s="115"/>
      <c r="CE1829" s="115"/>
      <c r="CF1829" s="115"/>
      <c r="CG1829" s="115"/>
      <c r="CH1829" s="115"/>
      <c r="CI1829" s="115"/>
      <c r="CJ1829" s="115"/>
      <c r="CK1829" s="115"/>
      <c r="CL1829" s="115"/>
      <c r="CM1829" s="115"/>
      <c r="CN1829" s="115"/>
      <c r="CO1829" s="115"/>
      <c r="CP1829" s="115"/>
    </row>
    <row r="1830" ht="15.75" customHeight="1">
      <c r="A1830" s="1805" t="s">
        <v>8448</v>
      </c>
      <c r="B1830" s="1407"/>
      <c r="C1830" s="1851" t="s">
        <v>84</v>
      </c>
      <c r="D1830" s="1720" t="s">
        <v>4781</v>
      </c>
      <c r="E1830" s="1720" t="s">
        <v>4781</v>
      </c>
      <c r="F1830" s="1721" t="s">
        <v>8449</v>
      </c>
      <c r="G1830" s="1467" t="s">
        <v>8450</v>
      </c>
      <c r="H1830" s="1468" t="s">
        <v>1114</v>
      </c>
      <c r="I1830" s="1469" t="s">
        <v>65</v>
      </c>
      <c r="J1830" s="1470" t="s">
        <v>8451</v>
      </c>
      <c r="K1830" s="1474"/>
      <c r="L1830" s="1469"/>
      <c r="M1830" s="25">
        <f t="shared" si="789"/>
        <v>2025</v>
      </c>
      <c r="N1830" s="26">
        <f t="shared" si="790"/>
        <v>0</v>
      </c>
      <c r="O1830" s="27" t="str">
        <f t="shared" si="3"/>
        <v>#N/A</v>
      </c>
      <c r="P1830" s="1847"/>
      <c r="Q1830" s="1847"/>
      <c r="R1830" s="1847"/>
      <c r="S1830" s="1847"/>
      <c r="T1830" s="1847"/>
      <c r="U1830" s="1847"/>
      <c r="V1830" s="30">
        <f t="shared" si="425"/>
        <v>0</v>
      </c>
      <c r="W1830" s="30"/>
      <c r="X1830" s="1736"/>
      <c r="Y1830" s="33" t="str">
        <f t="shared" si="792"/>
        <v>#DIV/0!</v>
      </c>
      <c r="Z1830" s="692"/>
      <c r="AA1830" s="665"/>
      <c r="AB1830" s="1474"/>
      <c r="AC1830" s="1474"/>
      <c r="AD1830" s="1867"/>
      <c r="AE1830" s="1868"/>
      <c r="AF1830" s="1864"/>
      <c r="AG1830" s="1869"/>
      <c r="AH1830" s="1870"/>
      <c r="AI1830" s="1871"/>
      <c r="AJ1830" s="1867"/>
      <c r="AK1830" s="1868"/>
      <c r="AL1830" s="1867"/>
      <c r="AM1830" s="1717"/>
      <c r="AN1830" s="1482"/>
      <c r="AO1830" s="1717"/>
      <c r="AP1830" s="1482"/>
      <c r="AQ1830" s="1717"/>
      <c r="AR1830" s="1482"/>
      <c r="AS1830" s="1482"/>
      <c r="AT1830" s="1482"/>
      <c r="AU1830" s="1483"/>
      <c r="AV1830" s="1482"/>
      <c r="AW1830" s="38"/>
      <c r="AX1830" s="1482"/>
      <c r="AY1830" s="38"/>
      <c r="AZ1830" s="1482"/>
      <c r="BA1830" s="1483"/>
      <c r="BB1830" s="1482"/>
      <c r="BC1830" s="1483"/>
      <c r="BD1830" s="1482"/>
      <c r="BE1830" s="38"/>
      <c r="BF1830" s="1474"/>
      <c r="BG1830" s="115"/>
      <c r="BH1830" s="115"/>
      <c r="BI1830" s="115"/>
      <c r="BJ1830" s="115"/>
      <c r="BK1830" s="115"/>
      <c r="BL1830" s="115"/>
      <c r="BM1830" s="115"/>
      <c r="BN1830" s="115"/>
      <c r="BO1830" s="115"/>
      <c r="BP1830" s="115"/>
      <c r="BQ1830" s="115"/>
      <c r="BR1830" s="115"/>
      <c r="BS1830" s="115"/>
      <c r="BT1830" s="115"/>
      <c r="BU1830" s="115"/>
      <c r="BV1830" s="115"/>
      <c r="BW1830" s="115"/>
      <c r="BX1830" s="115"/>
      <c r="BY1830" s="115"/>
      <c r="BZ1830" s="115"/>
      <c r="CA1830" s="115"/>
      <c r="CB1830" s="115"/>
      <c r="CC1830" s="115"/>
      <c r="CD1830" s="115"/>
      <c r="CE1830" s="115"/>
      <c r="CF1830" s="115"/>
      <c r="CG1830" s="115"/>
      <c r="CH1830" s="115"/>
      <c r="CI1830" s="115"/>
      <c r="CJ1830" s="115"/>
      <c r="CK1830" s="115"/>
      <c r="CL1830" s="115"/>
      <c r="CM1830" s="115"/>
      <c r="CN1830" s="115"/>
      <c r="CO1830" s="115"/>
      <c r="CP1830" s="115"/>
    </row>
    <row r="1831" ht="15.75" customHeight="1">
      <c r="A1831" s="21" t="s">
        <v>8452</v>
      </c>
      <c r="B1831" s="69" t="s">
        <v>944</v>
      </c>
      <c r="C1831" s="69" t="s">
        <v>5790</v>
      </c>
      <c r="D1831" s="200" t="s">
        <v>8453</v>
      </c>
      <c r="E1831" s="200" t="s">
        <v>8454</v>
      </c>
      <c r="F1831" s="173" t="s">
        <v>8455</v>
      </c>
      <c r="G1831" s="54" t="s">
        <v>8456</v>
      </c>
      <c r="H1831" s="71" t="s">
        <v>187</v>
      </c>
      <c r="I1831" s="26" t="s">
        <v>188</v>
      </c>
      <c r="J1831" s="155"/>
      <c r="K1831" s="26">
        <v>1.0</v>
      </c>
      <c r="L1831" s="26">
        <v>2016.0</v>
      </c>
      <c r="M1831" s="25">
        <f t="shared" si="789"/>
        <v>9</v>
      </c>
      <c r="N1831" s="26">
        <f t="shared" si="790"/>
        <v>0</v>
      </c>
      <c r="O1831" s="27" t="str">
        <f t="shared" si="3"/>
        <v>#N/A</v>
      </c>
      <c r="P1831" s="273"/>
      <c r="Q1831" s="273"/>
      <c r="R1831" s="273"/>
      <c r="S1831" s="273"/>
      <c r="T1831" s="273"/>
      <c r="U1831" s="273"/>
      <c r="V1831" s="30">
        <f t="shared" si="425"/>
        <v>0</v>
      </c>
      <c r="W1831" s="30"/>
      <c r="X1831" s="73"/>
      <c r="Y1831" s="33" t="str">
        <f t="shared" si="792"/>
        <v>#DIV/0!</v>
      </c>
      <c r="Z1831" s="692"/>
      <c r="AA1831" s="665"/>
      <c r="AB1831" s="74"/>
      <c r="AC1831" s="74"/>
      <c r="AD1831" s="44"/>
      <c r="AE1831" s="46"/>
      <c r="AF1831" s="39"/>
      <c r="AG1831" s="46"/>
      <c r="AH1831" s="36"/>
      <c r="AI1831" s="159"/>
      <c r="AJ1831" s="44"/>
      <c r="AK1831" s="46"/>
      <c r="AL1831" s="44"/>
      <c r="AM1831" s="84"/>
      <c r="AN1831" s="79"/>
      <c r="AO1831" s="84"/>
      <c r="AP1831" s="79"/>
      <c r="AQ1831" s="84"/>
      <c r="AR1831" s="79"/>
      <c r="AS1831" s="79"/>
      <c r="AT1831" s="79"/>
      <c r="AU1831" s="80"/>
      <c r="AV1831" s="79"/>
      <c r="AW1831" s="38"/>
      <c r="AX1831" s="79"/>
      <c r="AY1831" s="38"/>
      <c r="AZ1831" s="79"/>
      <c r="BA1831" s="80"/>
      <c r="BB1831" s="79"/>
      <c r="BC1831" s="80"/>
      <c r="BD1831" s="79"/>
      <c r="BE1831" s="38"/>
      <c r="BF1831" s="74"/>
      <c r="BG1831" s="115"/>
      <c r="BH1831" s="115"/>
      <c r="BI1831" s="115"/>
      <c r="BJ1831" s="115"/>
      <c r="BK1831" s="115"/>
      <c r="BL1831" s="115"/>
      <c r="BM1831" s="115"/>
      <c r="BN1831" s="115"/>
      <c r="BO1831" s="115"/>
      <c r="BP1831" s="115"/>
      <c r="BQ1831" s="115"/>
      <c r="BR1831" s="115"/>
      <c r="BS1831" s="115"/>
      <c r="BT1831" s="115"/>
      <c r="BU1831" s="115"/>
      <c r="BV1831" s="115"/>
      <c r="BW1831" s="115"/>
      <c r="BX1831" s="115"/>
      <c r="BY1831" s="115"/>
      <c r="BZ1831" s="115"/>
      <c r="CA1831" s="115"/>
      <c r="CB1831" s="115"/>
      <c r="CC1831" s="115"/>
      <c r="CD1831" s="115"/>
      <c r="CE1831" s="115"/>
      <c r="CF1831" s="115"/>
      <c r="CG1831" s="115"/>
      <c r="CH1831" s="115"/>
      <c r="CI1831" s="115"/>
      <c r="CJ1831" s="115"/>
      <c r="CK1831" s="115"/>
      <c r="CL1831" s="115"/>
      <c r="CM1831" s="115"/>
      <c r="CN1831" s="115"/>
      <c r="CO1831" s="115"/>
      <c r="CP1831" s="115"/>
    </row>
    <row r="1832" ht="15.75" customHeight="1">
      <c r="A1832" s="21" t="s">
        <v>8457</v>
      </c>
      <c r="B1832" s="68"/>
      <c r="C1832" s="69" t="s">
        <v>5790</v>
      </c>
      <c r="D1832" s="138" t="s">
        <v>8458</v>
      </c>
      <c r="E1832" s="138" t="s">
        <v>8459</v>
      </c>
      <c r="F1832" s="841" t="s">
        <v>8460</v>
      </c>
      <c r="G1832" s="140" t="s">
        <v>8461</v>
      </c>
      <c r="H1832" s="140" t="s">
        <v>64</v>
      </c>
      <c r="I1832" s="26" t="s">
        <v>65</v>
      </c>
      <c r="J1832" s="72" t="s">
        <v>566</v>
      </c>
      <c r="K1832" s="26">
        <v>2.0</v>
      </c>
      <c r="L1832" s="26">
        <v>2016.0</v>
      </c>
      <c r="M1832" s="25">
        <f t="shared" si="789"/>
        <v>9</v>
      </c>
      <c r="N1832" s="26">
        <f t="shared" si="790"/>
        <v>1</v>
      </c>
      <c r="O1832" s="27" t="str">
        <f t="shared" si="3"/>
        <v>#N/A</v>
      </c>
      <c r="P1832" s="273"/>
      <c r="Q1832" s="273"/>
      <c r="R1832" s="273"/>
      <c r="S1832" s="273"/>
      <c r="T1832" s="273"/>
      <c r="U1832" s="273"/>
      <c r="V1832" s="30">
        <f t="shared" si="425"/>
        <v>0</v>
      </c>
      <c r="W1832" s="30"/>
      <c r="X1832" s="73"/>
      <c r="Y1832" s="33" t="str">
        <f t="shared" si="792"/>
        <v>#DIV/0!</v>
      </c>
      <c r="Z1832" s="692"/>
      <c r="AA1832" s="665"/>
      <c r="AB1832" s="74"/>
      <c r="AC1832" s="74"/>
      <c r="AD1832" s="44"/>
      <c r="AE1832" s="46"/>
      <c r="AF1832" s="158" t="str">
        <f>HYPERLINK("https://www.crunchbase.com/funding_round/riseio-seed--8f7a7c18","Feb 12, 2018")</f>
        <v>Feb 12, 2018</v>
      </c>
      <c r="AG1832" s="38">
        <v>0.0</v>
      </c>
      <c r="AH1832" s="36"/>
      <c r="AI1832" s="159"/>
      <c r="AJ1832" s="44"/>
      <c r="AK1832" s="46"/>
      <c r="AL1832" s="44"/>
      <c r="AM1832" s="84"/>
      <c r="AN1832" s="79"/>
      <c r="AO1832" s="84"/>
      <c r="AP1832" s="79"/>
      <c r="AQ1832" s="84"/>
      <c r="AR1832" s="79"/>
      <c r="AS1832" s="79"/>
      <c r="AT1832" s="79"/>
      <c r="AU1832" s="80"/>
      <c r="AV1832" s="79"/>
      <c r="AW1832" s="38"/>
      <c r="AX1832" s="79"/>
      <c r="AY1832" s="38"/>
      <c r="AZ1832" s="79"/>
      <c r="BA1832" s="80"/>
      <c r="BB1832" s="79"/>
      <c r="BC1832" s="80"/>
      <c r="BD1832" s="79"/>
      <c r="BE1832" s="38"/>
      <c r="BF1832" s="74"/>
      <c r="BG1832" s="115"/>
      <c r="BH1832" s="115"/>
      <c r="BI1832" s="115"/>
      <c r="BJ1832" s="115"/>
      <c r="BK1832" s="115"/>
      <c r="BL1832" s="115"/>
      <c r="BM1832" s="115"/>
      <c r="BN1832" s="115"/>
      <c r="BO1832" s="115"/>
      <c r="BP1832" s="115"/>
      <c r="BQ1832" s="115"/>
      <c r="BR1832" s="115"/>
      <c r="BS1832" s="115"/>
      <c r="BT1832" s="115"/>
      <c r="BU1832" s="115"/>
      <c r="BV1832" s="115"/>
      <c r="BW1832" s="115"/>
      <c r="BX1832" s="115"/>
      <c r="BY1832" s="115"/>
      <c r="BZ1832" s="115"/>
      <c r="CA1832" s="115"/>
      <c r="CB1832" s="115"/>
      <c r="CC1832" s="115"/>
      <c r="CD1832" s="115"/>
      <c r="CE1832" s="115"/>
      <c r="CF1832" s="115"/>
      <c r="CG1832" s="115"/>
      <c r="CH1832" s="115"/>
      <c r="CI1832" s="115"/>
      <c r="CJ1832" s="115"/>
      <c r="CK1832" s="115"/>
      <c r="CL1832" s="115"/>
      <c r="CM1832" s="115"/>
      <c r="CN1832" s="115"/>
      <c r="CO1832" s="115"/>
      <c r="CP1832" s="115"/>
    </row>
    <row r="1833" ht="15.75" customHeight="1">
      <c r="A1833" s="21" t="s">
        <v>8462</v>
      </c>
      <c r="B1833" s="68"/>
      <c r="C1833" s="69" t="s">
        <v>755</v>
      </c>
      <c r="D1833" s="200" t="s">
        <v>8463</v>
      </c>
      <c r="E1833" s="200" t="s">
        <v>8464</v>
      </c>
      <c r="F1833" s="841" t="s">
        <v>8465</v>
      </c>
      <c r="G1833" s="71" t="s">
        <v>8466</v>
      </c>
      <c r="H1833" s="1872" t="s">
        <v>394</v>
      </c>
      <c r="I1833" s="26" t="s">
        <v>395</v>
      </c>
      <c r="J1833" s="1873" t="s">
        <v>3838</v>
      </c>
      <c r="K1833" s="25">
        <v>2.0</v>
      </c>
      <c r="L1833" s="123" t="s">
        <v>723</v>
      </c>
      <c r="M1833" s="25" t="str">
        <f t="shared" si="789"/>
        <v>#VALUE!</v>
      </c>
      <c r="N1833" s="26">
        <f t="shared" si="790"/>
        <v>0</v>
      </c>
      <c r="O1833" s="27" t="str">
        <f t="shared" si="3"/>
        <v>#N/A</v>
      </c>
      <c r="P1833" s="273"/>
      <c r="Q1833" s="273"/>
      <c r="R1833" s="273"/>
      <c r="S1833" s="273"/>
      <c r="T1833" s="273"/>
      <c r="U1833" s="273"/>
      <c r="V1833" s="30">
        <f t="shared" si="425"/>
        <v>0</v>
      </c>
      <c r="W1833" s="30"/>
      <c r="X1833" s="597"/>
      <c r="Y1833" s="33" t="str">
        <f t="shared" si="792"/>
        <v>#DIV/0!</v>
      </c>
      <c r="Z1833" s="692"/>
      <c r="AA1833" s="665"/>
      <c r="AB1833" s="74"/>
      <c r="AC1833" s="74"/>
      <c r="AD1833" s="44"/>
      <c r="AE1833" s="46"/>
      <c r="AF1833" s="39"/>
      <c r="AG1833" s="46"/>
      <c r="AH1833" s="36"/>
      <c r="AI1833" s="159"/>
      <c r="AJ1833" s="44"/>
      <c r="AK1833" s="46"/>
      <c r="AL1833" s="44"/>
      <c r="AM1833" s="84"/>
      <c r="AN1833" s="79"/>
      <c r="AO1833" s="84"/>
      <c r="AP1833" s="79"/>
      <c r="AQ1833" s="84"/>
      <c r="AR1833" s="79"/>
      <c r="AS1833" s="79"/>
      <c r="AT1833" s="79"/>
      <c r="AU1833" s="80"/>
      <c r="AV1833" s="79"/>
      <c r="AW1833" s="38"/>
      <c r="AX1833" s="79"/>
      <c r="AY1833" s="38"/>
      <c r="AZ1833" s="79"/>
      <c r="BA1833" s="80"/>
      <c r="BB1833" s="79"/>
      <c r="BC1833" s="80"/>
      <c r="BD1833" s="79"/>
      <c r="BE1833" s="38"/>
      <c r="BF1833" s="74"/>
      <c r="BG1833" s="115"/>
      <c r="BH1833" s="115"/>
      <c r="BI1833" s="115"/>
      <c r="BJ1833" s="115"/>
      <c r="BK1833" s="115"/>
      <c r="BL1833" s="115"/>
      <c r="BM1833" s="115"/>
      <c r="BN1833" s="115"/>
      <c r="BO1833" s="115"/>
      <c r="BP1833" s="115"/>
      <c r="BQ1833" s="115"/>
      <c r="BR1833" s="115"/>
      <c r="BS1833" s="115"/>
      <c r="BT1833" s="115"/>
      <c r="BU1833" s="115"/>
      <c r="BV1833" s="115"/>
      <c r="BW1833" s="115"/>
      <c r="BX1833" s="115"/>
      <c r="BY1833" s="115"/>
      <c r="BZ1833" s="115"/>
      <c r="CA1833" s="115"/>
      <c r="CB1833" s="115"/>
      <c r="CC1833" s="115"/>
      <c r="CD1833" s="115"/>
      <c r="CE1833" s="115"/>
      <c r="CF1833" s="115"/>
      <c r="CG1833" s="115"/>
      <c r="CH1833" s="115"/>
      <c r="CI1833" s="115"/>
      <c r="CJ1833" s="115"/>
      <c r="CK1833" s="115"/>
      <c r="CL1833" s="115"/>
      <c r="CM1833" s="115"/>
      <c r="CN1833" s="115"/>
      <c r="CO1833" s="115"/>
      <c r="CP1833" s="115"/>
    </row>
    <row r="1834" ht="15.75" customHeight="1">
      <c r="A1834" s="860" t="s">
        <v>8467</v>
      </c>
      <c r="B1834" s="68"/>
      <c r="C1834" s="69" t="s">
        <v>932</v>
      </c>
      <c r="D1834" s="138"/>
      <c r="E1834" s="192" t="s">
        <v>8468</v>
      </c>
      <c r="F1834" s="118" t="s">
        <v>8469</v>
      </c>
      <c r="G1834" s="54"/>
      <c r="H1834" s="71" t="s">
        <v>129</v>
      </c>
      <c r="I1834" s="26" t="s">
        <v>129</v>
      </c>
      <c r="J1834" s="178"/>
      <c r="K1834" s="74"/>
      <c r="L1834" s="26">
        <v>2017.0</v>
      </c>
      <c r="M1834" s="25">
        <f t="shared" si="789"/>
        <v>8</v>
      </c>
      <c r="N1834" s="26">
        <f t="shared" si="790"/>
        <v>0</v>
      </c>
      <c r="O1834" s="27" t="str">
        <f t="shared" si="3"/>
        <v>#N/A</v>
      </c>
      <c r="P1834" s="28"/>
      <c r="Q1834" s="28"/>
      <c r="R1834" s="28"/>
      <c r="S1834" s="28"/>
      <c r="T1834" s="28"/>
      <c r="U1834" s="28"/>
      <c r="V1834" s="30">
        <f t="shared" si="425"/>
        <v>0</v>
      </c>
      <c r="W1834" s="30"/>
      <c r="X1834" s="32"/>
      <c r="Y1834" s="33" t="str">
        <f t="shared" si="792"/>
        <v>#DIV/0!</v>
      </c>
      <c r="Z1834" s="692"/>
      <c r="AA1834" s="665"/>
      <c r="AB1834" s="74"/>
      <c r="AC1834" s="74"/>
      <c r="AD1834" s="44"/>
      <c r="AE1834" s="46"/>
      <c r="AF1834" s="39"/>
      <c r="AG1834" s="46"/>
      <c r="AH1834" s="36"/>
      <c r="AI1834" s="159"/>
      <c r="AJ1834" s="37"/>
      <c r="AK1834" s="46"/>
      <c r="AL1834" s="44"/>
      <c r="AM1834" s="84"/>
      <c r="AN1834" s="79"/>
      <c r="AO1834" s="84"/>
      <c r="AP1834" s="79"/>
      <c r="AQ1834" s="84"/>
      <c r="AR1834" s="79"/>
      <c r="AS1834" s="79"/>
      <c r="AT1834" s="79"/>
      <c r="AU1834" s="80"/>
      <c r="AV1834" s="79"/>
      <c r="AW1834" s="38"/>
      <c r="AX1834" s="79"/>
      <c r="AY1834" s="38"/>
      <c r="AZ1834" s="79"/>
      <c r="BA1834" s="80"/>
      <c r="BB1834" s="79"/>
      <c r="BC1834" s="80"/>
      <c r="BD1834" s="79"/>
      <c r="BE1834" s="38"/>
      <c r="BF1834" s="74"/>
      <c r="BG1834" s="115"/>
      <c r="BH1834" s="115"/>
      <c r="BI1834" s="115"/>
      <c r="BJ1834" s="115"/>
      <c r="BK1834" s="115"/>
      <c r="BL1834" s="115"/>
      <c r="BM1834" s="115"/>
      <c r="BN1834" s="115"/>
      <c r="BO1834" s="115"/>
      <c r="BP1834" s="115"/>
      <c r="BQ1834" s="115"/>
      <c r="BR1834" s="115"/>
      <c r="BS1834" s="115"/>
      <c r="BT1834" s="115"/>
      <c r="BU1834" s="115"/>
      <c r="BV1834" s="115"/>
      <c r="BW1834" s="115"/>
      <c r="BX1834" s="115"/>
      <c r="BY1834" s="115"/>
      <c r="BZ1834" s="115"/>
      <c r="CA1834" s="115"/>
      <c r="CB1834" s="115"/>
      <c r="CC1834" s="115"/>
      <c r="CD1834" s="115"/>
      <c r="CE1834" s="115"/>
      <c r="CF1834" s="115"/>
      <c r="CG1834" s="115"/>
      <c r="CH1834" s="115"/>
      <c r="CI1834" s="115"/>
      <c r="CJ1834" s="115"/>
      <c r="CK1834" s="115"/>
      <c r="CL1834" s="115"/>
      <c r="CM1834" s="115"/>
      <c r="CN1834" s="115"/>
      <c r="CO1834" s="115"/>
      <c r="CP1834" s="115"/>
    </row>
    <row r="1835" ht="15.75" customHeight="1">
      <c r="A1835" s="47" t="s">
        <v>8470</v>
      </c>
      <c r="B1835" s="69" t="s">
        <v>8471</v>
      </c>
      <c r="C1835" s="69" t="s">
        <v>932</v>
      </c>
      <c r="D1835" s="138"/>
      <c r="E1835" s="48"/>
      <c r="F1835" s="118" t="s">
        <v>8472</v>
      </c>
      <c r="G1835" s="54"/>
      <c r="H1835" s="71" t="s">
        <v>357</v>
      </c>
      <c r="I1835" s="26" t="s">
        <v>660</v>
      </c>
      <c r="J1835" s="178"/>
      <c r="K1835" s="74"/>
      <c r="L1835" s="26"/>
      <c r="M1835" s="25">
        <f t="shared" si="789"/>
        <v>2025</v>
      </c>
      <c r="N1835" s="26">
        <f t="shared" si="790"/>
        <v>0</v>
      </c>
      <c r="O1835" s="27" t="str">
        <f t="shared" si="3"/>
        <v>#N/A</v>
      </c>
      <c r="P1835" s="28"/>
      <c r="Q1835" s="28"/>
      <c r="R1835" s="28"/>
      <c r="S1835" s="28"/>
      <c r="T1835" s="28"/>
      <c r="U1835" s="28"/>
      <c r="V1835" s="30">
        <f t="shared" si="425"/>
        <v>0</v>
      </c>
      <c r="W1835" s="30"/>
      <c r="X1835" s="32"/>
      <c r="Y1835" s="33" t="str">
        <f t="shared" si="792"/>
        <v>#DIV/0!</v>
      </c>
      <c r="Z1835" s="692"/>
      <c r="AA1835" s="665"/>
      <c r="AB1835" s="74"/>
      <c r="AC1835" s="74"/>
      <c r="AD1835" s="44"/>
      <c r="AE1835" s="46"/>
      <c r="AF1835" s="39"/>
      <c r="AG1835" s="46"/>
      <c r="AH1835" s="36"/>
      <c r="AI1835" s="159"/>
      <c r="AJ1835" s="37"/>
      <c r="AK1835" s="46"/>
      <c r="AL1835" s="44"/>
      <c r="AM1835" s="84"/>
      <c r="AN1835" s="79"/>
      <c r="AO1835" s="84"/>
      <c r="AP1835" s="79"/>
      <c r="AQ1835" s="84"/>
      <c r="AR1835" s="79"/>
      <c r="AS1835" s="79"/>
      <c r="AT1835" s="79"/>
      <c r="AU1835" s="80"/>
      <c r="AV1835" s="79"/>
      <c r="AW1835" s="38"/>
      <c r="AX1835" s="79"/>
      <c r="AY1835" s="38"/>
      <c r="AZ1835" s="79"/>
      <c r="BA1835" s="80"/>
      <c r="BB1835" s="79"/>
      <c r="BC1835" s="80"/>
      <c r="BD1835" s="79"/>
      <c r="BE1835" s="38"/>
      <c r="BF1835" s="74"/>
      <c r="BG1835" s="115"/>
      <c r="BH1835" s="115"/>
      <c r="BI1835" s="115"/>
      <c r="BJ1835" s="115"/>
      <c r="BK1835" s="115"/>
      <c r="BL1835" s="115"/>
      <c r="BM1835" s="115"/>
      <c r="BN1835" s="115"/>
      <c r="BO1835" s="115"/>
      <c r="BP1835" s="115"/>
      <c r="BQ1835" s="115"/>
      <c r="BR1835" s="115"/>
      <c r="BS1835" s="115"/>
      <c r="BT1835" s="115"/>
      <c r="BU1835" s="115"/>
      <c r="BV1835" s="115"/>
      <c r="BW1835" s="115"/>
      <c r="BX1835" s="115"/>
      <c r="BY1835" s="115"/>
      <c r="BZ1835" s="115"/>
      <c r="CA1835" s="115"/>
      <c r="CB1835" s="115"/>
      <c r="CC1835" s="115"/>
      <c r="CD1835" s="115"/>
      <c r="CE1835" s="115"/>
      <c r="CF1835" s="115"/>
      <c r="CG1835" s="115"/>
      <c r="CH1835" s="115"/>
      <c r="CI1835" s="115"/>
      <c r="CJ1835" s="115"/>
      <c r="CK1835" s="115"/>
      <c r="CL1835" s="115"/>
      <c r="CM1835" s="115"/>
      <c r="CN1835" s="115"/>
      <c r="CO1835" s="115"/>
      <c r="CP1835" s="115"/>
    </row>
    <row r="1836" ht="15.75" customHeight="1">
      <c r="A1836" s="1719" t="s">
        <v>8473</v>
      </c>
      <c r="B1836" s="1407"/>
      <c r="C1836" s="1463" t="s">
        <v>84</v>
      </c>
      <c r="D1836" s="1720" t="s">
        <v>4781</v>
      </c>
      <c r="E1836" s="1711" t="s">
        <v>4781</v>
      </c>
      <c r="F1836" s="1753" t="s">
        <v>8474</v>
      </c>
      <c r="G1836" s="1467" t="s">
        <v>8475</v>
      </c>
      <c r="H1836" s="1468" t="s">
        <v>8476</v>
      </c>
      <c r="I1836" s="1467" t="s">
        <v>792</v>
      </c>
      <c r="J1836" s="1714"/>
      <c r="K1836" s="1469">
        <v>2.0</v>
      </c>
      <c r="L1836" s="1469">
        <v>2015.0</v>
      </c>
      <c r="M1836" s="25">
        <f t="shared" si="789"/>
        <v>10</v>
      </c>
      <c r="N1836" s="26">
        <f t="shared" si="790"/>
        <v>0</v>
      </c>
      <c r="O1836" s="27" t="str">
        <f t="shared" si="3"/>
        <v>#N/A</v>
      </c>
      <c r="P1836" s="1847"/>
      <c r="Q1836" s="1847"/>
      <c r="R1836" s="1847"/>
      <c r="S1836" s="1847"/>
      <c r="T1836" s="1847"/>
      <c r="U1836" s="1847"/>
      <c r="V1836" s="30">
        <f t="shared" si="425"/>
        <v>0</v>
      </c>
      <c r="W1836" s="30"/>
      <c r="X1836" s="1473"/>
      <c r="Y1836" s="33" t="str">
        <f t="shared" si="792"/>
        <v>#DIV/0!</v>
      </c>
      <c r="Z1836" s="692"/>
      <c r="AA1836" s="665"/>
      <c r="AB1836" s="1474"/>
      <c r="AC1836" s="1474"/>
      <c r="AD1836" s="1867"/>
      <c r="AE1836" s="1868"/>
      <c r="AF1836" s="1864"/>
      <c r="AG1836" s="1868"/>
      <c r="AH1836" s="1870"/>
      <c r="AI1836" s="1874"/>
      <c r="AJ1836" s="1875"/>
      <c r="AK1836" s="1869"/>
      <c r="AL1836" s="1875"/>
      <c r="AM1836" s="1476"/>
      <c r="AN1836" s="1715"/>
      <c r="AO1836" s="1476"/>
      <c r="AP1836" s="1715"/>
      <c r="AQ1836" s="1476"/>
      <c r="AR1836" s="1482"/>
      <c r="AS1836" s="1482"/>
      <c r="AT1836" s="1482"/>
      <c r="AU1836" s="1483"/>
      <c r="AV1836" s="1482"/>
      <c r="AW1836" s="38"/>
      <c r="AX1836" s="1482"/>
      <c r="AY1836" s="38"/>
      <c r="AZ1836" s="1482"/>
      <c r="BA1836" s="1483"/>
      <c r="BB1836" s="1482"/>
      <c r="BC1836" s="1483"/>
      <c r="BD1836" s="1482"/>
      <c r="BE1836" s="38"/>
      <c r="BF1836" s="1474"/>
      <c r="BG1836" s="115"/>
      <c r="BH1836" s="115"/>
      <c r="BI1836" s="115"/>
      <c r="BJ1836" s="115"/>
      <c r="BK1836" s="115"/>
      <c r="BL1836" s="115"/>
      <c r="BM1836" s="115"/>
      <c r="BN1836" s="115"/>
      <c r="BO1836" s="115"/>
      <c r="BP1836" s="115"/>
      <c r="BQ1836" s="115"/>
      <c r="BR1836" s="115"/>
      <c r="BS1836" s="115"/>
      <c r="BT1836" s="115"/>
      <c r="BU1836" s="115"/>
      <c r="BV1836" s="115"/>
      <c r="BW1836" s="115"/>
      <c r="BX1836" s="115"/>
      <c r="BY1836" s="115"/>
      <c r="BZ1836" s="115"/>
      <c r="CA1836" s="115"/>
      <c r="CB1836" s="115"/>
      <c r="CC1836" s="115"/>
      <c r="CD1836" s="115"/>
      <c r="CE1836" s="115"/>
      <c r="CF1836" s="115"/>
      <c r="CG1836" s="115"/>
      <c r="CH1836" s="115"/>
      <c r="CI1836" s="115"/>
      <c r="CJ1836" s="115"/>
      <c r="CK1836" s="115"/>
      <c r="CL1836" s="115"/>
      <c r="CM1836" s="115"/>
      <c r="CN1836" s="115"/>
      <c r="CO1836" s="115"/>
      <c r="CP1836" s="115"/>
    </row>
    <row r="1837" ht="15.75" customHeight="1">
      <c r="A1837" s="21" t="s">
        <v>8477</v>
      </c>
      <c r="B1837" s="68"/>
      <c r="C1837" s="69" t="s">
        <v>1007</v>
      </c>
      <c r="D1837" s="192" t="s">
        <v>8478</v>
      </c>
      <c r="E1837" s="192" t="s">
        <v>8479</v>
      </c>
      <c r="F1837" s="118" t="s">
        <v>8480</v>
      </c>
      <c r="G1837" s="186"/>
      <c r="H1837" s="186"/>
      <c r="I1837" s="26"/>
      <c r="J1837" s="155"/>
      <c r="K1837" s="74"/>
      <c r="L1837" s="26">
        <v>2016.0</v>
      </c>
      <c r="M1837" s="25">
        <f t="shared" si="789"/>
        <v>9</v>
      </c>
      <c r="N1837" s="26">
        <f t="shared" si="790"/>
        <v>0</v>
      </c>
      <c r="O1837" s="27" t="str">
        <f t="shared" si="3"/>
        <v>#N/A</v>
      </c>
      <c r="P1837" s="273"/>
      <c r="Q1837" s="273"/>
      <c r="R1837" s="273"/>
      <c r="S1837" s="273"/>
      <c r="T1837" s="273"/>
      <c r="U1837" s="273"/>
      <c r="V1837" s="30">
        <f t="shared" si="425"/>
        <v>0</v>
      </c>
      <c r="W1837" s="30"/>
      <c r="X1837" s="32"/>
      <c r="Y1837" s="33" t="str">
        <f t="shared" si="792"/>
        <v>#DIV/0!</v>
      </c>
      <c r="Z1837" s="692"/>
      <c r="AA1837" s="665"/>
      <c r="AB1837" s="74"/>
      <c r="AC1837" s="74"/>
      <c r="AD1837" s="44"/>
      <c r="AE1837" s="46"/>
      <c r="AF1837" s="39"/>
      <c r="AG1837" s="46"/>
      <c r="AH1837" s="36"/>
      <c r="AI1837" s="159"/>
      <c r="AJ1837" s="44"/>
      <c r="AK1837" s="46"/>
      <c r="AL1837" s="37"/>
      <c r="AM1837" s="76"/>
      <c r="AN1837" s="79"/>
      <c r="AO1837" s="84"/>
      <c r="AP1837" s="79"/>
      <c r="AQ1837" s="84"/>
      <c r="AR1837" s="79"/>
      <c r="AS1837" s="79"/>
      <c r="AT1837" s="79"/>
      <c r="AU1837" s="80"/>
      <c r="AV1837" s="79"/>
      <c r="AW1837" s="38"/>
      <c r="AX1837" s="79"/>
      <c r="AY1837" s="38"/>
      <c r="AZ1837" s="79"/>
      <c r="BA1837" s="80"/>
      <c r="BB1837" s="79"/>
      <c r="BC1837" s="80"/>
      <c r="BD1837" s="79"/>
      <c r="BE1837" s="38"/>
      <c r="BF1837" s="74"/>
      <c r="BG1837" s="115"/>
      <c r="BH1837" s="115"/>
      <c r="BI1837" s="115"/>
      <c r="BJ1837" s="115"/>
      <c r="BK1837" s="115"/>
      <c r="BL1837" s="115"/>
      <c r="BM1837" s="115"/>
      <c r="BN1837" s="115"/>
      <c r="BO1837" s="115"/>
      <c r="BP1837" s="115"/>
      <c r="BQ1837" s="115"/>
      <c r="BR1837" s="115"/>
      <c r="BS1837" s="115"/>
      <c r="BT1837" s="115"/>
      <c r="BU1837" s="115"/>
      <c r="BV1837" s="115"/>
      <c r="BW1837" s="115"/>
      <c r="BX1837" s="115"/>
      <c r="BY1837" s="115"/>
      <c r="BZ1837" s="115"/>
      <c r="CA1837" s="115"/>
      <c r="CB1837" s="115"/>
      <c r="CC1837" s="115"/>
      <c r="CD1837" s="115"/>
      <c r="CE1837" s="115"/>
      <c r="CF1837" s="115"/>
      <c r="CG1837" s="115"/>
      <c r="CH1837" s="115"/>
      <c r="CI1837" s="115"/>
      <c r="CJ1837" s="115"/>
      <c r="CK1837" s="115"/>
      <c r="CL1837" s="115"/>
      <c r="CM1837" s="115"/>
      <c r="CN1837" s="115"/>
      <c r="CO1837" s="115"/>
      <c r="CP1837" s="115"/>
    </row>
    <row r="1838" ht="15.75" customHeight="1">
      <c r="A1838" s="1737" t="s">
        <v>8481</v>
      </c>
      <c r="B1838" s="1644"/>
      <c r="C1838" s="1762" t="s">
        <v>59</v>
      </c>
      <c r="D1838" s="1741" t="s">
        <v>4781</v>
      </c>
      <c r="E1838" s="1741" t="s">
        <v>4781</v>
      </c>
      <c r="F1838" s="1742" t="s">
        <v>8482</v>
      </c>
      <c r="G1838" s="1807"/>
      <c r="H1838" s="1807" t="s">
        <v>173</v>
      </c>
      <c r="I1838" s="1739" t="s">
        <v>174</v>
      </c>
      <c r="J1838" s="1808" t="s">
        <v>8483</v>
      </c>
      <c r="K1838" s="1739"/>
      <c r="L1838" s="1739">
        <v>2016.0</v>
      </c>
      <c r="M1838" s="25">
        <f t="shared" si="789"/>
        <v>9</v>
      </c>
      <c r="N1838" s="26">
        <f t="shared" si="790"/>
        <v>0</v>
      </c>
      <c r="O1838" s="27" t="str">
        <f t="shared" si="3"/>
        <v>#N/A</v>
      </c>
      <c r="P1838" s="1876"/>
      <c r="Q1838" s="1876"/>
      <c r="R1838" s="1876"/>
      <c r="S1838" s="1876"/>
      <c r="T1838" s="1876"/>
      <c r="U1838" s="1876"/>
      <c r="V1838" s="30">
        <f t="shared" si="425"/>
        <v>0</v>
      </c>
      <c r="W1838" s="30"/>
      <c r="X1838" s="1812"/>
      <c r="Y1838" s="33" t="str">
        <f t="shared" si="792"/>
        <v>#DIV/0!</v>
      </c>
      <c r="Z1838" s="692"/>
      <c r="AA1838" s="665"/>
      <c r="AB1838" s="1738"/>
      <c r="AC1838" s="1738"/>
      <c r="AD1838" s="1877"/>
      <c r="AE1838" s="1878"/>
      <c r="AF1838" s="1879"/>
      <c r="AG1838" s="1880"/>
      <c r="AH1838" s="1881"/>
      <c r="AI1838" s="1882"/>
      <c r="AJ1838" s="1877"/>
      <c r="AK1838" s="1878"/>
      <c r="AL1838" s="1877"/>
      <c r="AM1838" s="1748"/>
      <c r="AN1838" s="1747"/>
      <c r="AO1838" s="1748"/>
      <c r="AP1838" s="1747"/>
      <c r="AQ1838" s="1748"/>
      <c r="AR1838" s="1747"/>
      <c r="AS1838" s="1747"/>
      <c r="AT1838" s="1747"/>
      <c r="AU1838" s="1751"/>
      <c r="AV1838" s="1747"/>
      <c r="AW1838" s="38"/>
      <c r="AX1838" s="1747"/>
      <c r="AY1838" s="38"/>
      <c r="AZ1838" s="1747"/>
      <c r="BA1838" s="1751"/>
      <c r="BB1838" s="1747"/>
      <c r="BC1838" s="1751"/>
      <c r="BD1838" s="1747"/>
      <c r="BE1838" s="38"/>
      <c r="BF1838" s="1738"/>
      <c r="BG1838" s="115"/>
      <c r="BH1838" s="115"/>
      <c r="BI1838" s="115"/>
      <c r="BJ1838" s="115"/>
      <c r="BK1838" s="115"/>
      <c r="BL1838" s="115"/>
      <c r="BM1838" s="115"/>
      <c r="BN1838" s="115"/>
      <c r="BO1838" s="115"/>
      <c r="BP1838" s="115"/>
      <c r="BQ1838" s="115"/>
      <c r="BR1838" s="115"/>
      <c r="BS1838" s="115"/>
      <c r="BT1838" s="115"/>
      <c r="BU1838" s="115"/>
      <c r="BV1838" s="115"/>
      <c r="BW1838" s="115"/>
      <c r="BX1838" s="115"/>
      <c r="BY1838" s="115"/>
      <c r="BZ1838" s="115"/>
      <c r="CA1838" s="115"/>
      <c r="CB1838" s="115"/>
      <c r="CC1838" s="115"/>
      <c r="CD1838" s="115"/>
      <c r="CE1838" s="115"/>
      <c r="CF1838" s="115"/>
      <c r="CG1838" s="115"/>
      <c r="CH1838" s="115"/>
      <c r="CI1838" s="115"/>
      <c r="CJ1838" s="115"/>
      <c r="CK1838" s="115"/>
      <c r="CL1838" s="115"/>
      <c r="CM1838" s="115"/>
      <c r="CN1838" s="115"/>
      <c r="CO1838" s="115"/>
      <c r="CP1838" s="115"/>
    </row>
    <row r="1839" ht="15.75" customHeight="1">
      <c r="A1839" s="1524" t="s">
        <v>8484</v>
      </c>
      <c r="B1839" s="760"/>
      <c r="C1839" s="824" t="s">
        <v>513</v>
      </c>
      <c r="D1839" s="1883"/>
      <c r="E1839" s="825" t="s">
        <v>8485</v>
      </c>
      <c r="F1839" s="826" t="s">
        <v>8486</v>
      </c>
      <c r="G1839" s="1274"/>
      <c r="H1839" s="827" t="s">
        <v>3317</v>
      </c>
      <c r="I1839" s="830" t="s">
        <v>3318</v>
      </c>
      <c r="J1839" s="1884"/>
      <c r="K1839" s="830"/>
      <c r="L1839" s="830">
        <v>2010.0</v>
      </c>
      <c r="M1839" s="25">
        <f t="shared" si="789"/>
        <v>15</v>
      </c>
      <c r="N1839" s="26">
        <f t="shared" si="790"/>
        <v>0</v>
      </c>
      <c r="O1839" s="27" t="str">
        <f t="shared" si="3"/>
        <v>#N/A</v>
      </c>
      <c r="P1839" s="1858"/>
      <c r="Q1839" s="1858"/>
      <c r="R1839" s="1858"/>
      <c r="S1839" s="1858"/>
      <c r="T1839" s="1858"/>
      <c r="U1839" s="1858"/>
      <c r="V1839" s="30">
        <f t="shared" si="425"/>
        <v>0</v>
      </c>
      <c r="W1839" s="30"/>
      <c r="X1839" s="1276"/>
      <c r="Y1839" s="33" t="str">
        <f t="shared" si="792"/>
        <v>#DIV/0!</v>
      </c>
      <c r="Z1839" s="692"/>
      <c r="AA1839" s="665"/>
      <c r="AB1839" s="831"/>
      <c r="AC1839" s="831"/>
      <c r="AD1839" s="1246"/>
      <c r="AE1839" s="1247"/>
      <c r="AF1839" s="1686"/>
      <c r="AG1839" s="1249"/>
      <c r="AH1839" s="1250"/>
      <c r="AI1839" s="1251"/>
      <c r="AJ1839" s="1246"/>
      <c r="AK1839" s="1249"/>
      <c r="AL1839" s="1246"/>
      <c r="AM1839" s="833"/>
      <c r="AN1839" s="832"/>
      <c r="AO1839" s="833"/>
      <c r="AP1839" s="832"/>
      <c r="AQ1839" s="833"/>
      <c r="AR1839" s="832"/>
      <c r="AS1839" s="832"/>
      <c r="AT1839" s="832"/>
      <c r="AU1839" s="838"/>
      <c r="AV1839" s="832"/>
      <c r="AW1839" s="38"/>
      <c r="AX1839" s="832"/>
      <c r="AY1839" s="38"/>
      <c r="AZ1839" s="832"/>
      <c r="BA1839" s="838"/>
      <c r="BB1839" s="832"/>
      <c r="BC1839" s="838"/>
      <c r="BD1839" s="832"/>
      <c r="BE1839" s="38"/>
      <c r="BF1839" s="831"/>
      <c r="BG1839" s="115"/>
      <c r="BH1839" s="115"/>
      <c r="BI1839" s="115"/>
      <c r="BJ1839" s="115"/>
      <c r="BK1839" s="115"/>
      <c r="BL1839" s="115"/>
      <c r="BM1839" s="115"/>
      <c r="BN1839" s="115"/>
      <c r="BO1839" s="115"/>
      <c r="BP1839" s="115"/>
      <c r="BQ1839" s="115"/>
      <c r="BR1839" s="115"/>
      <c r="BS1839" s="115"/>
      <c r="BT1839" s="115"/>
      <c r="BU1839" s="115"/>
      <c r="BV1839" s="115"/>
      <c r="BW1839" s="115"/>
      <c r="BX1839" s="115"/>
      <c r="BY1839" s="115"/>
      <c r="BZ1839" s="115"/>
      <c r="CA1839" s="115"/>
      <c r="CB1839" s="115"/>
      <c r="CC1839" s="115"/>
      <c r="CD1839" s="115"/>
      <c r="CE1839" s="115"/>
      <c r="CF1839" s="115"/>
      <c r="CG1839" s="115"/>
      <c r="CH1839" s="115"/>
      <c r="CI1839" s="115"/>
      <c r="CJ1839" s="115"/>
      <c r="CK1839" s="115"/>
      <c r="CL1839" s="115"/>
      <c r="CM1839" s="115"/>
      <c r="CN1839" s="115"/>
      <c r="CO1839" s="115"/>
      <c r="CP1839" s="115"/>
    </row>
    <row r="1840" ht="15.75" customHeight="1">
      <c r="A1840" s="860" t="s">
        <v>8487</v>
      </c>
      <c r="B1840" s="115"/>
      <c r="C1840" s="116" t="s">
        <v>123</v>
      </c>
      <c r="D1840" s="1199"/>
      <c r="E1840" s="192" t="s">
        <v>8488</v>
      </c>
      <c r="F1840" s="118" t="s">
        <v>8489</v>
      </c>
      <c r="G1840" s="54" t="s">
        <v>8490</v>
      </c>
      <c r="H1840" s="119" t="s">
        <v>187</v>
      </c>
      <c r="I1840" s="25" t="s">
        <v>188</v>
      </c>
      <c r="J1840" s="178" t="s">
        <v>8344</v>
      </c>
      <c r="K1840" s="25"/>
      <c r="L1840" s="25">
        <v>2019.0</v>
      </c>
      <c r="M1840" s="25">
        <f t="shared" si="789"/>
        <v>6</v>
      </c>
      <c r="N1840" s="26">
        <f t="shared" si="790"/>
        <v>0</v>
      </c>
      <c r="O1840" s="27" t="str">
        <f t="shared" si="3"/>
        <v>#N/A</v>
      </c>
      <c r="P1840" s="55"/>
      <c r="Q1840" s="55"/>
      <c r="R1840" s="55"/>
      <c r="S1840" s="55"/>
      <c r="T1840" s="55"/>
      <c r="U1840" s="55"/>
      <c r="V1840" s="30">
        <f t="shared" si="425"/>
        <v>0</v>
      </c>
      <c r="W1840" s="30"/>
      <c r="X1840" s="597"/>
      <c r="Y1840" s="33" t="str">
        <f t="shared" si="792"/>
        <v>#DIV/0!</v>
      </c>
      <c r="Z1840" s="692"/>
      <c r="AA1840" s="665"/>
      <c r="AB1840" s="123"/>
      <c r="AC1840" s="123"/>
      <c r="AD1840" s="322"/>
      <c r="AE1840" s="323"/>
      <c r="AF1840" s="868"/>
      <c r="AG1840" s="325"/>
      <c r="AH1840" s="326"/>
      <c r="AI1840" s="327"/>
      <c r="AJ1840" s="322"/>
      <c r="AK1840" s="325"/>
      <c r="AL1840" s="322"/>
      <c r="AM1840" s="125"/>
      <c r="AN1840" s="124"/>
      <c r="AO1840" s="125"/>
      <c r="AP1840" s="124"/>
      <c r="AQ1840" s="125"/>
      <c r="AR1840" s="124"/>
      <c r="AS1840" s="124"/>
      <c r="AT1840" s="124"/>
      <c r="AU1840" s="137"/>
      <c r="AV1840" s="124"/>
      <c r="AW1840" s="38"/>
      <c r="AX1840" s="124"/>
      <c r="AY1840" s="38"/>
      <c r="AZ1840" s="124"/>
      <c r="BA1840" s="137"/>
      <c r="BB1840" s="124"/>
      <c r="BC1840" s="137"/>
      <c r="BD1840" s="124"/>
      <c r="BE1840" s="38"/>
      <c r="BF1840" s="123"/>
      <c r="BG1840" s="115"/>
      <c r="BH1840" s="115"/>
      <c r="BI1840" s="115"/>
      <c r="BJ1840" s="115"/>
      <c r="BK1840" s="115"/>
      <c r="BL1840" s="115"/>
      <c r="BM1840" s="115"/>
      <c r="BN1840" s="115"/>
      <c r="BO1840" s="115"/>
      <c r="BP1840" s="115"/>
      <c r="BQ1840" s="115"/>
      <c r="BR1840" s="115"/>
      <c r="BS1840" s="115"/>
      <c r="BT1840" s="115"/>
      <c r="BU1840" s="115"/>
      <c r="BV1840" s="115"/>
      <c r="BW1840" s="115"/>
      <c r="BX1840" s="115"/>
      <c r="BY1840" s="115"/>
      <c r="BZ1840" s="115"/>
      <c r="CA1840" s="115"/>
      <c r="CB1840" s="115"/>
      <c r="CC1840" s="115"/>
      <c r="CD1840" s="115"/>
      <c r="CE1840" s="115"/>
      <c r="CF1840" s="115"/>
      <c r="CG1840" s="115"/>
      <c r="CH1840" s="115"/>
      <c r="CI1840" s="115"/>
      <c r="CJ1840" s="115"/>
      <c r="CK1840" s="115"/>
      <c r="CL1840" s="115"/>
      <c r="CM1840" s="115"/>
      <c r="CN1840" s="115"/>
      <c r="CO1840" s="115"/>
      <c r="CP1840" s="115"/>
    </row>
    <row r="1841" ht="15.75" customHeight="1">
      <c r="A1841" s="1850" t="s">
        <v>8491</v>
      </c>
      <c r="B1841" s="1407"/>
      <c r="C1841" s="1463" t="s">
        <v>132</v>
      </c>
      <c r="D1841" s="1711" t="s">
        <v>4781</v>
      </c>
      <c r="E1841" s="1711" t="s">
        <v>4781</v>
      </c>
      <c r="F1841" s="1721" t="s">
        <v>8492</v>
      </c>
      <c r="G1841" s="1467" t="s">
        <v>8493</v>
      </c>
      <c r="H1841" s="1468" t="s">
        <v>262</v>
      </c>
      <c r="I1841" s="1469" t="s">
        <v>263</v>
      </c>
      <c r="J1841" s="1470" t="s">
        <v>8494</v>
      </c>
      <c r="K1841" s="1469">
        <v>1.0</v>
      </c>
      <c r="L1841" s="1469">
        <v>2019.0</v>
      </c>
      <c r="M1841" s="25">
        <f t="shared" si="789"/>
        <v>6</v>
      </c>
      <c r="N1841" s="26">
        <f t="shared" si="790"/>
        <v>0</v>
      </c>
      <c r="O1841" s="27" t="str">
        <f t="shared" si="3"/>
        <v>#N/A</v>
      </c>
      <c r="P1841" s="1847"/>
      <c r="Q1841" s="1847"/>
      <c r="R1841" s="1847"/>
      <c r="S1841" s="1847"/>
      <c r="T1841" s="1847"/>
      <c r="U1841" s="1847"/>
      <c r="V1841" s="30">
        <f t="shared" si="425"/>
        <v>0</v>
      </c>
      <c r="W1841" s="30"/>
      <c r="X1841" s="1473"/>
      <c r="Y1841" s="33" t="str">
        <f t="shared" si="792"/>
        <v>#DIV/0!</v>
      </c>
      <c r="Z1841" s="692"/>
      <c r="AA1841" s="665"/>
      <c r="AB1841" s="1474"/>
      <c r="AC1841" s="1474"/>
      <c r="AD1841" s="1867"/>
      <c r="AE1841" s="1868"/>
      <c r="AF1841" s="1864"/>
      <c r="AG1841" s="1869"/>
      <c r="AH1841" s="1870"/>
      <c r="AI1841" s="1874"/>
      <c r="AJ1841" s="1867"/>
      <c r="AK1841" s="1869"/>
      <c r="AL1841" s="1867"/>
      <c r="AM1841" s="1717"/>
      <c r="AN1841" s="1482"/>
      <c r="AO1841" s="1717"/>
      <c r="AP1841" s="1482"/>
      <c r="AQ1841" s="1717"/>
      <c r="AR1841" s="1482"/>
      <c r="AS1841" s="1482"/>
      <c r="AT1841" s="1482"/>
      <c r="AU1841" s="1483"/>
      <c r="AV1841" s="1482"/>
      <c r="AW1841" s="38"/>
      <c r="AX1841" s="1482"/>
      <c r="AY1841" s="38"/>
      <c r="AZ1841" s="1482"/>
      <c r="BA1841" s="1483"/>
      <c r="BB1841" s="1482"/>
      <c r="BC1841" s="1483"/>
      <c r="BD1841" s="1482"/>
      <c r="BE1841" s="38"/>
      <c r="BF1841" s="1474"/>
      <c r="BG1841" s="115"/>
      <c r="BH1841" s="115"/>
      <c r="BI1841" s="115"/>
      <c r="BJ1841" s="115"/>
      <c r="BK1841" s="115"/>
      <c r="BL1841" s="115"/>
      <c r="BM1841" s="115"/>
      <c r="BN1841" s="115"/>
      <c r="BO1841" s="115"/>
      <c r="BP1841" s="115"/>
      <c r="BQ1841" s="115"/>
      <c r="BR1841" s="115"/>
      <c r="BS1841" s="115"/>
      <c r="BT1841" s="115"/>
      <c r="BU1841" s="115"/>
      <c r="BV1841" s="115"/>
      <c r="BW1841" s="115"/>
      <c r="BX1841" s="115"/>
      <c r="BY1841" s="115"/>
      <c r="BZ1841" s="115"/>
      <c r="CA1841" s="115"/>
      <c r="CB1841" s="115"/>
      <c r="CC1841" s="115"/>
      <c r="CD1841" s="115"/>
      <c r="CE1841" s="115"/>
      <c r="CF1841" s="115"/>
      <c r="CG1841" s="115"/>
      <c r="CH1841" s="115"/>
      <c r="CI1841" s="115"/>
      <c r="CJ1841" s="115"/>
      <c r="CK1841" s="115"/>
      <c r="CL1841" s="115"/>
      <c r="CM1841" s="115"/>
      <c r="CN1841" s="115"/>
      <c r="CO1841" s="115"/>
      <c r="CP1841" s="115"/>
    </row>
    <row r="1842" ht="15.75" customHeight="1">
      <c r="A1842" s="442" t="s">
        <v>8495</v>
      </c>
      <c r="B1842" s="68" t="s">
        <v>8496</v>
      </c>
      <c r="C1842" s="69" t="s">
        <v>59</v>
      </c>
      <c r="D1842" s="337"/>
      <c r="E1842" s="200" t="s">
        <v>8497</v>
      </c>
      <c r="F1842" s="185" t="s">
        <v>8498</v>
      </c>
      <c r="G1842" s="186" t="s">
        <v>8499</v>
      </c>
      <c r="H1842" s="186" t="s">
        <v>187</v>
      </c>
      <c r="I1842" s="74" t="s">
        <v>2383</v>
      </c>
      <c r="J1842" s="155">
        <v>60661.0</v>
      </c>
      <c r="K1842" s="74">
        <v>1.0</v>
      </c>
      <c r="L1842" s="26">
        <v>2010.0</v>
      </c>
      <c r="M1842" s="25">
        <f t="shared" si="789"/>
        <v>15</v>
      </c>
      <c r="N1842" s="26">
        <f t="shared" si="790"/>
        <v>0</v>
      </c>
      <c r="O1842" s="27" t="str">
        <f t="shared" si="3"/>
        <v>#N/A</v>
      </c>
      <c r="P1842" s="273"/>
      <c r="Q1842" s="273"/>
      <c r="R1842" s="273"/>
      <c r="S1842" s="273"/>
      <c r="T1842" s="273"/>
      <c r="U1842" s="273"/>
      <c r="V1842" s="30">
        <f t="shared" si="425"/>
        <v>0</v>
      </c>
      <c r="W1842" s="30"/>
      <c r="X1842" s="32"/>
      <c r="Y1842" s="33" t="str">
        <f t="shared" si="792"/>
        <v>#DIV/0!</v>
      </c>
      <c r="Z1842" s="692"/>
      <c r="AA1842" s="665"/>
      <c r="AB1842" s="74"/>
      <c r="AC1842" s="74"/>
      <c r="AD1842" s="79"/>
      <c r="AE1842" s="84"/>
      <c r="AF1842" s="338"/>
      <c r="AG1842" s="84"/>
      <c r="AH1842" s="74"/>
      <c r="AI1842" s="78"/>
      <c r="AJ1842" s="79"/>
      <c r="AK1842" s="84"/>
      <c r="AL1842" s="79"/>
      <c r="AM1842" s="84"/>
      <c r="AN1842" s="79"/>
      <c r="AO1842" s="84"/>
      <c r="AP1842" s="79"/>
      <c r="AQ1842" s="84"/>
      <c r="AR1842" s="79"/>
      <c r="AS1842" s="79"/>
      <c r="AT1842" s="79"/>
      <c r="AU1842" s="80"/>
      <c r="AV1842" s="79"/>
      <c r="AW1842" s="38"/>
      <c r="AX1842" s="79"/>
      <c r="AY1842" s="38"/>
      <c r="AZ1842" s="79"/>
      <c r="BA1842" s="80"/>
      <c r="BB1842" s="79"/>
      <c r="BC1842" s="80"/>
      <c r="BD1842" s="79"/>
      <c r="BE1842" s="38"/>
      <c r="BF1842" s="74"/>
      <c r="BG1842" s="115"/>
      <c r="BH1842" s="115"/>
      <c r="BI1842" s="115"/>
      <c r="BJ1842" s="115"/>
      <c r="BK1842" s="115"/>
      <c r="BL1842" s="115"/>
      <c r="BM1842" s="115"/>
      <c r="BN1842" s="115"/>
      <c r="BO1842" s="115"/>
      <c r="BP1842" s="115"/>
      <c r="BQ1842" s="115"/>
      <c r="BR1842" s="115"/>
      <c r="BS1842" s="115"/>
      <c r="BT1842" s="115"/>
      <c r="BU1842" s="115"/>
      <c r="BV1842" s="115"/>
      <c r="BW1842" s="115"/>
      <c r="BX1842" s="115"/>
      <c r="BY1842" s="115"/>
      <c r="BZ1842" s="115"/>
      <c r="CA1842" s="115"/>
      <c r="CB1842" s="115"/>
      <c r="CC1842" s="115"/>
      <c r="CD1842" s="115"/>
      <c r="CE1842" s="115"/>
      <c r="CF1842" s="115"/>
      <c r="CG1842" s="115"/>
      <c r="CH1842" s="115"/>
      <c r="CI1842" s="115"/>
      <c r="CJ1842" s="115"/>
      <c r="CK1842" s="115"/>
      <c r="CL1842" s="115"/>
      <c r="CM1842" s="115"/>
      <c r="CN1842" s="115"/>
      <c r="CO1842" s="115"/>
      <c r="CP1842" s="115"/>
    </row>
    <row r="1843" ht="15.75" customHeight="1">
      <c r="A1843" s="931" t="s">
        <v>8500</v>
      </c>
      <c r="B1843" s="116"/>
      <c r="C1843" s="116" t="s">
        <v>132</v>
      </c>
      <c r="D1843" s="731"/>
      <c r="E1843" s="192" t="s">
        <v>8501</v>
      </c>
      <c r="F1843" s="756" t="s">
        <v>8502</v>
      </c>
      <c r="G1843" s="119"/>
      <c r="H1843" s="119" t="s">
        <v>7410</v>
      </c>
      <c r="I1843" s="25" t="s">
        <v>1384</v>
      </c>
      <c r="J1843" s="120"/>
      <c r="K1843" s="25"/>
      <c r="L1843" s="25">
        <v>1959.0</v>
      </c>
      <c r="M1843" s="25">
        <f t="shared" si="789"/>
        <v>66</v>
      </c>
      <c r="N1843" s="26">
        <f t="shared" si="790"/>
        <v>0</v>
      </c>
      <c r="O1843" s="27" t="str">
        <f t="shared" si="3"/>
        <v>#N/A</v>
      </c>
      <c r="P1843" s="356"/>
      <c r="Q1843" s="356"/>
      <c r="R1843" s="356"/>
      <c r="S1843" s="356"/>
      <c r="T1843" s="356"/>
      <c r="U1843" s="356"/>
      <c r="V1843" s="30">
        <f t="shared" si="425"/>
        <v>0</v>
      </c>
      <c r="W1843" s="30"/>
      <c r="X1843" s="597"/>
      <c r="Y1843" s="33" t="str">
        <f t="shared" si="792"/>
        <v>#DIV/0!</v>
      </c>
      <c r="Z1843" s="692"/>
      <c r="AA1843" s="665"/>
      <c r="AB1843" s="123"/>
      <c r="AC1843" s="123"/>
      <c r="AD1843" s="124"/>
      <c r="AE1843" s="125"/>
      <c r="AF1843" s="721"/>
      <c r="AG1843" s="127"/>
      <c r="AH1843" s="923"/>
      <c r="AI1843" s="759"/>
      <c r="AJ1843" s="25"/>
      <c r="AK1843" s="165"/>
      <c r="AL1843" s="124"/>
      <c r="AM1843" s="125"/>
      <c r="AN1843" s="124"/>
      <c r="AO1843" s="125"/>
      <c r="AP1843" s="124"/>
      <c r="AQ1843" s="125"/>
      <c r="AR1843" s="124"/>
      <c r="AS1843" s="124"/>
      <c r="AT1843" s="124"/>
      <c r="AU1843" s="137"/>
      <c r="AV1843" s="124"/>
      <c r="AW1843" s="38"/>
      <c r="AX1843" s="124"/>
      <c r="AY1843" s="38"/>
      <c r="AZ1843" s="124"/>
      <c r="BA1843" s="137"/>
      <c r="BB1843" s="124"/>
      <c r="BC1843" s="137"/>
      <c r="BD1843" s="124"/>
      <c r="BE1843" s="38"/>
      <c r="BF1843" s="123"/>
      <c r="BG1843" s="115"/>
      <c r="BH1843" s="115"/>
      <c r="BI1843" s="115"/>
      <c r="BJ1843" s="115"/>
      <c r="BK1843" s="115"/>
      <c r="BL1843" s="115"/>
      <c r="BM1843" s="115"/>
      <c r="BN1843" s="115"/>
      <c r="BO1843" s="115"/>
      <c r="BP1843" s="115"/>
      <c r="BQ1843" s="115"/>
      <c r="BR1843" s="115"/>
      <c r="BS1843" s="115"/>
      <c r="BT1843" s="115"/>
      <c r="BU1843" s="115"/>
      <c r="BV1843" s="115"/>
      <c r="BW1843" s="115"/>
      <c r="BX1843" s="115"/>
      <c r="BY1843" s="115"/>
      <c r="BZ1843" s="115"/>
      <c r="CA1843" s="115"/>
      <c r="CB1843" s="115"/>
      <c r="CC1843" s="115"/>
      <c r="CD1843" s="115"/>
      <c r="CE1843" s="115"/>
      <c r="CF1843" s="115"/>
      <c r="CG1843" s="115"/>
      <c r="CH1843" s="115"/>
      <c r="CI1843" s="115"/>
      <c r="CJ1843" s="115"/>
      <c r="CK1843" s="115"/>
      <c r="CL1843" s="115"/>
      <c r="CM1843" s="115"/>
      <c r="CN1843" s="115"/>
      <c r="CO1843" s="115"/>
      <c r="CP1843" s="115"/>
    </row>
    <row r="1844" ht="15.75" customHeight="1">
      <c r="A1844" s="931" t="s">
        <v>8503</v>
      </c>
      <c r="B1844" s="116"/>
      <c r="C1844" s="116" t="s">
        <v>84</v>
      </c>
      <c r="D1844" s="731"/>
      <c r="E1844" s="192" t="s">
        <v>8504</v>
      </c>
      <c r="F1844" s="756" t="s">
        <v>8505</v>
      </c>
      <c r="G1844" s="119"/>
      <c r="H1844" s="119" t="s">
        <v>8506</v>
      </c>
      <c r="I1844" s="25" t="s">
        <v>8507</v>
      </c>
      <c r="J1844" s="120"/>
      <c r="K1844" s="25"/>
      <c r="L1844" s="25">
        <v>2015.0</v>
      </c>
      <c r="M1844" s="25">
        <f t="shared" si="789"/>
        <v>10</v>
      </c>
      <c r="N1844" s="26">
        <f t="shared" si="790"/>
        <v>0</v>
      </c>
      <c r="O1844" s="27" t="str">
        <f t="shared" si="3"/>
        <v>#N/A</v>
      </c>
      <c r="P1844" s="356"/>
      <c r="Q1844" s="356"/>
      <c r="R1844" s="356"/>
      <c r="S1844" s="356"/>
      <c r="T1844" s="356"/>
      <c r="U1844" s="356"/>
      <c r="V1844" s="30">
        <f t="shared" si="425"/>
        <v>0</v>
      </c>
      <c r="W1844" s="30"/>
      <c r="X1844" s="597"/>
      <c r="Y1844" s="33" t="str">
        <f t="shared" si="792"/>
        <v>#DIV/0!</v>
      </c>
      <c r="Z1844" s="692"/>
      <c r="AA1844" s="665"/>
      <c r="AB1844" s="123"/>
      <c r="AC1844" s="123"/>
      <c r="AD1844" s="124"/>
      <c r="AE1844" s="125"/>
      <c r="AF1844" s="166"/>
      <c r="AG1844" s="127"/>
      <c r="AH1844" s="923"/>
      <c r="AI1844" s="759"/>
      <c r="AJ1844" s="169"/>
      <c r="AK1844" s="165"/>
      <c r="AL1844" s="124"/>
      <c r="AM1844" s="125"/>
      <c r="AN1844" s="124"/>
      <c r="AO1844" s="125"/>
      <c r="AP1844" s="124"/>
      <c r="AQ1844" s="125"/>
      <c r="AR1844" s="124"/>
      <c r="AS1844" s="124"/>
      <c r="AT1844" s="124"/>
      <c r="AU1844" s="137"/>
      <c r="AV1844" s="124"/>
      <c r="AW1844" s="38"/>
      <c r="AX1844" s="124"/>
      <c r="AY1844" s="38"/>
      <c r="AZ1844" s="124"/>
      <c r="BA1844" s="137"/>
      <c r="BB1844" s="124"/>
      <c r="BC1844" s="137"/>
      <c r="BD1844" s="124"/>
      <c r="BE1844" s="38"/>
      <c r="BF1844" s="123"/>
      <c r="BG1844" s="115"/>
      <c r="BH1844" s="115"/>
      <c r="BI1844" s="115"/>
      <c r="BJ1844" s="115"/>
      <c r="BK1844" s="115"/>
      <c r="BL1844" s="115"/>
      <c r="BM1844" s="115"/>
      <c r="BN1844" s="115"/>
      <c r="BO1844" s="115"/>
      <c r="BP1844" s="115"/>
      <c r="BQ1844" s="115"/>
      <c r="BR1844" s="115"/>
      <c r="BS1844" s="115"/>
      <c r="BT1844" s="115"/>
      <c r="BU1844" s="115"/>
      <c r="BV1844" s="115"/>
      <c r="BW1844" s="115"/>
      <c r="BX1844" s="115"/>
      <c r="BY1844" s="115"/>
      <c r="BZ1844" s="115"/>
      <c r="CA1844" s="115"/>
      <c r="CB1844" s="115"/>
      <c r="CC1844" s="115"/>
      <c r="CD1844" s="115"/>
      <c r="CE1844" s="115"/>
      <c r="CF1844" s="115"/>
      <c r="CG1844" s="115"/>
      <c r="CH1844" s="115"/>
      <c r="CI1844" s="115"/>
      <c r="CJ1844" s="115"/>
      <c r="CK1844" s="115"/>
      <c r="CL1844" s="115"/>
      <c r="CM1844" s="115"/>
      <c r="CN1844" s="115"/>
      <c r="CO1844" s="115"/>
      <c r="CP1844" s="115"/>
    </row>
    <row r="1845" ht="15.75" customHeight="1">
      <c r="A1845" s="931" t="s">
        <v>8508</v>
      </c>
      <c r="B1845" s="116"/>
      <c r="C1845" s="116" t="s">
        <v>59</v>
      </c>
      <c r="D1845" s="192" t="s">
        <v>8509</v>
      </c>
      <c r="E1845" s="192" t="s">
        <v>8510</v>
      </c>
      <c r="F1845" s="756" t="s">
        <v>8511</v>
      </c>
      <c r="G1845" s="119"/>
      <c r="H1845" s="119" t="s">
        <v>6563</v>
      </c>
      <c r="I1845" s="25" t="s">
        <v>257</v>
      </c>
      <c r="J1845" s="120"/>
      <c r="K1845" s="25"/>
      <c r="L1845" s="25">
        <v>2000.0</v>
      </c>
      <c r="M1845" s="25">
        <f t="shared" si="789"/>
        <v>25</v>
      </c>
      <c r="N1845" s="26">
        <f t="shared" si="790"/>
        <v>0</v>
      </c>
      <c r="O1845" s="27" t="str">
        <f t="shared" si="3"/>
        <v>#N/A</v>
      </c>
      <c r="P1845" s="356"/>
      <c r="Q1845" s="356"/>
      <c r="R1845" s="356"/>
      <c r="S1845" s="356"/>
      <c r="T1845" s="356"/>
      <c r="U1845" s="356"/>
      <c r="V1845" s="30">
        <f t="shared" si="425"/>
        <v>0</v>
      </c>
      <c r="W1845" s="30"/>
      <c r="X1845" s="597"/>
      <c r="Y1845" s="33" t="str">
        <f t="shared" si="792"/>
        <v>#DIV/0!</v>
      </c>
      <c r="Z1845" s="692"/>
      <c r="AA1845" s="665"/>
      <c r="AB1845" s="123"/>
      <c r="AC1845" s="123"/>
      <c r="AD1845" s="124"/>
      <c r="AE1845" s="125"/>
      <c r="AF1845" s="166"/>
      <c r="AG1845" s="127"/>
      <c r="AH1845" s="923"/>
      <c r="AI1845" s="759"/>
      <c r="AJ1845" s="169"/>
      <c r="AK1845" s="165"/>
      <c r="AL1845" s="124"/>
      <c r="AM1845" s="125"/>
      <c r="AN1845" s="124"/>
      <c r="AO1845" s="125"/>
      <c r="AP1845" s="124"/>
      <c r="AQ1845" s="125"/>
      <c r="AR1845" s="124"/>
      <c r="AS1845" s="124"/>
      <c r="AT1845" s="124"/>
      <c r="AU1845" s="137"/>
      <c r="AV1845" s="124"/>
      <c r="AW1845" s="38"/>
      <c r="AX1845" s="124"/>
      <c r="AY1845" s="38"/>
      <c r="AZ1845" s="124"/>
      <c r="BA1845" s="137"/>
      <c r="BB1845" s="124"/>
      <c r="BC1845" s="137"/>
      <c r="BD1845" s="124"/>
      <c r="BE1845" s="38"/>
      <c r="BF1845" s="123"/>
      <c r="BG1845" s="115"/>
      <c r="BH1845" s="115"/>
      <c r="BI1845" s="115"/>
      <c r="BJ1845" s="115"/>
      <c r="BK1845" s="115"/>
      <c r="BL1845" s="115"/>
      <c r="BM1845" s="115"/>
      <c r="BN1845" s="115"/>
      <c r="BO1845" s="115"/>
      <c r="BP1845" s="115"/>
      <c r="BQ1845" s="115"/>
      <c r="BR1845" s="115"/>
      <c r="BS1845" s="115"/>
      <c r="BT1845" s="115"/>
      <c r="BU1845" s="115"/>
      <c r="BV1845" s="115"/>
      <c r="BW1845" s="115"/>
      <c r="BX1845" s="115"/>
      <c r="BY1845" s="115"/>
      <c r="BZ1845" s="115"/>
      <c r="CA1845" s="115"/>
      <c r="CB1845" s="115"/>
      <c r="CC1845" s="115"/>
      <c r="CD1845" s="115"/>
      <c r="CE1845" s="115"/>
      <c r="CF1845" s="115"/>
      <c r="CG1845" s="115"/>
      <c r="CH1845" s="115"/>
      <c r="CI1845" s="115"/>
      <c r="CJ1845" s="115"/>
      <c r="CK1845" s="115"/>
      <c r="CL1845" s="115"/>
      <c r="CM1845" s="115"/>
      <c r="CN1845" s="115"/>
      <c r="CO1845" s="115"/>
      <c r="CP1845" s="115"/>
    </row>
    <row r="1846" ht="15.75" customHeight="1">
      <c r="A1846" s="1885" t="s">
        <v>8512</v>
      </c>
      <c r="B1846" s="1762"/>
      <c r="C1846" s="1762" t="s">
        <v>59</v>
      </c>
      <c r="D1846" s="1741" t="s">
        <v>4781</v>
      </c>
      <c r="E1846" s="1741" t="s">
        <v>4781</v>
      </c>
      <c r="F1846" s="1886" t="s">
        <v>8513</v>
      </c>
      <c r="G1846" s="1807" t="s">
        <v>8514</v>
      </c>
      <c r="H1846" s="1744" t="s">
        <v>3307</v>
      </c>
      <c r="I1846" s="1739" t="s">
        <v>1547</v>
      </c>
      <c r="J1846" s="1830"/>
      <c r="K1846" s="1739">
        <v>1.0</v>
      </c>
      <c r="L1846" s="1739">
        <v>2007.0</v>
      </c>
      <c r="M1846" s="25">
        <f t="shared" si="789"/>
        <v>18</v>
      </c>
      <c r="N1846" s="26">
        <f t="shared" si="790"/>
        <v>0</v>
      </c>
      <c r="O1846" s="27" t="str">
        <f t="shared" si="3"/>
        <v>#N/A</v>
      </c>
      <c r="P1846" s="1887"/>
      <c r="Q1846" s="1887"/>
      <c r="R1846" s="1887"/>
      <c r="S1846" s="1887"/>
      <c r="T1846" s="1887"/>
      <c r="U1846" s="1887"/>
      <c r="V1846" s="30">
        <f t="shared" si="425"/>
        <v>0</v>
      </c>
      <c r="W1846" s="30"/>
      <c r="X1846" s="1812"/>
      <c r="Y1846" s="33" t="str">
        <f t="shared" si="792"/>
        <v>#DIV/0!</v>
      </c>
      <c r="Z1846" s="692"/>
      <c r="AA1846" s="665"/>
      <c r="AB1846" s="1738"/>
      <c r="AC1846" s="1738"/>
      <c r="AD1846" s="1747"/>
      <c r="AE1846" s="1748"/>
      <c r="AF1846" s="1749"/>
      <c r="AG1846" s="1766"/>
      <c r="AH1846" s="1888"/>
      <c r="AI1846" s="1889"/>
      <c r="AJ1846" s="1767"/>
      <c r="AK1846" s="1768"/>
      <c r="AL1846" s="1747"/>
      <c r="AM1846" s="1748"/>
      <c r="AN1846" s="1747"/>
      <c r="AO1846" s="1748"/>
      <c r="AP1846" s="1747"/>
      <c r="AQ1846" s="1748"/>
      <c r="AR1846" s="1747"/>
      <c r="AS1846" s="1747"/>
      <c r="AT1846" s="1747"/>
      <c r="AU1846" s="1751"/>
      <c r="AV1846" s="1747"/>
      <c r="AW1846" s="38"/>
      <c r="AX1846" s="1747"/>
      <c r="AY1846" s="38"/>
      <c r="AZ1846" s="1747"/>
      <c r="BA1846" s="1751"/>
      <c r="BB1846" s="1747"/>
      <c r="BC1846" s="1751"/>
      <c r="BD1846" s="1747"/>
      <c r="BE1846" s="38"/>
      <c r="BF1846" s="1738"/>
      <c r="BG1846" s="115"/>
      <c r="BH1846" s="115"/>
      <c r="BI1846" s="115"/>
      <c r="BJ1846" s="115"/>
      <c r="BK1846" s="115"/>
      <c r="BL1846" s="115"/>
      <c r="BM1846" s="115"/>
      <c r="BN1846" s="115"/>
      <c r="BO1846" s="115"/>
      <c r="BP1846" s="115"/>
      <c r="BQ1846" s="115"/>
      <c r="BR1846" s="115"/>
      <c r="BS1846" s="115"/>
      <c r="BT1846" s="115"/>
      <c r="BU1846" s="115"/>
      <c r="BV1846" s="115"/>
      <c r="BW1846" s="115"/>
      <c r="BX1846" s="115"/>
      <c r="BY1846" s="115"/>
      <c r="BZ1846" s="115"/>
      <c r="CA1846" s="115"/>
      <c r="CB1846" s="115"/>
      <c r="CC1846" s="115"/>
      <c r="CD1846" s="115"/>
      <c r="CE1846" s="115"/>
      <c r="CF1846" s="115"/>
      <c r="CG1846" s="115"/>
      <c r="CH1846" s="115"/>
      <c r="CI1846" s="115"/>
      <c r="CJ1846" s="115"/>
      <c r="CK1846" s="115"/>
      <c r="CL1846" s="115"/>
      <c r="CM1846" s="115"/>
      <c r="CN1846" s="115"/>
      <c r="CO1846" s="115"/>
      <c r="CP1846" s="115"/>
    </row>
    <row r="1847" ht="15.75" customHeight="1">
      <c r="A1847" s="931" t="s">
        <v>8515</v>
      </c>
      <c r="B1847" s="116"/>
      <c r="C1847" s="116" t="s">
        <v>513</v>
      </c>
      <c r="D1847" s="731"/>
      <c r="E1847" s="192" t="s">
        <v>8516</v>
      </c>
      <c r="F1847" s="1505" t="s">
        <v>8517</v>
      </c>
      <c r="G1847" s="119"/>
      <c r="H1847" s="119" t="s">
        <v>129</v>
      </c>
      <c r="I1847" s="25" t="s">
        <v>129</v>
      </c>
      <c r="J1847" s="120"/>
      <c r="K1847" s="25"/>
      <c r="L1847" s="25"/>
      <c r="M1847" s="25">
        <f t="shared" si="789"/>
        <v>2025</v>
      </c>
      <c r="N1847" s="26">
        <f t="shared" si="790"/>
        <v>0</v>
      </c>
      <c r="O1847" s="27" t="str">
        <f t="shared" si="3"/>
        <v>#N/A</v>
      </c>
      <c r="P1847" s="356"/>
      <c r="Q1847" s="356"/>
      <c r="R1847" s="356"/>
      <c r="S1847" s="356"/>
      <c r="T1847" s="356"/>
      <c r="U1847" s="356"/>
      <c r="V1847" s="30">
        <f t="shared" si="425"/>
        <v>0</v>
      </c>
      <c r="W1847" s="30"/>
      <c r="X1847" s="597"/>
      <c r="Y1847" s="33" t="str">
        <f t="shared" si="792"/>
        <v>#DIV/0!</v>
      </c>
      <c r="Z1847" s="692"/>
      <c r="AA1847" s="665"/>
      <c r="AB1847" s="123"/>
      <c r="AC1847" s="123"/>
      <c r="AD1847" s="124"/>
      <c r="AE1847" s="125"/>
      <c r="AF1847" s="166"/>
      <c r="AG1847" s="127"/>
      <c r="AH1847" s="923"/>
      <c r="AI1847" s="759"/>
      <c r="AJ1847" s="169"/>
      <c r="AK1847" s="165"/>
      <c r="AL1847" s="124"/>
      <c r="AM1847" s="125"/>
      <c r="AN1847" s="124"/>
      <c r="AO1847" s="125"/>
      <c r="AP1847" s="124"/>
      <c r="AQ1847" s="125"/>
      <c r="AR1847" s="124"/>
      <c r="AS1847" s="124"/>
      <c r="AT1847" s="124"/>
      <c r="AU1847" s="137"/>
      <c r="AV1847" s="124"/>
      <c r="AW1847" s="38"/>
      <c r="AX1847" s="124"/>
      <c r="AY1847" s="38"/>
      <c r="AZ1847" s="124"/>
      <c r="BA1847" s="137"/>
      <c r="BB1847" s="124"/>
      <c r="BC1847" s="137"/>
      <c r="BD1847" s="124"/>
      <c r="BE1847" s="38"/>
      <c r="BF1847" s="123"/>
      <c r="BG1847" s="115"/>
      <c r="BH1847" s="115"/>
      <c r="BI1847" s="115"/>
      <c r="BJ1847" s="115"/>
      <c r="BK1847" s="115"/>
      <c r="BL1847" s="115"/>
      <c r="BM1847" s="115"/>
      <c r="BN1847" s="115"/>
      <c r="BO1847" s="115"/>
      <c r="BP1847" s="115"/>
      <c r="BQ1847" s="115"/>
      <c r="BR1847" s="115"/>
      <c r="BS1847" s="115"/>
      <c r="BT1847" s="115"/>
      <c r="BU1847" s="115"/>
      <c r="BV1847" s="115"/>
      <c r="BW1847" s="115"/>
      <c r="BX1847" s="115"/>
      <c r="BY1847" s="115"/>
      <c r="BZ1847" s="115"/>
      <c r="CA1847" s="115"/>
      <c r="CB1847" s="115"/>
      <c r="CC1847" s="115"/>
      <c r="CD1847" s="115"/>
      <c r="CE1847" s="115"/>
      <c r="CF1847" s="115"/>
      <c r="CG1847" s="115"/>
      <c r="CH1847" s="115"/>
      <c r="CI1847" s="115"/>
      <c r="CJ1847" s="115"/>
      <c r="CK1847" s="115"/>
      <c r="CL1847" s="115"/>
      <c r="CM1847" s="115"/>
      <c r="CN1847" s="115"/>
      <c r="CO1847" s="115"/>
      <c r="CP1847" s="115"/>
    </row>
    <row r="1848" ht="15.75" customHeight="1">
      <c r="A1848" s="666" t="s">
        <v>8518</v>
      </c>
      <c r="B1848" s="115"/>
      <c r="C1848" s="116" t="s">
        <v>59</v>
      </c>
      <c r="D1848" s="449"/>
      <c r="E1848" s="161" t="s">
        <v>8519</v>
      </c>
      <c r="F1848" s="756" t="s">
        <v>8520</v>
      </c>
      <c r="G1848" s="286"/>
      <c r="H1848" s="119" t="s">
        <v>8521</v>
      </c>
      <c r="I1848" s="25" t="s">
        <v>674</v>
      </c>
      <c r="J1848" s="287"/>
      <c r="K1848" s="123"/>
      <c r="L1848" s="25">
        <v>2014.0</v>
      </c>
      <c r="M1848" s="25">
        <f t="shared" si="789"/>
        <v>11</v>
      </c>
      <c r="N1848" s="26">
        <f t="shared" si="790"/>
        <v>0</v>
      </c>
      <c r="O1848" s="27" t="str">
        <f t="shared" si="3"/>
        <v>#N/A</v>
      </c>
      <c r="P1848" s="356"/>
      <c r="Q1848" s="356"/>
      <c r="R1848" s="356"/>
      <c r="S1848" s="356"/>
      <c r="T1848" s="356"/>
      <c r="U1848" s="356"/>
      <c r="V1848" s="30">
        <f t="shared" si="425"/>
        <v>0</v>
      </c>
      <c r="W1848" s="30"/>
      <c r="X1848" s="403"/>
      <c r="Y1848" s="33" t="str">
        <f t="shared" si="792"/>
        <v>#DIV/0!</v>
      </c>
      <c r="Z1848" s="692"/>
      <c r="AA1848" s="665"/>
      <c r="AB1848" s="123"/>
      <c r="AC1848" s="123"/>
      <c r="AD1848" s="124"/>
      <c r="AE1848" s="125"/>
      <c r="AF1848" s="166"/>
      <c r="AG1848" s="125"/>
      <c r="AH1848" s="123"/>
      <c r="AI1848" s="128"/>
      <c r="AJ1848" s="124"/>
      <c r="AK1848" s="125"/>
      <c r="AL1848" s="124"/>
      <c r="AM1848" s="125"/>
      <c r="AN1848" s="124"/>
      <c r="AO1848" s="125"/>
      <c r="AP1848" s="124"/>
      <c r="AQ1848" s="125"/>
      <c r="AR1848" s="124"/>
      <c r="AS1848" s="124"/>
      <c r="AT1848" s="124"/>
      <c r="AU1848" s="137"/>
      <c r="AV1848" s="124"/>
      <c r="AW1848" s="38"/>
      <c r="AX1848" s="124"/>
      <c r="AY1848" s="38"/>
      <c r="AZ1848" s="124"/>
      <c r="BA1848" s="137"/>
      <c r="BB1848" s="124"/>
      <c r="BC1848" s="137"/>
      <c r="BD1848" s="124"/>
      <c r="BE1848" s="38"/>
      <c r="BF1848" s="123"/>
      <c r="BG1848" s="115"/>
      <c r="BH1848" s="115"/>
      <c r="BI1848" s="115"/>
      <c r="BJ1848" s="115"/>
      <c r="BK1848" s="115"/>
      <c r="BL1848" s="115"/>
      <c r="BM1848" s="115"/>
      <c r="BN1848" s="115"/>
      <c r="BO1848" s="115"/>
      <c r="BP1848" s="115"/>
      <c r="BQ1848" s="115"/>
      <c r="BR1848" s="115"/>
      <c r="BS1848" s="115"/>
      <c r="BT1848" s="115"/>
      <c r="BU1848" s="115"/>
      <c r="BV1848" s="115"/>
      <c r="BW1848" s="115"/>
      <c r="BX1848" s="115"/>
      <c r="BY1848" s="115"/>
      <c r="BZ1848" s="115"/>
      <c r="CA1848" s="115"/>
      <c r="CB1848" s="115"/>
      <c r="CC1848" s="115"/>
      <c r="CD1848" s="115"/>
      <c r="CE1848" s="115"/>
      <c r="CF1848" s="115"/>
      <c r="CG1848" s="115"/>
      <c r="CH1848" s="115"/>
      <c r="CI1848" s="115"/>
      <c r="CJ1848" s="115"/>
      <c r="CK1848" s="115"/>
      <c r="CL1848" s="115"/>
      <c r="CM1848" s="115"/>
      <c r="CN1848" s="115"/>
      <c r="CO1848" s="115"/>
      <c r="CP1848" s="115"/>
    </row>
    <row r="1849" ht="15.75" customHeight="1">
      <c r="A1849" s="931" t="s">
        <v>8522</v>
      </c>
      <c r="B1849" s="115"/>
      <c r="C1849" s="116" t="s">
        <v>132</v>
      </c>
      <c r="D1849" s="161" t="s">
        <v>8523</v>
      </c>
      <c r="E1849" s="449"/>
      <c r="F1849" s="1363" t="s">
        <v>8524</v>
      </c>
      <c r="G1849" s="54" t="s">
        <v>8525</v>
      </c>
      <c r="H1849" s="119" t="s">
        <v>8526</v>
      </c>
      <c r="I1849" s="25" t="s">
        <v>129</v>
      </c>
      <c r="J1849" s="120" t="s">
        <v>8527</v>
      </c>
      <c r="K1849" s="123"/>
      <c r="L1849" s="25">
        <v>2014.0</v>
      </c>
      <c r="M1849" s="25">
        <f t="shared" si="789"/>
        <v>11</v>
      </c>
      <c r="N1849" s="26">
        <f t="shared" si="790"/>
        <v>0</v>
      </c>
      <c r="O1849" s="27" t="str">
        <f t="shared" si="3"/>
        <v>#N/A</v>
      </c>
      <c r="P1849" s="55"/>
      <c r="Q1849" s="55"/>
      <c r="R1849" s="55"/>
      <c r="S1849" s="55"/>
      <c r="T1849" s="55"/>
      <c r="U1849" s="55"/>
      <c r="V1849" s="30">
        <f t="shared" si="425"/>
        <v>0</v>
      </c>
      <c r="W1849" s="30"/>
      <c r="X1849" s="403"/>
      <c r="Y1849" s="33" t="str">
        <f t="shared" si="792"/>
        <v>#DIV/0!</v>
      </c>
      <c r="Z1849" s="692"/>
      <c r="AA1849" s="665"/>
      <c r="AB1849" s="123"/>
      <c r="AC1849" s="123"/>
      <c r="AD1849" s="124"/>
      <c r="AE1849" s="125"/>
      <c r="AF1849" s="166"/>
      <c r="AG1849" s="127"/>
      <c r="AH1849" s="123"/>
      <c r="AI1849" s="759"/>
      <c r="AJ1849" s="124"/>
      <c r="AK1849" s="125"/>
      <c r="AL1849" s="124"/>
      <c r="AM1849" s="125"/>
      <c r="AN1849" s="124"/>
      <c r="AO1849" s="125"/>
      <c r="AP1849" s="124"/>
      <c r="AQ1849" s="125"/>
      <c r="AR1849" s="124"/>
      <c r="AS1849" s="124"/>
      <c r="AT1849" s="124"/>
      <c r="AU1849" s="137"/>
      <c r="AV1849" s="124"/>
      <c r="AW1849" s="38"/>
      <c r="AX1849" s="124"/>
      <c r="AY1849" s="38"/>
      <c r="AZ1849" s="124"/>
      <c r="BA1849" s="137"/>
      <c r="BB1849" s="124"/>
      <c r="BC1849" s="137"/>
      <c r="BD1849" s="124"/>
      <c r="BE1849" s="38"/>
      <c r="BF1849" s="123"/>
      <c r="BG1849" s="115"/>
      <c r="BH1849" s="115"/>
      <c r="BI1849" s="115"/>
      <c r="BJ1849" s="115"/>
      <c r="BK1849" s="115"/>
      <c r="BL1849" s="115"/>
      <c r="BM1849" s="115"/>
      <c r="BN1849" s="115"/>
      <c r="BO1849" s="115"/>
      <c r="BP1849" s="115"/>
      <c r="BQ1849" s="115"/>
      <c r="BR1849" s="115"/>
      <c r="BS1849" s="115"/>
      <c r="BT1849" s="115"/>
      <c r="BU1849" s="115"/>
      <c r="BV1849" s="115"/>
      <c r="BW1849" s="115"/>
      <c r="BX1849" s="115"/>
      <c r="BY1849" s="115"/>
      <c r="BZ1849" s="115"/>
      <c r="CA1849" s="115"/>
      <c r="CB1849" s="115"/>
      <c r="CC1849" s="115"/>
      <c r="CD1849" s="115"/>
      <c r="CE1849" s="115"/>
      <c r="CF1849" s="115"/>
      <c r="CG1849" s="115"/>
      <c r="CH1849" s="115"/>
      <c r="CI1849" s="115"/>
      <c r="CJ1849" s="115"/>
      <c r="CK1849" s="115"/>
      <c r="CL1849" s="115"/>
      <c r="CM1849" s="115"/>
      <c r="CN1849" s="115"/>
      <c r="CO1849" s="115"/>
      <c r="CP1849" s="115"/>
    </row>
    <row r="1850" ht="15.75" customHeight="1">
      <c r="A1850" s="931" t="s">
        <v>8528</v>
      </c>
      <c r="B1850" s="115"/>
      <c r="C1850" s="116" t="s">
        <v>132</v>
      </c>
      <c r="D1850" s="192" t="s">
        <v>8529</v>
      </c>
      <c r="E1850" s="192" t="s">
        <v>8530</v>
      </c>
      <c r="F1850" s="118" t="s">
        <v>8531</v>
      </c>
      <c r="G1850" s="286"/>
      <c r="H1850" s="119" t="s">
        <v>328</v>
      </c>
      <c r="I1850" s="25" t="s">
        <v>329</v>
      </c>
      <c r="J1850" s="287"/>
      <c r="K1850" s="123"/>
      <c r="L1850" s="25">
        <v>2016.0</v>
      </c>
      <c r="M1850" s="25">
        <f t="shared" si="789"/>
        <v>9</v>
      </c>
      <c r="N1850" s="26">
        <f t="shared" si="790"/>
        <v>0</v>
      </c>
      <c r="O1850" s="27" t="str">
        <f t="shared" si="3"/>
        <v>#N/A</v>
      </c>
      <c r="P1850" s="55"/>
      <c r="Q1850" s="55"/>
      <c r="R1850" s="55"/>
      <c r="S1850" s="55"/>
      <c r="T1850" s="55"/>
      <c r="U1850" s="55"/>
      <c r="V1850" s="30">
        <f t="shared" si="425"/>
        <v>0</v>
      </c>
      <c r="W1850" s="30"/>
      <c r="X1850" s="403"/>
      <c r="Y1850" s="33" t="str">
        <f t="shared" si="792"/>
        <v>#DIV/0!</v>
      </c>
      <c r="Z1850" s="692"/>
      <c r="AA1850" s="665"/>
      <c r="AB1850" s="123"/>
      <c r="AC1850" s="123"/>
      <c r="AD1850" s="124"/>
      <c r="AE1850" s="125"/>
      <c r="AF1850" s="166"/>
      <c r="AG1850" s="127"/>
      <c r="AH1850" s="123"/>
      <c r="AI1850" s="759"/>
      <c r="AJ1850" s="124"/>
      <c r="AK1850" s="125"/>
      <c r="AL1850" s="124"/>
      <c r="AM1850" s="125"/>
      <c r="AN1850" s="124"/>
      <c r="AO1850" s="125"/>
      <c r="AP1850" s="124"/>
      <c r="AQ1850" s="125"/>
      <c r="AR1850" s="124"/>
      <c r="AS1850" s="124"/>
      <c r="AT1850" s="124"/>
      <c r="AU1850" s="137"/>
      <c r="AV1850" s="124"/>
      <c r="AW1850" s="38"/>
      <c r="AX1850" s="124"/>
      <c r="AY1850" s="38"/>
      <c r="AZ1850" s="124"/>
      <c r="BA1850" s="137"/>
      <c r="BB1850" s="124"/>
      <c r="BC1850" s="137"/>
      <c r="BD1850" s="124"/>
      <c r="BE1850" s="38"/>
      <c r="BF1850" s="123"/>
      <c r="BG1850" s="115"/>
      <c r="BH1850" s="115"/>
      <c r="BI1850" s="115"/>
      <c r="BJ1850" s="115"/>
      <c r="BK1850" s="115"/>
      <c r="BL1850" s="115"/>
      <c r="BM1850" s="115"/>
      <c r="BN1850" s="115"/>
      <c r="BO1850" s="115"/>
      <c r="BP1850" s="115"/>
      <c r="BQ1850" s="115"/>
      <c r="BR1850" s="115"/>
      <c r="BS1850" s="115"/>
      <c r="BT1850" s="115"/>
      <c r="BU1850" s="115"/>
      <c r="BV1850" s="115"/>
      <c r="BW1850" s="115"/>
      <c r="BX1850" s="115"/>
      <c r="BY1850" s="115"/>
      <c r="BZ1850" s="115"/>
      <c r="CA1850" s="115"/>
      <c r="CB1850" s="115"/>
      <c r="CC1850" s="115"/>
      <c r="CD1850" s="115"/>
      <c r="CE1850" s="115"/>
      <c r="CF1850" s="115"/>
      <c r="CG1850" s="115"/>
      <c r="CH1850" s="115"/>
      <c r="CI1850" s="115"/>
      <c r="CJ1850" s="115"/>
      <c r="CK1850" s="115"/>
      <c r="CL1850" s="115"/>
      <c r="CM1850" s="115"/>
      <c r="CN1850" s="115"/>
      <c r="CO1850" s="115"/>
      <c r="CP1850" s="115"/>
    </row>
    <row r="1851" ht="15.75" customHeight="1">
      <c r="A1851" s="400" t="s">
        <v>8532</v>
      </c>
      <c r="B1851" s="115"/>
      <c r="C1851" s="116" t="s">
        <v>68</v>
      </c>
      <c r="D1851" s="449"/>
      <c r="E1851" s="161" t="s">
        <v>8533</v>
      </c>
      <c r="F1851" s="402" t="s">
        <v>8534</v>
      </c>
      <c r="G1851" s="286"/>
      <c r="H1851" s="119" t="s">
        <v>1130</v>
      </c>
      <c r="I1851" s="25" t="s">
        <v>263</v>
      </c>
      <c r="J1851" s="287"/>
      <c r="K1851" s="123"/>
      <c r="L1851" s="25"/>
      <c r="M1851" s="25">
        <f t="shared" si="789"/>
        <v>2025</v>
      </c>
      <c r="N1851" s="26">
        <f t="shared" si="790"/>
        <v>0</v>
      </c>
      <c r="O1851" s="27" t="str">
        <f t="shared" si="3"/>
        <v>#N/A</v>
      </c>
      <c r="P1851" s="55"/>
      <c r="Q1851" s="55"/>
      <c r="R1851" s="55"/>
      <c r="S1851" s="55"/>
      <c r="T1851" s="55"/>
      <c r="U1851" s="55"/>
      <c r="V1851" s="30">
        <f t="shared" si="425"/>
        <v>0</v>
      </c>
      <c r="W1851" s="30"/>
      <c r="X1851" s="403"/>
      <c r="Y1851" s="33" t="str">
        <f t="shared" si="792"/>
        <v>#DIV/0!</v>
      </c>
      <c r="Z1851" s="692"/>
      <c r="AA1851" s="665"/>
      <c r="AB1851" s="123"/>
      <c r="AC1851" s="123"/>
      <c r="AD1851" s="124"/>
      <c r="AE1851" s="125"/>
      <c r="AF1851" s="166"/>
      <c r="AG1851" s="127"/>
      <c r="AH1851" s="123"/>
      <c r="AI1851" s="759"/>
      <c r="AJ1851" s="124"/>
      <c r="AK1851" s="125"/>
      <c r="AL1851" s="124"/>
      <c r="AM1851" s="125"/>
      <c r="AN1851" s="124"/>
      <c r="AO1851" s="125"/>
      <c r="AP1851" s="124"/>
      <c r="AQ1851" s="125"/>
      <c r="AR1851" s="124"/>
      <c r="AS1851" s="124"/>
      <c r="AT1851" s="124"/>
      <c r="AU1851" s="137"/>
      <c r="AV1851" s="124"/>
      <c r="AW1851" s="38"/>
      <c r="AX1851" s="124"/>
      <c r="AY1851" s="38"/>
      <c r="AZ1851" s="124"/>
      <c r="BA1851" s="137"/>
      <c r="BB1851" s="124"/>
      <c r="BC1851" s="137"/>
      <c r="BD1851" s="124"/>
      <c r="BE1851" s="38"/>
      <c r="BF1851" s="123"/>
      <c r="BG1851" s="115"/>
      <c r="BH1851" s="115"/>
      <c r="BI1851" s="115"/>
      <c r="BJ1851" s="115"/>
      <c r="BK1851" s="115"/>
      <c r="BL1851" s="115"/>
      <c r="BM1851" s="115"/>
      <c r="BN1851" s="115"/>
      <c r="BO1851" s="115"/>
      <c r="BP1851" s="115"/>
      <c r="BQ1851" s="115"/>
      <c r="BR1851" s="115"/>
      <c r="BS1851" s="115"/>
      <c r="BT1851" s="115"/>
      <c r="BU1851" s="115"/>
      <c r="BV1851" s="115"/>
      <c r="BW1851" s="115"/>
      <c r="BX1851" s="115"/>
      <c r="BY1851" s="115"/>
      <c r="BZ1851" s="115"/>
      <c r="CA1851" s="115"/>
      <c r="CB1851" s="115"/>
      <c r="CC1851" s="115"/>
      <c r="CD1851" s="115"/>
      <c r="CE1851" s="115"/>
      <c r="CF1851" s="115"/>
      <c r="CG1851" s="115"/>
      <c r="CH1851" s="115"/>
      <c r="CI1851" s="115"/>
      <c r="CJ1851" s="115"/>
      <c r="CK1851" s="115"/>
      <c r="CL1851" s="115"/>
      <c r="CM1851" s="115"/>
      <c r="CN1851" s="115"/>
      <c r="CO1851" s="115"/>
      <c r="CP1851" s="115"/>
    </row>
    <row r="1852" ht="15.75" customHeight="1">
      <c r="A1852" s="860" t="s">
        <v>8535</v>
      </c>
      <c r="B1852" s="115"/>
      <c r="C1852" s="116" t="s">
        <v>132</v>
      </c>
      <c r="D1852" s="192" t="s">
        <v>8536</v>
      </c>
      <c r="E1852" s="162"/>
      <c r="F1852" s="756" t="s">
        <v>8537</v>
      </c>
      <c r="G1852" s="119"/>
      <c r="H1852" s="286"/>
      <c r="I1852" s="123"/>
      <c r="J1852" s="120"/>
      <c r="K1852" s="25"/>
      <c r="L1852" s="25"/>
      <c r="M1852" s="25">
        <f t="shared" si="789"/>
        <v>2025</v>
      </c>
      <c r="N1852" s="26">
        <f t="shared" si="790"/>
        <v>0</v>
      </c>
      <c r="O1852" s="27" t="str">
        <f t="shared" si="3"/>
        <v>#N/A</v>
      </c>
      <c r="P1852" s="55"/>
      <c r="Q1852" s="55"/>
      <c r="R1852" s="55"/>
      <c r="S1852" s="55"/>
      <c r="T1852" s="55"/>
      <c r="U1852" s="55"/>
      <c r="V1852" s="30">
        <f t="shared" si="425"/>
        <v>0</v>
      </c>
      <c r="W1852" s="30"/>
      <c r="X1852" s="597"/>
      <c r="Y1852" s="33" t="str">
        <f t="shared" si="792"/>
        <v>#DIV/0!</v>
      </c>
      <c r="Z1852" s="692"/>
      <c r="AA1852" s="665"/>
      <c r="AB1852" s="123"/>
      <c r="AC1852" s="123"/>
      <c r="AD1852" s="124"/>
      <c r="AE1852" s="125"/>
      <c r="AF1852" s="166"/>
      <c r="AG1852" s="127"/>
      <c r="AH1852" s="123"/>
      <c r="AI1852" s="128"/>
      <c r="AJ1852" s="125"/>
      <c r="AK1852" s="889"/>
      <c r="AL1852" s="1034"/>
      <c r="AM1852" s="127"/>
      <c r="AN1852" s="124"/>
      <c r="AO1852" s="125"/>
      <c r="AP1852" s="124"/>
      <c r="AQ1852" s="125"/>
      <c r="AR1852" s="124"/>
      <c r="AS1852" s="124"/>
      <c r="AT1852" s="124"/>
      <c r="AU1852" s="137"/>
      <c r="AV1852" s="124"/>
      <c r="AW1852" s="38"/>
      <c r="AX1852" s="124"/>
      <c r="AY1852" s="38"/>
      <c r="AZ1852" s="124"/>
      <c r="BA1852" s="137"/>
      <c r="BB1852" s="124"/>
      <c r="BC1852" s="137"/>
      <c r="BD1852" s="124"/>
      <c r="BE1852" s="38"/>
      <c r="BF1852" s="123"/>
      <c r="BG1852" s="115"/>
      <c r="BH1852" s="115"/>
      <c r="BI1852" s="115"/>
      <c r="BJ1852" s="115"/>
      <c r="BK1852" s="115"/>
      <c r="BL1852" s="115"/>
      <c r="BM1852" s="115"/>
      <c r="BN1852" s="115"/>
      <c r="BO1852" s="115"/>
      <c r="BP1852" s="115"/>
      <c r="BQ1852" s="115"/>
      <c r="BR1852" s="115"/>
      <c r="BS1852" s="115"/>
      <c r="BT1852" s="115"/>
      <c r="BU1852" s="115"/>
      <c r="BV1852" s="115"/>
      <c r="BW1852" s="115"/>
      <c r="BX1852" s="115"/>
      <c r="BY1852" s="115"/>
      <c r="BZ1852" s="115"/>
      <c r="CA1852" s="115"/>
      <c r="CB1852" s="115"/>
      <c r="CC1852" s="115"/>
      <c r="CD1852" s="115"/>
      <c r="CE1852" s="115"/>
      <c r="CF1852" s="115"/>
      <c r="CG1852" s="115"/>
      <c r="CH1852" s="115"/>
      <c r="CI1852" s="115"/>
      <c r="CJ1852" s="115"/>
      <c r="CK1852" s="115"/>
      <c r="CL1852" s="115"/>
      <c r="CM1852" s="115"/>
      <c r="CN1852" s="115"/>
      <c r="CO1852" s="115"/>
      <c r="CP1852" s="115"/>
    </row>
    <row r="1853" ht="15.75" customHeight="1">
      <c r="A1853" s="860" t="s">
        <v>8538</v>
      </c>
      <c r="B1853" s="115"/>
      <c r="C1853" s="116" t="s">
        <v>207</v>
      </c>
      <c r="D1853" s="192" t="s">
        <v>8539</v>
      </c>
      <c r="E1853" s="192" t="s">
        <v>8540</v>
      </c>
      <c r="F1853" s="118" t="s">
        <v>8541</v>
      </c>
      <c r="G1853" s="286"/>
      <c r="H1853" s="119" t="s">
        <v>8542</v>
      </c>
      <c r="I1853" s="25" t="s">
        <v>1395</v>
      </c>
      <c r="J1853" s="287"/>
      <c r="K1853" s="123"/>
      <c r="L1853" s="25">
        <v>2016.0</v>
      </c>
      <c r="M1853" s="25">
        <f t="shared" si="789"/>
        <v>9</v>
      </c>
      <c r="N1853" s="26">
        <f t="shared" si="790"/>
        <v>0</v>
      </c>
      <c r="O1853" s="27" t="str">
        <f t="shared" si="3"/>
        <v>#N/A</v>
      </c>
      <c r="P1853" s="55"/>
      <c r="Q1853" s="55"/>
      <c r="R1853" s="55"/>
      <c r="S1853" s="55"/>
      <c r="T1853" s="55"/>
      <c r="U1853" s="55"/>
      <c r="V1853" s="30">
        <f t="shared" si="425"/>
        <v>0</v>
      </c>
      <c r="W1853" s="30"/>
      <c r="X1853" s="403"/>
      <c r="Y1853" s="33" t="str">
        <f t="shared" si="792"/>
        <v>#DIV/0!</v>
      </c>
      <c r="Z1853" s="692"/>
      <c r="AA1853" s="665"/>
      <c r="AB1853" s="123"/>
      <c r="AC1853" s="123"/>
      <c r="AD1853" s="124"/>
      <c r="AE1853" s="125"/>
      <c r="AF1853" s="166"/>
      <c r="AG1853" s="127"/>
      <c r="AH1853" s="123"/>
      <c r="AI1853" s="128"/>
      <c r="AJ1853" s="124"/>
      <c r="AK1853" s="125"/>
      <c r="AL1853" s="124"/>
      <c r="AM1853" s="125"/>
      <c r="AN1853" s="124"/>
      <c r="AO1853" s="125"/>
      <c r="AP1853" s="124"/>
      <c r="AQ1853" s="125"/>
      <c r="AR1853" s="124"/>
      <c r="AS1853" s="124"/>
      <c r="AT1853" s="124"/>
      <c r="AU1853" s="137"/>
      <c r="AV1853" s="124"/>
      <c r="AW1853" s="38"/>
      <c r="AX1853" s="124"/>
      <c r="AY1853" s="38"/>
      <c r="AZ1853" s="124"/>
      <c r="BA1853" s="137"/>
      <c r="BB1853" s="124"/>
      <c r="BC1853" s="137"/>
      <c r="BD1853" s="124"/>
      <c r="BE1853" s="38"/>
      <c r="BF1853" s="123"/>
      <c r="BG1853" s="115"/>
      <c r="BH1853" s="115"/>
      <c r="BI1853" s="115"/>
      <c r="BJ1853" s="115"/>
      <c r="BK1853" s="115"/>
      <c r="BL1853" s="115"/>
      <c r="BM1853" s="115"/>
      <c r="BN1853" s="115"/>
      <c r="BO1853" s="115"/>
      <c r="BP1853" s="115"/>
      <c r="BQ1853" s="115"/>
      <c r="BR1853" s="115"/>
      <c r="BS1853" s="115"/>
      <c r="BT1853" s="115"/>
      <c r="BU1853" s="115"/>
      <c r="BV1853" s="115"/>
      <c r="BW1853" s="115"/>
      <c r="BX1853" s="115"/>
      <c r="BY1853" s="115"/>
      <c r="BZ1853" s="115"/>
      <c r="CA1853" s="115"/>
      <c r="CB1853" s="115"/>
      <c r="CC1853" s="115"/>
      <c r="CD1853" s="115"/>
      <c r="CE1853" s="115"/>
      <c r="CF1853" s="115"/>
      <c r="CG1853" s="115"/>
      <c r="CH1853" s="115"/>
      <c r="CI1853" s="115"/>
      <c r="CJ1853" s="115"/>
      <c r="CK1853" s="115"/>
      <c r="CL1853" s="115"/>
      <c r="CM1853" s="115"/>
      <c r="CN1853" s="115"/>
      <c r="CO1853" s="115"/>
      <c r="CP1853" s="115"/>
    </row>
    <row r="1854" ht="15.75" customHeight="1">
      <c r="A1854" s="48" t="s">
        <v>8543</v>
      </c>
      <c r="B1854" s="68"/>
      <c r="C1854" s="69" t="s">
        <v>132</v>
      </c>
      <c r="D1854" s="192" t="s">
        <v>8544</v>
      </c>
      <c r="E1854" s="192" t="s">
        <v>8545</v>
      </c>
      <c r="F1854" s="1487" t="s">
        <v>8546</v>
      </c>
      <c r="G1854" s="71"/>
      <c r="H1854" s="71" t="s">
        <v>1918</v>
      </c>
      <c r="I1854" s="26" t="s">
        <v>1384</v>
      </c>
      <c r="J1854" s="72"/>
      <c r="K1854" s="26"/>
      <c r="L1854" s="26">
        <v>2019.0</v>
      </c>
      <c r="M1854" s="25">
        <f t="shared" si="789"/>
        <v>6</v>
      </c>
      <c r="N1854" s="26">
        <f t="shared" si="790"/>
        <v>0</v>
      </c>
      <c r="O1854" s="27" t="str">
        <f t="shared" si="3"/>
        <v>#N/A</v>
      </c>
      <c r="P1854" s="273"/>
      <c r="Q1854" s="273"/>
      <c r="R1854" s="273"/>
      <c r="S1854" s="273"/>
      <c r="T1854" s="273"/>
      <c r="U1854" s="273"/>
      <c r="V1854" s="30">
        <f t="shared" si="425"/>
        <v>0</v>
      </c>
      <c r="W1854" s="30"/>
      <c r="X1854" s="73"/>
      <c r="Y1854" s="33" t="str">
        <f t="shared" si="792"/>
        <v>#DIV/0!</v>
      </c>
      <c r="Z1854" s="692"/>
      <c r="AA1854" s="665"/>
      <c r="AB1854" s="74"/>
      <c r="AC1854" s="74"/>
      <c r="AD1854" s="79"/>
      <c r="AE1854" s="84"/>
      <c r="AF1854" s="338"/>
      <c r="AG1854" s="76"/>
      <c r="AH1854" s="74"/>
      <c r="AI1854" s="78"/>
      <c r="AJ1854" s="279"/>
      <c r="AK1854" s="76"/>
      <c r="AL1854" s="279"/>
      <c r="AM1854" s="76"/>
      <c r="AN1854" s="79"/>
      <c r="AO1854" s="84"/>
      <c r="AP1854" s="79"/>
      <c r="AQ1854" s="84"/>
      <c r="AR1854" s="79"/>
      <c r="AS1854" s="79"/>
      <c r="AT1854" s="79"/>
      <c r="AU1854" s="80"/>
      <c r="AV1854" s="79"/>
      <c r="AW1854" s="38"/>
      <c r="AX1854" s="79"/>
      <c r="AY1854" s="38"/>
      <c r="AZ1854" s="79"/>
      <c r="BA1854" s="80"/>
      <c r="BB1854" s="79"/>
      <c r="BC1854" s="80"/>
      <c r="BD1854" s="79"/>
      <c r="BE1854" s="38"/>
      <c r="BF1854" s="74"/>
      <c r="BG1854" s="115"/>
      <c r="BH1854" s="115"/>
      <c r="BI1854" s="115"/>
      <c r="BJ1854" s="115"/>
      <c r="BK1854" s="115"/>
      <c r="BL1854" s="115"/>
      <c r="BM1854" s="115"/>
      <c r="BN1854" s="115"/>
      <c r="BO1854" s="115"/>
      <c r="BP1854" s="115"/>
      <c r="BQ1854" s="115"/>
      <c r="BR1854" s="115"/>
      <c r="BS1854" s="115"/>
      <c r="BT1854" s="115"/>
      <c r="BU1854" s="115"/>
      <c r="BV1854" s="115"/>
      <c r="BW1854" s="115"/>
      <c r="BX1854" s="115"/>
      <c r="BY1854" s="115"/>
      <c r="BZ1854" s="115"/>
      <c r="CA1854" s="115"/>
      <c r="CB1854" s="115"/>
      <c r="CC1854" s="115"/>
      <c r="CD1854" s="115"/>
      <c r="CE1854" s="115"/>
      <c r="CF1854" s="115"/>
      <c r="CG1854" s="115"/>
      <c r="CH1854" s="115"/>
      <c r="CI1854" s="115"/>
      <c r="CJ1854" s="115"/>
      <c r="CK1854" s="115"/>
      <c r="CL1854" s="115"/>
      <c r="CM1854" s="115"/>
      <c r="CN1854" s="115"/>
      <c r="CO1854" s="115"/>
      <c r="CP1854" s="115"/>
    </row>
    <row r="1855" ht="15.75" customHeight="1">
      <c r="A1855" s="860" t="s">
        <v>8547</v>
      </c>
      <c r="B1855" s="115"/>
      <c r="C1855" s="116" t="s">
        <v>132</v>
      </c>
      <c r="D1855" s="192" t="s">
        <v>8548</v>
      </c>
      <c r="E1855" s="192" t="s">
        <v>8549</v>
      </c>
      <c r="F1855" s="118" t="s">
        <v>8550</v>
      </c>
      <c r="G1855" s="286"/>
      <c r="H1855" s="119" t="s">
        <v>328</v>
      </c>
      <c r="I1855" s="25" t="s">
        <v>329</v>
      </c>
      <c r="J1855" s="287"/>
      <c r="K1855" s="123"/>
      <c r="L1855" s="25">
        <v>2017.0</v>
      </c>
      <c r="M1855" s="25">
        <f t="shared" si="789"/>
        <v>8</v>
      </c>
      <c r="N1855" s="26">
        <f t="shared" si="790"/>
        <v>0</v>
      </c>
      <c r="O1855" s="27" t="str">
        <f t="shared" si="3"/>
        <v>#N/A</v>
      </c>
      <c r="P1855" s="55"/>
      <c r="Q1855" s="55"/>
      <c r="R1855" s="55"/>
      <c r="S1855" s="55"/>
      <c r="T1855" s="55"/>
      <c r="U1855" s="55"/>
      <c r="V1855" s="30">
        <f t="shared" si="425"/>
        <v>0</v>
      </c>
      <c r="W1855" s="30"/>
      <c r="X1855" s="403"/>
      <c r="Y1855" s="33" t="str">
        <f t="shared" si="792"/>
        <v>#DIV/0!</v>
      </c>
      <c r="Z1855" s="692"/>
      <c r="AA1855" s="665"/>
      <c r="AB1855" s="123"/>
      <c r="AC1855" s="123"/>
      <c r="AD1855" s="124"/>
      <c r="AE1855" s="125"/>
      <c r="AF1855" s="166"/>
      <c r="AG1855" s="125"/>
      <c r="AH1855" s="123"/>
      <c r="AI1855" s="128"/>
      <c r="AJ1855" s="169"/>
      <c r="AK1855" s="127"/>
      <c r="AL1855" s="169"/>
      <c r="AM1855" s="127"/>
      <c r="AN1855" s="124"/>
      <c r="AO1855" s="125"/>
      <c r="AP1855" s="124"/>
      <c r="AQ1855" s="125"/>
      <c r="AR1855" s="124"/>
      <c r="AS1855" s="124"/>
      <c r="AT1855" s="124"/>
      <c r="AU1855" s="137"/>
      <c r="AV1855" s="124"/>
      <c r="AW1855" s="38"/>
      <c r="AX1855" s="124"/>
      <c r="AY1855" s="38"/>
      <c r="AZ1855" s="124"/>
      <c r="BA1855" s="137"/>
      <c r="BB1855" s="124"/>
      <c r="BC1855" s="137"/>
      <c r="BD1855" s="124"/>
      <c r="BE1855" s="38"/>
      <c r="BF1855" s="123"/>
      <c r="BG1855" s="115"/>
      <c r="BH1855" s="115"/>
      <c r="BI1855" s="115"/>
      <c r="BJ1855" s="115"/>
      <c r="BK1855" s="115"/>
      <c r="BL1855" s="115"/>
      <c r="BM1855" s="115"/>
      <c r="BN1855" s="115"/>
      <c r="BO1855" s="115"/>
      <c r="BP1855" s="115"/>
      <c r="BQ1855" s="115"/>
      <c r="BR1855" s="115"/>
      <c r="BS1855" s="115"/>
      <c r="BT1855" s="115"/>
      <c r="BU1855" s="115"/>
      <c r="BV1855" s="115"/>
      <c r="BW1855" s="115"/>
      <c r="BX1855" s="115"/>
      <c r="BY1855" s="115"/>
      <c r="BZ1855" s="115"/>
      <c r="CA1855" s="115"/>
      <c r="CB1855" s="115"/>
      <c r="CC1855" s="115"/>
      <c r="CD1855" s="115"/>
      <c r="CE1855" s="115"/>
      <c r="CF1855" s="115"/>
      <c r="CG1855" s="115"/>
      <c r="CH1855" s="115"/>
      <c r="CI1855" s="115"/>
      <c r="CJ1855" s="115"/>
      <c r="CK1855" s="115"/>
      <c r="CL1855" s="115"/>
      <c r="CM1855" s="115"/>
      <c r="CN1855" s="115"/>
      <c r="CO1855" s="115"/>
      <c r="CP1855" s="115"/>
    </row>
    <row r="1856" ht="15.75" customHeight="1">
      <c r="A1856" s="860" t="s">
        <v>8551</v>
      </c>
      <c r="B1856" s="115"/>
      <c r="C1856" s="116" t="s">
        <v>84</v>
      </c>
      <c r="D1856" s="48"/>
      <c r="E1856" s="48"/>
      <c r="F1856" s="118" t="s">
        <v>8552</v>
      </c>
      <c r="G1856" s="286"/>
      <c r="H1856" s="119"/>
      <c r="I1856" s="123"/>
      <c r="J1856" s="287"/>
      <c r="K1856" s="123"/>
      <c r="L1856" s="25"/>
      <c r="M1856" s="25">
        <f t="shared" si="789"/>
        <v>2025</v>
      </c>
      <c r="N1856" s="26">
        <f t="shared" si="790"/>
        <v>0</v>
      </c>
      <c r="O1856" s="27" t="str">
        <f t="shared" si="3"/>
        <v>#N/A</v>
      </c>
      <c r="P1856" s="55"/>
      <c r="Q1856" s="55"/>
      <c r="R1856" s="55"/>
      <c r="S1856" s="55"/>
      <c r="T1856" s="55"/>
      <c r="U1856" s="55"/>
      <c r="V1856" s="30">
        <f t="shared" si="425"/>
        <v>0</v>
      </c>
      <c r="W1856" s="30"/>
      <c r="X1856" s="403"/>
      <c r="Y1856" s="33" t="str">
        <f t="shared" si="792"/>
        <v>#DIV/0!</v>
      </c>
      <c r="Z1856" s="692"/>
      <c r="AA1856" s="665"/>
      <c r="AB1856" s="123"/>
      <c r="AC1856" s="123"/>
      <c r="AD1856" s="124"/>
      <c r="AE1856" s="125"/>
      <c r="AF1856" s="166"/>
      <c r="AG1856" s="125"/>
      <c r="AH1856" s="123"/>
      <c r="AI1856" s="128"/>
      <c r="AJ1856" s="169"/>
      <c r="AK1856" s="127"/>
      <c r="AL1856" s="169"/>
      <c r="AM1856" s="127"/>
      <c r="AN1856" s="124"/>
      <c r="AO1856" s="125"/>
      <c r="AP1856" s="124"/>
      <c r="AQ1856" s="125"/>
      <c r="AR1856" s="124"/>
      <c r="AS1856" s="124"/>
      <c r="AT1856" s="124"/>
      <c r="AU1856" s="137"/>
      <c r="AV1856" s="124"/>
      <c r="AW1856" s="38"/>
      <c r="AX1856" s="124"/>
      <c r="AY1856" s="38"/>
      <c r="AZ1856" s="124"/>
      <c r="BA1856" s="137"/>
      <c r="BB1856" s="124"/>
      <c r="BC1856" s="137"/>
      <c r="BD1856" s="124"/>
      <c r="BE1856" s="38"/>
      <c r="BF1856" s="123"/>
      <c r="BG1856" s="115"/>
      <c r="BH1856" s="115"/>
      <c r="BI1856" s="115"/>
      <c r="BJ1856" s="115"/>
      <c r="BK1856" s="115"/>
      <c r="BL1856" s="115"/>
      <c r="BM1856" s="115"/>
      <c r="BN1856" s="115"/>
      <c r="BO1856" s="115"/>
      <c r="BP1856" s="115"/>
      <c r="BQ1856" s="115"/>
      <c r="BR1856" s="115"/>
      <c r="BS1856" s="115"/>
      <c r="BT1856" s="115"/>
      <c r="BU1856" s="115"/>
      <c r="BV1856" s="115"/>
      <c r="BW1856" s="115"/>
      <c r="BX1856" s="115"/>
      <c r="BY1856" s="115"/>
      <c r="BZ1856" s="115"/>
      <c r="CA1856" s="115"/>
      <c r="CB1856" s="115"/>
      <c r="CC1856" s="115"/>
      <c r="CD1856" s="115"/>
      <c r="CE1856" s="115"/>
      <c r="CF1856" s="115"/>
      <c r="CG1856" s="115"/>
      <c r="CH1856" s="115"/>
      <c r="CI1856" s="115"/>
      <c r="CJ1856" s="115"/>
      <c r="CK1856" s="115"/>
      <c r="CL1856" s="115"/>
      <c r="CM1856" s="115"/>
      <c r="CN1856" s="115"/>
      <c r="CO1856" s="115"/>
      <c r="CP1856" s="115"/>
    </row>
    <row r="1857" ht="15.75" customHeight="1">
      <c r="A1857" s="47" t="s">
        <v>8553</v>
      </c>
      <c r="B1857" s="115"/>
      <c r="C1857" s="116" t="s">
        <v>132</v>
      </c>
      <c r="D1857" s="192" t="s">
        <v>8554</v>
      </c>
      <c r="E1857" s="449"/>
      <c r="F1857" s="118" t="s">
        <v>8555</v>
      </c>
      <c r="G1857" s="286"/>
      <c r="H1857" s="286"/>
      <c r="I1857" s="123"/>
      <c r="J1857" s="287"/>
      <c r="K1857" s="123"/>
      <c r="L1857" s="25"/>
      <c r="M1857" s="25">
        <f t="shared" si="789"/>
        <v>2025</v>
      </c>
      <c r="N1857" s="26">
        <f t="shared" si="790"/>
        <v>0</v>
      </c>
      <c r="O1857" s="27" t="str">
        <f t="shared" si="3"/>
        <v>#N/A</v>
      </c>
      <c r="P1857" s="55"/>
      <c r="Q1857" s="55"/>
      <c r="R1857" s="55"/>
      <c r="S1857" s="55"/>
      <c r="T1857" s="55"/>
      <c r="U1857" s="55"/>
      <c r="V1857" s="30">
        <f t="shared" si="425"/>
        <v>0</v>
      </c>
      <c r="W1857" s="30"/>
      <c r="X1857" s="403"/>
      <c r="Y1857" s="33" t="str">
        <f t="shared" si="792"/>
        <v>#DIV/0!</v>
      </c>
      <c r="Z1857" s="692"/>
      <c r="AA1857" s="665"/>
      <c r="AB1857" s="123"/>
      <c r="AC1857" s="123"/>
      <c r="AD1857" s="124"/>
      <c r="AE1857" s="125"/>
      <c r="AF1857" s="166"/>
      <c r="AG1857" s="125"/>
      <c r="AH1857" s="123"/>
      <c r="AI1857" s="128"/>
      <c r="AJ1857" s="169"/>
      <c r="AK1857" s="127"/>
      <c r="AL1857" s="169"/>
      <c r="AM1857" s="127"/>
      <c r="AN1857" s="124"/>
      <c r="AO1857" s="125"/>
      <c r="AP1857" s="124"/>
      <c r="AQ1857" s="125"/>
      <c r="AR1857" s="124"/>
      <c r="AS1857" s="124"/>
      <c r="AT1857" s="124"/>
      <c r="AU1857" s="137"/>
      <c r="AV1857" s="124"/>
      <c r="AW1857" s="38"/>
      <c r="AX1857" s="124"/>
      <c r="AY1857" s="38"/>
      <c r="AZ1857" s="124"/>
      <c r="BA1857" s="137"/>
      <c r="BB1857" s="124"/>
      <c r="BC1857" s="137"/>
      <c r="BD1857" s="124"/>
      <c r="BE1857" s="38"/>
      <c r="BF1857" s="123"/>
      <c r="BG1857" s="115"/>
      <c r="BH1857" s="115"/>
      <c r="BI1857" s="115"/>
      <c r="BJ1857" s="115"/>
      <c r="BK1857" s="115"/>
      <c r="BL1857" s="115"/>
      <c r="BM1857" s="115"/>
      <c r="BN1857" s="115"/>
      <c r="BO1857" s="115"/>
      <c r="BP1857" s="115"/>
      <c r="BQ1857" s="115"/>
      <c r="BR1857" s="115"/>
      <c r="BS1857" s="115"/>
      <c r="BT1857" s="115"/>
      <c r="BU1857" s="115"/>
      <c r="BV1857" s="115"/>
      <c r="BW1857" s="115"/>
      <c r="BX1857" s="115"/>
      <c r="BY1857" s="115"/>
      <c r="BZ1857" s="115"/>
      <c r="CA1857" s="115"/>
      <c r="CB1857" s="115"/>
      <c r="CC1857" s="115"/>
      <c r="CD1857" s="115"/>
      <c r="CE1857" s="115"/>
      <c r="CF1857" s="115"/>
      <c r="CG1857" s="115"/>
      <c r="CH1857" s="115"/>
      <c r="CI1857" s="115"/>
      <c r="CJ1857" s="115"/>
      <c r="CK1857" s="115"/>
      <c r="CL1857" s="115"/>
      <c r="CM1857" s="115"/>
      <c r="CN1857" s="115"/>
      <c r="CO1857" s="115"/>
      <c r="CP1857" s="115"/>
    </row>
    <row r="1858" ht="15.75" customHeight="1">
      <c r="A1858" s="400" t="s">
        <v>8556</v>
      </c>
      <c r="B1858" s="115"/>
      <c r="C1858" s="116" t="s">
        <v>59</v>
      </c>
      <c r="D1858" s="192" t="s">
        <v>8557</v>
      </c>
      <c r="E1858" s="192" t="s">
        <v>8558</v>
      </c>
      <c r="F1858" s="402" t="s">
        <v>8559</v>
      </c>
      <c r="G1858" s="54" t="s">
        <v>8560</v>
      </c>
      <c r="H1858" s="119" t="s">
        <v>1383</v>
      </c>
      <c r="I1858" s="54" t="s">
        <v>1384</v>
      </c>
      <c r="J1858" s="178" t="s">
        <v>8561</v>
      </c>
      <c r="K1858" s="25">
        <v>1.0</v>
      </c>
      <c r="L1858" s="25">
        <v>2013.0</v>
      </c>
      <c r="M1858" s="25">
        <f t="shared" si="789"/>
        <v>12</v>
      </c>
      <c r="N1858" s="26">
        <f t="shared" si="790"/>
        <v>0</v>
      </c>
      <c r="O1858" s="27" t="str">
        <f t="shared" si="3"/>
        <v>#N/A</v>
      </c>
      <c r="P1858" s="55"/>
      <c r="Q1858" s="55"/>
      <c r="R1858" s="55"/>
      <c r="S1858" s="55"/>
      <c r="T1858" s="55"/>
      <c r="U1858" s="55"/>
      <c r="V1858" s="30">
        <f t="shared" si="425"/>
        <v>0</v>
      </c>
      <c r="W1858" s="30"/>
      <c r="X1858" s="597"/>
      <c r="Y1858" s="33" t="str">
        <f t="shared" si="792"/>
        <v>#DIV/0!</v>
      </c>
      <c r="Z1858" s="692"/>
      <c r="AA1858" s="665"/>
      <c r="AB1858" s="123"/>
      <c r="AC1858" s="123"/>
      <c r="AD1858" s="124"/>
      <c r="AE1858" s="125"/>
      <c r="AF1858" s="166"/>
      <c r="AG1858" s="125"/>
      <c r="AH1858" s="123"/>
      <c r="AI1858" s="128"/>
      <c r="AJ1858" s="169"/>
      <c r="AK1858" s="127"/>
      <c r="AL1858" s="167" t="str">
        <f>HYPERLINK("https://www.crunchbase.com/funding_round/sightplan-series-b--b23ff2fe","Mar 27, 2019")</f>
        <v>Mar 27, 2019</v>
      </c>
      <c r="AM1858" s="127"/>
      <c r="AN1858" s="124"/>
      <c r="AO1858" s="125"/>
      <c r="AP1858" s="124"/>
      <c r="AQ1858" s="125"/>
      <c r="AR1858" s="124"/>
      <c r="AS1858" s="124"/>
      <c r="AT1858" s="124"/>
      <c r="AU1858" s="137"/>
      <c r="AV1858" s="124"/>
      <c r="AW1858" s="38"/>
      <c r="AX1858" s="124"/>
      <c r="AY1858" s="38"/>
      <c r="AZ1858" s="124"/>
      <c r="BA1858" s="137"/>
      <c r="BB1858" s="124"/>
      <c r="BC1858" s="137"/>
      <c r="BD1858" s="124"/>
      <c r="BE1858" s="38"/>
      <c r="BF1858" s="123"/>
      <c r="BG1858" s="115"/>
      <c r="BH1858" s="115"/>
      <c r="BI1858" s="115"/>
      <c r="BJ1858" s="115"/>
      <c r="BK1858" s="115"/>
      <c r="BL1858" s="115"/>
      <c r="BM1858" s="115"/>
      <c r="BN1858" s="115"/>
      <c r="BO1858" s="115"/>
      <c r="BP1858" s="115"/>
      <c r="BQ1858" s="115"/>
      <c r="BR1858" s="115"/>
      <c r="BS1858" s="115"/>
      <c r="BT1858" s="115"/>
      <c r="BU1858" s="115"/>
      <c r="BV1858" s="115"/>
      <c r="BW1858" s="115"/>
      <c r="BX1858" s="115"/>
      <c r="BY1858" s="115"/>
      <c r="BZ1858" s="115"/>
      <c r="CA1858" s="115"/>
      <c r="CB1858" s="115"/>
      <c r="CC1858" s="115"/>
      <c r="CD1858" s="115"/>
      <c r="CE1858" s="115"/>
      <c r="CF1858" s="115"/>
      <c r="CG1858" s="115"/>
      <c r="CH1858" s="115"/>
      <c r="CI1858" s="115"/>
      <c r="CJ1858" s="115"/>
      <c r="CK1858" s="115"/>
      <c r="CL1858" s="115"/>
      <c r="CM1858" s="115"/>
      <c r="CN1858" s="115"/>
      <c r="CO1858" s="115"/>
      <c r="CP1858" s="115"/>
    </row>
    <row r="1859" ht="15.75" customHeight="1">
      <c r="A1859" s="1805" t="s">
        <v>8562</v>
      </c>
      <c r="B1859" s="1407"/>
      <c r="C1859" s="1463" t="s">
        <v>132</v>
      </c>
      <c r="D1859" s="1720" t="s">
        <v>4781</v>
      </c>
      <c r="E1859" s="1720" t="s">
        <v>4781</v>
      </c>
      <c r="F1859" s="1721" t="s">
        <v>8563</v>
      </c>
      <c r="G1859" s="1467" t="s">
        <v>8564</v>
      </c>
      <c r="H1859" s="1468" t="s">
        <v>8565</v>
      </c>
      <c r="I1859" s="1469" t="s">
        <v>660</v>
      </c>
      <c r="J1859" s="1470" t="s">
        <v>8566</v>
      </c>
      <c r="K1859" s="1474"/>
      <c r="L1859" s="1469">
        <v>2015.0</v>
      </c>
      <c r="M1859" s="25">
        <f t="shared" si="789"/>
        <v>10</v>
      </c>
      <c r="N1859" s="26">
        <f t="shared" si="790"/>
        <v>0</v>
      </c>
      <c r="O1859" s="27" t="str">
        <f t="shared" si="3"/>
        <v>#N/A</v>
      </c>
      <c r="P1859" s="1847"/>
      <c r="Q1859" s="1847"/>
      <c r="R1859" s="1847"/>
      <c r="S1859" s="1847"/>
      <c r="T1859" s="1847"/>
      <c r="U1859" s="1847"/>
      <c r="V1859" s="30">
        <f t="shared" si="425"/>
        <v>0</v>
      </c>
      <c r="W1859" s="30"/>
      <c r="X1859" s="1736"/>
      <c r="Y1859" s="33" t="str">
        <f t="shared" si="792"/>
        <v>#DIV/0!</v>
      </c>
      <c r="Z1859" s="692"/>
      <c r="AA1859" s="665"/>
      <c r="AB1859" s="1474"/>
      <c r="AC1859" s="1474"/>
      <c r="AD1859" s="1482"/>
      <c r="AE1859" s="1717"/>
      <c r="AF1859" s="1722"/>
      <c r="AG1859" s="1717"/>
      <c r="AH1859" s="1474"/>
      <c r="AI1859" s="1479"/>
      <c r="AJ1859" s="1715"/>
      <c r="AK1859" s="1476"/>
      <c r="AL1859" s="1715"/>
      <c r="AM1859" s="1476"/>
      <c r="AN1859" s="1482"/>
      <c r="AO1859" s="1717"/>
      <c r="AP1859" s="1482"/>
      <c r="AQ1859" s="1717"/>
      <c r="AR1859" s="1482"/>
      <c r="AS1859" s="1482"/>
      <c r="AT1859" s="1482"/>
      <c r="AU1859" s="1483"/>
      <c r="AV1859" s="1482"/>
      <c r="AW1859" s="38"/>
      <c r="AX1859" s="1482"/>
      <c r="AY1859" s="38"/>
      <c r="AZ1859" s="1482"/>
      <c r="BA1859" s="1483"/>
      <c r="BB1859" s="1482"/>
      <c r="BC1859" s="1483"/>
      <c r="BD1859" s="1482"/>
      <c r="BE1859" s="38"/>
      <c r="BF1859" s="1474"/>
      <c r="BG1859" s="115"/>
      <c r="BH1859" s="115"/>
      <c r="BI1859" s="115"/>
      <c r="BJ1859" s="115"/>
      <c r="BK1859" s="115"/>
      <c r="BL1859" s="115"/>
      <c r="BM1859" s="115"/>
      <c r="BN1859" s="115"/>
      <c r="BO1859" s="115"/>
      <c r="BP1859" s="115"/>
      <c r="BQ1859" s="115"/>
      <c r="BR1859" s="115"/>
      <c r="BS1859" s="115"/>
      <c r="BT1859" s="115"/>
      <c r="BU1859" s="115"/>
      <c r="BV1859" s="115"/>
      <c r="BW1859" s="115"/>
      <c r="BX1859" s="115"/>
      <c r="BY1859" s="115"/>
      <c r="BZ1859" s="115"/>
      <c r="CA1859" s="115"/>
      <c r="CB1859" s="115"/>
      <c r="CC1859" s="115"/>
      <c r="CD1859" s="115"/>
      <c r="CE1859" s="115"/>
      <c r="CF1859" s="115"/>
      <c r="CG1859" s="115"/>
      <c r="CH1859" s="115"/>
      <c r="CI1859" s="115"/>
      <c r="CJ1859" s="115"/>
      <c r="CK1859" s="115"/>
      <c r="CL1859" s="115"/>
      <c r="CM1859" s="115"/>
      <c r="CN1859" s="115"/>
      <c r="CO1859" s="115"/>
      <c r="CP1859" s="115"/>
    </row>
    <row r="1860" ht="15.75" customHeight="1">
      <c r="A1860" s="860" t="s">
        <v>8567</v>
      </c>
      <c r="B1860" s="115"/>
      <c r="C1860" s="116" t="s">
        <v>132</v>
      </c>
      <c r="D1860" s="192" t="s">
        <v>8568</v>
      </c>
      <c r="E1860" s="192" t="s">
        <v>8569</v>
      </c>
      <c r="F1860" s="118" t="s">
        <v>8570</v>
      </c>
      <c r="G1860" s="286"/>
      <c r="H1860" s="119" t="s">
        <v>6100</v>
      </c>
      <c r="I1860" s="25" t="s">
        <v>5751</v>
      </c>
      <c r="J1860" s="287"/>
      <c r="K1860" s="123"/>
      <c r="L1860" s="25">
        <v>2017.0</v>
      </c>
      <c r="M1860" s="25">
        <f t="shared" si="789"/>
        <v>8</v>
      </c>
      <c r="N1860" s="26">
        <f t="shared" si="790"/>
        <v>0</v>
      </c>
      <c r="O1860" s="27" t="str">
        <f t="shared" si="3"/>
        <v>#N/A</v>
      </c>
      <c r="P1860" s="55"/>
      <c r="Q1860" s="55"/>
      <c r="R1860" s="55"/>
      <c r="S1860" s="55"/>
      <c r="T1860" s="55"/>
      <c r="U1860" s="55"/>
      <c r="V1860" s="30">
        <f t="shared" si="425"/>
        <v>0</v>
      </c>
      <c r="W1860" s="30"/>
      <c r="X1860" s="403"/>
      <c r="Y1860" s="33" t="str">
        <f t="shared" si="792"/>
        <v>#DIV/0!</v>
      </c>
      <c r="Z1860" s="692"/>
      <c r="AA1860" s="665"/>
      <c r="AB1860" s="123"/>
      <c r="AC1860" s="123"/>
      <c r="AD1860" s="227"/>
      <c r="AE1860" s="127"/>
      <c r="AF1860" s="166"/>
      <c r="AG1860" s="125"/>
      <c r="AH1860" s="123"/>
      <c r="AI1860" s="128"/>
      <c r="AJ1860" s="169"/>
      <c r="AK1860" s="127"/>
      <c r="AL1860" s="169"/>
      <c r="AM1860" s="127"/>
      <c r="AN1860" s="124"/>
      <c r="AO1860" s="125"/>
      <c r="AP1860" s="124"/>
      <c r="AQ1860" s="125"/>
      <c r="AR1860" s="124"/>
      <c r="AS1860" s="124"/>
      <c r="AT1860" s="124"/>
      <c r="AU1860" s="137"/>
      <c r="AV1860" s="124"/>
      <c r="AW1860" s="38"/>
      <c r="AX1860" s="124"/>
      <c r="AY1860" s="38"/>
      <c r="AZ1860" s="124"/>
      <c r="BA1860" s="137"/>
      <c r="BB1860" s="124"/>
      <c r="BC1860" s="137"/>
      <c r="BD1860" s="124"/>
      <c r="BE1860" s="38"/>
      <c r="BF1860" s="123"/>
      <c r="BG1860" s="115"/>
      <c r="BH1860" s="115"/>
      <c r="BI1860" s="115"/>
      <c r="BJ1860" s="115"/>
      <c r="BK1860" s="115"/>
      <c r="BL1860" s="115"/>
      <c r="BM1860" s="115"/>
      <c r="BN1860" s="115"/>
      <c r="BO1860" s="115"/>
      <c r="BP1860" s="115"/>
      <c r="BQ1860" s="115"/>
      <c r="BR1860" s="115"/>
      <c r="BS1860" s="115"/>
      <c r="BT1860" s="115"/>
      <c r="BU1860" s="115"/>
      <c r="BV1860" s="115"/>
      <c r="BW1860" s="115"/>
      <c r="BX1860" s="115"/>
      <c r="BY1860" s="115"/>
      <c r="BZ1860" s="115"/>
      <c r="CA1860" s="115"/>
      <c r="CB1860" s="115"/>
      <c r="CC1860" s="115"/>
      <c r="CD1860" s="115"/>
      <c r="CE1860" s="115"/>
      <c r="CF1860" s="115"/>
      <c r="CG1860" s="115"/>
      <c r="CH1860" s="115"/>
      <c r="CI1860" s="115"/>
      <c r="CJ1860" s="115"/>
      <c r="CK1860" s="115"/>
      <c r="CL1860" s="115"/>
      <c r="CM1860" s="115"/>
      <c r="CN1860" s="115"/>
      <c r="CO1860" s="115"/>
      <c r="CP1860" s="115"/>
    </row>
    <row r="1861" ht="15.75" customHeight="1">
      <c r="A1861" s="47" t="s">
        <v>8571</v>
      </c>
      <c r="B1861" s="115"/>
      <c r="C1861" s="116" t="s">
        <v>59</v>
      </c>
      <c r="D1861" s="449"/>
      <c r="E1861" s="192" t="s">
        <v>8572</v>
      </c>
      <c r="F1861" s="118" t="s">
        <v>8573</v>
      </c>
      <c r="G1861" s="286"/>
      <c r="H1861" s="119" t="s">
        <v>1984</v>
      </c>
      <c r="I1861" s="25" t="s">
        <v>1985</v>
      </c>
      <c r="J1861" s="287"/>
      <c r="K1861" s="123"/>
      <c r="L1861" s="25">
        <v>2018.0</v>
      </c>
      <c r="M1861" s="25">
        <f t="shared" si="789"/>
        <v>7</v>
      </c>
      <c r="N1861" s="26">
        <f t="shared" si="790"/>
        <v>0</v>
      </c>
      <c r="O1861" s="27" t="str">
        <f t="shared" si="3"/>
        <v>#N/A</v>
      </c>
      <c r="P1861" s="55"/>
      <c r="Q1861" s="55"/>
      <c r="R1861" s="55"/>
      <c r="S1861" s="55"/>
      <c r="T1861" s="55"/>
      <c r="U1861" s="55"/>
      <c r="V1861" s="30">
        <f t="shared" si="425"/>
        <v>0</v>
      </c>
      <c r="W1861" s="30"/>
      <c r="X1861" s="403"/>
      <c r="Y1861" s="33" t="str">
        <f t="shared" si="792"/>
        <v>#DIV/0!</v>
      </c>
      <c r="Z1861" s="692"/>
      <c r="AA1861" s="665"/>
      <c r="AB1861" s="123"/>
      <c r="AC1861" s="123"/>
      <c r="AD1861" s="124"/>
      <c r="AE1861" s="125"/>
      <c r="AF1861" s="166"/>
      <c r="AG1861" s="125"/>
      <c r="AH1861" s="123"/>
      <c r="AI1861" s="128"/>
      <c r="AJ1861" s="169"/>
      <c r="AK1861" s="127"/>
      <c r="AL1861" s="169"/>
      <c r="AM1861" s="127"/>
      <c r="AN1861" s="124"/>
      <c r="AO1861" s="125"/>
      <c r="AP1861" s="124"/>
      <c r="AQ1861" s="125"/>
      <c r="AR1861" s="124"/>
      <c r="AS1861" s="124"/>
      <c r="AT1861" s="124"/>
      <c r="AU1861" s="137"/>
      <c r="AV1861" s="124"/>
      <c r="AW1861" s="38"/>
      <c r="AX1861" s="124"/>
      <c r="AY1861" s="38"/>
      <c r="AZ1861" s="124"/>
      <c r="BA1861" s="137"/>
      <c r="BB1861" s="124"/>
      <c r="BC1861" s="137"/>
      <c r="BD1861" s="124"/>
      <c r="BE1861" s="38"/>
      <c r="BF1861" s="123"/>
      <c r="BG1861" s="115"/>
      <c r="BH1861" s="115"/>
      <c r="BI1861" s="115"/>
      <c r="BJ1861" s="115"/>
      <c r="BK1861" s="115"/>
      <c r="BL1861" s="115"/>
      <c r="BM1861" s="115"/>
      <c r="BN1861" s="115"/>
      <c r="BO1861" s="115"/>
      <c r="BP1861" s="115"/>
      <c r="BQ1861" s="115"/>
      <c r="BR1861" s="115"/>
      <c r="BS1861" s="115"/>
      <c r="BT1861" s="115"/>
      <c r="BU1861" s="115"/>
      <c r="BV1861" s="115"/>
      <c r="BW1861" s="115"/>
      <c r="BX1861" s="115"/>
      <c r="BY1861" s="115"/>
      <c r="BZ1861" s="115"/>
      <c r="CA1861" s="115"/>
      <c r="CB1861" s="115"/>
      <c r="CC1861" s="115"/>
      <c r="CD1861" s="115"/>
      <c r="CE1861" s="115"/>
      <c r="CF1861" s="115"/>
      <c r="CG1861" s="115"/>
      <c r="CH1861" s="115"/>
      <c r="CI1861" s="115"/>
      <c r="CJ1861" s="115"/>
      <c r="CK1861" s="115"/>
      <c r="CL1861" s="115"/>
      <c r="CM1861" s="115"/>
      <c r="CN1861" s="115"/>
      <c r="CO1861" s="115"/>
      <c r="CP1861" s="115"/>
    </row>
    <row r="1862" ht="15.75" customHeight="1">
      <c r="A1862" s="400" t="s">
        <v>8574</v>
      </c>
      <c r="B1862" s="115"/>
      <c r="C1862" s="116" t="s">
        <v>132</v>
      </c>
      <c r="D1862" s="192" t="s">
        <v>8575</v>
      </c>
      <c r="E1862" s="192" t="s">
        <v>8576</v>
      </c>
      <c r="F1862" s="756" t="s">
        <v>8577</v>
      </c>
      <c r="G1862" s="286"/>
      <c r="H1862" s="119" t="s">
        <v>8578</v>
      </c>
      <c r="I1862" s="25" t="s">
        <v>1547</v>
      </c>
      <c r="J1862" s="287"/>
      <c r="K1862" s="123"/>
      <c r="L1862" s="25">
        <v>2013.0</v>
      </c>
      <c r="M1862" s="25">
        <f t="shared" si="789"/>
        <v>12</v>
      </c>
      <c r="N1862" s="26">
        <f t="shared" si="790"/>
        <v>0</v>
      </c>
      <c r="O1862" s="27" t="str">
        <f t="shared" si="3"/>
        <v>#N/A</v>
      </c>
      <c r="P1862" s="55"/>
      <c r="Q1862" s="55"/>
      <c r="R1862" s="55"/>
      <c r="S1862" s="55"/>
      <c r="T1862" s="55"/>
      <c r="U1862" s="55"/>
      <c r="V1862" s="30">
        <f t="shared" si="425"/>
        <v>0</v>
      </c>
      <c r="W1862" s="30"/>
      <c r="X1862" s="403"/>
      <c r="Y1862" s="33" t="str">
        <f t="shared" si="792"/>
        <v>#DIV/0!</v>
      </c>
      <c r="Z1862" s="692"/>
      <c r="AA1862" s="665"/>
      <c r="AB1862" s="123"/>
      <c r="AC1862" s="123"/>
      <c r="AD1862" s="124"/>
      <c r="AE1862" s="125"/>
      <c r="AF1862" s="166"/>
      <c r="AG1862" s="125"/>
      <c r="AH1862" s="123"/>
      <c r="AI1862" s="128"/>
      <c r="AJ1862" s="169"/>
      <c r="AK1862" s="127"/>
      <c r="AL1862" s="169"/>
      <c r="AM1862" s="127"/>
      <c r="AN1862" s="124"/>
      <c r="AO1862" s="125"/>
      <c r="AP1862" s="124"/>
      <c r="AQ1862" s="125"/>
      <c r="AR1862" s="124"/>
      <c r="AS1862" s="124"/>
      <c r="AT1862" s="124"/>
      <c r="AU1862" s="137"/>
      <c r="AV1862" s="124"/>
      <c r="AW1862" s="38"/>
      <c r="AX1862" s="124"/>
      <c r="AY1862" s="38"/>
      <c r="AZ1862" s="124"/>
      <c r="BA1862" s="137"/>
      <c r="BB1862" s="124"/>
      <c r="BC1862" s="137"/>
      <c r="BD1862" s="124"/>
      <c r="BE1862" s="38"/>
      <c r="BF1862" s="123"/>
      <c r="BG1862" s="115"/>
      <c r="BH1862" s="115"/>
      <c r="BI1862" s="115"/>
      <c r="BJ1862" s="115"/>
      <c r="BK1862" s="115"/>
      <c r="BL1862" s="115"/>
      <c r="BM1862" s="115"/>
      <c r="BN1862" s="115"/>
      <c r="BO1862" s="115"/>
      <c r="BP1862" s="115"/>
      <c r="BQ1862" s="115"/>
      <c r="BR1862" s="115"/>
      <c r="BS1862" s="115"/>
      <c r="BT1862" s="115"/>
      <c r="BU1862" s="115"/>
      <c r="BV1862" s="115"/>
      <c r="BW1862" s="115"/>
      <c r="BX1862" s="115"/>
      <c r="BY1862" s="115"/>
      <c r="BZ1862" s="115"/>
      <c r="CA1862" s="115"/>
      <c r="CB1862" s="115"/>
      <c r="CC1862" s="115"/>
      <c r="CD1862" s="115"/>
      <c r="CE1862" s="115"/>
      <c r="CF1862" s="115"/>
      <c r="CG1862" s="115"/>
      <c r="CH1862" s="115"/>
      <c r="CI1862" s="115"/>
      <c r="CJ1862" s="115"/>
      <c r="CK1862" s="115"/>
      <c r="CL1862" s="115"/>
      <c r="CM1862" s="115"/>
      <c r="CN1862" s="115"/>
      <c r="CO1862" s="115"/>
      <c r="CP1862" s="115"/>
    </row>
    <row r="1863" ht="15.75" customHeight="1">
      <c r="A1863" s="1486" t="s">
        <v>8579</v>
      </c>
      <c r="B1863" s="116"/>
      <c r="C1863" s="116" t="s">
        <v>132</v>
      </c>
      <c r="D1863" s="192" t="s">
        <v>8580</v>
      </c>
      <c r="E1863" s="192" t="s">
        <v>8581</v>
      </c>
      <c r="F1863" s="756" t="s">
        <v>8582</v>
      </c>
      <c r="G1863" s="119"/>
      <c r="H1863" s="119" t="s">
        <v>187</v>
      </c>
      <c r="I1863" s="25" t="s">
        <v>188</v>
      </c>
      <c r="J1863" s="120"/>
      <c r="K1863" s="25"/>
      <c r="L1863" s="25">
        <v>2017.0</v>
      </c>
      <c r="M1863" s="25">
        <f t="shared" si="789"/>
        <v>8</v>
      </c>
      <c r="N1863" s="26">
        <f t="shared" si="790"/>
        <v>0</v>
      </c>
      <c r="O1863" s="27" t="str">
        <f t="shared" si="3"/>
        <v>#N/A</v>
      </c>
      <c r="P1863" s="356"/>
      <c r="Q1863" s="356"/>
      <c r="R1863" s="356"/>
      <c r="S1863" s="356"/>
      <c r="T1863" s="356"/>
      <c r="U1863" s="356"/>
      <c r="V1863" s="30">
        <f t="shared" si="425"/>
        <v>0</v>
      </c>
      <c r="W1863" s="30"/>
      <c r="X1863" s="597"/>
      <c r="Y1863" s="33" t="str">
        <f t="shared" si="792"/>
        <v>#DIV/0!</v>
      </c>
      <c r="Z1863" s="692"/>
      <c r="AA1863" s="665"/>
      <c r="AB1863" s="123"/>
      <c r="AC1863" s="123"/>
      <c r="AD1863" s="124"/>
      <c r="AE1863" s="125"/>
      <c r="AF1863" s="166"/>
      <c r="AG1863" s="127"/>
      <c r="AH1863" s="923"/>
      <c r="AI1863" s="759"/>
      <c r="AJ1863" s="169"/>
      <c r="AK1863" s="165"/>
      <c r="AL1863" s="169"/>
      <c r="AM1863" s="127"/>
      <c r="AN1863" s="124"/>
      <c r="AO1863" s="125"/>
      <c r="AP1863" s="124"/>
      <c r="AQ1863" s="125"/>
      <c r="AR1863" s="124"/>
      <c r="AS1863" s="124"/>
      <c r="AT1863" s="124"/>
      <c r="AU1863" s="137"/>
      <c r="AV1863" s="124"/>
      <c r="AW1863" s="38"/>
      <c r="AX1863" s="124"/>
      <c r="AY1863" s="38"/>
      <c r="AZ1863" s="124"/>
      <c r="BA1863" s="137"/>
      <c r="BB1863" s="124"/>
      <c r="BC1863" s="137"/>
      <c r="BD1863" s="124"/>
      <c r="BE1863" s="38"/>
      <c r="BF1863" s="123"/>
      <c r="BG1863" s="115"/>
      <c r="BH1863" s="115"/>
      <c r="BI1863" s="115"/>
      <c r="BJ1863" s="115"/>
      <c r="BK1863" s="115"/>
      <c r="BL1863" s="115"/>
      <c r="BM1863" s="115"/>
      <c r="BN1863" s="115"/>
      <c r="BO1863" s="115"/>
      <c r="BP1863" s="115"/>
      <c r="BQ1863" s="115"/>
      <c r="BR1863" s="115"/>
      <c r="BS1863" s="115"/>
      <c r="BT1863" s="115"/>
      <c r="BU1863" s="115"/>
      <c r="BV1863" s="115"/>
      <c r="BW1863" s="115"/>
      <c r="BX1863" s="115"/>
      <c r="BY1863" s="115"/>
      <c r="BZ1863" s="115"/>
      <c r="CA1863" s="115"/>
      <c r="CB1863" s="115"/>
      <c r="CC1863" s="115"/>
      <c r="CD1863" s="115"/>
      <c r="CE1863" s="115"/>
      <c r="CF1863" s="115"/>
      <c r="CG1863" s="115"/>
      <c r="CH1863" s="115"/>
      <c r="CI1863" s="115"/>
      <c r="CJ1863" s="115"/>
      <c r="CK1863" s="115"/>
      <c r="CL1863" s="115"/>
      <c r="CM1863" s="115"/>
      <c r="CN1863" s="115"/>
      <c r="CO1863" s="115"/>
      <c r="CP1863" s="115"/>
    </row>
    <row r="1864" ht="15.75" customHeight="1">
      <c r="A1864" s="860" t="s">
        <v>8583</v>
      </c>
      <c r="B1864" s="116"/>
      <c r="C1864" s="116" t="s">
        <v>132</v>
      </c>
      <c r="D1864" s="192" t="s">
        <v>8584</v>
      </c>
      <c r="E1864" s="192" t="s">
        <v>8585</v>
      </c>
      <c r="F1864" s="756" t="s">
        <v>8586</v>
      </c>
      <c r="G1864" s="119"/>
      <c r="H1864" s="119" t="s">
        <v>129</v>
      </c>
      <c r="I1864" s="25" t="s">
        <v>129</v>
      </c>
      <c r="J1864" s="120"/>
      <c r="K1864" s="25"/>
      <c r="L1864" s="25">
        <v>2008.0</v>
      </c>
      <c r="M1864" s="25">
        <f t="shared" si="789"/>
        <v>17</v>
      </c>
      <c r="N1864" s="26">
        <f t="shared" si="790"/>
        <v>0</v>
      </c>
      <c r="O1864" s="27" t="str">
        <f t="shared" si="3"/>
        <v>#N/A</v>
      </c>
      <c r="P1864" s="356"/>
      <c r="Q1864" s="356"/>
      <c r="R1864" s="356"/>
      <c r="S1864" s="356"/>
      <c r="T1864" s="356"/>
      <c r="U1864" s="356"/>
      <c r="V1864" s="30">
        <f t="shared" si="425"/>
        <v>0</v>
      </c>
      <c r="W1864" s="30"/>
      <c r="X1864" s="597"/>
      <c r="Y1864" s="33" t="str">
        <f t="shared" si="792"/>
        <v>#DIV/0!</v>
      </c>
      <c r="Z1864" s="692"/>
      <c r="AA1864" s="665"/>
      <c r="AB1864" s="123"/>
      <c r="AC1864" s="123"/>
      <c r="AD1864" s="124"/>
      <c r="AE1864" s="125"/>
      <c r="AF1864" s="166"/>
      <c r="AG1864" s="127"/>
      <c r="AH1864" s="923"/>
      <c r="AI1864" s="759"/>
      <c r="AJ1864" s="169"/>
      <c r="AK1864" s="165"/>
      <c r="AL1864" s="169"/>
      <c r="AM1864" s="127"/>
      <c r="AN1864" s="124"/>
      <c r="AO1864" s="125"/>
      <c r="AP1864" s="124"/>
      <c r="AQ1864" s="125"/>
      <c r="AR1864" s="124"/>
      <c r="AS1864" s="124"/>
      <c r="AT1864" s="124"/>
      <c r="AU1864" s="137"/>
      <c r="AV1864" s="124"/>
      <c r="AW1864" s="38"/>
      <c r="AX1864" s="124"/>
      <c r="AY1864" s="38"/>
      <c r="AZ1864" s="124"/>
      <c r="BA1864" s="137"/>
      <c r="BB1864" s="124"/>
      <c r="BC1864" s="137"/>
      <c r="BD1864" s="124"/>
      <c r="BE1864" s="38"/>
      <c r="BF1864" s="123"/>
      <c r="BG1864" s="115"/>
      <c r="BH1864" s="115"/>
      <c r="BI1864" s="115"/>
      <c r="BJ1864" s="115"/>
      <c r="BK1864" s="115"/>
      <c r="BL1864" s="115"/>
      <c r="BM1864" s="115"/>
      <c r="BN1864" s="115"/>
      <c r="BO1864" s="115"/>
      <c r="BP1864" s="115"/>
      <c r="BQ1864" s="115"/>
      <c r="BR1864" s="115"/>
      <c r="BS1864" s="115"/>
      <c r="BT1864" s="115"/>
      <c r="BU1864" s="115"/>
      <c r="BV1864" s="115"/>
      <c r="BW1864" s="115"/>
      <c r="BX1864" s="115"/>
      <c r="BY1864" s="115"/>
      <c r="BZ1864" s="115"/>
      <c r="CA1864" s="115"/>
      <c r="CB1864" s="115"/>
      <c r="CC1864" s="115"/>
      <c r="CD1864" s="115"/>
      <c r="CE1864" s="115"/>
      <c r="CF1864" s="115"/>
      <c r="CG1864" s="115"/>
      <c r="CH1864" s="115"/>
      <c r="CI1864" s="115"/>
      <c r="CJ1864" s="115"/>
      <c r="CK1864" s="115"/>
      <c r="CL1864" s="115"/>
      <c r="CM1864" s="115"/>
      <c r="CN1864" s="115"/>
      <c r="CO1864" s="115"/>
      <c r="CP1864" s="115"/>
    </row>
    <row r="1865" ht="15.75" customHeight="1">
      <c r="A1865" s="666" t="s">
        <v>8587</v>
      </c>
      <c r="B1865" s="115" t="s">
        <v>8588</v>
      </c>
      <c r="C1865" s="116" t="s">
        <v>132</v>
      </c>
      <c r="D1865" s="667" t="s">
        <v>8589</v>
      </c>
      <c r="E1865" s="162" t="s">
        <v>8590</v>
      </c>
      <c r="F1865" s="1227" t="s">
        <v>8591</v>
      </c>
      <c r="G1865" s="1843" t="s">
        <v>8592</v>
      </c>
      <c r="H1865" s="286" t="s">
        <v>114</v>
      </c>
      <c r="I1865" s="1890" t="s">
        <v>1597</v>
      </c>
      <c r="J1865" s="287" t="s">
        <v>8593</v>
      </c>
      <c r="K1865" s="123">
        <v>1.0</v>
      </c>
      <c r="L1865" s="25">
        <v>1999.0</v>
      </c>
      <c r="M1865" s="25">
        <f t="shared" si="789"/>
        <v>26</v>
      </c>
      <c r="N1865" s="26">
        <f t="shared" si="790"/>
        <v>0</v>
      </c>
      <c r="O1865" s="27" t="str">
        <f t="shared" si="3"/>
        <v>#N/A</v>
      </c>
      <c r="P1865" s="55"/>
      <c r="Q1865" s="55"/>
      <c r="R1865" s="55"/>
      <c r="S1865" s="55"/>
      <c r="T1865" s="55"/>
      <c r="U1865" s="55"/>
      <c r="V1865" s="30">
        <f t="shared" si="425"/>
        <v>0</v>
      </c>
      <c r="W1865" s="30"/>
      <c r="X1865" s="403"/>
      <c r="Y1865" s="33" t="str">
        <f t="shared" si="792"/>
        <v>#DIV/0!</v>
      </c>
      <c r="Z1865" s="692"/>
      <c r="AA1865" s="665"/>
      <c r="AB1865" s="123"/>
      <c r="AC1865" s="123"/>
      <c r="AD1865" s="124"/>
      <c r="AE1865" s="125"/>
      <c r="AF1865" s="166"/>
      <c r="AG1865" s="125"/>
      <c r="AH1865" s="123"/>
      <c r="AI1865" s="128"/>
      <c r="AJ1865" s="124"/>
      <c r="AK1865" s="125"/>
      <c r="AL1865" s="124"/>
      <c r="AM1865" s="125"/>
      <c r="AN1865" s="124"/>
      <c r="AO1865" s="125"/>
      <c r="AP1865" s="124"/>
      <c r="AQ1865" s="125"/>
      <c r="AR1865" s="124"/>
      <c r="AS1865" s="124"/>
      <c r="AT1865" s="124"/>
      <c r="AU1865" s="137"/>
      <c r="AV1865" s="124"/>
      <c r="AW1865" s="38"/>
      <c r="AX1865" s="124"/>
      <c r="AY1865" s="38"/>
      <c r="AZ1865" s="124"/>
      <c r="BA1865" s="137"/>
      <c r="BB1865" s="124"/>
      <c r="BC1865" s="137"/>
      <c r="BD1865" s="124"/>
      <c r="BE1865" s="38"/>
      <c r="BF1865" s="123"/>
      <c r="BG1865" s="115"/>
      <c r="BH1865" s="115"/>
      <c r="BI1865" s="115"/>
      <c r="BJ1865" s="115"/>
      <c r="BK1865" s="115"/>
      <c r="BL1865" s="115"/>
      <c r="BM1865" s="115"/>
      <c r="BN1865" s="115"/>
      <c r="BO1865" s="115"/>
      <c r="BP1865" s="115"/>
      <c r="BQ1865" s="115"/>
      <c r="BR1865" s="115"/>
      <c r="BS1865" s="115"/>
      <c r="BT1865" s="115"/>
      <c r="BU1865" s="115"/>
      <c r="BV1865" s="115"/>
      <c r="BW1865" s="115"/>
      <c r="BX1865" s="115"/>
      <c r="BY1865" s="115"/>
      <c r="BZ1865" s="115"/>
      <c r="CA1865" s="115"/>
      <c r="CB1865" s="115"/>
      <c r="CC1865" s="115"/>
      <c r="CD1865" s="115"/>
      <c r="CE1865" s="115"/>
      <c r="CF1865" s="115"/>
      <c r="CG1865" s="115"/>
      <c r="CH1865" s="115"/>
      <c r="CI1865" s="115"/>
      <c r="CJ1865" s="115"/>
      <c r="CK1865" s="115"/>
      <c r="CL1865" s="115"/>
      <c r="CM1865" s="115"/>
      <c r="CN1865" s="115"/>
      <c r="CO1865" s="115"/>
      <c r="CP1865" s="115"/>
    </row>
    <row r="1866" ht="15.75" customHeight="1">
      <c r="A1866" s="47" t="s">
        <v>8594</v>
      </c>
      <c r="B1866" s="115"/>
      <c r="C1866" s="116" t="s">
        <v>59</v>
      </c>
      <c r="D1866" s="48"/>
      <c r="E1866" s="192" t="s">
        <v>8595</v>
      </c>
      <c r="F1866" s="756" t="s">
        <v>8596</v>
      </c>
      <c r="G1866" s="54" t="s">
        <v>8597</v>
      </c>
      <c r="H1866" s="54" t="s">
        <v>8598</v>
      </c>
      <c r="I1866" s="25" t="s">
        <v>218</v>
      </c>
      <c r="J1866" s="287"/>
      <c r="K1866" s="25">
        <v>1.0</v>
      </c>
      <c r="L1866" s="25">
        <v>1887.0</v>
      </c>
      <c r="M1866" s="25">
        <f t="shared" si="789"/>
        <v>138</v>
      </c>
      <c r="N1866" s="26">
        <f t="shared" si="790"/>
        <v>0</v>
      </c>
      <c r="O1866" s="27" t="str">
        <f t="shared" si="3"/>
        <v>#N/A</v>
      </c>
      <c r="P1866" s="55"/>
      <c r="Q1866" s="55"/>
      <c r="R1866" s="55"/>
      <c r="S1866" s="55"/>
      <c r="T1866" s="55"/>
      <c r="U1866" s="55"/>
      <c r="V1866" s="30">
        <f t="shared" si="425"/>
        <v>0</v>
      </c>
      <c r="W1866" s="30"/>
      <c r="X1866" s="597"/>
      <c r="Y1866" s="33" t="str">
        <f t="shared" si="792"/>
        <v>#DIV/0!</v>
      </c>
      <c r="Z1866" s="692"/>
      <c r="AA1866" s="665"/>
      <c r="AB1866" s="123"/>
      <c r="AC1866" s="123"/>
      <c r="AD1866" s="124"/>
      <c r="AE1866" s="125"/>
      <c r="AF1866" s="166"/>
      <c r="AG1866" s="127"/>
      <c r="AH1866" s="115"/>
      <c r="AI1866" s="1771"/>
      <c r="AJ1866" s="198"/>
      <c r="AK1866" s="1891"/>
      <c r="AL1866" s="169"/>
      <c r="AM1866" s="127"/>
      <c r="AN1866" s="124"/>
      <c r="AO1866" s="127"/>
      <c r="AP1866" s="124"/>
      <c r="AQ1866" s="127"/>
      <c r="AR1866" s="124"/>
      <c r="AS1866" s="889"/>
      <c r="AT1866" s="124"/>
      <c r="AU1866" s="137"/>
      <c r="AV1866" s="124"/>
      <c r="AW1866" s="38"/>
      <c r="AX1866" s="124"/>
      <c r="AY1866" s="38"/>
      <c r="AZ1866" s="124"/>
      <c r="BA1866" s="137"/>
      <c r="BB1866" s="124"/>
      <c r="BC1866" s="137"/>
      <c r="BD1866" s="124"/>
      <c r="BE1866" s="38"/>
      <c r="BF1866" s="123"/>
      <c r="BG1866" s="123"/>
      <c r="BH1866" s="123"/>
      <c r="BI1866" s="123"/>
      <c r="BJ1866" s="123"/>
      <c r="BK1866" s="123"/>
      <c r="BL1866" s="123"/>
      <c r="BM1866" s="123"/>
      <c r="BN1866" s="123"/>
      <c r="BO1866" s="123"/>
      <c r="BP1866" s="123"/>
      <c r="BQ1866" s="123"/>
      <c r="BR1866" s="123"/>
      <c r="BS1866" s="123"/>
      <c r="BT1866" s="123"/>
      <c r="BU1866" s="123"/>
      <c r="BV1866" s="123"/>
      <c r="BW1866" s="123"/>
      <c r="BX1866" s="123"/>
      <c r="BY1866" s="123"/>
      <c r="BZ1866" s="123"/>
      <c r="CA1866" s="123"/>
      <c r="CB1866" s="123"/>
      <c r="CC1866" s="123"/>
      <c r="CD1866" s="123"/>
      <c r="CE1866" s="123"/>
      <c r="CF1866" s="123"/>
      <c r="CG1866" s="123"/>
      <c r="CH1866" s="115"/>
      <c r="CI1866" s="115"/>
      <c r="CJ1866" s="115"/>
      <c r="CK1866" s="115"/>
      <c r="CL1866" s="115"/>
      <c r="CM1866" s="115"/>
      <c r="CN1866" s="115"/>
      <c r="CO1866" s="115"/>
      <c r="CP1866" s="115"/>
    </row>
    <row r="1867" ht="15.75" customHeight="1">
      <c r="A1867" s="860" t="s">
        <v>8599</v>
      </c>
      <c r="B1867" s="115"/>
      <c r="C1867" s="116" t="s">
        <v>267</v>
      </c>
      <c r="D1867" s="192" t="s">
        <v>8600</v>
      </c>
      <c r="E1867" s="192" t="s">
        <v>8601</v>
      </c>
      <c r="F1867" s="756" t="s">
        <v>8602</v>
      </c>
      <c r="G1867" s="286"/>
      <c r="H1867" s="119" t="s">
        <v>8603</v>
      </c>
      <c r="I1867" s="25" t="s">
        <v>4984</v>
      </c>
      <c r="J1867" s="287"/>
      <c r="K1867" s="123"/>
      <c r="L1867" s="25">
        <v>2018.0</v>
      </c>
      <c r="M1867" s="25">
        <f t="shared" si="789"/>
        <v>7</v>
      </c>
      <c r="N1867" s="26">
        <f t="shared" si="790"/>
        <v>0</v>
      </c>
      <c r="O1867" s="27" t="str">
        <f t="shared" si="3"/>
        <v>#N/A</v>
      </c>
      <c r="P1867" s="55"/>
      <c r="Q1867" s="55"/>
      <c r="R1867" s="55"/>
      <c r="S1867" s="55"/>
      <c r="T1867" s="55"/>
      <c r="U1867" s="55"/>
      <c r="V1867" s="30">
        <f t="shared" si="425"/>
        <v>0</v>
      </c>
      <c r="W1867" s="30"/>
      <c r="X1867" s="403"/>
      <c r="Y1867" s="33" t="str">
        <f t="shared" si="792"/>
        <v>#DIV/0!</v>
      </c>
      <c r="Z1867" s="692"/>
      <c r="AA1867" s="665"/>
      <c r="AB1867" s="123"/>
      <c r="AC1867" s="123"/>
      <c r="AD1867" s="124"/>
      <c r="AE1867" s="125"/>
      <c r="AF1867" s="166"/>
      <c r="AG1867" s="127"/>
      <c r="AH1867" s="123"/>
      <c r="AI1867" s="128"/>
      <c r="AJ1867" s="124"/>
      <c r="AK1867" s="127"/>
      <c r="AL1867" s="169"/>
      <c r="AM1867" s="127"/>
      <c r="AN1867" s="124"/>
      <c r="AO1867" s="127"/>
      <c r="AP1867" s="124"/>
      <c r="AQ1867" s="127"/>
      <c r="AR1867" s="124"/>
      <c r="AS1867" s="889"/>
      <c r="AT1867" s="124"/>
      <c r="AU1867" s="137"/>
      <c r="AV1867" s="124"/>
      <c r="AW1867" s="38"/>
      <c r="AX1867" s="124"/>
      <c r="AY1867" s="38"/>
      <c r="AZ1867" s="124"/>
      <c r="BA1867" s="137"/>
      <c r="BB1867" s="124"/>
      <c r="BC1867" s="137"/>
      <c r="BD1867" s="124"/>
      <c r="BE1867" s="38"/>
      <c r="BF1867" s="123"/>
      <c r="BG1867" s="115"/>
      <c r="BH1867" s="115"/>
      <c r="BI1867" s="115"/>
      <c r="BJ1867" s="115"/>
      <c r="BK1867" s="115"/>
      <c r="BL1867" s="115"/>
      <c r="BM1867" s="115"/>
      <c r="BN1867" s="115"/>
      <c r="BO1867" s="115"/>
      <c r="BP1867" s="115"/>
      <c r="BQ1867" s="115"/>
      <c r="BR1867" s="115"/>
      <c r="BS1867" s="115"/>
      <c r="BT1867" s="115"/>
      <c r="BU1867" s="115"/>
      <c r="BV1867" s="115"/>
      <c r="BW1867" s="115"/>
      <c r="BX1867" s="115"/>
      <c r="BY1867" s="115"/>
      <c r="BZ1867" s="115"/>
      <c r="CA1867" s="115"/>
      <c r="CB1867" s="115"/>
      <c r="CC1867" s="115"/>
      <c r="CD1867" s="115"/>
      <c r="CE1867" s="115"/>
      <c r="CF1867" s="115"/>
      <c r="CG1867" s="115"/>
      <c r="CH1867" s="115"/>
      <c r="CI1867" s="115"/>
      <c r="CJ1867" s="115"/>
      <c r="CK1867" s="115"/>
      <c r="CL1867" s="115"/>
      <c r="CM1867" s="115"/>
      <c r="CN1867" s="115"/>
      <c r="CO1867" s="115"/>
      <c r="CP1867" s="115"/>
    </row>
    <row r="1868" ht="15.75" customHeight="1">
      <c r="A1868" s="666" t="s">
        <v>8604</v>
      </c>
      <c r="B1868" s="115" t="s">
        <v>301</v>
      </c>
      <c r="C1868" s="116" t="s">
        <v>59</v>
      </c>
      <c r="D1868" s="667" t="s">
        <v>8605</v>
      </c>
      <c r="E1868" s="667" t="s">
        <v>8606</v>
      </c>
      <c r="F1868" s="1227" t="s">
        <v>8607</v>
      </c>
      <c r="G1868" s="286" t="s">
        <v>8608</v>
      </c>
      <c r="H1868" s="286" t="s">
        <v>8609</v>
      </c>
      <c r="I1868" s="123" t="s">
        <v>8610</v>
      </c>
      <c r="J1868" s="287">
        <v>23060.0</v>
      </c>
      <c r="K1868" s="123">
        <v>2.0</v>
      </c>
      <c r="L1868" s="25">
        <v>2009.0</v>
      </c>
      <c r="M1868" s="25">
        <f t="shared" si="789"/>
        <v>16</v>
      </c>
      <c r="N1868" s="26">
        <f t="shared" si="790"/>
        <v>1</v>
      </c>
      <c r="O1868" s="27" t="str">
        <f t="shared" si="3"/>
        <v>#N/A</v>
      </c>
      <c r="P1868" s="55"/>
      <c r="Q1868" s="55"/>
      <c r="R1868" s="55"/>
      <c r="S1868" s="55"/>
      <c r="T1868" s="55"/>
      <c r="U1868" s="55"/>
      <c r="V1868" s="30">
        <f t="shared" si="425"/>
        <v>0</v>
      </c>
      <c r="W1868" s="30"/>
      <c r="X1868" s="403"/>
      <c r="Y1868" s="33" t="str">
        <f t="shared" si="792"/>
        <v>#DIV/0!</v>
      </c>
      <c r="Z1868" s="692"/>
      <c r="AA1868" s="665"/>
      <c r="AB1868" s="123"/>
      <c r="AC1868" s="123"/>
      <c r="AD1868" s="124"/>
      <c r="AE1868" s="125"/>
      <c r="AF1868" s="126" t="str">
        <f>HYPERLINK("https://www.crunchbase.com/funding_round/skyfoundry-seed--6ace46c7","Jan 1, 2011")</f>
        <v>Jan 1, 2011</v>
      </c>
      <c r="AG1868" s="127">
        <v>0.0</v>
      </c>
      <c r="AH1868" s="123"/>
      <c r="AI1868" s="128"/>
      <c r="AJ1868" s="124"/>
      <c r="AK1868" s="127"/>
      <c r="AL1868" s="169"/>
      <c r="AM1868" s="127"/>
      <c r="AN1868" s="124"/>
      <c r="AO1868" s="127"/>
      <c r="AP1868" s="124"/>
      <c r="AQ1868" s="127"/>
      <c r="AR1868" s="124"/>
      <c r="AS1868" s="889"/>
      <c r="AT1868" s="124"/>
      <c r="AU1868" s="137"/>
      <c r="AV1868" s="124"/>
      <c r="AW1868" s="38"/>
      <c r="AX1868" s="124"/>
      <c r="AY1868" s="38"/>
      <c r="AZ1868" s="124"/>
      <c r="BA1868" s="137"/>
      <c r="BB1868" s="124"/>
      <c r="BC1868" s="137"/>
      <c r="BD1868" s="124"/>
      <c r="BE1868" s="38"/>
      <c r="BF1868" s="123"/>
      <c r="BG1868" s="115"/>
      <c r="BH1868" s="115"/>
      <c r="BI1868" s="115"/>
      <c r="BJ1868" s="115"/>
      <c r="BK1868" s="115"/>
      <c r="BL1868" s="115"/>
      <c r="BM1868" s="115"/>
      <c r="BN1868" s="115"/>
      <c r="BO1868" s="115"/>
      <c r="BP1868" s="115"/>
      <c r="BQ1868" s="115"/>
      <c r="BR1868" s="115"/>
      <c r="BS1868" s="115"/>
      <c r="BT1868" s="115"/>
      <c r="BU1868" s="115"/>
      <c r="BV1868" s="115"/>
      <c r="BW1868" s="115"/>
      <c r="BX1868" s="115"/>
      <c r="BY1868" s="115"/>
      <c r="BZ1868" s="115"/>
      <c r="CA1868" s="115"/>
      <c r="CB1868" s="115"/>
      <c r="CC1868" s="115"/>
      <c r="CD1868" s="115"/>
      <c r="CE1868" s="115"/>
      <c r="CF1868" s="115"/>
      <c r="CG1868" s="115"/>
      <c r="CH1868" s="115"/>
      <c r="CI1868" s="115"/>
      <c r="CJ1868" s="115"/>
      <c r="CK1868" s="115"/>
      <c r="CL1868" s="115"/>
      <c r="CM1868" s="115"/>
      <c r="CN1868" s="115"/>
      <c r="CO1868" s="115"/>
      <c r="CP1868" s="115"/>
    </row>
    <row r="1869" ht="15.75" customHeight="1">
      <c r="A1869" s="860" t="s">
        <v>8611</v>
      </c>
      <c r="B1869" s="115"/>
      <c r="C1869" s="116" t="s">
        <v>132</v>
      </c>
      <c r="D1869" s="449"/>
      <c r="E1869" s="388" t="s">
        <v>8612</v>
      </c>
      <c r="F1869" s="756" t="s">
        <v>8613</v>
      </c>
      <c r="G1869" s="286"/>
      <c r="H1869" s="119" t="s">
        <v>8614</v>
      </c>
      <c r="I1869" s="25" t="s">
        <v>1547</v>
      </c>
      <c r="J1869" s="287"/>
      <c r="K1869" s="123"/>
      <c r="L1869" s="25">
        <v>2012.0</v>
      </c>
      <c r="M1869" s="25">
        <f t="shared" si="789"/>
        <v>13</v>
      </c>
      <c r="N1869" s="26">
        <f t="shared" si="790"/>
        <v>0</v>
      </c>
      <c r="O1869" s="27" t="str">
        <f t="shared" si="3"/>
        <v>#N/A</v>
      </c>
      <c r="P1869" s="55"/>
      <c r="Q1869" s="55"/>
      <c r="R1869" s="55"/>
      <c r="S1869" s="55"/>
      <c r="T1869" s="55"/>
      <c r="U1869" s="55"/>
      <c r="V1869" s="30">
        <f t="shared" si="425"/>
        <v>0</v>
      </c>
      <c r="W1869" s="30"/>
      <c r="X1869" s="403"/>
      <c r="Y1869" s="33" t="str">
        <f t="shared" si="792"/>
        <v>#DIV/0!</v>
      </c>
      <c r="Z1869" s="692"/>
      <c r="AA1869" s="665"/>
      <c r="AB1869" s="123"/>
      <c r="AC1869" s="123"/>
      <c r="AD1869" s="124"/>
      <c r="AE1869" s="125"/>
      <c r="AF1869" s="166"/>
      <c r="AG1869" s="127"/>
      <c r="AH1869" s="123"/>
      <c r="AI1869" s="128"/>
      <c r="AJ1869" s="124"/>
      <c r="AK1869" s="127"/>
      <c r="AL1869" s="169"/>
      <c r="AM1869" s="127"/>
      <c r="AN1869" s="124"/>
      <c r="AO1869" s="127"/>
      <c r="AP1869" s="124"/>
      <c r="AQ1869" s="127"/>
      <c r="AR1869" s="124"/>
      <c r="AS1869" s="889"/>
      <c r="AT1869" s="124"/>
      <c r="AU1869" s="137"/>
      <c r="AV1869" s="124"/>
      <c r="AW1869" s="38"/>
      <c r="AX1869" s="124"/>
      <c r="AY1869" s="38"/>
      <c r="AZ1869" s="124"/>
      <c r="BA1869" s="137"/>
      <c r="BB1869" s="124"/>
      <c r="BC1869" s="137"/>
      <c r="BD1869" s="124"/>
      <c r="BE1869" s="38"/>
      <c r="BF1869" s="123"/>
      <c r="BG1869" s="115"/>
      <c r="BH1869" s="115"/>
      <c r="BI1869" s="115"/>
      <c r="BJ1869" s="115"/>
      <c r="BK1869" s="115"/>
      <c r="BL1869" s="115"/>
      <c r="BM1869" s="115"/>
      <c r="BN1869" s="115"/>
      <c r="BO1869" s="115"/>
      <c r="BP1869" s="115"/>
      <c r="BQ1869" s="115"/>
      <c r="BR1869" s="115"/>
      <c r="BS1869" s="115"/>
      <c r="BT1869" s="115"/>
      <c r="BU1869" s="115"/>
      <c r="BV1869" s="115"/>
      <c r="BW1869" s="115"/>
      <c r="BX1869" s="115"/>
      <c r="BY1869" s="115"/>
      <c r="BZ1869" s="115"/>
      <c r="CA1869" s="115"/>
      <c r="CB1869" s="115"/>
      <c r="CC1869" s="115"/>
      <c r="CD1869" s="115"/>
      <c r="CE1869" s="115"/>
      <c r="CF1869" s="115"/>
      <c r="CG1869" s="115"/>
      <c r="CH1869" s="115"/>
      <c r="CI1869" s="115"/>
      <c r="CJ1869" s="115"/>
      <c r="CK1869" s="115"/>
      <c r="CL1869" s="115"/>
      <c r="CM1869" s="115"/>
      <c r="CN1869" s="115"/>
      <c r="CO1869" s="115"/>
      <c r="CP1869" s="115"/>
    </row>
    <row r="1870" ht="15.75" customHeight="1">
      <c r="A1870" s="860" t="s">
        <v>8615</v>
      </c>
      <c r="B1870" s="115"/>
      <c r="C1870" s="116" t="s">
        <v>59</v>
      </c>
      <c r="D1870" s="192" t="s">
        <v>8616</v>
      </c>
      <c r="E1870" s="192" t="s">
        <v>8617</v>
      </c>
      <c r="F1870" s="756" t="s">
        <v>8618</v>
      </c>
      <c r="G1870" s="286"/>
      <c r="H1870" s="119" t="s">
        <v>533</v>
      </c>
      <c r="I1870" s="25" t="s">
        <v>65</v>
      </c>
      <c r="J1870" s="287"/>
      <c r="K1870" s="123"/>
      <c r="L1870" s="25">
        <v>2015.0</v>
      </c>
      <c r="M1870" s="25">
        <f t="shared" si="789"/>
        <v>10</v>
      </c>
      <c r="N1870" s="26">
        <f t="shared" si="790"/>
        <v>0</v>
      </c>
      <c r="O1870" s="27" t="str">
        <f t="shared" si="3"/>
        <v>#N/A</v>
      </c>
      <c r="P1870" s="356"/>
      <c r="Q1870" s="356"/>
      <c r="R1870" s="356"/>
      <c r="S1870" s="356"/>
      <c r="T1870" s="356"/>
      <c r="U1870" s="356"/>
      <c r="V1870" s="30">
        <f t="shared" si="425"/>
        <v>0</v>
      </c>
      <c r="W1870" s="30"/>
      <c r="X1870" s="403"/>
      <c r="Y1870" s="33" t="str">
        <f t="shared" si="792"/>
        <v>#DIV/0!</v>
      </c>
      <c r="Z1870" s="692"/>
      <c r="AA1870" s="665"/>
      <c r="AB1870" s="123"/>
      <c r="AC1870" s="123"/>
      <c r="AD1870" s="124"/>
      <c r="AE1870" s="125"/>
      <c r="AF1870" s="166"/>
      <c r="AG1870" s="125"/>
      <c r="AH1870" s="123"/>
      <c r="AI1870" s="128"/>
      <c r="AJ1870" s="124"/>
      <c r="AK1870" s="125"/>
      <c r="AL1870" s="124"/>
      <c r="AM1870" s="125"/>
      <c r="AN1870" s="124"/>
      <c r="AO1870" s="125"/>
      <c r="AP1870" s="124"/>
      <c r="AQ1870" s="125"/>
      <c r="AR1870" s="124"/>
      <c r="AS1870" s="124"/>
      <c r="AT1870" s="124"/>
      <c r="AU1870" s="137"/>
      <c r="AV1870" s="124"/>
      <c r="AW1870" s="38"/>
      <c r="AX1870" s="124"/>
      <c r="AY1870" s="38"/>
      <c r="AZ1870" s="124"/>
      <c r="BA1870" s="137"/>
      <c r="BB1870" s="124"/>
      <c r="BC1870" s="137"/>
      <c r="BD1870" s="124"/>
      <c r="BE1870" s="38"/>
      <c r="BF1870" s="123"/>
      <c r="BG1870" s="115"/>
      <c r="BH1870" s="115"/>
      <c r="BI1870" s="115"/>
      <c r="BJ1870" s="115"/>
      <c r="BK1870" s="115"/>
      <c r="BL1870" s="115"/>
      <c r="BM1870" s="115"/>
      <c r="BN1870" s="115"/>
      <c r="BO1870" s="115"/>
      <c r="BP1870" s="115"/>
      <c r="BQ1870" s="115"/>
      <c r="BR1870" s="115"/>
      <c r="BS1870" s="115"/>
      <c r="BT1870" s="115"/>
      <c r="BU1870" s="115"/>
      <c r="BV1870" s="115"/>
      <c r="BW1870" s="115"/>
      <c r="BX1870" s="115"/>
      <c r="BY1870" s="115"/>
      <c r="BZ1870" s="115"/>
      <c r="CA1870" s="115"/>
      <c r="CB1870" s="115"/>
      <c r="CC1870" s="115"/>
      <c r="CD1870" s="115"/>
      <c r="CE1870" s="115"/>
      <c r="CF1870" s="115"/>
      <c r="CG1870" s="115"/>
      <c r="CH1870" s="115"/>
      <c r="CI1870" s="115"/>
      <c r="CJ1870" s="115"/>
      <c r="CK1870" s="115"/>
      <c r="CL1870" s="115"/>
      <c r="CM1870" s="115"/>
      <c r="CN1870" s="115"/>
      <c r="CO1870" s="115"/>
      <c r="CP1870" s="115"/>
    </row>
    <row r="1871" ht="15.75" customHeight="1">
      <c r="A1871" s="47" t="s">
        <v>8619</v>
      </c>
      <c r="B1871" s="115"/>
      <c r="C1871" s="116" t="s">
        <v>132</v>
      </c>
      <c r="D1871" s="667"/>
      <c r="E1871" s="192" t="s">
        <v>8620</v>
      </c>
      <c r="F1871" s="756" t="s">
        <v>8621</v>
      </c>
      <c r="G1871" s="286"/>
      <c r="H1871" s="119" t="s">
        <v>8622</v>
      </c>
      <c r="I1871" s="119" t="s">
        <v>100</v>
      </c>
      <c r="J1871" s="287"/>
      <c r="K1871" s="123"/>
      <c r="L1871" s="25">
        <v>1989.0</v>
      </c>
      <c r="M1871" s="25">
        <f t="shared" si="789"/>
        <v>36</v>
      </c>
      <c r="N1871" s="26">
        <f t="shared" si="790"/>
        <v>0</v>
      </c>
      <c r="O1871" s="27" t="str">
        <f t="shared" si="3"/>
        <v>#N/A</v>
      </c>
      <c r="P1871" s="356"/>
      <c r="Q1871" s="356"/>
      <c r="R1871" s="356"/>
      <c r="S1871" s="356"/>
      <c r="T1871" s="356"/>
      <c r="U1871" s="356"/>
      <c r="V1871" s="30">
        <f t="shared" si="425"/>
        <v>0</v>
      </c>
      <c r="W1871" s="30"/>
      <c r="X1871" s="403"/>
      <c r="Y1871" s="33" t="str">
        <f t="shared" si="792"/>
        <v>#DIV/0!</v>
      </c>
      <c r="Z1871" s="692"/>
      <c r="AA1871" s="665"/>
      <c r="AB1871" s="123"/>
      <c r="AC1871" s="123"/>
      <c r="AD1871" s="124"/>
      <c r="AE1871" s="125"/>
      <c r="AF1871" s="166"/>
      <c r="AG1871" s="125"/>
      <c r="AH1871" s="123"/>
      <c r="AI1871" s="128"/>
      <c r="AJ1871" s="227"/>
      <c r="AK1871" s="127"/>
      <c r="AL1871" s="124"/>
      <c r="AM1871" s="125"/>
      <c r="AN1871" s="124"/>
      <c r="AO1871" s="125"/>
      <c r="AP1871" s="124"/>
      <c r="AQ1871" s="125"/>
      <c r="AR1871" s="124"/>
      <c r="AS1871" s="124"/>
      <c r="AT1871" s="124"/>
      <c r="AU1871" s="137"/>
      <c r="AV1871" s="124"/>
      <c r="AW1871" s="38"/>
      <c r="AX1871" s="124"/>
      <c r="AY1871" s="38"/>
      <c r="AZ1871" s="124"/>
      <c r="BA1871" s="137"/>
      <c r="BB1871" s="124"/>
      <c r="BC1871" s="137"/>
      <c r="BD1871" s="124"/>
      <c r="BE1871" s="38"/>
      <c r="BF1871" s="123"/>
      <c r="BG1871" s="115"/>
      <c r="BH1871" s="115"/>
      <c r="BI1871" s="115"/>
      <c r="BJ1871" s="115"/>
      <c r="BK1871" s="115"/>
      <c r="BL1871" s="115"/>
      <c r="BM1871" s="115"/>
      <c r="BN1871" s="115"/>
      <c r="BO1871" s="115"/>
      <c r="BP1871" s="115"/>
      <c r="BQ1871" s="115"/>
      <c r="BR1871" s="115"/>
      <c r="BS1871" s="115"/>
      <c r="BT1871" s="115"/>
      <c r="BU1871" s="115"/>
      <c r="BV1871" s="115"/>
      <c r="BW1871" s="115"/>
      <c r="BX1871" s="115"/>
      <c r="BY1871" s="115"/>
      <c r="BZ1871" s="115"/>
      <c r="CA1871" s="115"/>
      <c r="CB1871" s="115"/>
      <c r="CC1871" s="115"/>
      <c r="CD1871" s="115"/>
      <c r="CE1871" s="115"/>
      <c r="CF1871" s="115"/>
      <c r="CG1871" s="115"/>
      <c r="CH1871" s="115"/>
      <c r="CI1871" s="115"/>
      <c r="CJ1871" s="115"/>
      <c r="CK1871" s="115"/>
      <c r="CL1871" s="115"/>
      <c r="CM1871" s="115"/>
      <c r="CN1871" s="115"/>
      <c r="CO1871" s="115"/>
      <c r="CP1871" s="115"/>
    </row>
    <row r="1872" ht="15.75" customHeight="1">
      <c r="A1872" s="666" t="s">
        <v>8623</v>
      </c>
      <c r="B1872" s="115" t="s">
        <v>3002</v>
      </c>
      <c r="C1872" s="116" t="s">
        <v>132</v>
      </c>
      <c r="D1872" s="667"/>
      <c r="E1872" s="192" t="s">
        <v>8624</v>
      </c>
      <c r="F1872" s="1227" t="s">
        <v>8625</v>
      </c>
      <c r="G1872" s="286"/>
      <c r="H1872" s="286"/>
      <c r="I1872" s="123"/>
      <c r="J1872" s="287"/>
      <c r="K1872" s="123" t="s">
        <v>723</v>
      </c>
      <c r="L1872" s="123" t="s">
        <v>723</v>
      </c>
      <c r="M1872" s="25" t="str">
        <f t="shared" si="789"/>
        <v>#VALUE!</v>
      </c>
      <c r="N1872" s="26">
        <f t="shared" si="790"/>
        <v>0</v>
      </c>
      <c r="O1872" s="27" t="str">
        <f t="shared" si="3"/>
        <v>#N/A</v>
      </c>
      <c r="P1872" s="356"/>
      <c r="Q1872" s="356"/>
      <c r="R1872" s="356"/>
      <c r="S1872" s="356"/>
      <c r="T1872" s="356"/>
      <c r="U1872" s="356"/>
      <c r="V1872" s="30">
        <f t="shared" si="425"/>
        <v>0</v>
      </c>
      <c r="W1872" s="30"/>
      <c r="X1872" s="403"/>
      <c r="Y1872" s="33" t="str">
        <f t="shared" si="792"/>
        <v>#DIV/0!</v>
      </c>
      <c r="Z1872" s="692"/>
      <c r="AA1872" s="665"/>
      <c r="AB1872" s="123"/>
      <c r="AC1872" s="123"/>
      <c r="AD1872" s="124"/>
      <c r="AE1872" s="125"/>
      <c r="AF1872" s="166"/>
      <c r="AG1872" s="125"/>
      <c r="AH1872" s="123"/>
      <c r="AI1872" s="128"/>
      <c r="AJ1872" s="124"/>
      <c r="AK1872" s="125"/>
      <c r="AL1872" s="124"/>
      <c r="AM1872" s="125"/>
      <c r="AN1872" s="124"/>
      <c r="AO1872" s="125"/>
      <c r="AP1872" s="124"/>
      <c r="AQ1872" s="125"/>
      <c r="AR1872" s="124"/>
      <c r="AS1872" s="124"/>
      <c r="AT1872" s="124"/>
      <c r="AU1872" s="137"/>
      <c r="AV1872" s="124"/>
      <c r="AW1872" s="38"/>
      <c r="AX1872" s="124"/>
      <c r="AY1872" s="38"/>
      <c r="AZ1872" s="124"/>
      <c r="BA1872" s="137"/>
      <c r="BB1872" s="124"/>
      <c r="BC1872" s="137"/>
      <c r="BD1872" s="124"/>
      <c r="BE1872" s="38"/>
      <c r="BF1872" s="123"/>
      <c r="BG1872" s="115"/>
      <c r="BH1872" s="115"/>
      <c r="BI1872" s="115"/>
      <c r="BJ1872" s="115"/>
      <c r="BK1872" s="115"/>
      <c r="BL1872" s="115"/>
      <c r="BM1872" s="115"/>
      <c r="BN1872" s="115"/>
      <c r="BO1872" s="115"/>
      <c r="BP1872" s="115"/>
      <c r="BQ1872" s="115"/>
      <c r="BR1872" s="115"/>
      <c r="BS1872" s="115"/>
      <c r="BT1872" s="115"/>
      <c r="BU1872" s="115"/>
      <c r="BV1872" s="115"/>
      <c r="BW1872" s="115"/>
      <c r="BX1872" s="115"/>
      <c r="BY1872" s="115"/>
      <c r="BZ1872" s="115"/>
      <c r="CA1872" s="115"/>
      <c r="CB1872" s="115"/>
      <c r="CC1872" s="115"/>
      <c r="CD1872" s="115"/>
      <c r="CE1872" s="115"/>
      <c r="CF1872" s="115"/>
      <c r="CG1872" s="115"/>
      <c r="CH1872" s="115"/>
      <c r="CI1872" s="115"/>
      <c r="CJ1872" s="115"/>
      <c r="CK1872" s="115"/>
      <c r="CL1872" s="115"/>
      <c r="CM1872" s="115"/>
      <c r="CN1872" s="115"/>
      <c r="CO1872" s="115"/>
      <c r="CP1872" s="115"/>
    </row>
    <row r="1873" ht="15.75" customHeight="1">
      <c r="A1873" s="400" t="s">
        <v>8626</v>
      </c>
      <c r="B1873" s="115"/>
      <c r="C1873" s="116" t="s">
        <v>84</v>
      </c>
      <c r="D1873" s="667"/>
      <c r="E1873" s="192" t="s">
        <v>8627</v>
      </c>
      <c r="F1873" s="118" t="s">
        <v>8628</v>
      </c>
      <c r="G1873" s="54"/>
      <c r="H1873" s="119"/>
      <c r="I1873" s="123"/>
      <c r="J1873" s="120"/>
      <c r="K1873" s="123"/>
      <c r="L1873" s="25"/>
      <c r="M1873" s="25">
        <f t="shared" si="789"/>
        <v>2025</v>
      </c>
      <c r="N1873" s="26">
        <f t="shared" si="790"/>
        <v>0</v>
      </c>
      <c r="O1873" s="27" t="str">
        <f t="shared" si="3"/>
        <v>#N/A</v>
      </c>
      <c r="P1873" s="356"/>
      <c r="Q1873" s="356"/>
      <c r="R1873" s="356"/>
      <c r="S1873" s="356"/>
      <c r="T1873" s="356"/>
      <c r="U1873" s="356"/>
      <c r="V1873" s="30">
        <f t="shared" si="425"/>
        <v>0</v>
      </c>
      <c r="W1873" s="30"/>
      <c r="X1873" s="403"/>
      <c r="Y1873" s="33" t="str">
        <f t="shared" si="792"/>
        <v>#DIV/0!</v>
      </c>
      <c r="Z1873" s="692"/>
      <c r="AA1873" s="665"/>
      <c r="AB1873" s="123"/>
      <c r="AC1873" s="123"/>
      <c r="AD1873" s="124"/>
      <c r="AE1873" s="125"/>
      <c r="AF1873" s="166"/>
      <c r="AG1873" s="125"/>
      <c r="AH1873" s="881"/>
      <c r="AI1873" s="759"/>
      <c r="AJ1873" s="124"/>
      <c r="AK1873" s="125"/>
      <c r="AL1873" s="169"/>
      <c r="AM1873" s="127"/>
      <c r="AN1873" s="124"/>
      <c r="AO1873" s="127"/>
      <c r="AP1873" s="124"/>
      <c r="AQ1873" s="125"/>
      <c r="AR1873" s="124"/>
      <c r="AS1873" s="124"/>
      <c r="AT1873" s="124"/>
      <c r="AU1873" s="137"/>
      <c r="AV1873" s="124"/>
      <c r="AW1873" s="38"/>
      <c r="AX1873" s="124"/>
      <c r="AY1873" s="38"/>
      <c r="AZ1873" s="124"/>
      <c r="BA1873" s="137"/>
      <c r="BB1873" s="124"/>
      <c r="BC1873" s="137"/>
      <c r="BD1873" s="124"/>
      <c r="BE1873" s="38"/>
      <c r="BF1873" s="123"/>
      <c r="BG1873" s="115"/>
      <c r="BH1873" s="115"/>
      <c r="BI1873" s="115"/>
      <c r="BJ1873" s="115"/>
      <c r="BK1873" s="115"/>
      <c r="BL1873" s="115"/>
      <c r="BM1873" s="115"/>
      <c r="BN1873" s="115"/>
      <c r="BO1873" s="115"/>
      <c r="BP1873" s="115"/>
      <c r="BQ1873" s="115"/>
      <c r="BR1873" s="115"/>
      <c r="BS1873" s="115"/>
      <c r="BT1873" s="115"/>
      <c r="BU1873" s="115"/>
      <c r="BV1873" s="115"/>
      <c r="BW1873" s="115"/>
      <c r="BX1873" s="115"/>
      <c r="BY1873" s="115"/>
      <c r="BZ1873" s="115"/>
      <c r="CA1873" s="115"/>
      <c r="CB1873" s="115"/>
      <c r="CC1873" s="115"/>
      <c r="CD1873" s="115"/>
      <c r="CE1873" s="115"/>
      <c r="CF1873" s="115"/>
      <c r="CG1873" s="115"/>
      <c r="CH1873" s="115"/>
      <c r="CI1873" s="115"/>
      <c r="CJ1873" s="115"/>
      <c r="CK1873" s="115"/>
      <c r="CL1873" s="115"/>
      <c r="CM1873" s="115"/>
      <c r="CN1873" s="115"/>
      <c r="CO1873" s="115"/>
      <c r="CP1873" s="115"/>
    </row>
    <row r="1874" ht="15.75" customHeight="1">
      <c r="A1874" s="1805" t="s">
        <v>8629</v>
      </c>
      <c r="B1874" s="1407"/>
      <c r="C1874" s="1463" t="s">
        <v>59</v>
      </c>
      <c r="D1874" s="1464" t="s">
        <v>4781</v>
      </c>
      <c r="E1874" s="1464" t="s">
        <v>4781</v>
      </c>
      <c r="F1874" s="1721" t="s">
        <v>8630</v>
      </c>
      <c r="G1874" s="1467"/>
      <c r="H1874" s="1467" t="s">
        <v>8631</v>
      </c>
      <c r="I1874" s="1469" t="s">
        <v>2944</v>
      </c>
      <c r="J1874" s="1714"/>
      <c r="K1874" s="1474"/>
      <c r="L1874" s="1469">
        <v>2007.0</v>
      </c>
      <c r="M1874" s="25">
        <f t="shared" si="789"/>
        <v>18</v>
      </c>
      <c r="N1874" s="26">
        <f t="shared" si="790"/>
        <v>0</v>
      </c>
      <c r="O1874" s="27" t="str">
        <f t="shared" si="3"/>
        <v>#N/A</v>
      </c>
      <c r="P1874" s="1472"/>
      <c r="Q1874" s="1472"/>
      <c r="R1874" s="1472"/>
      <c r="S1874" s="1472"/>
      <c r="T1874" s="1472"/>
      <c r="U1874" s="1472"/>
      <c r="V1874" s="30">
        <f t="shared" si="425"/>
        <v>0</v>
      </c>
      <c r="W1874" s="30"/>
      <c r="X1874" s="1736"/>
      <c r="Y1874" s="33" t="str">
        <f t="shared" si="792"/>
        <v>#DIV/0!</v>
      </c>
      <c r="Z1874" s="692"/>
      <c r="AA1874" s="665"/>
      <c r="AB1874" s="1474"/>
      <c r="AC1874" s="1474"/>
      <c r="AD1874" s="1482"/>
      <c r="AE1874" s="1717"/>
      <c r="AF1874" s="1722"/>
      <c r="AG1874" s="1717"/>
      <c r="AH1874" s="1478"/>
      <c r="AI1874" s="1837"/>
      <c r="AJ1874" s="1482"/>
      <c r="AK1874" s="1717"/>
      <c r="AL1874" s="1715"/>
      <c r="AM1874" s="1476"/>
      <c r="AN1874" s="1482"/>
      <c r="AO1874" s="1476"/>
      <c r="AP1874" s="1482"/>
      <c r="AQ1874" s="1717"/>
      <c r="AR1874" s="1482"/>
      <c r="AS1874" s="1482"/>
      <c r="AT1874" s="1482"/>
      <c r="AU1874" s="1483"/>
      <c r="AV1874" s="1482"/>
      <c r="AW1874" s="38"/>
      <c r="AX1874" s="1482"/>
      <c r="AY1874" s="38"/>
      <c r="AZ1874" s="1482"/>
      <c r="BA1874" s="1483"/>
      <c r="BB1874" s="1482"/>
      <c r="BC1874" s="1483"/>
      <c r="BD1874" s="1482"/>
      <c r="BE1874" s="38"/>
      <c r="BF1874" s="1474"/>
      <c r="BG1874" s="115"/>
      <c r="BH1874" s="115"/>
      <c r="BI1874" s="115"/>
      <c r="BJ1874" s="115"/>
      <c r="BK1874" s="115"/>
      <c r="BL1874" s="115"/>
      <c r="BM1874" s="115"/>
      <c r="BN1874" s="115"/>
      <c r="BO1874" s="115"/>
      <c r="BP1874" s="115"/>
      <c r="BQ1874" s="115"/>
      <c r="BR1874" s="115"/>
      <c r="BS1874" s="115"/>
      <c r="BT1874" s="115"/>
      <c r="BU1874" s="115"/>
      <c r="BV1874" s="115"/>
      <c r="BW1874" s="115"/>
      <c r="BX1874" s="115"/>
      <c r="BY1874" s="115"/>
      <c r="BZ1874" s="115"/>
      <c r="CA1874" s="115"/>
      <c r="CB1874" s="115"/>
      <c r="CC1874" s="115"/>
      <c r="CD1874" s="115"/>
      <c r="CE1874" s="115"/>
      <c r="CF1874" s="115"/>
      <c r="CG1874" s="115"/>
      <c r="CH1874" s="115"/>
      <c r="CI1874" s="115"/>
      <c r="CJ1874" s="115"/>
      <c r="CK1874" s="115"/>
      <c r="CL1874" s="115"/>
      <c r="CM1874" s="115"/>
      <c r="CN1874" s="115"/>
      <c r="CO1874" s="115"/>
      <c r="CP1874" s="115"/>
    </row>
    <row r="1875" ht="15.75" customHeight="1">
      <c r="A1875" s="860" t="s">
        <v>8632</v>
      </c>
      <c r="B1875" s="115"/>
      <c r="C1875" s="116" t="s">
        <v>84</v>
      </c>
      <c r="D1875" s="192" t="s">
        <v>8633</v>
      </c>
      <c r="E1875" s="192" t="s">
        <v>8634</v>
      </c>
      <c r="F1875" s="118" t="s">
        <v>8635</v>
      </c>
      <c r="G1875" s="54"/>
      <c r="H1875" s="119" t="s">
        <v>401</v>
      </c>
      <c r="I1875" s="25" t="s">
        <v>65</v>
      </c>
      <c r="J1875" s="120"/>
      <c r="K1875" s="123"/>
      <c r="L1875" s="25">
        <v>2016.0</v>
      </c>
      <c r="M1875" s="25">
        <f t="shared" si="789"/>
        <v>9</v>
      </c>
      <c r="N1875" s="26">
        <f t="shared" si="790"/>
        <v>0</v>
      </c>
      <c r="O1875" s="27" t="str">
        <f t="shared" si="3"/>
        <v>#N/A</v>
      </c>
      <c r="P1875" s="356"/>
      <c r="Q1875" s="356"/>
      <c r="R1875" s="356"/>
      <c r="S1875" s="356"/>
      <c r="T1875" s="356"/>
      <c r="U1875" s="356"/>
      <c r="V1875" s="30">
        <f t="shared" si="425"/>
        <v>0</v>
      </c>
      <c r="W1875" s="30"/>
      <c r="X1875" s="403"/>
      <c r="Y1875" s="33" t="str">
        <f t="shared" si="792"/>
        <v>#DIV/0!</v>
      </c>
      <c r="Z1875" s="692"/>
      <c r="AA1875" s="665"/>
      <c r="AB1875" s="123"/>
      <c r="AC1875" s="123"/>
      <c r="AD1875" s="124"/>
      <c r="AE1875" s="125"/>
      <c r="AF1875" s="166"/>
      <c r="AG1875" s="125"/>
      <c r="AH1875" s="881"/>
      <c r="AI1875" s="759"/>
      <c r="AJ1875" s="124"/>
      <c r="AK1875" s="125"/>
      <c r="AL1875" s="169"/>
      <c r="AM1875" s="127"/>
      <c r="AN1875" s="124"/>
      <c r="AO1875" s="127"/>
      <c r="AP1875" s="124"/>
      <c r="AQ1875" s="125"/>
      <c r="AR1875" s="124"/>
      <c r="AS1875" s="124"/>
      <c r="AT1875" s="124"/>
      <c r="AU1875" s="137"/>
      <c r="AV1875" s="124"/>
      <c r="AW1875" s="38"/>
      <c r="AX1875" s="124"/>
      <c r="AY1875" s="38"/>
      <c r="AZ1875" s="124"/>
      <c r="BA1875" s="137"/>
      <c r="BB1875" s="124"/>
      <c r="BC1875" s="137"/>
      <c r="BD1875" s="124"/>
      <c r="BE1875" s="38"/>
      <c r="BF1875" s="123"/>
      <c r="BG1875" s="115"/>
      <c r="BH1875" s="115"/>
      <c r="BI1875" s="115"/>
      <c r="BJ1875" s="115"/>
      <c r="BK1875" s="115"/>
      <c r="BL1875" s="115"/>
      <c r="BM1875" s="115"/>
      <c r="BN1875" s="115"/>
      <c r="BO1875" s="115"/>
      <c r="BP1875" s="115"/>
      <c r="BQ1875" s="115"/>
      <c r="BR1875" s="115"/>
      <c r="BS1875" s="115"/>
      <c r="BT1875" s="115"/>
      <c r="BU1875" s="115"/>
      <c r="BV1875" s="115"/>
      <c r="BW1875" s="115"/>
      <c r="BX1875" s="115"/>
      <c r="BY1875" s="115"/>
      <c r="BZ1875" s="115"/>
      <c r="CA1875" s="115"/>
      <c r="CB1875" s="115"/>
      <c r="CC1875" s="115"/>
      <c r="CD1875" s="115"/>
      <c r="CE1875" s="115"/>
      <c r="CF1875" s="115"/>
      <c r="CG1875" s="115"/>
      <c r="CH1875" s="115"/>
      <c r="CI1875" s="115"/>
      <c r="CJ1875" s="115"/>
      <c r="CK1875" s="115"/>
      <c r="CL1875" s="115"/>
      <c r="CM1875" s="115"/>
      <c r="CN1875" s="115"/>
      <c r="CO1875" s="115"/>
      <c r="CP1875" s="115"/>
    </row>
    <row r="1876" ht="15.75" customHeight="1">
      <c r="A1876" s="400" t="s">
        <v>8636</v>
      </c>
      <c r="B1876" s="115"/>
      <c r="C1876" s="116" t="s">
        <v>132</v>
      </c>
      <c r="D1876" s="449"/>
      <c r="E1876" s="192" t="s">
        <v>8637</v>
      </c>
      <c r="F1876" s="402" t="s">
        <v>8638</v>
      </c>
      <c r="G1876" s="286"/>
      <c r="H1876" s="286" t="s">
        <v>187</v>
      </c>
      <c r="I1876" s="123" t="s">
        <v>1171</v>
      </c>
      <c r="J1876" s="287"/>
      <c r="K1876" s="123"/>
      <c r="L1876" s="712">
        <v>1995.0</v>
      </c>
      <c r="M1876" s="25">
        <f t="shared" si="789"/>
        <v>30</v>
      </c>
      <c r="N1876" s="26">
        <f t="shared" si="790"/>
        <v>0</v>
      </c>
      <c r="O1876" s="27" t="str">
        <f t="shared" si="3"/>
        <v>#N/A</v>
      </c>
      <c r="P1876" s="55"/>
      <c r="Q1876" s="55"/>
      <c r="R1876" s="55"/>
      <c r="S1876" s="55"/>
      <c r="T1876" s="55"/>
      <c r="U1876" s="55"/>
      <c r="V1876" s="30">
        <f t="shared" si="425"/>
        <v>0</v>
      </c>
      <c r="W1876" s="30"/>
      <c r="X1876" s="403"/>
      <c r="Y1876" s="33" t="str">
        <f t="shared" si="792"/>
        <v>#DIV/0!</v>
      </c>
      <c r="Z1876" s="692"/>
      <c r="AA1876" s="665"/>
      <c r="AB1876" s="123"/>
      <c r="AC1876" s="123"/>
      <c r="AD1876" s="124"/>
      <c r="AE1876" s="125"/>
      <c r="AF1876" s="166"/>
      <c r="AG1876" s="125"/>
      <c r="AH1876" s="123"/>
      <c r="AI1876" s="128"/>
      <c r="AJ1876" s="124"/>
      <c r="AK1876" s="125"/>
      <c r="AL1876" s="124"/>
      <c r="AM1876" s="125"/>
      <c r="AN1876" s="124"/>
      <c r="AO1876" s="125"/>
      <c r="AP1876" s="124"/>
      <c r="AQ1876" s="125"/>
      <c r="AR1876" s="124"/>
      <c r="AS1876" s="124"/>
      <c r="AT1876" s="124"/>
      <c r="AU1876" s="137"/>
      <c r="AV1876" s="124"/>
      <c r="AW1876" s="38"/>
      <c r="AX1876" s="124"/>
      <c r="AY1876" s="38"/>
      <c r="AZ1876" s="124"/>
      <c r="BA1876" s="137"/>
      <c r="BB1876" s="124"/>
      <c r="BC1876" s="137"/>
      <c r="BD1876" s="124"/>
      <c r="BE1876" s="38"/>
      <c r="BF1876" s="123"/>
      <c r="BG1876" s="115"/>
      <c r="BH1876" s="115"/>
      <c r="BI1876" s="115"/>
      <c r="BJ1876" s="115"/>
      <c r="BK1876" s="115"/>
      <c r="BL1876" s="115"/>
      <c r="BM1876" s="115"/>
      <c r="BN1876" s="115"/>
      <c r="BO1876" s="115"/>
      <c r="BP1876" s="115"/>
      <c r="BQ1876" s="115"/>
      <c r="BR1876" s="115"/>
      <c r="BS1876" s="115"/>
      <c r="BT1876" s="115"/>
      <c r="BU1876" s="115"/>
      <c r="BV1876" s="115"/>
      <c r="BW1876" s="115"/>
      <c r="BX1876" s="115"/>
      <c r="BY1876" s="115"/>
      <c r="BZ1876" s="115"/>
      <c r="CA1876" s="115"/>
      <c r="CB1876" s="115"/>
      <c r="CC1876" s="115"/>
      <c r="CD1876" s="115"/>
      <c r="CE1876" s="115"/>
      <c r="CF1876" s="115"/>
      <c r="CG1876" s="115"/>
      <c r="CH1876" s="115"/>
      <c r="CI1876" s="115"/>
      <c r="CJ1876" s="115"/>
      <c r="CK1876" s="115"/>
      <c r="CL1876" s="115"/>
      <c r="CM1876" s="115"/>
      <c r="CN1876" s="115"/>
      <c r="CO1876" s="115"/>
      <c r="CP1876" s="115"/>
    </row>
    <row r="1877" ht="15.75" customHeight="1">
      <c r="A1877" s="860" t="s">
        <v>8639</v>
      </c>
      <c r="B1877" s="115"/>
      <c r="C1877" s="116" t="s">
        <v>59</v>
      </c>
      <c r="D1877" s="162"/>
      <c r="E1877" s="192" t="s">
        <v>8640</v>
      </c>
      <c r="F1877" s="389" t="s">
        <v>8641</v>
      </c>
      <c r="G1877" s="119"/>
      <c r="H1877" s="119" t="s">
        <v>8642</v>
      </c>
      <c r="I1877" s="25" t="s">
        <v>8643</v>
      </c>
      <c r="J1877" s="287"/>
      <c r="K1877" s="25"/>
      <c r="L1877" s="25">
        <v>2008.0</v>
      </c>
      <c r="M1877" s="25">
        <f t="shared" si="789"/>
        <v>17</v>
      </c>
      <c r="N1877" s="26">
        <f t="shared" si="790"/>
        <v>0</v>
      </c>
      <c r="O1877" s="27" t="str">
        <f t="shared" si="3"/>
        <v>#N/A</v>
      </c>
      <c r="P1877" s="55"/>
      <c r="Q1877" s="55"/>
      <c r="R1877" s="55"/>
      <c r="S1877" s="55"/>
      <c r="T1877" s="55"/>
      <c r="U1877" s="55"/>
      <c r="V1877" s="30">
        <f t="shared" si="425"/>
        <v>0</v>
      </c>
      <c r="W1877" s="30"/>
      <c r="X1877" s="597"/>
      <c r="Y1877" s="33" t="str">
        <f t="shared" si="792"/>
        <v>#DIV/0!</v>
      </c>
      <c r="Z1877" s="692"/>
      <c r="AA1877" s="665"/>
      <c r="AB1877" s="123"/>
      <c r="AC1877" s="123"/>
      <c r="AD1877" s="124"/>
      <c r="AE1877" s="125"/>
      <c r="AF1877" s="721"/>
      <c r="AG1877" s="127"/>
      <c r="AH1877" s="123"/>
      <c r="AI1877" s="128"/>
      <c r="AJ1877" s="195"/>
      <c r="AK1877" s="730"/>
      <c r="AL1877" s="195"/>
      <c r="AM1877" s="730"/>
      <c r="AN1877" s="195"/>
      <c r="AO1877" s="730"/>
      <c r="AP1877" s="195"/>
      <c r="AQ1877" s="730"/>
      <c r="AR1877" s="195"/>
      <c r="AS1877" s="197"/>
      <c r="AT1877" s="124"/>
      <c r="AU1877" s="137"/>
      <c r="AV1877" s="124"/>
      <c r="AW1877" s="38"/>
      <c r="AX1877" s="124"/>
      <c r="AY1877" s="38"/>
      <c r="AZ1877" s="124"/>
      <c r="BA1877" s="137"/>
      <c r="BB1877" s="124"/>
      <c r="BC1877" s="137"/>
      <c r="BD1877" s="124"/>
      <c r="BE1877" s="38"/>
      <c r="BF1877" s="123"/>
      <c r="BG1877" s="115"/>
      <c r="BH1877" s="115"/>
      <c r="BI1877" s="115"/>
      <c r="BJ1877" s="115"/>
      <c r="BK1877" s="115"/>
      <c r="BL1877" s="115"/>
      <c r="BM1877" s="115"/>
      <c r="BN1877" s="115"/>
      <c r="BO1877" s="115"/>
      <c r="BP1877" s="115"/>
      <c r="BQ1877" s="115"/>
      <c r="BR1877" s="115"/>
      <c r="BS1877" s="115"/>
      <c r="BT1877" s="115"/>
      <c r="BU1877" s="115"/>
      <c r="BV1877" s="115"/>
      <c r="BW1877" s="115"/>
      <c r="BX1877" s="115"/>
      <c r="BY1877" s="115"/>
      <c r="BZ1877" s="115"/>
      <c r="CA1877" s="115"/>
      <c r="CB1877" s="115"/>
      <c r="CC1877" s="115"/>
      <c r="CD1877" s="115"/>
      <c r="CE1877" s="115"/>
      <c r="CF1877" s="115"/>
      <c r="CG1877" s="115"/>
      <c r="CH1877" s="115"/>
      <c r="CI1877" s="115"/>
      <c r="CJ1877" s="115"/>
      <c r="CK1877" s="115"/>
      <c r="CL1877" s="115"/>
      <c r="CM1877" s="115"/>
      <c r="CN1877" s="115"/>
      <c r="CO1877" s="115"/>
      <c r="CP1877" s="115"/>
    </row>
    <row r="1878" ht="15.75" customHeight="1">
      <c r="A1878" s="1737" t="s">
        <v>8644</v>
      </c>
      <c r="B1878" s="1762" t="s">
        <v>8645</v>
      </c>
      <c r="C1878" s="1762" t="s">
        <v>132</v>
      </c>
      <c r="D1878" s="1892" t="s">
        <v>4781</v>
      </c>
      <c r="E1878" s="1763" t="s">
        <v>4781</v>
      </c>
      <c r="F1878" s="1742" t="s">
        <v>8646</v>
      </c>
      <c r="G1878" s="1807" t="s">
        <v>8647</v>
      </c>
      <c r="H1878" s="1744" t="s">
        <v>8648</v>
      </c>
      <c r="I1878" s="1739" t="s">
        <v>651</v>
      </c>
      <c r="J1878" s="1808" t="s">
        <v>8649</v>
      </c>
      <c r="K1878" s="1739"/>
      <c r="L1878" s="1739"/>
      <c r="M1878" s="25">
        <f t="shared" si="789"/>
        <v>2025</v>
      </c>
      <c r="N1878" s="26">
        <f t="shared" si="790"/>
        <v>0</v>
      </c>
      <c r="O1878" s="27" t="str">
        <f t="shared" si="3"/>
        <v>#N/A</v>
      </c>
      <c r="P1878" s="1876"/>
      <c r="Q1878" s="1876"/>
      <c r="R1878" s="1876"/>
      <c r="S1878" s="1876"/>
      <c r="T1878" s="1876"/>
      <c r="U1878" s="1876"/>
      <c r="V1878" s="30">
        <f t="shared" si="425"/>
        <v>0</v>
      </c>
      <c r="W1878" s="30"/>
      <c r="X1878" s="1812"/>
      <c r="Y1878" s="33" t="str">
        <f t="shared" si="792"/>
        <v>#DIV/0!</v>
      </c>
      <c r="Z1878" s="692"/>
      <c r="AA1878" s="665"/>
      <c r="AB1878" s="1738"/>
      <c r="AC1878" s="1738"/>
      <c r="AD1878" s="1747"/>
      <c r="AE1878" s="1748"/>
      <c r="AF1878" s="1813"/>
      <c r="AG1878" s="1766"/>
      <c r="AH1878" s="1738"/>
      <c r="AI1878" s="1750"/>
      <c r="AJ1878" s="1893"/>
      <c r="AK1878" s="1894"/>
      <c r="AL1878" s="1893"/>
      <c r="AM1878" s="1894"/>
      <c r="AN1878" s="1893"/>
      <c r="AO1878" s="1894"/>
      <c r="AP1878" s="1893"/>
      <c r="AQ1878" s="1894"/>
      <c r="AR1878" s="1893"/>
      <c r="AS1878" s="1895"/>
      <c r="AT1878" s="1747"/>
      <c r="AU1878" s="1751"/>
      <c r="AV1878" s="1747"/>
      <c r="AW1878" s="38"/>
      <c r="AX1878" s="1747"/>
      <c r="AY1878" s="38"/>
      <c r="AZ1878" s="1747"/>
      <c r="BA1878" s="1751"/>
      <c r="BB1878" s="1747"/>
      <c r="BC1878" s="1751"/>
      <c r="BD1878" s="1747"/>
      <c r="BE1878" s="38"/>
      <c r="BF1878" s="1738"/>
      <c r="BG1878" s="115"/>
      <c r="BH1878" s="115"/>
      <c r="BI1878" s="115"/>
      <c r="BJ1878" s="115"/>
      <c r="BK1878" s="115"/>
      <c r="BL1878" s="115"/>
      <c r="BM1878" s="115"/>
      <c r="BN1878" s="115"/>
      <c r="BO1878" s="115"/>
      <c r="BP1878" s="115"/>
      <c r="BQ1878" s="115"/>
      <c r="BR1878" s="115"/>
      <c r="BS1878" s="115"/>
      <c r="BT1878" s="115"/>
      <c r="BU1878" s="115"/>
      <c r="BV1878" s="115"/>
      <c r="BW1878" s="115"/>
      <c r="BX1878" s="115"/>
      <c r="BY1878" s="115"/>
      <c r="BZ1878" s="115"/>
      <c r="CA1878" s="115"/>
      <c r="CB1878" s="115"/>
      <c r="CC1878" s="115"/>
      <c r="CD1878" s="115"/>
      <c r="CE1878" s="115"/>
      <c r="CF1878" s="115"/>
      <c r="CG1878" s="115"/>
      <c r="CH1878" s="115"/>
      <c r="CI1878" s="115"/>
      <c r="CJ1878" s="115"/>
      <c r="CK1878" s="115"/>
      <c r="CL1878" s="115"/>
      <c r="CM1878" s="115"/>
      <c r="CN1878" s="115"/>
      <c r="CO1878" s="115"/>
      <c r="CP1878" s="115"/>
    </row>
    <row r="1879" ht="15.75" customHeight="1">
      <c r="A1879" s="860" t="s">
        <v>8650</v>
      </c>
      <c r="B1879" s="69" t="s">
        <v>8651</v>
      </c>
      <c r="C1879" s="69" t="s">
        <v>59</v>
      </c>
      <c r="D1879" s="192" t="s">
        <v>8652</v>
      </c>
      <c r="E1879" s="192" t="s">
        <v>8653</v>
      </c>
      <c r="F1879" s="1487" t="s">
        <v>8654</v>
      </c>
      <c r="G1879" s="71"/>
      <c r="H1879" s="71" t="s">
        <v>8655</v>
      </c>
      <c r="I1879" s="26" t="s">
        <v>65</v>
      </c>
      <c r="J1879" s="72"/>
      <c r="K1879" s="26"/>
      <c r="L1879" s="26">
        <v>2013.0</v>
      </c>
      <c r="M1879" s="25">
        <f t="shared" si="789"/>
        <v>12</v>
      </c>
      <c r="N1879" s="26">
        <f t="shared" si="790"/>
        <v>0</v>
      </c>
      <c r="O1879" s="27" t="str">
        <f t="shared" si="3"/>
        <v>#N/A</v>
      </c>
      <c r="P1879" s="273"/>
      <c r="Q1879" s="273"/>
      <c r="R1879" s="273"/>
      <c r="S1879" s="273"/>
      <c r="T1879" s="273"/>
      <c r="U1879" s="273"/>
      <c r="V1879" s="30">
        <f t="shared" si="425"/>
        <v>0</v>
      </c>
      <c r="W1879" s="30"/>
      <c r="X1879" s="73"/>
      <c r="Y1879" s="33" t="str">
        <f t="shared" si="792"/>
        <v>#DIV/0!</v>
      </c>
      <c r="Z1879" s="692"/>
      <c r="AA1879" s="665"/>
      <c r="AB1879" s="74"/>
      <c r="AC1879" s="74"/>
      <c r="AD1879" s="79"/>
      <c r="AE1879" s="84"/>
      <c r="AF1879" s="338"/>
      <c r="AG1879" s="84"/>
      <c r="AH1879" s="74"/>
      <c r="AI1879" s="78"/>
      <c r="AJ1879" s="279"/>
      <c r="AK1879" s="76"/>
      <c r="AL1879" s="279"/>
      <c r="AM1879" s="76"/>
      <c r="AN1879" s="279"/>
      <c r="AO1879" s="76"/>
      <c r="AP1879" s="279"/>
      <c r="AQ1879" s="76"/>
      <c r="AR1879" s="79"/>
      <c r="AS1879" s="79"/>
      <c r="AT1879" s="79"/>
      <c r="AU1879" s="80"/>
      <c r="AV1879" s="79"/>
      <c r="AW1879" s="38"/>
      <c r="AX1879" s="79"/>
      <c r="AY1879" s="38"/>
      <c r="AZ1879" s="79"/>
      <c r="BA1879" s="80"/>
      <c r="BB1879" s="79"/>
      <c r="BC1879" s="80"/>
      <c r="BD1879" s="79"/>
      <c r="BE1879" s="38"/>
      <c r="BF1879" s="74"/>
      <c r="BG1879" s="509"/>
      <c r="BH1879" s="115"/>
      <c r="BI1879" s="115"/>
      <c r="BJ1879" s="1896"/>
      <c r="BK1879" s="1891"/>
      <c r="BL1879" s="1491"/>
      <c r="BM1879" s="115"/>
      <c r="BN1879" s="115"/>
      <c r="BO1879" s="1771"/>
      <c r="BP1879" s="115"/>
      <c r="BQ1879" s="115"/>
      <c r="BR1879" s="115"/>
      <c r="BS1879" s="115"/>
      <c r="BT1879" s="115"/>
      <c r="BU1879" s="115"/>
      <c r="BV1879" s="1897"/>
      <c r="BW1879" s="115"/>
      <c r="BX1879" s="115"/>
      <c r="BY1879" s="115"/>
      <c r="BZ1879" s="115"/>
      <c r="CA1879" s="1898"/>
      <c r="CB1879" s="115"/>
      <c r="CC1879" s="1898"/>
      <c r="CD1879" s="115"/>
      <c r="CE1879" s="1898"/>
      <c r="CF1879" s="1899"/>
      <c r="CG1879" s="1900"/>
      <c r="CH1879" s="115"/>
      <c r="CI1879" s="115"/>
      <c r="CJ1879" s="115"/>
      <c r="CK1879" s="115"/>
      <c r="CL1879" s="115"/>
      <c r="CM1879" s="115"/>
      <c r="CN1879" s="115"/>
      <c r="CO1879" s="115"/>
      <c r="CP1879" s="115"/>
    </row>
    <row r="1880" ht="15.75" customHeight="1">
      <c r="A1880" s="666" t="s">
        <v>8656</v>
      </c>
      <c r="B1880" s="115" t="s">
        <v>8657</v>
      </c>
      <c r="C1880" s="115" t="s">
        <v>207</v>
      </c>
      <c r="D1880" s="449"/>
      <c r="E1880" s="540" t="s">
        <v>8658</v>
      </c>
      <c r="F1880" s="668" t="s">
        <v>8659</v>
      </c>
      <c r="G1880" s="286" t="s">
        <v>8660</v>
      </c>
      <c r="H1880" s="286" t="s">
        <v>187</v>
      </c>
      <c r="I1880" s="123" t="s">
        <v>1171</v>
      </c>
      <c r="J1880" s="287">
        <v>60654.0</v>
      </c>
      <c r="K1880" s="123" t="s">
        <v>723</v>
      </c>
      <c r="L1880" s="25">
        <v>1990.0</v>
      </c>
      <c r="M1880" s="25">
        <f t="shared" si="789"/>
        <v>35</v>
      </c>
      <c r="N1880" s="26">
        <f t="shared" si="790"/>
        <v>0</v>
      </c>
      <c r="O1880" s="27" t="str">
        <f t="shared" si="3"/>
        <v>#N/A</v>
      </c>
      <c r="P1880" s="55"/>
      <c r="Q1880" s="55"/>
      <c r="R1880" s="55"/>
      <c r="S1880" s="55"/>
      <c r="T1880" s="55"/>
      <c r="U1880" s="55"/>
      <c r="V1880" s="30">
        <f t="shared" si="425"/>
        <v>0</v>
      </c>
      <c r="W1880" s="30"/>
      <c r="X1880" s="403"/>
      <c r="Y1880" s="33" t="str">
        <f t="shared" si="792"/>
        <v>#DIV/0!</v>
      </c>
      <c r="Z1880" s="692"/>
      <c r="AA1880" s="665"/>
      <c r="AB1880" s="123"/>
      <c r="AC1880" s="123"/>
      <c r="AD1880" s="124"/>
      <c r="AE1880" s="125"/>
      <c r="AF1880" s="166"/>
      <c r="AG1880" s="125"/>
      <c r="AH1880" s="123"/>
      <c r="AI1880" s="128"/>
      <c r="AJ1880" s="124"/>
      <c r="AK1880" s="125"/>
      <c r="AL1880" s="124"/>
      <c r="AM1880" s="125"/>
      <c r="AN1880" s="124"/>
      <c r="AO1880" s="125"/>
      <c r="AP1880" s="124"/>
      <c r="AQ1880" s="125"/>
      <c r="AR1880" s="124"/>
      <c r="AS1880" s="124"/>
      <c r="AT1880" s="124"/>
      <c r="AU1880" s="137"/>
      <c r="AV1880" s="124"/>
      <c r="AW1880" s="38"/>
      <c r="AX1880" s="124"/>
      <c r="AY1880" s="38"/>
      <c r="AZ1880" s="124"/>
      <c r="BA1880" s="137"/>
      <c r="BB1880" s="124"/>
      <c r="BC1880" s="137"/>
      <c r="BD1880" s="124"/>
      <c r="BE1880" s="38"/>
      <c r="BF1880" s="123"/>
      <c r="BG1880" s="115"/>
      <c r="BH1880" s="115"/>
      <c r="BI1880" s="115"/>
      <c r="BJ1880" s="115"/>
      <c r="BK1880" s="115"/>
      <c r="BL1880" s="115"/>
      <c r="BM1880" s="115"/>
      <c r="BN1880" s="115"/>
      <c r="BO1880" s="115"/>
      <c r="BP1880" s="115"/>
      <c r="BQ1880" s="115"/>
      <c r="BR1880" s="115"/>
      <c r="BS1880" s="115"/>
      <c r="BT1880" s="115"/>
      <c r="BU1880" s="115"/>
      <c r="BV1880" s="115"/>
      <c r="BW1880" s="115"/>
      <c r="BX1880" s="115"/>
      <c r="BY1880" s="115"/>
      <c r="BZ1880" s="115"/>
      <c r="CA1880" s="115"/>
      <c r="CB1880" s="115"/>
      <c r="CC1880" s="115"/>
      <c r="CD1880" s="115"/>
      <c r="CE1880" s="115"/>
      <c r="CF1880" s="115"/>
      <c r="CG1880" s="115"/>
      <c r="CH1880" s="115"/>
      <c r="CI1880" s="115"/>
      <c r="CJ1880" s="115"/>
      <c r="CK1880" s="115"/>
      <c r="CL1880" s="115"/>
      <c r="CM1880" s="115"/>
      <c r="CN1880" s="115"/>
      <c r="CO1880" s="115"/>
      <c r="CP1880" s="115"/>
    </row>
    <row r="1881" ht="15.75" customHeight="1">
      <c r="A1881" s="931" t="s">
        <v>8661</v>
      </c>
      <c r="B1881" s="116"/>
      <c r="C1881" s="116" t="s">
        <v>132</v>
      </c>
      <c r="D1881" s="192" t="s">
        <v>8662</v>
      </c>
      <c r="E1881" s="192" t="s">
        <v>8663</v>
      </c>
      <c r="F1881" s="118" t="s">
        <v>8664</v>
      </c>
      <c r="G1881" s="604"/>
      <c r="H1881" s="119"/>
      <c r="I1881" s="25"/>
      <c r="J1881" s="120"/>
      <c r="K1881" s="25"/>
      <c r="L1881" s="25">
        <v>2016.0</v>
      </c>
      <c r="M1881" s="25">
        <f t="shared" si="789"/>
        <v>9</v>
      </c>
      <c r="N1881" s="26">
        <f t="shared" si="790"/>
        <v>0</v>
      </c>
      <c r="O1881" s="27" t="str">
        <f t="shared" si="3"/>
        <v>#N/A</v>
      </c>
      <c r="P1881" s="55"/>
      <c r="Q1881" s="55"/>
      <c r="R1881" s="55"/>
      <c r="S1881" s="55"/>
      <c r="T1881" s="55"/>
      <c r="U1881" s="55"/>
      <c r="V1881" s="30">
        <f t="shared" si="425"/>
        <v>0</v>
      </c>
      <c r="W1881" s="30"/>
      <c r="X1881" s="597"/>
      <c r="Y1881" s="33" t="str">
        <f t="shared" si="792"/>
        <v>#DIV/0!</v>
      </c>
      <c r="Z1881" s="692"/>
      <c r="AA1881" s="665"/>
      <c r="AB1881" s="123"/>
      <c r="AC1881" s="123"/>
      <c r="AD1881" s="124"/>
      <c r="AE1881" s="125"/>
      <c r="AF1881" s="166"/>
      <c r="AG1881" s="127"/>
      <c r="AH1881" s="1901"/>
      <c r="AI1881" s="1453"/>
      <c r="AJ1881" s="124"/>
      <c r="AK1881" s="125"/>
      <c r="AL1881" s="124"/>
      <c r="AM1881" s="125"/>
      <c r="AN1881" s="124"/>
      <c r="AO1881" s="125"/>
      <c r="AP1881" s="124"/>
      <c r="AQ1881" s="125"/>
      <c r="AR1881" s="124"/>
      <c r="AS1881" s="124"/>
      <c r="AT1881" s="124"/>
      <c r="AU1881" s="137"/>
      <c r="AV1881" s="124"/>
      <c r="AW1881" s="38"/>
      <c r="AX1881" s="124"/>
      <c r="AY1881" s="38"/>
      <c r="AZ1881" s="124"/>
      <c r="BA1881" s="137"/>
      <c r="BB1881" s="124"/>
      <c r="BC1881" s="137"/>
      <c r="BD1881" s="124"/>
      <c r="BE1881" s="38"/>
      <c r="BF1881" s="123"/>
      <c r="BG1881" s="115"/>
      <c r="BH1881" s="115"/>
      <c r="BI1881" s="115"/>
      <c r="BJ1881" s="115"/>
      <c r="BK1881" s="115"/>
      <c r="BL1881" s="115"/>
      <c r="BM1881" s="115"/>
      <c r="BN1881" s="115"/>
      <c r="BO1881" s="115"/>
      <c r="BP1881" s="115"/>
      <c r="BQ1881" s="115"/>
      <c r="BR1881" s="115"/>
      <c r="BS1881" s="115"/>
      <c r="BT1881" s="115"/>
      <c r="BU1881" s="115"/>
      <c r="BV1881" s="115"/>
      <c r="BW1881" s="115"/>
      <c r="BX1881" s="115"/>
      <c r="BY1881" s="115"/>
      <c r="BZ1881" s="115"/>
      <c r="CA1881" s="115"/>
      <c r="CB1881" s="115"/>
      <c r="CC1881" s="115"/>
      <c r="CD1881" s="115"/>
      <c r="CE1881" s="115"/>
      <c r="CF1881" s="115"/>
      <c r="CG1881" s="115"/>
      <c r="CH1881" s="115"/>
      <c r="CI1881" s="115"/>
      <c r="CJ1881" s="115"/>
      <c r="CK1881" s="115"/>
      <c r="CL1881" s="115"/>
      <c r="CM1881" s="115"/>
      <c r="CN1881" s="115"/>
      <c r="CO1881" s="115"/>
      <c r="CP1881" s="115"/>
    </row>
    <row r="1882" ht="15.75" customHeight="1">
      <c r="A1882" s="931" t="s">
        <v>8665</v>
      </c>
      <c r="B1882" s="69"/>
      <c r="C1882" s="69" t="s">
        <v>132</v>
      </c>
      <c r="D1882" s="192" t="s">
        <v>8666</v>
      </c>
      <c r="E1882" s="192" t="s">
        <v>8667</v>
      </c>
      <c r="F1882" s="118" t="s">
        <v>8668</v>
      </c>
      <c r="G1882" s="54"/>
      <c r="H1882" s="71" t="s">
        <v>1472</v>
      </c>
      <c r="I1882" s="26" t="s">
        <v>639</v>
      </c>
      <c r="J1882" s="155"/>
      <c r="K1882" s="26"/>
      <c r="L1882" s="26">
        <v>2011.0</v>
      </c>
      <c r="M1882" s="25">
        <f t="shared" si="789"/>
        <v>14</v>
      </c>
      <c r="N1882" s="26">
        <f t="shared" si="790"/>
        <v>0</v>
      </c>
      <c r="O1882" s="27" t="str">
        <f t="shared" si="3"/>
        <v>#N/A</v>
      </c>
      <c r="P1882" s="273"/>
      <c r="Q1882" s="273"/>
      <c r="R1882" s="273"/>
      <c r="S1882" s="273"/>
      <c r="T1882" s="273"/>
      <c r="U1882" s="273"/>
      <c r="V1882" s="30">
        <f t="shared" si="425"/>
        <v>0</v>
      </c>
      <c r="W1882" s="30"/>
      <c r="X1882" s="73"/>
      <c r="Y1882" s="33" t="str">
        <f t="shared" si="792"/>
        <v>#DIV/0!</v>
      </c>
      <c r="Z1882" s="692"/>
      <c r="AA1882" s="665"/>
      <c r="AB1882" s="74"/>
      <c r="AC1882" s="74"/>
      <c r="AD1882" s="79"/>
      <c r="AE1882" s="84"/>
      <c r="AF1882" s="338"/>
      <c r="AG1882" s="84"/>
      <c r="AH1882" s="74"/>
      <c r="AI1882" s="78"/>
      <c r="AJ1882" s="279"/>
      <c r="AK1882" s="76"/>
      <c r="AL1882" s="79"/>
      <c r="AM1882" s="84"/>
      <c r="AN1882" s="79"/>
      <c r="AO1882" s="84"/>
      <c r="AP1882" s="79"/>
      <c r="AQ1882" s="84"/>
      <c r="AR1882" s="79"/>
      <c r="AS1882" s="79"/>
      <c r="AT1882" s="79"/>
      <c r="AU1882" s="80"/>
      <c r="AV1882" s="79"/>
      <c r="AW1882" s="38"/>
      <c r="AX1882" s="79"/>
      <c r="AY1882" s="38"/>
      <c r="AZ1882" s="79"/>
      <c r="BA1882" s="80"/>
      <c r="BB1882" s="79"/>
      <c r="BC1882" s="80"/>
      <c r="BD1882" s="79"/>
      <c r="BE1882" s="38"/>
      <c r="BF1882" s="74"/>
      <c r="BG1882" s="115"/>
      <c r="BH1882" s="115"/>
      <c r="BI1882" s="115"/>
      <c r="BJ1882" s="115"/>
      <c r="BK1882" s="115"/>
      <c r="BL1882" s="115"/>
      <c r="BM1882" s="115"/>
      <c r="BN1882" s="115"/>
      <c r="BO1882" s="115"/>
      <c r="BP1882" s="115"/>
      <c r="BQ1882" s="115"/>
      <c r="BR1882" s="115"/>
      <c r="BS1882" s="115"/>
      <c r="BT1882" s="115"/>
      <c r="BU1882" s="115"/>
      <c r="BV1882" s="115"/>
      <c r="BW1882" s="115"/>
      <c r="BX1882" s="115"/>
      <c r="BY1882" s="115"/>
      <c r="BZ1882" s="115"/>
      <c r="CA1882" s="115"/>
      <c r="CB1882" s="115"/>
      <c r="CC1882" s="115"/>
      <c r="CD1882" s="115"/>
      <c r="CE1882" s="115"/>
      <c r="CF1882" s="115"/>
      <c r="CG1882" s="115"/>
      <c r="CH1882" s="115"/>
      <c r="CI1882" s="115"/>
      <c r="CJ1882" s="115"/>
      <c r="CK1882" s="115"/>
      <c r="CL1882" s="115"/>
      <c r="CM1882" s="115"/>
      <c r="CN1882" s="115"/>
      <c r="CO1882" s="115"/>
      <c r="CP1882" s="115"/>
    </row>
    <row r="1883" ht="15.75" customHeight="1">
      <c r="A1883" s="21" t="s">
        <v>8669</v>
      </c>
      <c r="B1883" s="68"/>
      <c r="C1883" s="69" t="s">
        <v>207</v>
      </c>
      <c r="D1883" s="192" t="s">
        <v>8670</v>
      </c>
      <c r="E1883" s="192" t="s">
        <v>8671</v>
      </c>
      <c r="F1883" s="271" t="s">
        <v>8672</v>
      </c>
      <c r="G1883" s="140"/>
      <c r="H1883" s="71" t="s">
        <v>8673</v>
      </c>
      <c r="I1883" s="71" t="s">
        <v>2954</v>
      </c>
      <c r="J1883" s="1517"/>
      <c r="K1883" s="26"/>
      <c r="L1883" s="26">
        <v>2017.0</v>
      </c>
      <c r="M1883" s="25">
        <f t="shared" si="789"/>
        <v>8</v>
      </c>
      <c r="N1883" s="26">
        <f t="shared" si="790"/>
        <v>0</v>
      </c>
      <c r="O1883" s="27" t="str">
        <f t="shared" si="3"/>
        <v>#N/A</v>
      </c>
      <c r="P1883" s="273"/>
      <c r="Q1883" s="273"/>
      <c r="R1883" s="273"/>
      <c r="S1883" s="273"/>
      <c r="T1883" s="273"/>
      <c r="U1883" s="273"/>
      <c r="V1883" s="30">
        <f t="shared" si="425"/>
        <v>0</v>
      </c>
      <c r="W1883" s="30"/>
      <c r="X1883" s="73"/>
      <c r="Y1883" s="33" t="str">
        <f t="shared" si="792"/>
        <v>#DIV/0!</v>
      </c>
      <c r="Z1883" s="692"/>
      <c r="AA1883" s="665"/>
      <c r="AB1883" s="74"/>
      <c r="AC1883" s="74"/>
      <c r="AD1883" s="79"/>
      <c r="AE1883" s="84"/>
      <c r="AF1883" s="338"/>
      <c r="AG1883" s="84"/>
      <c r="AH1883" s="74"/>
      <c r="AI1883" s="78"/>
      <c r="AJ1883" s="79"/>
      <c r="AK1883" s="84"/>
      <c r="AL1883" s="79"/>
      <c r="AM1883" s="84"/>
      <c r="AN1883" s="79"/>
      <c r="AO1883" s="84"/>
      <c r="AP1883" s="79"/>
      <c r="AQ1883" s="84"/>
      <c r="AR1883" s="79"/>
      <c r="AS1883" s="79"/>
      <c r="AT1883" s="79"/>
      <c r="AU1883" s="80"/>
      <c r="AV1883" s="79"/>
      <c r="AW1883" s="38"/>
      <c r="AX1883" s="79"/>
      <c r="AY1883" s="38"/>
      <c r="AZ1883" s="79"/>
      <c r="BA1883" s="80"/>
      <c r="BB1883" s="79"/>
      <c r="BC1883" s="80"/>
      <c r="BD1883" s="79"/>
      <c r="BE1883" s="38"/>
      <c r="BF1883" s="74"/>
      <c r="BG1883" s="115"/>
      <c r="BH1883" s="115"/>
      <c r="BI1883" s="115"/>
      <c r="BJ1883" s="115"/>
      <c r="BK1883" s="115"/>
      <c r="BL1883" s="115"/>
      <c r="BM1883" s="115"/>
      <c r="BN1883" s="115"/>
      <c r="BO1883" s="115"/>
      <c r="BP1883" s="115"/>
      <c r="BQ1883" s="115"/>
      <c r="BR1883" s="115"/>
      <c r="BS1883" s="115"/>
      <c r="BT1883" s="115"/>
      <c r="BU1883" s="115"/>
      <c r="BV1883" s="115"/>
      <c r="BW1883" s="115"/>
      <c r="BX1883" s="115"/>
      <c r="BY1883" s="115"/>
      <c r="BZ1883" s="115"/>
      <c r="CA1883" s="115"/>
      <c r="CB1883" s="115"/>
      <c r="CC1883" s="115"/>
      <c r="CD1883" s="115"/>
      <c r="CE1883" s="115"/>
      <c r="CF1883" s="115"/>
      <c r="CG1883" s="115"/>
      <c r="CH1883" s="115"/>
      <c r="CI1883" s="115"/>
      <c r="CJ1883" s="115"/>
      <c r="CK1883" s="115"/>
      <c r="CL1883" s="115"/>
      <c r="CM1883" s="115"/>
      <c r="CN1883" s="115"/>
      <c r="CO1883" s="115"/>
      <c r="CP1883" s="115"/>
    </row>
    <row r="1884" ht="15.75" customHeight="1">
      <c r="A1884" s="442" t="s">
        <v>8674</v>
      </c>
      <c r="B1884" s="68" t="s">
        <v>719</v>
      </c>
      <c r="C1884" s="69" t="s">
        <v>132</v>
      </c>
      <c r="D1884" s="200" t="s">
        <v>8675</v>
      </c>
      <c r="E1884" s="200" t="s">
        <v>8676</v>
      </c>
      <c r="F1884" s="271" t="s">
        <v>8677</v>
      </c>
      <c r="G1884" s="140" t="s">
        <v>8678</v>
      </c>
      <c r="H1884" s="140" t="s">
        <v>752</v>
      </c>
      <c r="I1884" s="140" t="s">
        <v>752</v>
      </c>
      <c r="J1884" s="1517" t="s">
        <v>8679</v>
      </c>
      <c r="K1884" s="26">
        <v>1.0</v>
      </c>
      <c r="L1884" s="26">
        <v>2008.0</v>
      </c>
      <c r="M1884" s="25">
        <f t="shared" si="789"/>
        <v>17</v>
      </c>
      <c r="N1884" s="26">
        <f t="shared" si="790"/>
        <v>0</v>
      </c>
      <c r="O1884" s="27" t="str">
        <f t="shared" si="3"/>
        <v>#N/A</v>
      </c>
      <c r="P1884" s="273"/>
      <c r="Q1884" s="273"/>
      <c r="R1884" s="273"/>
      <c r="S1884" s="273"/>
      <c r="T1884" s="273"/>
      <c r="U1884" s="273"/>
      <c r="V1884" s="30">
        <f t="shared" si="425"/>
        <v>0</v>
      </c>
      <c r="W1884" s="30"/>
      <c r="X1884" s="73"/>
      <c r="Y1884" s="33" t="str">
        <f t="shared" si="792"/>
        <v>#DIV/0!</v>
      </c>
      <c r="Z1884" s="692"/>
      <c r="AA1884" s="665"/>
      <c r="AB1884" s="74"/>
      <c r="AC1884" s="74"/>
      <c r="AD1884" s="79"/>
      <c r="AE1884" s="84"/>
      <c r="AF1884" s="338"/>
      <c r="AG1884" s="84"/>
      <c r="AH1884" s="74"/>
      <c r="AI1884" s="78"/>
      <c r="AJ1884" s="79"/>
      <c r="AK1884" s="84"/>
      <c r="AL1884" s="79"/>
      <c r="AM1884" s="84"/>
      <c r="AN1884" s="79"/>
      <c r="AO1884" s="84"/>
      <c r="AP1884" s="79"/>
      <c r="AQ1884" s="84"/>
      <c r="AR1884" s="79"/>
      <c r="AS1884" s="79"/>
      <c r="AT1884" s="79"/>
      <c r="AU1884" s="80"/>
      <c r="AV1884" s="79"/>
      <c r="AW1884" s="38"/>
      <c r="AX1884" s="79"/>
      <c r="AY1884" s="38"/>
      <c r="AZ1884" s="79"/>
      <c r="BA1884" s="80"/>
      <c r="BB1884" s="79"/>
      <c r="BC1884" s="80"/>
      <c r="BD1884" s="79"/>
      <c r="BE1884" s="38"/>
      <c r="BF1884" s="74"/>
      <c r="BG1884" s="115"/>
      <c r="BH1884" s="115"/>
      <c r="BI1884" s="115"/>
      <c r="BJ1884" s="115"/>
      <c r="BK1884" s="115"/>
      <c r="BL1884" s="115"/>
      <c r="BM1884" s="115"/>
      <c r="BN1884" s="115"/>
      <c r="BO1884" s="115"/>
      <c r="BP1884" s="115"/>
      <c r="BQ1884" s="115"/>
      <c r="BR1884" s="115"/>
      <c r="BS1884" s="115"/>
      <c r="BT1884" s="115"/>
      <c r="BU1884" s="115"/>
      <c r="BV1884" s="115"/>
      <c r="BW1884" s="115"/>
      <c r="BX1884" s="115"/>
      <c r="BY1884" s="115"/>
      <c r="BZ1884" s="115"/>
      <c r="CA1884" s="115"/>
      <c r="CB1884" s="115"/>
      <c r="CC1884" s="115"/>
      <c r="CD1884" s="115"/>
      <c r="CE1884" s="115"/>
      <c r="CF1884" s="115"/>
      <c r="CG1884" s="115"/>
      <c r="CH1884" s="115"/>
      <c r="CI1884" s="115"/>
      <c r="CJ1884" s="115"/>
      <c r="CK1884" s="115"/>
      <c r="CL1884" s="115"/>
      <c r="CM1884" s="115"/>
      <c r="CN1884" s="115"/>
      <c r="CO1884" s="115"/>
      <c r="CP1884" s="115"/>
    </row>
    <row r="1885" ht="15.75" customHeight="1">
      <c r="A1885" s="931" t="s">
        <v>8680</v>
      </c>
      <c r="B1885" s="115"/>
      <c r="C1885" s="116" t="s">
        <v>207</v>
      </c>
      <c r="D1885" s="161" t="s">
        <v>8681</v>
      </c>
      <c r="E1885" s="731"/>
      <c r="F1885" s="402" t="s">
        <v>8682</v>
      </c>
      <c r="G1885" s="54" t="s">
        <v>8683</v>
      </c>
      <c r="H1885" s="119" t="s">
        <v>8684</v>
      </c>
      <c r="I1885" s="25" t="s">
        <v>8685</v>
      </c>
      <c r="J1885" s="287"/>
      <c r="K1885" s="25">
        <v>2.0</v>
      </c>
      <c r="L1885" s="25">
        <v>2018.0</v>
      </c>
      <c r="M1885" s="25">
        <f t="shared" si="789"/>
        <v>7</v>
      </c>
      <c r="N1885" s="26">
        <f t="shared" si="790"/>
        <v>0</v>
      </c>
      <c r="O1885" s="27" t="str">
        <f t="shared" si="3"/>
        <v>#N/A</v>
      </c>
      <c r="P1885" s="55"/>
      <c r="Q1885" s="55"/>
      <c r="R1885" s="55"/>
      <c r="S1885" s="55"/>
      <c r="T1885" s="55"/>
      <c r="U1885" s="55"/>
      <c r="V1885" s="30">
        <f t="shared" si="425"/>
        <v>0</v>
      </c>
      <c r="W1885" s="30"/>
      <c r="X1885" s="597"/>
      <c r="Y1885" s="33" t="str">
        <f t="shared" si="792"/>
        <v>#DIV/0!</v>
      </c>
      <c r="Z1885" s="692"/>
      <c r="AA1885" s="665"/>
      <c r="AB1885" s="123"/>
      <c r="AC1885" s="123"/>
      <c r="AD1885" s="124"/>
      <c r="AE1885" s="127"/>
      <c r="AF1885" s="166"/>
      <c r="AG1885" s="127"/>
      <c r="AH1885" s="123"/>
      <c r="AI1885" s="128"/>
      <c r="AJ1885" s="169"/>
      <c r="AK1885" s="127"/>
      <c r="AL1885" s="124"/>
      <c r="AM1885" s="125"/>
      <c r="AN1885" s="124"/>
      <c r="AO1885" s="125"/>
      <c r="AP1885" s="124"/>
      <c r="AQ1885" s="125"/>
      <c r="AR1885" s="124"/>
      <c r="AS1885" s="124"/>
      <c r="AT1885" s="124"/>
      <c r="AU1885" s="137"/>
      <c r="AV1885" s="124"/>
      <c r="AW1885" s="38"/>
      <c r="AX1885" s="124"/>
      <c r="AY1885" s="38"/>
      <c r="AZ1885" s="124"/>
      <c r="BA1885" s="137"/>
      <c r="BB1885" s="124"/>
      <c r="BC1885" s="137"/>
      <c r="BD1885" s="124"/>
      <c r="BE1885" s="38"/>
      <c r="BF1885" s="123"/>
      <c r="BG1885" s="115"/>
      <c r="BH1885" s="115"/>
      <c r="BI1885" s="115"/>
      <c r="BJ1885" s="115"/>
      <c r="BK1885" s="115"/>
      <c r="BL1885" s="115"/>
      <c r="BM1885" s="115"/>
      <c r="BN1885" s="115"/>
      <c r="BO1885" s="115"/>
      <c r="BP1885" s="115"/>
      <c r="BQ1885" s="115"/>
      <c r="BR1885" s="115"/>
      <c r="BS1885" s="115"/>
      <c r="BT1885" s="115"/>
      <c r="BU1885" s="115"/>
      <c r="BV1885" s="115"/>
      <c r="BW1885" s="115"/>
      <c r="BX1885" s="115"/>
      <c r="BY1885" s="115"/>
      <c r="BZ1885" s="115"/>
      <c r="CA1885" s="115"/>
      <c r="CB1885" s="115"/>
      <c r="CC1885" s="115"/>
      <c r="CD1885" s="115"/>
      <c r="CE1885" s="115"/>
      <c r="CF1885" s="115"/>
      <c r="CG1885" s="115"/>
      <c r="CH1885" s="115"/>
      <c r="CI1885" s="115"/>
      <c r="CJ1885" s="115"/>
      <c r="CK1885" s="115"/>
      <c r="CL1885" s="115"/>
      <c r="CM1885" s="115"/>
      <c r="CN1885" s="115"/>
      <c r="CO1885" s="115"/>
      <c r="CP1885" s="115"/>
    </row>
    <row r="1886" ht="15.75" customHeight="1">
      <c r="A1886" s="21" t="s">
        <v>8686</v>
      </c>
      <c r="B1886" s="69" t="s">
        <v>8687</v>
      </c>
      <c r="C1886" s="69" t="s">
        <v>2808</v>
      </c>
      <c r="D1886" s="337"/>
      <c r="E1886" s="385"/>
      <c r="F1886" s="173" t="s">
        <v>8688</v>
      </c>
      <c r="G1886" s="186"/>
      <c r="H1886" s="71" t="s">
        <v>357</v>
      </c>
      <c r="I1886" s="26" t="s">
        <v>358</v>
      </c>
      <c r="J1886" s="155"/>
      <c r="K1886" s="74"/>
      <c r="L1886" s="26"/>
      <c r="M1886" s="25">
        <f t="shared" si="789"/>
        <v>2025</v>
      </c>
      <c r="N1886" s="26">
        <f t="shared" si="790"/>
        <v>0</v>
      </c>
      <c r="O1886" s="27" t="str">
        <f t="shared" si="3"/>
        <v>#N/A</v>
      </c>
      <c r="P1886" s="273"/>
      <c r="Q1886" s="273"/>
      <c r="R1886" s="273"/>
      <c r="S1886" s="273"/>
      <c r="T1886" s="273"/>
      <c r="U1886" s="273"/>
      <c r="V1886" s="30">
        <f t="shared" si="425"/>
        <v>0</v>
      </c>
      <c r="W1886" s="30"/>
      <c r="X1886" s="32"/>
      <c r="Y1886" s="33" t="str">
        <f t="shared" si="792"/>
        <v>#DIV/0!</v>
      </c>
      <c r="Z1886" s="692"/>
      <c r="AA1886" s="665"/>
      <c r="AB1886" s="74"/>
      <c r="AC1886" s="74"/>
      <c r="AD1886" s="79"/>
      <c r="AE1886" s="76"/>
      <c r="AF1886" s="338"/>
      <c r="AG1886" s="76"/>
      <c r="AH1886" s="74"/>
      <c r="AI1886" s="78"/>
      <c r="AJ1886" s="279"/>
      <c r="AK1886" s="76"/>
      <c r="AL1886" s="79"/>
      <c r="AM1886" s="84"/>
      <c r="AN1886" s="79"/>
      <c r="AO1886" s="84"/>
      <c r="AP1886" s="79"/>
      <c r="AQ1886" s="84"/>
      <c r="AR1886" s="79"/>
      <c r="AS1886" s="79"/>
      <c r="AT1886" s="79"/>
      <c r="AU1886" s="80"/>
      <c r="AV1886" s="79"/>
      <c r="AW1886" s="38"/>
      <c r="AX1886" s="79"/>
      <c r="AY1886" s="38"/>
      <c r="AZ1886" s="79"/>
      <c r="BA1886" s="80"/>
      <c r="BB1886" s="79"/>
      <c r="BC1886" s="80"/>
      <c r="BD1886" s="79"/>
      <c r="BE1886" s="38"/>
      <c r="BF1886" s="74"/>
      <c r="BG1886" s="115"/>
      <c r="BH1886" s="115"/>
      <c r="BI1886" s="115"/>
      <c r="BJ1886" s="115"/>
      <c r="BK1886" s="115"/>
      <c r="BL1886" s="115"/>
      <c r="BM1886" s="115"/>
      <c r="BN1886" s="115"/>
      <c r="BO1886" s="115"/>
      <c r="BP1886" s="115"/>
      <c r="BQ1886" s="115"/>
      <c r="BR1886" s="115"/>
      <c r="BS1886" s="115"/>
      <c r="BT1886" s="115"/>
      <c r="BU1886" s="115"/>
      <c r="BV1886" s="115"/>
      <c r="BW1886" s="115"/>
      <c r="BX1886" s="115"/>
      <c r="BY1886" s="115"/>
      <c r="BZ1886" s="115"/>
      <c r="CA1886" s="115"/>
      <c r="CB1886" s="115"/>
      <c r="CC1886" s="115"/>
      <c r="CD1886" s="115"/>
      <c r="CE1886" s="115"/>
      <c r="CF1886" s="115"/>
      <c r="CG1886" s="115"/>
      <c r="CH1886" s="115"/>
      <c r="CI1886" s="115"/>
      <c r="CJ1886" s="115"/>
      <c r="CK1886" s="115"/>
      <c r="CL1886" s="115"/>
      <c r="CM1886" s="115"/>
      <c r="CN1886" s="115"/>
      <c r="CO1886" s="115"/>
      <c r="CP1886" s="115"/>
    </row>
    <row r="1887" ht="15.75" customHeight="1">
      <c r="A1887" s="21" t="s">
        <v>8689</v>
      </c>
      <c r="B1887" s="68"/>
      <c r="C1887" s="69" t="s">
        <v>132</v>
      </c>
      <c r="D1887" s="337"/>
      <c r="E1887" s="192" t="s">
        <v>8690</v>
      </c>
      <c r="F1887" s="118" t="s">
        <v>8691</v>
      </c>
      <c r="G1887" s="186"/>
      <c r="H1887" s="71" t="s">
        <v>1065</v>
      </c>
      <c r="I1887" s="26" t="s">
        <v>639</v>
      </c>
      <c r="J1887" s="155"/>
      <c r="K1887" s="74"/>
      <c r="L1887" s="26">
        <v>2018.0</v>
      </c>
      <c r="M1887" s="25">
        <f t="shared" si="789"/>
        <v>7</v>
      </c>
      <c r="N1887" s="26">
        <f t="shared" si="790"/>
        <v>0</v>
      </c>
      <c r="O1887" s="27" t="str">
        <f t="shared" si="3"/>
        <v>#N/A</v>
      </c>
      <c r="P1887" s="273"/>
      <c r="Q1887" s="273"/>
      <c r="R1887" s="273"/>
      <c r="S1887" s="273"/>
      <c r="T1887" s="273"/>
      <c r="U1887" s="273"/>
      <c r="V1887" s="30">
        <f t="shared" si="425"/>
        <v>0</v>
      </c>
      <c r="W1887" s="30"/>
      <c r="X1887" s="32"/>
      <c r="Y1887" s="33" t="str">
        <f t="shared" si="792"/>
        <v>#DIV/0!</v>
      </c>
      <c r="Z1887" s="692"/>
      <c r="AA1887" s="665"/>
      <c r="AB1887" s="74"/>
      <c r="AC1887" s="74"/>
      <c r="AD1887" s="79"/>
      <c r="AE1887" s="76"/>
      <c r="AF1887" s="338"/>
      <c r="AG1887" s="76"/>
      <c r="AH1887" s="74"/>
      <c r="AI1887" s="78"/>
      <c r="AJ1887" s="279"/>
      <c r="AK1887" s="84"/>
      <c r="AL1887" s="79"/>
      <c r="AM1887" s="84"/>
      <c r="AN1887" s="79"/>
      <c r="AO1887" s="84"/>
      <c r="AP1887" s="79"/>
      <c r="AQ1887" s="84"/>
      <c r="AR1887" s="79"/>
      <c r="AS1887" s="79"/>
      <c r="AT1887" s="79"/>
      <c r="AU1887" s="80"/>
      <c r="AV1887" s="79"/>
      <c r="AW1887" s="38"/>
      <c r="AX1887" s="79"/>
      <c r="AY1887" s="38"/>
      <c r="AZ1887" s="79"/>
      <c r="BA1887" s="80"/>
      <c r="BB1887" s="79"/>
      <c r="BC1887" s="80"/>
      <c r="BD1887" s="79"/>
      <c r="BE1887" s="38"/>
      <c r="BF1887" s="74"/>
      <c r="BG1887" s="115"/>
      <c r="BH1887" s="115"/>
      <c r="BI1887" s="115"/>
      <c r="BJ1887" s="115"/>
      <c r="BK1887" s="115"/>
      <c r="BL1887" s="115"/>
      <c r="BM1887" s="115"/>
      <c r="BN1887" s="115"/>
      <c r="BO1887" s="115"/>
      <c r="BP1887" s="115"/>
      <c r="BQ1887" s="115"/>
      <c r="BR1887" s="115"/>
      <c r="BS1887" s="115"/>
      <c r="BT1887" s="115"/>
      <c r="BU1887" s="115"/>
      <c r="BV1887" s="115"/>
      <c r="BW1887" s="115"/>
      <c r="BX1887" s="115"/>
      <c r="BY1887" s="115"/>
      <c r="BZ1887" s="115"/>
      <c r="CA1887" s="115"/>
      <c r="CB1887" s="115"/>
      <c r="CC1887" s="115"/>
      <c r="CD1887" s="115"/>
      <c r="CE1887" s="115"/>
      <c r="CF1887" s="115"/>
      <c r="CG1887" s="115"/>
      <c r="CH1887" s="115"/>
      <c r="CI1887" s="115"/>
      <c r="CJ1887" s="115"/>
      <c r="CK1887" s="115"/>
      <c r="CL1887" s="115"/>
      <c r="CM1887" s="115"/>
      <c r="CN1887" s="115"/>
      <c r="CO1887" s="115"/>
      <c r="CP1887" s="115"/>
    </row>
    <row r="1888" ht="15.75" customHeight="1">
      <c r="A1888" s="1902" t="s">
        <v>8692</v>
      </c>
      <c r="B1888" s="68"/>
      <c r="C1888" s="69" t="s">
        <v>84</v>
      </c>
      <c r="D1888" s="337"/>
      <c r="E1888" s="192" t="s">
        <v>8693</v>
      </c>
      <c r="F1888" s="118" t="s">
        <v>8694</v>
      </c>
      <c r="G1888" s="186"/>
      <c r="H1888" s="71" t="s">
        <v>5417</v>
      </c>
      <c r="I1888" s="26" t="s">
        <v>329</v>
      </c>
      <c r="J1888" s="155"/>
      <c r="K1888" s="74"/>
      <c r="L1888" s="26">
        <v>2004.0</v>
      </c>
      <c r="M1888" s="25">
        <f t="shared" si="789"/>
        <v>21</v>
      </c>
      <c r="N1888" s="26">
        <f t="shared" si="790"/>
        <v>0</v>
      </c>
      <c r="O1888" s="27" t="str">
        <f t="shared" si="3"/>
        <v>#N/A</v>
      </c>
      <c r="P1888" s="273"/>
      <c r="Q1888" s="273"/>
      <c r="R1888" s="273"/>
      <c r="S1888" s="273"/>
      <c r="T1888" s="273"/>
      <c r="U1888" s="273"/>
      <c r="V1888" s="30">
        <f t="shared" si="425"/>
        <v>0</v>
      </c>
      <c r="W1888" s="30"/>
      <c r="X1888" s="32"/>
      <c r="Y1888" s="33" t="str">
        <f t="shared" si="792"/>
        <v>#DIV/0!</v>
      </c>
      <c r="Z1888" s="692"/>
      <c r="AA1888" s="665"/>
      <c r="AB1888" s="74"/>
      <c r="AC1888" s="74"/>
      <c r="AD1888" s="79"/>
      <c r="AE1888" s="76"/>
      <c r="AF1888" s="338"/>
      <c r="AG1888" s="76"/>
      <c r="AH1888" s="74"/>
      <c r="AI1888" s="78"/>
      <c r="AJ1888" s="279"/>
      <c r="AK1888" s="84"/>
      <c r="AL1888" s="79"/>
      <c r="AM1888" s="84"/>
      <c r="AN1888" s="79"/>
      <c r="AO1888" s="84"/>
      <c r="AP1888" s="79"/>
      <c r="AQ1888" s="84"/>
      <c r="AR1888" s="79"/>
      <c r="AS1888" s="79"/>
      <c r="AT1888" s="79"/>
      <c r="AU1888" s="80"/>
      <c r="AV1888" s="79"/>
      <c r="AW1888" s="38"/>
      <c r="AX1888" s="79"/>
      <c r="AY1888" s="38"/>
      <c r="AZ1888" s="79"/>
      <c r="BA1888" s="80"/>
      <c r="BB1888" s="79"/>
      <c r="BC1888" s="80"/>
      <c r="BD1888" s="79"/>
      <c r="BE1888" s="38"/>
      <c r="BF1888" s="74"/>
      <c r="BG1888" s="115"/>
      <c r="BH1888" s="115"/>
      <c r="BI1888" s="115"/>
      <c r="BJ1888" s="115"/>
      <c r="BK1888" s="115"/>
      <c r="BL1888" s="115"/>
      <c r="BM1888" s="115"/>
      <c r="BN1888" s="115"/>
      <c r="BO1888" s="115"/>
      <c r="BP1888" s="115"/>
      <c r="BQ1888" s="115"/>
      <c r="BR1888" s="115"/>
      <c r="BS1888" s="115"/>
      <c r="BT1888" s="115"/>
      <c r="BU1888" s="115"/>
      <c r="BV1888" s="115"/>
      <c r="BW1888" s="115"/>
      <c r="BX1888" s="115"/>
      <c r="BY1888" s="115"/>
      <c r="BZ1888" s="115"/>
      <c r="CA1888" s="115"/>
      <c r="CB1888" s="115"/>
      <c r="CC1888" s="115"/>
      <c r="CD1888" s="115"/>
      <c r="CE1888" s="115"/>
      <c r="CF1888" s="115"/>
      <c r="CG1888" s="115"/>
      <c r="CH1888" s="115"/>
      <c r="CI1888" s="115"/>
      <c r="CJ1888" s="115"/>
      <c r="CK1888" s="115"/>
      <c r="CL1888" s="115"/>
      <c r="CM1888" s="115"/>
      <c r="CN1888" s="115"/>
      <c r="CO1888" s="115"/>
      <c r="CP1888" s="115"/>
    </row>
    <row r="1889" ht="15.75" customHeight="1">
      <c r="A1889" s="860" t="s">
        <v>8695</v>
      </c>
      <c r="B1889" s="68"/>
      <c r="C1889" s="69" t="s">
        <v>513</v>
      </c>
      <c r="D1889" s="192" t="s">
        <v>8696</v>
      </c>
      <c r="E1889" s="192" t="s">
        <v>8697</v>
      </c>
      <c r="F1889" s="118" t="s">
        <v>8698</v>
      </c>
      <c r="G1889" s="186"/>
      <c r="H1889" s="71" t="s">
        <v>650</v>
      </c>
      <c r="I1889" s="26" t="s">
        <v>651</v>
      </c>
      <c r="J1889" s="155"/>
      <c r="K1889" s="74"/>
      <c r="L1889" s="26">
        <v>2020.0</v>
      </c>
      <c r="M1889" s="25">
        <f t="shared" si="789"/>
        <v>5</v>
      </c>
      <c r="N1889" s="26">
        <f t="shared" si="790"/>
        <v>0</v>
      </c>
      <c r="O1889" s="27" t="str">
        <f t="shared" si="3"/>
        <v>#N/A</v>
      </c>
      <c r="P1889" s="273"/>
      <c r="Q1889" s="273"/>
      <c r="R1889" s="273"/>
      <c r="S1889" s="273"/>
      <c r="T1889" s="273"/>
      <c r="U1889" s="273"/>
      <c r="V1889" s="30">
        <f t="shared" si="425"/>
        <v>0</v>
      </c>
      <c r="W1889" s="30"/>
      <c r="X1889" s="32"/>
      <c r="Y1889" s="33" t="str">
        <f t="shared" si="792"/>
        <v>#DIV/0!</v>
      </c>
      <c r="Z1889" s="692"/>
      <c r="AA1889" s="665"/>
      <c r="AB1889" s="74"/>
      <c r="AC1889" s="74"/>
      <c r="AD1889" s="79"/>
      <c r="AE1889" s="76"/>
      <c r="AF1889" s="338"/>
      <c r="AG1889" s="76"/>
      <c r="AH1889" s="74"/>
      <c r="AI1889" s="78"/>
      <c r="AJ1889" s="279"/>
      <c r="AK1889" s="84"/>
      <c r="AL1889" s="79"/>
      <c r="AM1889" s="84"/>
      <c r="AN1889" s="79"/>
      <c r="AO1889" s="84"/>
      <c r="AP1889" s="79"/>
      <c r="AQ1889" s="84"/>
      <c r="AR1889" s="79"/>
      <c r="AS1889" s="79"/>
      <c r="AT1889" s="79"/>
      <c r="AU1889" s="80"/>
      <c r="AV1889" s="79"/>
      <c r="AW1889" s="38"/>
      <c r="AX1889" s="79"/>
      <c r="AY1889" s="38"/>
      <c r="AZ1889" s="79"/>
      <c r="BA1889" s="80"/>
      <c r="BB1889" s="79"/>
      <c r="BC1889" s="80"/>
      <c r="BD1889" s="79"/>
      <c r="BE1889" s="38"/>
      <c r="BF1889" s="74"/>
      <c r="BG1889" s="115"/>
      <c r="BH1889" s="115"/>
      <c r="BI1889" s="115"/>
      <c r="BJ1889" s="115"/>
      <c r="BK1889" s="115"/>
      <c r="BL1889" s="115"/>
      <c r="BM1889" s="115"/>
      <c r="BN1889" s="115"/>
      <c r="BO1889" s="115"/>
      <c r="BP1889" s="115"/>
      <c r="BQ1889" s="115"/>
      <c r="BR1889" s="115"/>
      <c r="BS1889" s="115"/>
      <c r="BT1889" s="115"/>
      <c r="BU1889" s="115"/>
      <c r="BV1889" s="115"/>
      <c r="BW1889" s="115"/>
      <c r="BX1889" s="115"/>
      <c r="BY1889" s="115"/>
      <c r="BZ1889" s="115"/>
      <c r="CA1889" s="115"/>
      <c r="CB1889" s="115"/>
      <c r="CC1889" s="115"/>
      <c r="CD1889" s="115"/>
      <c r="CE1889" s="115"/>
      <c r="CF1889" s="115"/>
      <c r="CG1889" s="115"/>
      <c r="CH1889" s="115"/>
      <c r="CI1889" s="115"/>
      <c r="CJ1889" s="115"/>
      <c r="CK1889" s="115"/>
      <c r="CL1889" s="115"/>
      <c r="CM1889" s="115"/>
      <c r="CN1889" s="115"/>
      <c r="CO1889" s="115"/>
      <c r="CP1889" s="115"/>
    </row>
    <row r="1890" ht="15.75" customHeight="1">
      <c r="A1890" s="400" t="s">
        <v>8699</v>
      </c>
      <c r="B1890" s="115"/>
      <c r="C1890" s="116" t="s">
        <v>84</v>
      </c>
      <c r="D1890" s="449"/>
      <c r="E1890" s="161" t="s">
        <v>8700</v>
      </c>
      <c r="F1890" s="118" t="s">
        <v>8701</v>
      </c>
      <c r="G1890" s="54" t="s">
        <v>8702</v>
      </c>
      <c r="H1890" s="119" t="s">
        <v>357</v>
      </c>
      <c r="I1890" s="25" t="s">
        <v>358</v>
      </c>
      <c r="J1890" s="120" t="s">
        <v>1220</v>
      </c>
      <c r="K1890" s="25">
        <v>1.0</v>
      </c>
      <c r="L1890" s="25">
        <v>2018.0</v>
      </c>
      <c r="M1890" s="25">
        <f t="shared" si="789"/>
        <v>7</v>
      </c>
      <c r="N1890" s="26">
        <f t="shared" si="790"/>
        <v>0</v>
      </c>
      <c r="O1890" s="27" t="str">
        <f t="shared" si="3"/>
        <v>#N/A</v>
      </c>
      <c r="P1890" s="55"/>
      <c r="Q1890" s="55"/>
      <c r="R1890" s="55"/>
      <c r="S1890" s="55"/>
      <c r="T1890" s="55"/>
      <c r="U1890" s="55"/>
      <c r="V1890" s="30">
        <f t="shared" si="425"/>
        <v>0</v>
      </c>
      <c r="W1890" s="30"/>
      <c r="X1890" s="597"/>
      <c r="Y1890" s="33" t="str">
        <f t="shared" si="792"/>
        <v>#DIV/0!</v>
      </c>
      <c r="Z1890" s="692"/>
      <c r="AA1890" s="665"/>
      <c r="AB1890" s="123"/>
      <c r="AC1890" s="123"/>
      <c r="AD1890" s="124"/>
      <c r="AE1890" s="127"/>
      <c r="AF1890" s="166"/>
      <c r="AG1890" s="127"/>
      <c r="AH1890" s="123"/>
      <c r="AI1890" s="128"/>
      <c r="AJ1890" s="169"/>
      <c r="AK1890" s="125"/>
      <c r="AL1890" s="124"/>
      <c r="AM1890" s="125"/>
      <c r="AN1890" s="124"/>
      <c r="AO1890" s="125"/>
      <c r="AP1890" s="124"/>
      <c r="AQ1890" s="125"/>
      <c r="AR1890" s="124"/>
      <c r="AS1890" s="124"/>
      <c r="AT1890" s="124"/>
      <c r="AU1890" s="137"/>
      <c r="AV1890" s="124"/>
      <c r="AW1890" s="38"/>
      <c r="AX1890" s="124"/>
      <c r="AY1890" s="38"/>
      <c r="AZ1890" s="124"/>
      <c r="BA1890" s="137"/>
      <c r="BB1890" s="124"/>
      <c r="BC1890" s="137"/>
      <c r="BD1890" s="124"/>
      <c r="BE1890" s="38"/>
      <c r="BF1890" s="123"/>
      <c r="BG1890" s="115"/>
      <c r="BH1890" s="115"/>
      <c r="BI1890" s="115"/>
      <c r="BJ1890" s="115"/>
      <c r="BK1890" s="115"/>
      <c r="BL1890" s="115"/>
      <c r="BM1890" s="115"/>
      <c r="BN1890" s="115"/>
      <c r="BO1890" s="115"/>
      <c r="BP1890" s="115"/>
      <c r="BQ1890" s="115"/>
      <c r="BR1890" s="115"/>
      <c r="BS1890" s="115"/>
      <c r="BT1890" s="115"/>
      <c r="BU1890" s="115"/>
      <c r="BV1890" s="115"/>
      <c r="BW1890" s="115"/>
      <c r="BX1890" s="115"/>
      <c r="BY1890" s="115"/>
      <c r="BZ1890" s="115"/>
      <c r="CA1890" s="115"/>
      <c r="CB1890" s="115"/>
      <c r="CC1890" s="115"/>
      <c r="CD1890" s="115"/>
      <c r="CE1890" s="115"/>
      <c r="CF1890" s="115"/>
      <c r="CG1890" s="115"/>
      <c r="CH1890" s="115"/>
      <c r="CI1890" s="115"/>
      <c r="CJ1890" s="115"/>
      <c r="CK1890" s="115"/>
      <c r="CL1890" s="115"/>
      <c r="CM1890" s="115"/>
      <c r="CN1890" s="115"/>
      <c r="CO1890" s="115"/>
      <c r="CP1890" s="115"/>
    </row>
    <row r="1891" ht="15.75" customHeight="1">
      <c r="A1891" s="860" t="s">
        <v>8703</v>
      </c>
      <c r="B1891" s="68"/>
      <c r="C1891" s="69" t="s">
        <v>132</v>
      </c>
      <c r="D1891" s="192" t="s">
        <v>8704</v>
      </c>
      <c r="E1891" s="192" t="s">
        <v>8705</v>
      </c>
      <c r="F1891" s="118" t="s">
        <v>8706</v>
      </c>
      <c r="G1891" s="186"/>
      <c r="H1891" s="71" t="s">
        <v>1304</v>
      </c>
      <c r="I1891" s="26" t="s">
        <v>65</v>
      </c>
      <c r="J1891" s="155"/>
      <c r="K1891" s="74"/>
      <c r="L1891" s="26">
        <v>2018.0</v>
      </c>
      <c r="M1891" s="25">
        <f t="shared" si="789"/>
        <v>7</v>
      </c>
      <c r="N1891" s="26">
        <f t="shared" si="790"/>
        <v>0</v>
      </c>
      <c r="O1891" s="27" t="str">
        <f t="shared" si="3"/>
        <v>#N/A</v>
      </c>
      <c r="P1891" s="273"/>
      <c r="Q1891" s="273"/>
      <c r="R1891" s="273"/>
      <c r="S1891" s="273"/>
      <c r="T1891" s="273"/>
      <c r="U1891" s="273"/>
      <c r="V1891" s="30">
        <f t="shared" si="425"/>
        <v>0</v>
      </c>
      <c r="W1891" s="30"/>
      <c r="X1891" s="32"/>
      <c r="Y1891" s="33" t="str">
        <f t="shared" si="792"/>
        <v>#DIV/0!</v>
      </c>
      <c r="Z1891" s="692"/>
      <c r="AA1891" s="665"/>
      <c r="AB1891" s="74"/>
      <c r="AC1891" s="74"/>
      <c r="AD1891" s="79"/>
      <c r="AE1891" s="76"/>
      <c r="AF1891" s="338"/>
      <c r="AG1891" s="76"/>
      <c r="AH1891" s="74"/>
      <c r="AI1891" s="78"/>
      <c r="AJ1891" s="279"/>
      <c r="AK1891" s="84"/>
      <c r="AL1891" s="79"/>
      <c r="AM1891" s="84"/>
      <c r="AN1891" s="79"/>
      <c r="AO1891" s="84"/>
      <c r="AP1891" s="79"/>
      <c r="AQ1891" s="84"/>
      <c r="AR1891" s="79"/>
      <c r="AS1891" s="79"/>
      <c r="AT1891" s="79"/>
      <c r="AU1891" s="80"/>
      <c r="AV1891" s="79"/>
      <c r="AW1891" s="38"/>
      <c r="AX1891" s="79"/>
      <c r="AY1891" s="38"/>
      <c r="AZ1891" s="79"/>
      <c r="BA1891" s="80"/>
      <c r="BB1891" s="79"/>
      <c r="BC1891" s="80"/>
      <c r="BD1891" s="79"/>
      <c r="BE1891" s="38"/>
      <c r="BF1891" s="74"/>
      <c r="BG1891" s="115"/>
      <c r="BH1891" s="115"/>
      <c r="BI1891" s="115"/>
      <c r="BJ1891" s="115"/>
      <c r="BK1891" s="115"/>
      <c r="BL1891" s="115"/>
      <c r="BM1891" s="115"/>
      <c r="BN1891" s="115"/>
      <c r="BO1891" s="115"/>
      <c r="BP1891" s="115"/>
      <c r="BQ1891" s="115"/>
      <c r="BR1891" s="115"/>
      <c r="BS1891" s="115"/>
      <c r="BT1891" s="115"/>
      <c r="BU1891" s="115"/>
      <c r="BV1891" s="115"/>
      <c r="BW1891" s="115"/>
      <c r="BX1891" s="115"/>
      <c r="BY1891" s="115"/>
      <c r="BZ1891" s="115"/>
      <c r="CA1891" s="115"/>
      <c r="CB1891" s="115"/>
      <c r="CC1891" s="115"/>
      <c r="CD1891" s="115"/>
      <c r="CE1891" s="115"/>
      <c r="CF1891" s="115"/>
      <c r="CG1891" s="115"/>
      <c r="CH1891" s="115"/>
      <c r="CI1891" s="115"/>
      <c r="CJ1891" s="115"/>
      <c r="CK1891" s="115"/>
      <c r="CL1891" s="115"/>
      <c r="CM1891" s="115"/>
      <c r="CN1891" s="115"/>
      <c r="CO1891" s="115"/>
      <c r="CP1891" s="115"/>
    </row>
    <row r="1892" ht="15.75" customHeight="1">
      <c r="A1892" s="47" t="s">
        <v>8707</v>
      </c>
      <c r="B1892" s="68"/>
      <c r="C1892" s="69" t="s">
        <v>207</v>
      </c>
      <c r="D1892" s="48"/>
      <c r="E1892" s="48"/>
      <c r="F1892" s="118" t="s">
        <v>8708</v>
      </c>
      <c r="G1892" s="186"/>
      <c r="H1892" s="71" t="s">
        <v>357</v>
      </c>
      <c r="I1892" s="26" t="s">
        <v>358</v>
      </c>
      <c r="J1892" s="155"/>
      <c r="K1892" s="74"/>
      <c r="L1892" s="26"/>
      <c r="M1892" s="25">
        <f t="shared" si="789"/>
        <v>2025</v>
      </c>
      <c r="N1892" s="26">
        <f t="shared" si="790"/>
        <v>0</v>
      </c>
      <c r="O1892" s="27" t="str">
        <f t="shared" si="3"/>
        <v>#N/A</v>
      </c>
      <c r="P1892" s="273"/>
      <c r="Q1892" s="273"/>
      <c r="R1892" s="273"/>
      <c r="S1892" s="273"/>
      <c r="T1892" s="273"/>
      <c r="U1892" s="273"/>
      <c r="V1892" s="30">
        <f t="shared" si="425"/>
        <v>0</v>
      </c>
      <c r="W1892" s="30"/>
      <c r="X1892" s="32"/>
      <c r="Y1892" s="33" t="str">
        <f t="shared" si="792"/>
        <v>#DIV/0!</v>
      </c>
      <c r="Z1892" s="692"/>
      <c r="AA1892" s="665"/>
      <c r="AB1892" s="74"/>
      <c r="AC1892" s="74"/>
      <c r="AD1892" s="79"/>
      <c r="AE1892" s="76"/>
      <c r="AF1892" s="338"/>
      <c r="AG1892" s="76"/>
      <c r="AH1892" s="74"/>
      <c r="AI1892" s="78"/>
      <c r="AJ1892" s="279"/>
      <c r="AK1892" s="84"/>
      <c r="AL1892" s="79"/>
      <c r="AM1892" s="84"/>
      <c r="AN1892" s="79"/>
      <c r="AO1892" s="84"/>
      <c r="AP1892" s="79"/>
      <c r="AQ1892" s="84"/>
      <c r="AR1892" s="79"/>
      <c r="AS1892" s="79"/>
      <c r="AT1892" s="79"/>
      <c r="AU1892" s="80"/>
      <c r="AV1892" s="79"/>
      <c r="AW1892" s="38"/>
      <c r="AX1892" s="79"/>
      <c r="AY1892" s="38"/>
      <c r="AZ1892" s="79"/>
      <c r="BA1892" s="80"/>
      <c r="BB1892" s="79"/>
      <c r="BC1892" s="80"/>
      <c r="BD1892" s="79"/>
      <c r="BE1892" s="38"/>
      <c r="BF1892" s="74"/>
      <c r="BG1892" s="115"/>
      <c r="BH1892" s="115"/>
      <c r="BI1892" s="115"/>
      <c r="BJ1892" s="115"/>
      <c r="BK1892" s="115"/>
      <c r="BL1892" s="115"/>
      <c r="BM1892" s="115"/>
      <c r="BN1892" s="115"/>
      <c r="BO1892" s="115"/>
      <c r="BP1892" s="115"/>
      <c r="BQ1892" s="115"/>
      <c r="BR1892" s="115"/>
      <c r="BS1892" s="115"/>
      <c r="BT1892" s="115"/>
      <c r="BU1892" s="115"/>
      <c r="BV1892" s="115"/>
      <c r="BW1892" s="115"/>
      <c r="BX1892" s="115"/>
      <c r="BY1892" s="115"/>
      <c r="BZ1892" s="115"/>
      <c r="CA1892" s="115"/>
      <c r="CB1892" s="115"/>
      <c r="CC1892" s="115"/>
      <c r="CD1892" s="115"/>
      <c r="CE1892" s="115"/>
      <c r="CF1892" s="115"/>
      <c r="CG1892" s="115"/>
      <c r="CH1892" s="115"/>
      <c r="CI1892" s="115"/>
      <c r="CJ1892" s="115"/>
      <c r="CK1892" s="115"/>
      <c r="CL1892" s="115"/>
      <c r="CM1892" s="115"/>
      <c r="CN1892" s="115"/>
      <c r="CO1892" s="115"/>
      <c r="CP1892" s="115"/>
    </row>
    <row r="1893" ht="15.75" customHeight="1">
      <c r="A1893" s="860" t="s">
        <v>8709</v>
      </c>
      <c r="B1893" s="69"/>
      <c r="C1893" s="69" t="s">
        <v>513</v>
      </c>
      <c r="D1893" s="192" t="s">
        <v>8710</v>
      </c>
      <c r="E1893" s="380"/>
      <c r="F1893" s="118" t="s">
        <v>8711</v>
      </c>
      <c r="G1893" s="54"/>
      <c r="H1893" s="71"/>
      <c r="I1893" s="26"/>
      <c r="J1893" s="72"/>
      <c r="K1893" s="26"/>
      <c r="L1893" s="26"/>
      <c r="M1893" s="25">
        <f t="shared" si="789"/>
        <v>2025</v>
      </c>
      <c r="N1893" s="26">
        <f t="shared" si="790"/>
        <v>0</v>
      </c>
      <c r="O1893" s="27" t="str">
        <f t="shared" si="3"/>
        <v>#N/A</v>
      </c>
      <c r="P1893" s="28"/>
      <c r="Q1893" s="28"/>
      <c r="R1893" s="28"/>
      <c r="S1893" s="28"/>
      <c r="T1893" s="28"/>
      <c r="U1893" s="28"/>
      <c r="V1893" s="30">
        <f t="shared" si="425"/>
        <v>0</v>
      </c>
      <c r="W1893" s="30"/>
      <c r="X1893" s="73"/>
      <c r="Y1893" s="33" t="str">
        <f t="shared" si="792"/>
        <v>#DIV/0!</v>
      </c>
      <c r="Z1893" s="692"/>
      <c r="AA1893" s="665"/>
      <c r="AB1893" s="74"/>
      <c r="AC1893" s="74"/>
      <c r="AD1893" s="164"/>
      <c r="AE1893" s="973"/>
      <c r="AF1893" s="338"/>
      <c r="AG1893" s="76"/>
      <c r="AH1893" s="1903"/>
      <c r="AI1893" s="435"/>
      <c r="AJ1893" s="164"/>
      <c r="AK1893" s="928"/>
      <c r="AL1893" s="79"/>
      <c r="AM1893" s="84"/>
      <c r="AN1893" s="79"/>
      <c r="AO1893" s="84"/>
      <c r="AP1893" s="79"/>
      <c r="AQ1893" s="84"/>
      <c r="AR1893" s="79"/>
      <c r="AS1893" s="79"/>
      <c r="AT1893" s="79"/>
      <c r="AU1893" s="80"/>
      <c r="AV1893" s="79"/>
      <c r="AW1893" s="38"/>
      <c r="AX1893" s="79"/>
      <c r="AY1893" s="38"/>
      <c r="AZ1893" s="79"/>
      <c r="BA1893" s="80"/>
      <c r="BB1893" s="79"/>
      <c r="BC1893" s="80"/>
      <c r="BD1893" s="79"/>
      <c r="BE1893" s="38"/>
      <c r="BF1893" s="74"/>
      <c r="BG1893" s="115"/>
      <c r="BH1893" s="115"/>
      <c r="BI1893" s="115"/>
      <c r="BJ1893" s="115"/>
      <c r="BK1893" s="115"/>
      <c r="BL1893" s="115"/>
      <c r="BM1893" s="115"/>
      <c r="BN1893" s="115"/>
      <c r="BO1893" s="115"/>
      <c r="BP1893" s="115"/>
      <c r="BQ1893" s="115"/>
      <c r="BR1893" s="115"/>
      <c r="BS1893" s="115"/>
      <c r="BT1893" s="115"/>
      <c r="BU1893" s="115"/>
      <c r="BV1893" s="115"/>
      <c r="BW1893" s="115"/>
      <c r="BX1893" s="115"/>
      <c r="BY1893" s="115"/>
      <c r="BZ1893" s="115"/>
      <c r="CA1893" s="115"/>
      <c r="CB1893" s="115"/>
      <c r="CC1893" s="115"/>
      <c r="CD1893" s="115"/>
      <c r="CE1893" s="115"/>
      <c r="CF1893" s="115"/>
      <c r="CG1893" s="115"/>
      <c r="CH1893" s="115"/>
      <c r="CI1893" s="115"/>
      <c r="CJ1893" s="115"/>
      <c r="CK1893" s="115"/>
      <c r="CL1893" s="115"/>
      <c r="CM1893" s="115"/>
      <c r="CN1893" s="115"/>
      <c r="CO1893" s="115"/>
      <c r="CP1893" s="115"/>
    </row>
    <row r="1894" ht="15.75" customHeight="1">
      <c r="A1894" s="860" t="s">
        <v>8712</v>
      </c>
      <c r="B1894" s="116"/>
      <c r="C1894" s="116" t="s">
        <v>276</v>
      </c>
      <c r="D1894" s="1199"/>
      <c r="E1894" s="540" t="s">
        <v>8713</v>
      </c>
      <c r="F1894" s="118" t="s">
        <v>8714</v>
      </c>
      <c r="G1894" s="54" t="s">
        <v>8715</v>
      </c>
      <c r="H1894" s="54" t="s">
        <v>8716</v>
      </c>
      <c r="I1894" s="25" t="s">
        <v>329</v>
      </c>
      <c r="J1894" s="178" t="s">
        <v>8717</v>
      </c>
      <c r="K1894" s="25">
        <v>1.0</v>
      </c>
      <c r="L1894" s="25">
        <v>2002.0</v>
      </c>
      <c r="M1894" s="25">
        <f t="shared" si="789"/>
        <v>23</v>
      </c>
      <c r="N1894" s="26">
        <f t="shared" si="790"/>
        <v>0</v>
      </c>
      <c r="O1894" s="27" t="str">
        <f t="shared" si="3"/>
        <v>#N/A</v>
      </c>
      <c r="P1894" s="356"/>
      <c r="Q1894" s="356"/>
      <c r="R1894" s="356"/>
      <c r="S1894" s="356"/>
      <c r="T1894" s="356"/>
      <c r="U1894" s="356"/>
      <c r="V1894" s="30">
        <f t="shared" si="425"/>
        <v>0</v>
      </c>
      <c r="W1894" s="30"/>
      <c r="X1894" s="597"/>
      <c r="Y1894" s="33" t="str">
        <f t="shared" si="792"/>
        <v>#DIV/0!</v>
      </c>
      <c r="Z1894" s="692"/>
      <c r="AA1894" s="665"/>
      <c r="AB1894" s="123"/>
      <c r="AC1894" s="123"/>
      <c r="AD1894" s="1200"/>
      <c r="AE1894" s="1201"/>
      <c r="AF1894" s="166"/>
      <c r="AG1894" s="127"/>
      <c r="AH1894" s="1202"/>
      <c r="AI1894" s="759"/>
      <c r="AJ1894" s="1200"/>
      <c r="AK1894" s="165"/>
      <c r="AL1894" s="124"/>
      <c r="AM1894" s="125"/>
      <c r="AN1894" s="124"/>
      <c r="AO1894" s="125"/>
      <c r="AP1894" s="124"/>
      <c r="AQ1894" s="125"/>
      <c r="AR1894" s="124"/>
      <c r="AS1894" s="124"/>
      <c r="AT1894" s="124"/>
      <c r="AU1894" s="137"/>
      <c r="AV1894" s="124"/>
      <c r="AW1894" s="38"/>
      <c r="AX1894" s="124"/>
      <c r="AY1894" s="38"/>
      <c r="AZ1894" s="124"/>
      <c r="BA1894" s="137"/>
      <c r="BB1894" s="124"/>
      <c r="BC1894" s="137"/>
      <c r="BD1894" s="124"/>
      <c r="BE1894" s="38"/>
      <c r="BF1894" s="123"/>
      <c r="BG1894" s="115"/>
      <c r="BH1894" s="115"/>
      <c r="BI1894" s="115"/>
      <c r="BJ1894" s="115"/>
      <c r="BK1894" s="115"/>
      <c r="BL1894" s="115"/>
      <c r="BM1894" s="115"/>
      <c r="BN1894" s="115"/>
      <c r="BO1894" s="115"/>
      <c r="BP1894" s="115"/>
      <c r="BQ1894" s="115"/>
      <c r="BR1894" s="115"/>
      <c r="BS1894" s="115"/>
      <c r="BT1894" s="115"/>
      <c r="BU1894" s="115"/>
      <c r="BV1894" s="115"/>
      <c r="BW1894" s="115"/>
      <c r="BX1894" s="115"/>
      <c r="BY1894" s="115"/>
      <c r="BZ1894" s="115"/>
      <c r="CA1894" s="115"/>
      <c r="CB1894" s="115"/>
      <c r="CC1894" s="115"/>
      <c r="CD1894" s="115"/>
      <c r="CE1894" s="115"/>
      <c r="CF1894" s="115"/>
      <c r="CG1894" s="115"/>
      <c r="CH1894" s="115"/>
      <c r="CI1894" s="115"/>
      <c r="CJ1894" s="115"/>
      <c r="CK1894" s="115"/>
      <c r="CL1894" s="115"/>
      <c r="CM1894" s="115"/>
      <c r="CN1894" s="115"/>
      <c r="CO1894" s="115"/>
      <c r="CP1894" s="115"/>
    </row>
    <row r="1895" ht="15.75" customHeight="1">
      <c r="A1895" s="442" t="s">
        <v>8718</v>
      </c>
      <c r="B1895" s="68"/>
      <c r="C1895" s="69" t="s">
        <v>513</v>
      </c>
      <c r="D1895" s="200" t="s">
        <v>8719</v>
      </c>
      <c r="E1895" s="796" t="s">
        <v>8720</v>
      </c>
      <c r="F1895" s="841" t="s">
        <v>8721</v>
      </c>
      <c r="G1895" s="71" t="s">
        <v>7737</v>
      </c>
      <c r="H1895" s="186" t="s">
        <v>64</v>
      </c>
      <c r="I1895" s="74" t="s">
        <v>65</v>
      </c>
      <c r="J1895" s="155"/>
      <c r="K1895" s="26">
        <v>2.0</v>
      </c>
      <c r="L1895" s="26">
        <v>2014.0</v>
      </c>
      <c r="M1895" s="25">
        <f t="shared" si="789"/>
        <v>11</v>
      </c>
      <c r="N1895" s="26">
        <f t="shared" si="790"/>
        <v>0</v>
      </c>
      <c r="O1895" s="27" t="str">
        <f t="shared" si="3"/>
        <v>#N/A</v>
      </c>
      <c r="P1895" s="28"/>
      <c r="Q1895" s="28"/>
      <c r="R1895" s="28"/>
      <c r="S1895" s="28"/>
      <c r="T1895" s="28"/>
      <c r="U1895" s="28"/>
      <c r="V1895" s="30">
        <f t="shared" si="425"/>
        <v>0</v>
      </c>
      <c r="W1895" s="30"/>
      <c r="X1895" s="73"/>
      <c r="Y1895" s="33" t="str">
        <f t="shared" si="792"/>
        <v>#DIV/0!</v>
      </c>
      <c r="Z1895" s="692"/>
      <c r="AA1895" s="665"/>
      <c r="AB1895" s="74"/>
      <c r="AC1895" s="74"/>
      <c r="AD1895" s="79"/>
      <c r="AE1895" s="84"/>
      <c r="AF1895" s="338"/>
      <c r="AG1895" s="84"/>
      <c r="AH1895" s="77"/>
      <c r="AI1895" s="78"/>
      <c r="AJ1895" s="79"/>
      <c r="AK1895" s="84"/>
      <c r="AL1895" s="79"/>
      <c r="AM1895" s="84"/>
      <c r="AN1895" s="79"/>
      <c r="AO1895" s="84"/>
      <c r="AP1895" s="79"/>
      <c r="AQ1895" s="84"/>
      <c r="AR1895" s="79"/>
      <c r="AS1895" s="79"/>
      <c r="AT1895" s="79"/>
      <c r="AU1895" s="80"/>
      <c r="AV1895" s="79"/>
      <c r="AW1895" s="38"/>
      <c r="AX1895" s="79"/>
      <c r="AY1895" s="38"/>
      <c r="AZ1895" s="79"/>
      <c r="BA1895" s="80"/>
      <c r="BB1895" s="79"/>
      <c r="BC1895" s="80"/>
      <c r="BD1895" s="79"/>
      <c r="BE1895" s="38"/>
      <c r="BF1895" s="74"/>
      <c r="BG1895" s="115"/>
      <c r="BH1895" s="115"/>
      <c r="BI1895" s="115"/>
      <c r="BJ1895" s="115"/>
      <c r="BK1895" s="115"/>
      <c r="BL1895" s="115"/>
      <c r="BM1895" s="115"/>
      <c r="BN1895" s="115"/>
      <c r="BO1895" s="115"/>
      <c r="BP1895" s="115"/>
      <c r="BQ1895" s="115"/>
      <c r="BR1895" s="115"/>
      <c r="BS1895" s="115"/>
      <c r="BT1895" s="115"/>
      <c r="BU1895" s="115"/>
      <c r="BV1895" s="115"/>
      <c r="BW1895" s="115"/>
      <c r="BX1895" s="115"/>
      <c r="BY1895" s="115"/>
      <c r="BZ1895" s="115"/>
      <c r="CA1895" s="115"/>
      <c r="CB1895" s="115"/>
      <c r="CC1895" s="115"/>
      <c r="CD1895" s="115"/>
      <c r="CE1895" s="115"/>
      <c r="CF1895" s="115"/>
      <c r="CG1895" s="115"/>
      <c r="CH1895" s="115"/>
      <c r="CI1895" s="115"/>
      <c r="CJ1895" s="115"/>
      <c r="CK1895" s="115"/>
      <c r="CL1895" s="115"/>
      <c r="CM1895" s="115"/>
      <c r="CN1895" s="115"/>
      <c r="CO1895" s="115"/>
      <c r="CP1895" s="115"/>
    </row>
    <row r="1896" ht="15.75" customHeight="1">
      <c r="A1896" s="442" t="s">
        <v>8722</v>
      </c>
      <c r="B1896" s="68" t="s">
        <v>275</v>
      </c>
      <c r="C1896" s="69" t="s">
        <v>59</v>
      </c>
      <c r="D1896" s="184" t="s">
        <v>8723</v>
      </c>
      <c r="E1896" s="200" t="s">
        <v>8724</v>
      </c>
      <c r="F1896" s="1334" t="s">
        <v>8725</v>
      </c>
      <c r="G1896" s="186" t="s">
        <v>8726</v>
      </c>
      <c r="H1896" s="186" t="s">
        <v>128</v>
      </c>
      <c r="I1896" s="74" t="s">
        <v>129</v>
      </c>
      <c r="J1896" s="155" t="s">
        <v>2294</v>
      </c>
      <c r="K1896" s="74">
        <v>1.0</v>
      </c>
      <c r="L1896" s="79" t="s">
        <v>723</v>
      </c>
      <c r="M1896" s="169" t="str">
        <f t="shared" si="789"/>
        <v>#VALUE!</v>
      </c>
      <c r="N1896" s="26">
        <f t="shared" si="790"/>
        <v>0</v>
      </c>
      <c r="O1896" s="27" t="str">
        <f t="shared" si="3"/>
        <v>#N/A</v>
      </c>
      <c r="P1896" s="273"/>
      <c r="Q1896" s="273"/>
      <c r="R1896" s="273"/>
      <c r="S1896" s="273"/>
      <c r="T1896" s="273"/>
      <c r="U1896" s="273"/>
      <c r="V1896" s="30">
        <f t="shared" si="425"/>
        <v>0</v>
      </c>
      <c r="W1896" s="30"/>
      <c r="X1896" s="32"/>
      <c r="Y1896" s="33" t="str">
        <f t="shared" si="792"/>
        <v>#DIV/0!</v>
      </c>
      <c r="Z1896" s="692"/>
      <c r="AA1896" s="665"/>
      <c r="AB1896" s="74"/>
      <c r="AC1896" s="74"/>
      <c r="AD1896" s="79"/>
      <c r="AE1896" s="84"/>
      <c r="AF1896" s="338"/>
      <c r="AG1896" s="76"/>
      <c r="AH1896" s="74"/>
      <c r="AI1896" s="78"/>
      <c r="AJ1896" s="279"/>
      <c r="AK1896" s="76"/>
      <c r="AL1896" s="79"/>
      <c r="AM1896" s="76"/>
      <c r="AN1896" s="79"/>
      <c r="AO1896" s="76"/>
      <c r="AP1896" s="79"/>
      <c r="AQ1896" s="84"/>
      <c r="AR1896" s="79"/>
      <c r="AS1896" s="79"/>
      <c r="AT1896" s="79"/>
      <c r="AU1896" s="80"/>
      <c r="AV1896" s="79"/>
      <c r="AW1896" s="38"/>
      <c r="AX1896" s="79"/>
      <c r="AY1896" s="38"/>
      <c r="AZ1896" s="79"/>
      <c r="BA1896" s="80"/>
      <c r="BB1896" s="79"/>
      <c r="BC1896" s="80"/>
      <c r="BD1896" s="79"/>
      <c r="BE1896" s="38"/>
      <c r="BF1896" s="74"/>
      <c r="BG1896" s="115"/>
      <c r="BH1896" s="115"/>
      <c r="BI1896" s="115"/>
      <c r="BJ1896" s="115"/>
      <c r="BK1896" s="115"/>
      <c r="BL1896" s="115"/>
      <c r="BM1896" s="115"/>
      <c r="BN1896" s="115"/>
      <c r="BO1896" s="115"/>
      <c r="BP1896" s="115"/>
      <c r="BQ1896" s="115"/>
      <c r="BR1896" s="115"/>
      <c r="BS1896" s="115"/>
      <c r="BT1896" s="115"/>
      <c r="BU1896" s="115"/>
      <c r="BV1896" s="115"/>
      <c r="BW1896" s="115"/>
      <c r="BX1896" s="115"/>
      <c r="BY1896" s="115"/>
      <c r="BZ1896" s="115"/>
      <c r="CA1896" s="115"/>
      <c r="CB1896" s="115"/>
      <c r="CC1896" s="115"/>
      <c r="CD1896" s="115"/>
      <c r="CE1896" s="115"/>
      <c r="CF1896" s="115"/>
      <c r="CG1896" s="115"/>
      <c r="CH1896" s="115"/>
      <c r="CI1896" s="115"/>
      <c r="CJ1896" s="115"/>
      <c r="CK1896" s="115"/>
      <c r="CL1896" s="115"/>
      <c r="CM1896" s="115"/>
      <c r="CN1896" s="115"/>
      <c r="CO1896" s="115"/>
      <c r="CP1896" s="115"/>
    </row>
    <row r="1897" ht="15.75" customHeight="1">
      <c r="A1897" s="1904" t="s">
        <v>8727</v>
      </c>
      <c r="B1897" s="68"/>
      <c r="C1897" s="69" t="s">
        <v>84</v>
      </c>
      <c r="D1897" s="192" t="s">
        <v>8728</v>
      </c>
      <c r="E1897" s="192" t="s">
        <v>8729</v>
      </c>
      <c r="F1897" s="756" t="s">
        <v>8730</v>
      </c>
      <c r="G1897" s="71"/>
      <c r="H1897" s="71" t="s">
        <v>8731</v>
      </c>
      <c r="I1897" s="26" t="s">
        <v>4984</v>
      </c>
      <c r="J1897" s="72"/>
      <c r="K1897" s="26"/>
      <c r="L1897" s="26">
        <v>2017.0</v>
      </c>
      <c r="M1897" s="25">
        <f t="shared" si="789"/>
        <v>8</v>
      </c>
      <c r="N1897" s="26">
        <f t="shared" si="790"/>
        <v>0</v>
      </c>
      <c r="O1897" s="27" t="str">
        <f t="shared" si="3"/>
        <v>#N/A</v>
      </c>
      <c r="P1897" s="28"/>
      <c r="Q1897" s="28"/>
      <c r="R1897" s="28"/>
      <c r="S1897" s="28"/>
      <c r="T1897" s="28"/>
      <c r="U1897" s="28"/>
      <c r="V1897" s="30">
        <f t="shared" si="425"/>
        <v>0</v>
      </c>
      <c r="W1897" s="30"/>
      <c r="X1897" s="73"/>
      <c r="Y1897" s="33" t="str">
        <f t="shared" si="792"/>
        <v>#DIV/0!</v>
      </c>
      <c r="Z1897" s="692"/>
      <c r="AA1897" s="665"/>
      <c r="AB1897" s="74"/>
      <c r="AC1897" s="74"/>
      <c r="AD1897" s="79"/>
      <c r="AE1897" s="84"/>
      <c r="AF1897" s="338"/>
      <c r="AG1897" s="84"/>
      <c r="AH1897" s="74"/>
      <c r="AI1897" s="78"/>
      <c r="AJ1897" s="79"/>
      <c r="AK1897" s="84"/>
      <c r="AL1897" s="79"/>
      <c r="AM1897" s="84"/>
      <c r="AN1897" s="79"/>
      <c r="AO1897" s="76"/>
      <c r="AP1897" s="79"/>
      <c r="AQ1897" s="84"/>
      <c r="AR1897" s="79"/>
      <c r="AS1897" s="79"/>
      <c r="AT1897" s="79"/>
      <c r="AU1897" s="80"/>
      <c r="AV1897" s="79"/>
      <c r="AW1897" s="38"/>
      <c r="AX1897" s="79"/>
      <c r="AY1897" s="38"/>
      <c r="AZ1897" s="79"/>
      <c r="BA1897" s="80"/>
      <c r="BB1897" s="79"/>
      <c r="BC1897" s="80"/>
      <c r="BD1897" s="79"/>
      <c r="BE1897" s="38"/>
      <c r="BF1897" s="74"/>
      <c r="BG1897" s="115"/>
      <c r="BH1897" s="115"/>
      <c r="BI1897" s="115"/>
      <c r="BJ1897" s="115"/>
      <c r="BK1897" s="115"/>
      <c r="BL1897" s="115"/>
      <c r="BM1897" s="115"/>
      <c r="BN1897" s="115"/>
      <c r="BO1897" s="115"/>
      <c r="BP1897" s="115"/>
      <c r="BQ1897" s="115"/>
      <c r="BR1897" s="115"/>
      <c r="BS1897" s="115"/>
      <c r="BT1897" s="115"/>
      <c r="BU1897" s="115"/>
      <c r="BV1897" s="115"/>
      <c r="BW1897" s="115"/>
      <c r="BX1897" s="115"/>
      <c r="BY1897" s="115"/>
      <c r="BZ1897" s="115"/>
      <c r="CA1897" s="115"/>
      <c r="CB1897" s="115"/>
      <c r="CC1897" s="115"/>
      <c r="CD1897" s="115"/>
      <c r="CE1897" s="115"/>
      <c r="CF1897" s="115"/>
      <c r="CG1897" s="115"/>
      <c r="CH1897" s="115"/>
      <c r="CI1897" s="115"/>
      <c r="CJ1897" s="115"/>
      <c r="CK1897" s="115"/>
      <c r="CL1897" s="115"/>
      <c r="CM1897" s="115"/>
      <c r="CN1897" s="115"/>
      <c r="CO1897" s="115"/>
      <c r="CP1897" s="115"/>
    </row>
    <row r="1898" ht="15.75" customHeight="1">
      <c r="A1898" s="442" t="s">
        <v>8732</v>
      </c>
      <c r="B1898" s="68" t="s">
        <v>944</v>
      </c>
      <c r="C1898" s="69" t="s">
        <v>132</v>
      </c>
      <c r="D1898" s="192" t="s">
        <v>8733</v>
      </c>
      <c r="E1898" s="192" t="s">
        <v>8734</v>
      </c>
      <c r="F1898" s="1905" t="s">
        <v>8735</v>
      </c>
      <c r="G1898" s="71" t="s">
        <v>8736</v>
      </c>
      <c r="H1898" s="186" t="s">
        <v>64</v>
      </c>
      <c r="I1898" s="74" t="s">
        <v>65</v>
      </c>
      <c r="J1898" s="72" t="s">
        <v>1288</v>
      </c>
      <c r="K1898" s="26">
        <v>2.0</v>
      </c>
      <c r="L1898" s="26">
        <v>2016.0</v>
      </c>
      <c r="M1898" s="25">
        <f t="shared" si="789"/>
        <v>9</v>
      </c>
      <c r="N1898" s="26">
        <f t="shared" si="790"/>
        <v>0</v>
      </c>
      <c r="O1898" s="27" t="str">
        <f t="shared" si="3"/>
        <v>#N/A</v>
      </c>
      <c r="P1898" s="28"/>
      <c r="Q1898" s="28"/>
      <c r="R1898" s="28"/>
      <c r="S1898" s="28"/>
      <c r="T1898" s="28"/>
      <c r="U1898" s="28"/>
      <c r="V1898" s="30">
        <f t="shared" si="425"/>
        <v>0</v>
      </c>
      <c r="W1898" s="30"/>
      <c r="X1898" s="73"/>
      <c r="Y1898" s="33" t="str">
        <f t="shared" si="792"/>
        <v>#DIV/0!</v>
      </c>
      <c r="Z1898" s="692"/>
      <c r="AA1898" s="665"/>
      <c r="AB1898" s="74"/>
      <c r="AC1898" s="74"/>
      <c r="AD1898" s="79"/>
      <c r="AE1898" s="84"/>
      <c r="AF1898" s="338"/>
      <c r="AG1898" s="84"/>
      <c r="AH1898" s="74"/>
      <c r="AI1898" s="78"/>
      <c r="AJ1898" s="79"/>
      <c r="AK1898" s="84"/>
      <c r="AL1898" s="79"/>
      <c r="AM1898" s="84"/>
      <c r="AN1898" s="79"/>
      <c r="AO1898" s="76"/>
      <c r="AP1898" s="79"/>
      <c r="AQ1898" s="84"/>
      <c r="AR1898" s="79"/>
      <c r="AS1898" s="79"/>
      <c r="AT1898" s="79"/>
      <c r="AU1898" s="80"/>
      <c r="AV1898" s="79"/>
      <c r="AW1898" s="38"/>
      <c r="AX1898" s="79"/>
      <c r="AY1898" s="38"/>
      <c r="AZ1898" s="79"/>
      <c r="BA1898" s="80"/>
      <c r="BB1898" s="79"/>
      <c r="BC1898" s="80"/>
      <c r="BD1898" s="79">
        <v>43186.0</v>
      </c>
      <c r="BE1898" s="38"/>
      <c r="BF1898" s="74" t="s">
        <v>8737</v>
      </c>
      <c r="BG1898" s="115"/>
      <c r="BH1898" s="115"/>
      <c r="BI1898" s="115"/>
      <c r="BJ1898" s="115"/>
      <c r="BK1898" s="115"/>
      <c r="BL1898" s="115"/>
      <c r="BM1898" s="115"/>
      <c r="BN1898" s="115"/>
      <c r="BO1898" s="115"/>
      <c r="BP1898" s="115"/>
      <c r="BQ1898" s="115"/>
      <c r="BR1898" s="115"/>
      <c r="BS1898" s="115"/>
      <c r="BT1898" s="115"/>
      <c r="BU1898" s="115"/>
      <c r="BV1898" s="115"/>
      <c r="BW1898" s="115"/>
      <c r="BX1898" s="115"/>
      <c r="BY1898" s="115"/>
      <c r="BZ1898" s="115"/>
      <c r="CA1898" s="115"/>
      <c r="CB1898" s="115"/>
      <c r="CC1898" s="115"/>
      <c r="CD1898" s="115"/>
      <c r="CE1898" s="115"/>
      <c r="CF1898" s="115"/>
      <c r="CG1898" s="115"/>
      <c r="CH1898" s="115"/>
      <c r="CI1898" s="115"/>
      <c r="CJ1898" s="115"/>
      <c r="CK1898" s="115"/>
      <c r="CL1898" s="115"/>
      <c r="CM1898" s="115"/>
      <c r="CN1898" s="115"/>
      <c r="CO1898" s="115"/>
      <c r="CP1898" s="115"/>
    </row>
    <row r="1899" ht="15.75" customHeight="1">
      <c r="A1899" s="931" t="s">
        <v>8738</v>
      </c>
      <c r="B1899" s="68"/>
      <c r="C1899" s="69" t="s">
        <v>123</v>
      </c>
      <c r="D1899" s="337"/>
      <c r="E1899" s="192" t="s">
        <v>8739</v>
      </c>
      <c r="F1899" s="756" t="s">
        <v>8740</v>
      </c>
      <c r="G1899" s="186"/>
      <c r="H1899" s="71" t="s">
        <v>8741</v>
      </c>
      <c r="I1899" s="26" t="s">
        <v>188</v>
      </c>
      <c r="J1899" s="155"/>
      <c r="K1899" s="74"/>
      <c r="L1899" s="26">
        <v>2008.0</v>
      </c>
      <c r="M1899" s="25">
        <f t="shared" si="789"/>
        <v>17</v>
      </c>
      <c r="N1899" s="26">
        <f t="shared" si="790"/>
        <v>0</v>
      </c>
      <c r="O1899" s="27" t="str">
        <f t="shared" si="3"/>
        <v>#N/A</v>
      </c>
      <c r="P1899" s="273"/>
      <c r="Q1899" s="273"/>
      <c r="R1899" s="273"/>
      <c r="S1899" s="273"/>
      <c r="T1899" s="273"/>
      <c r="U1899" s="273"/>
      <c r="V1899" s="30">
        <f t="shared" si="425"/>
        <v>0</v>
      </c>
      <c r="W1899" s="30"/>
      <c r="X1899" s="32"/>
      <c r="Y1899" s="33" t="str">
        <f t="shared" si="792"/>
        <v>#DIV/0!</v>
      </c>
      <c r="Z1899" s="692"/>
      <c r="AA1899" s="665"/>
      <c r="AB1899" s="74"/>
      <c r="AC1899" s="74"/>
      <c r="AD1899" s="79"/>
      <c r="AE1899" s="84"/>
      <c r="AF1899" s="338"/>
      <c r="AG1899" s="84"/>
      <c r="AH1899" s="74"/>
      <c r="AI1899" s="78"/>
      <c r="AJ1899" s="79"/>
      <c r="AK1899" s="807"/>
      <c r="AL1899" s="79"/>
      <c r="AM1899" s="84"/>
      <c r="AN1899" s="79"/>
      <c r="AO1899" s="84"/>
      <c r="AP1899" s="79"/>
      <c r="AQ1899" s="84"/>
      <c r="AR1899" s="79"/>
      <c r="AS1899" s="79"/>
      <c r="AT1899" s="79"/>
      <c r="AU1899" s="80"/>
      <c r="AV1899" s="79"/>
      <c r="AW1899" s="38"/>
      <c r="AX1899" s="79"/>
      <c r="AY1899" s="38"/>
      <c r="AZ1899" s="79"/>
      <c r="BA1899" s="80"/>
      <c r="BB1899" s="79"/>
      <c r="BC1899" s="80"/>
      <c r="BD1899" s="79"/>
      <c r="BE1899" s="38"/>
      <c r="BF1899" s="74"/>
      <c r="BG1899" s="115"/>
      <c r="BH1899" s="115"/>
      <c r="BI1899" s="115"/>
      <c r="BJ1899" s="115"/>
      <c r="BK1899" s="115"/>
      <c r="BL1899" s="115"/>
      <c r="BM1899" s="115"/>
      <c r="BN1899" s="115"/>
      <c r="BO1899" s="115"/>
      <c r="BP1899" s="115"/>
      <c r="BQ1899" s="115"/>
      <c r="BR1899" s="115"/>
      <c r="BS1899" s="115"/>
      <c r="BT1899" s="115"/>
      <c r="BU1899" s="115"/>
      <c r="BV1899" s="115"/>
      <c r="BW1899" s="115"/>
      <c r="BX1899" s="115"/>
      <c r="BY1899" s="115"/>
      <c r="BZ1899" s="115"/>
      <c r="CA1899" s="115"/>
      <c r="CB1899" s="115"/>
      <c r="CC1899" s="115"/>
      <c r="CD1899" s="115"/>
      <c r="CE1899" s="115"/>
      <c r="CF1899" s="115"/>
      <c r="CG1899" s="115"/>
      <c r="CH1899" s="115"/>
      <c r="CI1899" s="115"/>
      <c r="CJ1899" s="115"/>
      <c r="CK1899" s="115"/>
      <c r="CL1899" s="115"/>
      <c r="CM1899" s="115"/>
      <c r="CN1899" s="115"/>
      <c r="CO1899" s="115"/>
      <c r="CP1899" s="115"/>
    </row>
    <row r="1900" ht="15.75" customHeight="1">
      <c r="A1900" s="442" t="s">
        <v>8742</v>
      </c>
      <c r="B1900" s="68" t="s">
        <v>8743</v>
      </c>
      <c r="C1900" s="69" t="s">
        <v>123</v>
      </c>
      <c r="D1900" s="337"/>
      <c r="E1900" s="138" t="s">
        <v>8744</v>
      </c>
      <c r="F1900" s="1906" t="s">
        <v>8745</v>
      </c>
      <c r="G1900" s="186" t="s">
        <v>8746</v>
      </c>
      <c r="H1900" s="186" t="s">
        <v>8747</v>
      </c>
      <c r="I1900" s="74" t="s">
        <v>8748</v>
      </c>
      <c r="J1900" s="155" t="s">
        <v>8749</v>
      </c>
      <c r="K1900" s="74">
        <v>1.0</v>
      </c>
      <c r="L1900" s="26">
        <v>2017.0</v>
      </c>
      <c r="M1900" s="25">
        <f t="shared" si="789"/>
        <v>8</v>
      </c>
      <c r="N1900" s="26">
        <f t="shared" si="790"/>
        <v>0</v>
      </c>
      <c r="O1900" s="27" t="str">
        <f t="shared" si="3"/>
        <v>#N/A</v>
      </c>
      <c r="P1900" s="273"/>
      <c r="Q1900" s="273"/>
      <c r="R1900" s="273"/>
      <c r="S1900" s="273"/>
      <c r="T1900" s="273"/>
      <c r="U1900" s="273"/>
      <c r="V1900" s="30">
        <f t="shared" si="425"/>
        <v>0</v>
      </c>
      <c r="W1900" s="30"/>
      <c r="X1900" s="32"/>
      <c r="Y1900" s="33" t="str">
        <f t="shared" si="792"/>
        <v>#DIV/0!</v>
      </c>
      <c r="Z1900" s="692"/>
      <c r="AA1900" s="665"/>
      <c r="AB1900" s="74"/>
      <c r="AC1900" s="74"/>
      <c r="AD1900" s="79"/>
      <c r="AE1900" s="84"/>
      <c r="AF1900" s="338"/>
      <c r="AG1900" s="84"/>
      <c r="AH1900" s="74"/>
      <c r="AI1900" s="78"/>
      <c r="AJ1900" s="79"/>
      <c r="AK1900" s="807"/>
      <c r="AL1900" s="79"/>
      <c r="AM1900" s="84"/>
      <c r="AN1900" s="79"/>
      <c r="AO1900" s="84"/>
      <c r="AP1900" s="79"/>
      <c r="AQ1900" s="84"/>
      <c r="AR1900" s="79"/>
      <c r="AS1900" s="79"/>
      <c r="AT1900" s="79"/>
      <c r="AU1900" s="80"/>
      <c r="AV1900" s="79"/>
      <c r="AW1900" s="38"/>
      <c r="AX1900" s="79"/>
      <c r="AY1900" s="38"/>
      <c r="AZ1900" s="79"/>
      <c r="BA1900" s="80"/>
      <c r="BB1900" s="79"/>
      <c r="BC1900" s="80"/>
      <c r="BD1900" s="79"/>
      <c r="BE1900" s="38"/>
      <c r="BF1900" s="74"/>
      <c r="BG1900" s="115"/>
      <c r="BH1900" s="115"/>
      <c r="BI1900" s="115"/>
      <c r="BJ1900" s="115"/>
      <c r="BK1900" s="115"/>
      <c r="BL1900" s="115"/>
      <c r="BM1900" s="115"/>
      <c r="BN1900" s="115"/>
      <c r="BO1900" s="115"/>
      <c r="BP1900" s="115"/>
      <c r="BQ1900" s="115"/>
      <c r="BR1900" s="115"/>
      <c r="BS1900" s="115"/>
      <c r="BT1900" s="115"/>
      <c r="BU1900" s="115"/>
      <c r="BV1900" s="115"/>
      <c r="BW1900" s="115"/>
      <c r="BX1900" s="115"/>
      <c r="BY1900" s="115"/>
      <c r="BZ1900" s="115"/>
      <c r="CA1900" s="115"/>
      <c r="CB1900" s="115"/>
      <c r="CC1900" s="115"/>
      <c r="CD1900" s="115"/>
      <c r="CE1900" s="115"/>
      <c r="CF1900" s="115"/>
      <c r="CG1900" s="115"/>
      <c r="CH1900" s="115"/>
      <c r="CI1900" s="115"/>
      <c r="CJ1900" s="115"/>
      <c r="CK1900" s="115"/>
      <c r="CL1900" s="115"/>
      <c r="CM1900" s="115"/>
      <c r="CN1900" s="115"/>
      <c r="CO1900" s="115"/>
      <c r="CP1900" s="115"/>
    </row>
    <row r="1901" ht="15.75" customHeight="1">
      <c r="A1901" s="931" t="s">
        <v>8750</v>
      </c>
      <c r="B1901" s="68"/>
      <c r="C1901" s="69" t="s">
        <v>2808</v>
      </c>
      <c r="D1901" s="380"/>
      <c r="E1901" s="192" t="s">
        <v>8751</v>
      </c>
      <c r="F1901" s="756" t="s">
        <v>8752</v>
      </c>
      <c r="G1901" s="54"/>
      <c r="H1901" s="71" t="s">
        <v>1546</v>
      </c>
      <c r="I1901" s="26" t="s">
        <v>1547</v>
      </c>
      <c r="J1901" s="72"/>
      <c r="K1901" s="26"/>
      <c r="L1901" s="26">
        <v>2017.0</v>
      </c>
      <c r="M1901" s="25">
        <f t="shared" si="789"/>
        <v>8</v>
      </c>
      <c r="N1901" s="26">
        <f t="shared" si="790"/>
        <v>0</v>
      </c>
      <c r="O1901" s="27" t="str">
        <f t="shared" si="3"/>
        <v>#N/A</v>
      </c>
      <c r="P1901" s="273"/>
      <c r="Q1901" s="273"/>
      <c r="R1901" s="273"/>
      <c r="S1901" s="273"/>
      <c r="T1901" s="273"/>
      <c r="U1901" s="273"/>
      <c r="V1901" s="30">
        <f t="shared" si="425"/>
        <v>0</v>
      </c>
      <c r="W1901" s="30"/>
      <c r="X1901" s="73"/>
      <c r="Y1901" s="33" t="str">
        <f t="shared" si="792"/>
        <v>#DIV/0!</v>
      </c>
      <c r="Z1901" s="692"/>
      <c r="AA1901" s="665"/>
      <c r="AB1901" s="74"/>
      <c r="AC1901" s="74"/>
      <c r="AD1901" s="79"/>
      <c r="AE1901" s="84"/>
      <c r="AF1901" s="338"/>
      <c r="AG1901" s="76"/>
      <c r="AH1901" s="74"/>
      <c r="AI1901" s="78"/>
      <c r="AJ1901" s="79"/>
      <c r="AK1901" s="84"/>
      <c r="AL1901" s="79"/>
      <c r="AM1901" s="84"/>
      <c r="AN1901" s="79"/>
      <c r="AO1901" s="84"/>
      <c r="AP1901" s="79"/>
      <c r="AQ1901" s="84"/>
      <c r="AR1901" s="79"/>
      <c r="AS1901" s="79"/>
      <c r="AT1901" s="79"/>
      <c r="AU1901" s="80"/>
      <c r="AV1901" s="79"/>
      <c r="AW1901" s="38"/>
      <c r="AX1901" s="79"/>
      <c r="AY1901" s="38"/>
      <c r="AZ1901" s="79"/>
      <c r="BA1901" s="80"/>
      <c r="BB1901" s="79"/>
      <c r="BC1901" s="80"/>
      <c r="BD1901" s="79"/>
      <c r="BE1901" s="38"/>
      <c r="BF1901" s="74"/>
      <c r="BG1901" s="115"/>
      <c r="BH1901" s="115"/>
      <c r="BI1901" s="115"/>
      <c r="BJ1901" s="115"/>
      <c r="BK1901" s="115"/>
      <c r="BL1901" s="115"/>
      <c r="BM1901" s="115"/>
      <c r="BN1901" s="115"/>
      <c r="BO1901" s="115"/>
      <c r="BP1901" s="115"/>
      <c r="BQ1901" s="115"/>
      <c r="BR1901" s="115"/>
      <c r="BS1901" s="115"/>
      <c r="BT1901" s="115"/>
      <c r="BU1901" s="115"/>
      <c r="BV1901" s="115"/>
      <c r="BW1901" s="115"/>
      <c r="BX1901" s="115"/>
      <c r="BY1901" s="115"/>
      <c r="BZ1901" s="115"/>
      <c r="CA1901" s="115"/>
      <c r="CB1901" s="115"/>
      <c r="CC1901" s="115"/>
      <c r="CD1901" s="115"/>
      <c r="CE1901" s="115"/>
      <c r="CF1901" s="115"/>
      <c r="CG1901" s="115"/>
      <c r="CH1901" s="115"/>
      <c r="CI1901" s="115"/>
      <c r="CJ1901" s="115"/>
      <c r="CK1901" s="115"/>
      <c r="CL1901" s="115"/>
      <c r="CM1901" s="115"/>
      <c r="CN1901" s="115"/>
      <c r="CO1901" s="115"/>
      <c r="CP1901" s="115"/>
    </row>
    <row r="1902" ht="15.75" customHeight="1">
      <c r="A1902" s="21" t="s">
        <v>8753</v>
      </c>
      <c r="B1902" s="68"/>
      <c r="C1902" s="69" t="s">
        <v>132</v>
      </c>
      <c r="D1902" s="200" t="s">
        <v>8754</v>
      </c>
      <c r="E1902" s="200" t="s">
        <v>8755</v>
      </c>
      <c r="F1902" s="1335" t="s">
        <v>8756</v>
      </c>
      <c r="G1902" s="54" t="s">
        <v>8757</v>
      </c>
      <c r="H1902" s="71" t="s">
        <v>1833</v>
      </c>
      <c r="I1902" s="69" t="s">
        <v>4391</v>
      </c>
      <c r="J1902" s="72" t="s">
        <v>8758</v>
      </c>
      <c r="K1902" s="26">
        <v>2.0</v>
      </c>
      <c r="L1902" s="26">
        <v>2013.0</v>
      </c>
      <c r="M1902" s="25">
        <f t="shared" si="789"/>
        <v>12</v>
      </c>
      <c r="N1902" s="26">
        <f t="shared" si="790"/>
        <v>1</v>
      </c>
      <c r="O1902" s="27" t="str">
        <f t="shared" si="3"/>
        <v>#N/A</v>
      </c>
      <c r="P1902" s="273"/>
      <c r="Q1902" s="273"/>
      <c r="R1902" s="273"/>
      <c r="S1902" s="273"/>
      <c r="T1902" s="273"/>
      <c r="U1902" s="273"/>
      <c r="V1902" s="30">
        <f t="shared" si="425"/>
        <v>0</v>
      </c>
      <c r="W1902" s="30"/>
      <c r="X1902" s="73"/>
      <c r="Y1902" s="33" t="str">
        <f t="shared" si="792"/>
        <v>#DIV/0!</v>
      </c>
      <c r="Z1902" s="692"/>
      <c r="AA1902" s="665"/>
      <c r="AB1902" s="74"/>
      <c r="AC1902" s="74"/>
      <c r="AD1902" s="79"/>
      <c r="AE1902" s="84"/>
      <c r="AF1902" s="175" t="str">
        <f>HYPERLINK("https://www.crunchbase.com/funding_round/stratis-seed--6869e3ce#section-overview","Oct 1, 2016")</f>
        <v>Oct 1, 2016</v>
      </c>
      <c r="AG1902" s="76">
        <v>0.0</v>
      </c>
      <c r="AH1902" s="74"/>
      <c r="AI1902" s="78"/>
      <c r="AJ1902" s="79"/>
      <c r="AK1902" s="84"/>
      <c r="AL1902" s="79"/>
      <c r="AM1902" s="84"/>
      <c r="AN1902" s="79"/>
      <c r="AO1902" s="84"/>
      <c r="AP1902" s="79"/>
      <c r="AQ1902" s="84"/>
      <c r="AR1902" s="79"/>
      <c r="AS1902" s="79"/>
      <c r="AT1902" s="79"/>
      <c r="AU1902" s="80"/>
      <c r="AV1902" s="79"/>
      <c r="AW1902" s="38"/>
      <c r="AX1902" s="79"/>
      <c r="AY1902" s="38"/>
      <c r="AZ1902" s="79"/>
      <c r="BA1902" s="80"/>
      <c r="BB1902" s="79"/>
      <c r="BC1902" s="80"/>
      <c r="BD1902" s="79"/>
      <c r="BE1902" s="38"/>
      <c r="BF1902" s="74"/>
      <c r="BG1902" s="115"/>
      <c r="BH1902" s="115"/>
      <c r="BI1902" s="115"/>
      <c r="BJ1902" s="115"/>
      <c r="BK1902" s="115"/>
      <c r="BL1902" s="115"/>
      <c r="BM1902" s="115"/>
      <c r="BN1902" s="115"/>
      <c r="BO1902" s="115"/>
      <c r="BP1902" s="115"/>
      <c r="BQ1902" s="115"/>
      <c r="BR1902" s="115"/>
      <c r="BS1902" s="115"/>
      <c r="BT1902" s="115"/>
      <c r="BU1902" s="115"/>
      <c r="BV1902" s="115"/>
      <c r="BW1902" s="115"/>
      <c r="BX1902" s="115"/>
      <c r="BY1902" s="115"/>
      <c r="BZ1902" s="115"/>
      <c r="CA1902" s="115"/>
      <c r="CB1902" s="115"/>
      <c r="CC1902" s="115"/>
      <c r="CD1902" s="115"/>
      <c r="CE1902" s="115"/>
      <c r="CF1902" s="115"/>
      <c r="CG1902" s="115"/>
      <c r="CH1902" s="115"/>
      <c r="CI1902" s="115"/>
      <c r="CJ1902" s="115"/>
      <c r="CK1902" s="115"/>
      <c r="CL1902" s="115"/>
      <c r="CM1902" s="115"/>
      <c r="CN1902" s="115"/>
      <c r="CO1902" s="115"/>
      <c r="CP1902" s="115"/>
    </row>
    <row r="1903" ht="15.75" customHeight="1">
      <c r="A1903" s="931" t="s">
        <v>8759</v>
      </c>
      <c r="B1903" s="68"/>
      <c r="C1903" s="69" t="s">
        <v>123</v>
      </c>
      <c r="D1903" s="192" t="s">
        <v>8760</v>
      </c>
      <c r="E1903" s="380"/>
      <c r="F1903" s="756" t="s">
        <v>8761</v>
      </c>
      <c r="G1903" s="71"/>
      <c r="H1903" s="71"/>
      <c r="I1903" s="26"/>
      <c r="J1903" s="72"/>
      <c r="K1903" s="26"/>
      <c r="L1903" s="26"/>
      <c r="M1903" s="25">
        <f t="shared" si="789"/>
        <v>2025</v>
      </c>
      <c r="N1903" s="26">
        <f t="shared" si="790"/>
        <v>0</v>
      </c>
      <c r="O1903" s="27" t="str">
        <f t="shared" si="3"/>
        <v>#N/A</v>
      </c>
      <c r="P1903" s="273"/>
      <c r="Q1903" s="273"/>
      <c r="R1903" s="273"/>
      <c r="S1903" s="273"/>
      <c r="T1903" s="273"/>
      <c r="U1903" s="273"/>
      <c r="V1903" s="30">
        <f t="shared" si="425"/>
        <v>0</v>
      </c>
      <c r="W1903" s="30"/>
      <c r="X1903" s="73"/>
      <c r="Y1903" s="33" t="str">
        <f t="shared" si="792"/>
        <v>#DIV/0!</v>
      </c>
      <c r="Z1903" s="692"/>
      <c r="AA1903" s="665"/>
      <c r="AB1903" s="74"/>
      <c r="AC1903" s="74"/>
      <c r="AD1903" s="79"/>
      <c r="AE1903" s="84"/>
      <c r="AF1903" s="338"/>
      <c r="AG1903" s="76"/>
      <c r="AH1903" s="74"/>
      <c r="AI1903" s="78"/>
      <c r="AJ1903" s="79"/>
      <c r="AK1903" s="84"/>
      <c r="AL1903" s="79"/>
      <c r="AM1903" s="84"/>
      <c r="AN1903" s="79"/>
      <c r="AO1903" s="84"/>
      <c r="AP1903" s="79"/>
      <c r="AQ1903" s="84"/>
      <c r="AR1903" s="79"/>
      <c r="AS1903" s="79"/>
      <c r="AT1903" s="79"/>
      <c r="AU1903" s="80"/>
      <c r="AV1903" s="79"/>
      <c r="AW1903" s="38"/>
      <c r="AX1903" s="79"/>
      <c r="AY1903" s="38"/>
      <c r="AZ1903" s="79"/>
      <c r="BA1903" s="80"/>
      <c r="BB1903" s="79"/>
      <c r="BC1903" s="80"/>
      <c r="BD1903" s="79"/>
      <c r="BE1903" s="38"/>
      <c r="BF1903" s="74"/>
      <c r="BG1903" s="115"/>
      <c r="BH1903" s="115"/>
      <c r="BI1903" s="115"/>
      <c r="BJ1903" s="115"/>
      <c r="BK1903" s="115"/>
      <c r="BL1903" s="115"/>
      <c r="BM1903" s="115"/>
      <c r="BN1903" s="115"/>
      <c r="BO1903" s="115"/>
      <c r="BP1903" s="115"/>
      <c r="BQ1903" s="115"/>
      <c r="BR1903" s="115"/>
      <c r="BS1903" s="115"/>
      <c r="BT1903" s="115"/>
      <c r="BU1903" s="115"/>
      <c r="BV1903" s="115"/>
      <c r="BW1903" s="115"/>
      <c r="BX1903" s="115"/>
      <c r="BY1903" s="115"/>
      <c r="BZ1903" s="115"/>
      <c r="CA1903" s="115"/>
      <c r="CB1903" s="115"/>
      <c r="CC1903" s="115"/>
      <c r="CD1903" s="115"/>
      <c r="CE1903" s="115"/>
      <c r="CF1903" s="115"/>
      <c r="CG1903" s="115"/>
      <c r="CH1903" s="115"/>
      <c r="CI1903" s="115"/>
      <c r="CJ1903" s="115"/>
      <c r="CK1903" s="115"/>
      <c r="CL1903" s="115"/>
      <c r="CM1903" s="115"/>
      <c r="CN1903" s="115"/>
      <c r="CO1903" s="115"/>
      <c r="CP1903" s="115"/>
    </row>
    <row r="1904" ht="15.75" customHeight="1">
      <c r="A1904" s="1907" t="s">
        <v>8762</v>
      </c>
      <c r="B1904" s="1644"/>
      <c r="C1904" s="1762" t="s">
        <v>8763</v>
      </c>
      <c r="D1904" s="1763" t="s">
        <v>4781</v>
      </c>
      <c r="E1904" s="1763" t="s">
        <v>4781</v>
      </c>
      <c r="F1904" s="1742" t="s">
        <v>8764</v>
      </c>
      <c r="G1904" s="1908" t="s">
        <v>8765</v>
      </c>
      <c r="H1904" s="1908" t="s">
        <v>8766</v>
      </c>
      <c r="I1904" s="1739" t="s">
        <v>8767</v>
      </c>
      <c r="J1904" s="1765"/>
      <c r="K1904" s="1762"/>
      <c r="L1904" s="1909"/>
      <c r="M1904" s="25">
        <f t="shared" si="789"/>
        <v>2025</v>
      </c>
      <c r="N1904" s="26">
        <f t="shared" si="790"/>
        <v>0</v>
      </c>
      <c r="O1904" s="27" t="str">
        <f t="shared" si="3"/>
        <v>#N/A</v>
      </c>
      <c r="P1904" s="1876"/>
      <c r="Q1904" s="1876"/>
      <c r="R1904" s="1876"/>
      <c r="S1904" s="1876"/>
      <c r="T1904" s="1876"/>
      <c r="U1904" s="1876"/>
      <c r="V1904" s="30">
        <f t="shared" si="425"/>
        <v>0</v>
      </c>
      <c r="W1904" s="30"/>
      <c r="X1904" s="1812"/>
      <c r="Y1904" s="33" t="str">
        <f t="shared" si="792"/>
        <v>#DIV/0!</v>
      </c>
      <c r="Z1904" s="692"/>
      <c r="AA1904" s="665"/>
      <c r="AB1904" s="1738"/>
      <c r="AC1904" s="1738"/>
      <c r="AD1904" s="1747"/>
      <c r="AE1904" s="1748"/>
      <c r="AF1904" s="1813"/>
      <c r="AG1904" s="1766"/>
      <c r="AH1904" s="1738"/>
      <c r="AI1904" s="1750"/>
      <c r="AJ1904" s="1767"/>
      <c r="AK1904" s="1766"/>
      <c r="AL1904" s="1910"/>
      <c r="AM1904" s="1748"/>
      <c r="AN1904" s="1747"/>
      <c r="AO1904" s="1748"/>
      <c r="AP1904" s="1747"/>
      <c r="AQ1904" s="1748"/>
      <c r="AR1904" s="1747"/>
      <c r="AS1904" s="1747"/>
      <c r="AT1904" s="1747"/>
      <c r="AU1904" s="1751"/>
      <c r="AV1904" s="1747"/>
      <c r="AW1904" s="38"/>
      <c r="AX1904" s="1747"/>
      <c r="AY1904" s="38"/>
      <c r="AZ1904" s="1747"/>
      <c r="BA1904" s="1751"/>
      <c r="BB1904" s="1911"/>
      <c r="BC1904" s="1751"/>
      <c r="BD1904" s="1747"/>
      <c r="BE1904" s="38"/>
      <c r="BF1904" s="1738"/>
      <c r="BG1904" s="115"/>
      <c r="BH1904" s="115"/>
      <c r="BI1904" s="115"/>
      <c r="BJ1904" s="115"/>
      <c r="BK1904" s="115"/>
      <c r="BL1904" s="115"/>
      <c r="BM1904" s="115"/>
      <c r="BN1904" s="115"/>
      <c r="BO1904" s="115"/>
      <c r="BP1904" s="115"/>
      <c r="BQ1904" s="115"/>
      <c r="BR1904" s="115"/>
      <c r="BS1904" s="115"/>
      <c r="BT1904" s="115"/>
      <c r="BU1904" s="115"/>
      <c r="BV1904" s="115"/>
      <c r="BW1904" s="115"/>
      <c r="BX1904" s="115"/>
      <c r="BY1904" s="115"/>
      <c r="BZ1904" s="115"/>
      <c r="CA1904" s="115"/>
      <c r="CB1904" s="115"/>
      <c r="CC1904" s="115"/>
      <c r="CD1904" s="115"/>
      <c r="CE1904" s="115"/>
      <c r="CF1904" s="115"/>
      <c r="CG1904" s="115"/>
      <c r="CH1904" s="115"/>
      <c r="CI1904" s="115"/>
      <c r="CJ1904" s="115"/>
      <c r="CK1904" s="115"/>
      <c r="CL1904" s="115"/>
      <c r="CM1904" s="115"/>
      <c r="CN1904" s="115"/>
      <c r="CO1904" s="115"/>
      <c r="CP1904" s="115"/>
    </row>
    <row r="1905" ht="15.75" customHeight="1">
      <c r="A1905" s="860" t="s">
        <v>8768</v>
      </c>
      <c r="B1905" s="68"/>
      <c r="C1905" s="69" t="s">
        <v>123</v>
      </c>
      <c r="E1905" s="192" t="s">
        <v>8769</v>
      </c>
      <c r="F1905" s="54"/>
      <c r="G1905" s="71"/>
      <c r="H1905" s="71" t="s">
        <v>328</v>
      </c>
      <c r="I1905" s="26" t="s">
        <v>329</v>
      </c>
      <c r="J1905" s="155"/>
      <c r="K1905" s="26"/>
      <c r="L1905" s="142">
        <v>2014.0</v>
      </c>
      <c r="M1905" s="25">
        <f t="shared" si="789"/>
        <v>11</v>
      </c>
      <c r="N1905" s="26">
        <f t="shared" si="790"/>
        <v>0</v>
      </c>
      <c r="O1905" s="27" t="str">
        <f t="shared" si="3"/>
        <v>#N/A</v>
      </c>
      <c r="P1905" s="273"/>
      <c r="Q1905" s="273"/>
      <c r="R1905" s="273"/>
      <c r="S1905" s="273"/>
      <c r="T1905" s="273"/>
      <c r="U1905" s="273"/>
      <c r="V1905" s="30">
        <f t="shared" si="425"/>
        <v>0</v>
      </c>
      <c r="W1905" s="30"/>
      <c r="X1905" s="73"/>
      <c r="Y1905" s="33" t="str">
        <f t="shared" si="792"/>
        <v>#DIV/0!</v>
      </c>
      <c r="Z1905" s="692"/>
      <c r="AA1905" s="665"/>
      <c r="AB1905" s="74"/>
      <c r="AC1905" s="74"/>
      <c r="AD1905" s="79"/>
      <c r="AE1905" s="84"/>
      <c r="AF1905" s="1169"/>
      <c r="AG1905" s="76"/>
      <c r="AH1905" s="74"/>
      <c r="AI1905" s="78"/>
      <c r="AJ1905" s="279"/>
      <c r="AK1905" s="76"/>
      <c r="AL1905" s="877"/>
      <c r="AM1905" s="84"/>
      <c r="AN1905" s="79"/>
      <c r="AO1905" s="84"/>
      <c r="AP1905" s="79"/>
      <c r="AQ1905" s="84"/>
      <c r="AR1905" s="79"/>
      <c r="AS1905" s="79"/>
      <c r="AT1905" s="79"/>
      <c r="AU1905" s="80"/>
      <c r="AV1905" s="79"/>
      <c r="AW1905" s="38"/>
      <c r="AX1905" s="79"/>
      <c r="AY1905" s="38"/>
      <c r="AZ1905" s="79"/>
      <c r="BA1905" s="80"/>
      <c r="BB1905" s="79"/>
      <c r="BC1905" s="80"/>
      <c r="BD1905" s="79"/>
      <c r="BE1905" s="38"/>
      <c r="BF1905" s="74"/>
      <c r="BG1905" s="115"/>
      <c r="BH1905" s="115"/>
      <c r="BI1905" s="115"/>
      <c r="BJ1905" s="115"/>
      <c r="BK1905" s="115"/>
      <c r="BL1905" s="115"/>
      <c r="BM1905" s="115"/>
      <c r="BN1905" s="115"/>
      <c r="BO1905" s="115"/>
      <c r="BP1905" s="115"/>
      <c r="BQ1905" s="115"/>
      <c r="BR1905" s="115"/>
      <c r="BS1905" s="115"/>
      <c r="BT1905" s="115"/>
      <c r="BU1905" s="115"/>
      <c r="BV1905" s="115"/>
      <c r="BW1905" s="115"/>
      <c r="BX1905" s="115"/>
      <c r="BY1905" s="115"/>
      <c r="BZ1905" s="115"/>
      <c r="CA1905" s="115"/>
      <c r="CB1905" s="115"/>
      <c r="CC1905" s="115"/>
      <c r="CD1905" s="115"/>
      <c r="CE1905" s="115"/>
      <c r="CF1905" s="115"/>
      <c r="CG1905" s="115"/>
      <c r="CH1905" s="115"/>
      <c r="CI1905" s="115"/>
      <c r="CJ1905" s="115"/>
      <c r="CK1905" s="115"/>
      <c r="CL1905" s="115"/>
      <c r="CM1905" s="115"/>
      <c r="CN1905" s="115"/>
      <c r="CO1905" s="115"/>
      <c r="CP1905" s="115"/>
    </row>
    <row r="1906" ht="15.75" customHeight="1">
      <c r="A1906" s="860" t="s">
        <v>8770</v>
      </c>
      <c r="B1906" s="68"/>
      <c r="C1906" s="69" t="s">
        <v>1257</v>
      </c>
      <c r="D1906" s="192" t="s">
        <v>8771</v>
      </c>
      <c r="E1906" s="192" t="s">
        <v>8772</v>
      </c>
      <c r="F1906" s="118" t="s">
        <v>8773</v>
      </c>
      <c r="G1906" s="71"/>
      <c r="H1906" s="71" t="s">
        <v>1065</v>
      </c>
      <c r="I1906" s="26" t="s">
        <v>639</v>
      </c>
      <c r="J1906" s="155"/>
      <c r="K1906" s="26"/>
      <c r="L1906" s="142">
        <v>2017.0</v>
      </c>
      <c r="M1906" s="25">
        <f t="shared" si="789"/>
        <v>8</v>
      </c>
      <c r="N1906" s="26">
        <f t="shared" si="790"/>
        <v>0</v>
      </c>
      <c r="O1906" s="27" t="str">
        <f t="shared" si="3"/>
        <v>#N/A</v>
      </c>
      <c r="P1906" s="273"/>
      <c r="Q1906" s="273"/>
      <c r="R1906" s="273"/>
      <c r="S1906" s="273"/>
      <c r="T1906" s="273"/>
      <c r="U1906" s="273"/>
      <c r="V1906" s="30">
        <f t="shared" si="425"/>
        <v>0</v>
      </c>
      <c r="W1906" s="30"/>
      <c r="X1906" s="73"/>
      <c r="Y1906" s="33" t="str">
        <f t="shared" si="792"/>
        <v>#DIV/0!</v>
      </c>
      <c r="Z1906" s="692"/>
      <c r="AA1906" s="665"/>
      <c r="AB1906" s="74"/>
      <c r="AC1906" s="74"/>
      <c r="AD1906" s="79"/>
      <c r="AE1906" s="84"/>
      <c r="AF1906" s="1169"/>
      <c r="AG1906" s="76"/>
      <c r="AH1906" s="74"/>
      <c r="AI1906" s="78"/>
      <c r="AJ1906" s="279"/>
      <c r="AK1906" s="76"/>
      <c r="AL1906" s="877"/>
      <c r="AM1906" s="84"/>
      <c r="AN1906" s="79"/>
      <c r="AO1906" s="84"/>
      <c r="AP1906" s="79"/>
      <c r="AQ1906" s="84"/>
      <c r="AR1906" s="79"/>
      <c r="AS1906" s="79"/>
      <c r="AT1906" s="79"/>
      <c r="AU1906" s="80"/>
      <c r="AV1906" s="79"/>
      <c r="AW1906" s="38"/>
      <c r="AX1906" s="79"/>
      <c r="AY1906" s="38"/>
      <c r="AZ1906" s="79"/>
      <c r="BA1906" s="80"/>
      <c r="BB1906" s="79"/>
      <c r="BC1906" s="80"/>
      <c r="BD1906" s="79"/>
      <c r="BE1906" s="38"/>
      <c r="BF1906" s="74"/>
      <c r="BG1906" s="115"/>
      <c r="BH1906" s="115"/>
      <c r="BI1906" s="115"/>
      <c r="BJ1906" s="115"/>
      <c r="BK1906" s="115"/>
      <c r="BL1906" s="115"/>
      <c r="BM1906" s="115"/>
      <c r="BN1906" s="115"/>
      <c r="BO1906" s="115"/>
      <c r="BP1906" s="115"/>
      <c r="BQ1906" s="115"/>
      <c r="BR1906" s="115"/>
      <c r="BS1906" s="115"/>
      <c r="BT1906" s="115"/>
      <c r="BU1906" s="115"/>
      <c r="BV1906" s="115"/>
      <c r="BW1906" s="115"/>
      <c r="BX1906" s="115"/>
      <c r="BY1906" s="115"/>
      <c r="BZ1906" s="115"/>
      <c r="CA1906" s="115"/>
      <c r="CB1906" s="115"/>
      <c r="CC1906" s="115"/>
      <c r="CD1906" s="115"/>
      <c r="CE1906" s="115"/>
      <c r="CF1906" s="115"/>
      <c r="CG1906" s="115"/>
      <c r="CH1906" s="115"/>
      <c r="CI1906" s="115"/>
      <c r="CJ1906" s="115"/>
      <c r="CK1906" s="115"/>
      <c r="CL1906" s="115"/>
      <c r="CM1906" s="115"/>
      <c r="CN1906" s="115"/>
      <c r="CO1906" s="115"/>
      <c r="CP1906" s="115"/>
    </row>
    <row r="1907" ht="15.75" customHeight="1">
      <c r="A1907" s="21" t="s">
        <v>8774</v>
      </c>
      <c r="B1907" s="68"/>
      <c r="C1907" s="69" t="s">
        <v>59</v>
      </c>
      <c r="D1907" s="269"/>
      <c r="E1907" s="192" t="s">
        <v>8775</v>
      </c>
      <c r="F1907" s="118" t="s">
        <v>8776</v>
      </c>
      <c r="G1907" s="71" t="s">
        <v>8777</v>
      </c>
      <c r="H1907" s="71" t="s">
        <v>357</v>
      </c>
      <c r="I1907" s="26" t="s">
        <v>358</v>
      </c>
      <c r="J1907" s="72" t="s">
        <v>8778</v>
      </c>
      <c r="K1907" s="26">
        <v>1.0</v>
      </c>
      <c r="L1907" s="142">
        <v>1982.0</v>
      </c>
      <c r="M1907" s="25">
        <f t="shared" si="789"/>
        <v>43</v>
      </c>
      <c r="N1907" s="26">
        <f t="shared" si="790"/>
        <v>0</v>
      </c>
      <c r="O1907" s="27" t="str">
        <f t="shared" si="3"/>
        <v>#N/A</v>
      </c>
      <c r="P1907" s="273"/>
      <c r="Q1907" s="273"/>
      <c r="R1907" s="273"/>
      <c r="S1907" s="273"/>
      <c r="T1907" s="273"/>
      <c r="U1907" s="273"/>
      <c r="V1907" s="30">
        <f t="shared" si="425"/>
        <v>0</v>
      </c>
      <c r="W1907" s="30"/>
      <c r="X1907" s="73"/>
      <c r="Y1907" s="33" t="str">
        <f t="shared" si="792"/>
        <v>#DIV/0!</v>
      </c>
      <c r="Z1907" s="692"/>
      <c r="AA1907" s="665"/>
      <c r="AB1907" s="74"/>
      <c r="AC1907" s="74"/>
      <c r="AD1907" s="79"/>
      <c r="AE1907" s="84"/>
      <c r="AF1907" s="225"/>
      <c r="AG1907" s="76"/>
      <c r="AH1907" s="74"/>
      <c r="AI1907" s="78"/>
      <c r="AJ1907" s="42"/>
      <c r="AK1907" s="76"/>
      <c r="AL1907" s="1912"/>
      <c r="AM1907" s="963"/>
      <c r="AN1907" s="81"/>
      <c r="AO1907" s="963"/>
      <c r="AP1907" s="79"/>
      <c r="AQ1907" s="84"/>
      <c r="AR1907" s="79"/>
      <c r="AS1907" s="79"/>
      <c r="AT1907" s="79"/>
      <c r="AU1907" s="80"/>
      <c r="AV1907" s="79"/>
      <c r="AW1907" s="38"/>
      <c r="AX1907" s="79"/>
      <c r="AY1907" s="38"/>
      <c r="AZ1907" s="79"/>
      <c r="BA1907" s="80"/>
      <c r="BB1907" s="79"/>
      <c r="BC1907" s="80"/>
      <c r="BD1907" s="79"/>
      <c r="BE1907" s="38"/>
      <c r="BF1907" s="74"/>
      <c r="BG1907" s="123"/>
      <c r="BH1907" s="123"/>
      <c r="BI1907" s="123"/>
      <c r="BJ1907" s="123"/>
      <c r="BK1907" s="123"/>
      <c r="BL1907" s="123"/>
      <c r="BM1907" s="123"/>
      <c r="BN1907" s="123"/>
      <c r="BO1907" s="123"/>
      <c r="BP1907" s="123"/>
      <c r="BQ1907" s="123"/>
      <c r="BR1907" s="123"/>
      <c r="BS1907" s="123"/>
      <c r="BT1907" s="123"/>
      <c r="BU1907" s="123"/>
      <c r="BV1907" s="123"/>
      <c r="BW1907" s="123"/>
      <c r="BX1907" s="123"/>
      <c r="BY1907" s="123"/>
      <c r="BZ1907" s="123"/>
      <c r="CA1907" s="123"/>
      <c r="CB1907" s="123"/>
      <c r="CC1907" s="123"/>
      <c r="CD1907" s="123"/>
      <c r="CE1907" s="123"/>
      <c r="CF1907" s="123"/>
      <c r="CG1907" s="123"/>
      <c r="CH1907" s="123"/>
      <c r="CI1907" s="123"/>
      <c r="CJ1907" s="123"/>
      <c r="CK1907" s="123"/>
      <c r="CL1907" s="123"/>
      <c r="CM1907" s="123"/>
      <c r="CN1907" s="123"/>
      <c r="CO1907" s="123"/>
      <c r="CP1907" s="123"/>
    </row>
    <row r="1908" ht="15.75" customHeight="1">
      <c r="A1908" s="400" t="s">
        <v>8779</v>
      </c>
      <c r="B1908" s="534"/>
      <c r="C1908" s="849" t="s">
        <v>7856</v>
      </c>
      <c r="D1908" s="1913" t="s">
        <v>8780</v>
      </c>
      <c r="E1908" s="400" t="s">
        <v>3432</v>
      </c>
      <c r="F1908" s="1914" t="s">
        <v>8781</v>
      </c>
      <c r="G1908" s="1915" t="s">
        <v>8782</v>
      </c>
      <c r="H1908" s="850" t="s">
        <v>163</v>
      </c>
      <c r="I1908" s="222" t="s">
        <v>164</v>
      </c>
      <c r="J1908" s="953" t="s">
        <v>1812</v>
      </c>
      <c r="K1908" s="222" t="s">
        <v>723</v>
      </c>
      <c r="L1908" s="222" t="s">
        <v>723</v>
      </c>
      <c r="M1908" s="25" t="str">
        <f t="shared" si="789"/>
        <v>#VALUE!</v>
      </c>
      <c r="N1908" s="26">
        <f t="shared" si="790"/>
        <v>0</v>
      </c>
      <c r="O1908" s="27" t="str">
        <f t="shared" si="3"/>
        <v>#N/A</v>
      </c>
      <c r="P1908" s="851"/>
      <c r="Q1908" s="851"/>
      <c r="R1908" s="851"/>
      <c r="S1908" s="851"/>
      <c r="T1908" s="851"/>
      <c r="U1908" s="851"/>
      <c r="V1908" s="30">
        <f t="shared" si="425"/>
        <v>0</v>
      </c>
      <c r="W1908" s="30"/>
      <c r="X1908" s="852"/>
      <c r="Y1908" s="33" t="str">
        <f t="shared" si="792"/>
        <v>#DIV/0!</v>
      </c>
      <c r="Z1908" s="692"/>
      <c r="AA1908" s="665"/>
      <c r="AB1908" s="326"/>
      <c r="AC1908" s="326"/>
      <c r="AD1908" s="322"/>
      <c r="AE1908" s="323"/>
      <c r="AF1908" s="868"/>
      <c r="AG1908" s="323"/>
      <c r="AH1908" s="326"/>
      <c r="AI1908" s="327"/>
      <c r="AJ1908" s="322"/>
      <c r="AK1908" s="323"/>
      <c r="AL1908" s="322"/>
      <c r="AM1908" s="323"/>
      <c r="AN1908" s="322"/>
      <c r="AO1908" s="323"/>
      <c r="AP1908" s="322"/>
      <c r="AQ1908" s="323"/>
      <c r="AR1908" s="322"/>
      <c r="AS1908" s="322"/>
      <c r="AT1908" s="322"/>
      <c r="AU1908" s="335"/>
      <c r="AV1908" s="322"/>
      <c r="AW1908" s="38"/>
      <c r="AX1908" s="322"/>
      <c r="AY1908" s="38"/>
      <c r="AZ1908" s="322"/>
      <c r="BA1908" s="335"/>
      <c r="BB1908" s="322"/>
      <c r="BC1908" s="335"/>
      <c r="BD1908" s="322"/>
      <c r="BE1908" s="38"/>
      <c r="BF1908" s="326"/>
      <c r="BG1908" s="115"/>
      <c r="BH1908" s="115"/>
      <c r="BI1908" s="115"/>
      <c r="BJ1908" s="115"/>
      <c r="BK1908" s="115"/>
      <c r="BL1908" s="115"/>
      <c r="BM1908" s="115"/>
      <c r="BN1908" s="115"/>
      <c r="BO1908" s="115"/>
      <c r="BP1908" s="115"/>
      <c r="BQ1908" s="115"/>
      <c r="BR1908" s="115"/>
      <c r="BS1908" s="115"/>
      <c r="BT1908" s="115"/>
      <c r="BU1908" s="115"/>
      <c r="BV1908" s="115"/>
      <c r="BW1908" s="115"/>
      <c r="BX1908" s="115"/>
      <c r="BY1908" s="115"/>
      <c r="BZ1908" s="115"/>
      <c r="CA1908" s="115"/>
      <c r="CB1908" s="115"/>
      <c r="CC1908" s="115"/>
      <c r="CD1908" s="115"/>
      <c r="CE1908" s="115"/>
      <c r="CF1908" s="115"/>
      <c r="CG1908" s="115"/>
      <c r="CH1908" s="115"/>
      <c r="CI1908" s="115"/>
      <c r="CJ1908" s="115"/>
      <c r="CK1908" s="115"/>
      <c r="CL1908" s="115"/>
      <c r="CM1908" s="115"/>
      <c r="CN1908" s="115"/>
      <c r="CO1908" s="115"/>
      <c r="CP1908" s="115"/>
    </row>
    <row r="1909" ht="15.75" customHeight="1">
      <c r="A1909" s="860" t="s">
        <v>8783</v>
      </c>
      <c r="B1909" s="68"/>
      <c r="C1909" s="69" t="s">
        <v>8784</v>
      </c>
      <c r="D1909" s="380"/>
      <c r="E1909" s="192" t="s">
        <v>8785</v>
      </c>
      <c r="F1909" s="118" t="s">
        <v>8786</v>
      </c>
      <c r="G1909" s="71"/>
      <c r="H1909" s="186"/>
      <c r="I1909" s="74"/>
      <c r="J1909" s="155"/>
      <c r="K1909" s="74"/>
      <c r="L1909" s="26">
        <v>2018.0</v>
      </c>
      <c r="M1909" s="25">
        <f t="shared" si="789"/>
        <v>7</v>
      </c>
      <c r="N1909" s="26">
        <f t="shared" si="790"/>
        <v>0</v>
      </c>
      <c r="O1909" s="27" t="str">
        <f t="shared" si="3"/>
        <v>#N/A</v>
      </c>
      <c r="P1909" s="273"/>
      <c r="Q1909" s="273"/>
      <c r="R1909" s="273"/>
      <c r="S1909" s="273"/>
      <c r="T1909" s="273"/>
      <c r="U1909" s="273"/>
      <c r="V1909" s="30">
        <f t="shared" si="425"/>
        <v>0</v>
      </c>
      <c r="W1909" s="30"/>
      <c r="X1909" s="32"/>
      <c r="Y1909" s="33" t="str">
        <f t="shared" si="792"/>
        <v>#DIV/0!</v>
      </c>
      <c r="Z1909" s="692"/>
      <c r="AA1909" s="665"/>
      <c r="AB1909" s="74"/>
      <c r="AC1909" s="74"/>
      <c r="AD1909" s="79"/>
      <c r="AE1909" s="84"/>
      <c r="AF1909" s="338"/>
      <c r="AG1909" s="84"/>
      <c r="AH1909" s="74"/>
      <c r="AI1909" s="78"/>
      <c r="AJ1909" s="79"/>
      <c r="AK1909" s="84"/>
      <c r="AL1909" s="79"/>
      <c r="AM1909" s="84"/>
      <c r="AN1909" s="79"/>
      <c r="AO1909" s="84"/>
      <c r="AP1909" s="79"/>
      <c r="AQ1909" s="84"/>
      <c r="AR1909" s="79"/>
      <c r="AS1909" s="79"/>
      <c r="AT1909" s="79"/>
      <c r="AU1909" s="80"/>
      <c r="AV1909" s="79"/>
      <c r="AW1909" s="38"/>
      <c r="AX1909" s="79"/>
      <c r="AY1909" s="38"/>
      <c r="AZ1909" s="79"/>
      <c r="BA1909" s="80"/>
      <c r="BB1909" s="79"/>
      <c r="BC1909" s="80"/>
      <c r="BD1909" s="79"/>
      <c r="BE1909" s="38"/>
      <c r="BF1909" s="74"/>
      <c r="BG1909" s="115"/>
      <c r="BH1909" s="115"/>
      <c r="BI1909" s="115"/>
      <c r="BJ1909" s="115"/>
      <c r="BK1909" s="115"/>
      <c r="BL1909" s="115"/>
      <c r="BM1909" s="115"/>
      <c r="BN1909" s="115"/>
      <c r="BO1909" s="115"/>
      <c r="BP1909" s="115"/>
      <c r="BQ1909" s="115"/>
      <c r="BR1909" s="115"/>
      <c r="BS1909" s="115"/>
      <c r="BT1909" s="115"/>
      <c r="BU1909" s="115"/>
      <c r="BV1909" s="115"/>
      <c r="BW1909" s="115"/>
      <c r="BX1909" s="115"/>
      <c r="BY1909" s="115"/>
      <c r="BZ1909" s="115"/>
      <c r="CA1909" s="115"/>
      <c r="CB1909" s="115"/>
      <c r="CC1909" s="115"/>
      <c r="CD1909" s="115"/>
      <c r="CE1909" s="115"/>
      <c r="CF1909" s="115"/>
      <c r="CG1909" s="115"/>
      <c r="CH1909" s="115"/>
      <c r="CI1909" s="115"/>
      <c r="CJ1909" s="115"/>
      <c r="CK1909" s="115"/>
      <c r="CL1909" s="115"/>
      <c r="CM1909" s="115"/>
      <c r="CN1909" s="115"/>
      <c r="CO1909" s="115"/>
      <c r="CP1909" s="115"/>
    </row>
    <row r="1910" ht="15.75" customHeight="1">
      <c r="A1910" s="21" t="s">
        <v>8787</v>
      </c>
      <c r="B1910" s="68"/>
      <c r="C1910" s="69" t="s">
        <v>123</v>
      </c>
      <c r="D1910" s="200" t="s">
        <v>8788</v>
      </c>
      <c r="E1910" s="200" t="s">
        <v>8789</v>
      </c>
      <c r="F1910" s="841" t="s">
        <v>8790</v>
      </c>
      <c r="G1910" s="71" t="s">
        <v>8791</v>
      </c>
      <c r="H1910" s="186"/>
      <c r="I1910" s="74"/>
      <c r="J1910" s="155"/>
      <c r="K1910" s="74" t="s">
        <v>723</v>
      </c>
      <c r="L1910" s="26">
        <v>2017.0</v>
      </c>
      <c r="M1910" s="25">
        <f t="shared" si="789"/>
        <v>8</v>
      </c>
      <c r="N1910" s="26">
        <f t="shared" si="790"/>
        <v>0</v>
      </c>
      <c r="O1910" s="27" t="str">
        <f t="shared" si="3"/>
        <v>#N/A</v>
      </c>
      <c r="P1910" s="273"/>
      <c r="Q1910" s="273"/>
      <c r="R1910" s="273"/>
      <c r="S1910" s="273"/>
      <c r="T1910" s="273"/>
      <c r="U1910" s="273"/>
      <c r="V1910" s="30">
        <f t="shared" si="425"/>
        <v>0</v>
      </c>
      <c r="W1910" s="30"/>
      <c r="X1910" s="32"/>
      <c r="Y1910" s="33" t="str">
        <f t="shared" si="792"/>
        <v>#DIV/0!</v>
      </c>
      <c r="Z1910" s="692"/>
      <c r="AA1910" s="665"/>
      <c r="AB1910" s="74"/>
      <c r="AC1910" s="74"/>
      <c r="AD1910" s="79"/>
      <c r="AE1910" s="84"/>
      <c r="AF1910" s="338"/>
      <c r="AG1910" s="84"/>
      <c r="AH1910" s="74"/>
      <c r="AI1910" s="78"/>
      <c r="AJ1910" s="79"/>
      <c r="AK1910" s="84"/>
      <c r="AL1910" s="79"/>
      <c r="AM1910" s="84"/>
      <c r="AN1910" s="79"/>
      <c r="AO1910" s="84"/>
      <c r="AP1910" s="79"/>
      <c r="AQ1910" s="84"/>
      <c r="AR1910" s="79"/>
      <c r="AS1910" s="79"/>
      <c r="AT1910" s="79"/>
      <c r="AU1910" s="80"/>
      <c r="AV1910" s="79"/>
      <c r="AW1910" s="38"/>
      <c r="AX1910" s="79"/>
      <c r="AY1910" s="38"/>
      <c r="AZ1910" s="79"/>
      <c r="BA1910" s="80"/>
      <c r="BB1910" s="79"/>
      <c r="BC1910" s="80"/>
      <c r="BD1910" s="79"/>
      <c r="BE1910" s="38"/>
      <c r="BF1910" s="74"/>
      <c r="BG1910" s="115"/>
      <c r="BH1910" s="115"/>
      <c r="BI1910" s="115"/>
      <c r="BJ1910" s="115"/>
      <c r="BK1910" s="115"/>
      <c r="BL1910" s="115"/>
      <c r="BM1910" s="115"/>
      <c r="BN1910" s="115"/>
      <c r="BO1910" s="115"/>
      <c r="BP1910" s="115"/>
      <c r="BQ1910" s="115"/>
      <c r="BR1910" s="115"/>
      <c r="BS1910" s="115"/>
      <c r="BT1910" s="115"/>
      <c r="BU1910" s="115"/>
      <c r="BV1910" s="115"/>
      <c r="BW1910" s="115"/>
      <c r="BX1910" s="115"/>
      <c r="BY1910" s="115"/>
      <c r="BZ1910" s="115"/>
      <c r="CA1910" s="115"/>
      <c r="CB1910" s="115"/>
      <c r="CC1910" s="115"/>
      <c r="CD1910" s="115"/>
      <c r="CE1910" s="115"/>
      <c r="CF1910" s="115"/>
      <c r="CG1910" s="115"/>
      <c r="CH1910" s="115"/>
      <c r="CI1910" s="115"/>
      <c r="CJ1910" s="115"/>
      <c r="CK1910" s="115"/>
      <c r="CL1910" s="115"/>
      <c r="CM1910" s="115"/>
      <c r="CN1910" s="115"/>
      <c r="CO1910" s="115"/>
      <c r="CP1910" s="115"/>
    </row>
    <row r="1911" ht="15.75" customHeight="1">
      <c r="A1911" s="21" t="s">
        <v>8792</v>
      </c>
      <c r="B1911" s="68"/>
      <c r="C1911" s="69" t="s">
        <v>276</v>
      </c>
      <c r="D1911" s="380"/>
      <c r="E1911" s="337"/>
      <c r="F1911" s="154" t="s">
        <v>8793</v>
      </c>
      <c r="G1911" s="71" t="s">
        <v>357</v>
      </c>
      <c r="H1911" s="71" t="s">
        <v>358</v>
      </c>
      <c r="I1911" s="26"/>
      <c r="J1911" s="72"/>
      <c r="K1911" s="74"/>
      <c r="L1911" s="26"/>
      <c r="M1911" s="25">
        <f t="shared" si="789"/>
        <v>2025</v>
      </c>
      <c r="N1911" s="26">
        <f t="shared" si="790"/>
        <v>0</v>
      </c>
      <c r="O1911" s="27" t="str">
        <f t="shared" si="3"/>
        <v>#N/A</v>
      </c>
      <c r="P1911" s="28"/>
      <c r="Q1911" s="28"/>
      <c r="R1911" s="28"/>
      <c r="S1911" s="28"/>
      <c r="T1911" s="28"/>
      <c r="U1911" s="28"/>
      <c r="V1911" s="30">
        <f t="shared" si="425"/>
        <v>0</v>
      </c>
      <c r="W1911" s="30"/>
      <c r="X1911" s="32"/>
      <c r="Y1911" s="33" t="str">
        <f t="shared" si="792"/>
        <v>#DIV/0!</v>
      </c>
      <c r="Z1911" s="692"/>
      <c r="AA1911" s="665"/>
      <c r="AB1911" s="74"/>
      <c r="AC1911" s="74"/>
      <c r="AD1911" s="79"/>
      <c r="AE1911" s="84"/>
      <c r="AF1911" s="338"/>
      <c r="AG1911" s="84"/>
      <c r="AH1911" s="74"/>
      <c r="AI1911" s="78"/>
      <c r="AJ1911" s="79"/>
      <c r="AK1911" s="84"/>
      <c r="AL1911" s="79"/>
      <c r="AM1911" s="84"/>
      <c r="AN1911" s="79"/>
      <c r="AO1911" s="84"/>
      <c r="AP1911" s="79"/>
      <c r="AQ1911" s="84"/>
      <c r="AR1911" s="79"/>
      <c r="AS1911" s="79"/>
      <c r="AT1911" s="79"/>
      <c r="AU1911" s="80"/>
      <c r="AV1911" s="79"/>
      <c r="AW1911" s="38"/>
      <c r="AX1911" s="79"/>
      <c r="AY1911" s="38"/>
      <c r="AZ1911" s="79"/>
      <c r="BA1911" s="80"/>
      <c r="BB1911" s="79"/>
      <c r="BC1911" s="80"/>
      <c r="BD1911" s="79"/>
      <c r="BE1911" s="38"/>
      <c r="BF1911" s="74"/>
      <c r="BG1911" s="115"/>
      <c r="BH1911" s="115"/>
      <c r="BI1911" s="115"/>
      <c r="BJ1911" s="115"/>
      <c r="BK1911" s="115"/>
      <c r="BL1911" s="115"/>
      <c r="BM1911" s="115"/>
      <c r="BN1911" s="115"/>
      <c r="BO1911" s="115"/>
      <c r="BP1911" s="115"/>
      <c r="BQ1911" s="115"/>
      <c r="BR1911" s="115"/>
      <c r="BS1911" s="115"/>
      <c r="BT1911" s="115"/>
      <c r="BU1911" s="115"/>
      <c r="BV1911" s="115"/>
      <c r="BW1911" s="115"/>
      <c r="BX1911" s="115"/>
      <c r="BY1911" s="115"/>
      <c r="BZ1911" s="115"/>
      <c r="CA1911" s="115"/>
      <c r="CB1911" s="115"/>
      <c r="CC1911" s="115"/>
      <c r="CD1911" s="115"/>
      <c r="CE1911" s="115"/>
      <c r="CF1911" s="115"/>
      <c r="CG1911" s="115"/>
      <c r="CH1911" s="115"/>
      <c r="CI1911" s="115"/>
      <c r="CJ1911" s="115"/>
      <c r="CK1911" s="115"/>
      <c r="CL1911" s="115"/>
      <c r="CM1911" s="115"/>
      <c r="CN1911" s="115"/>
      <c r="CO1911" s="115"/>
      <c r="CP1911" s="115"/>
    </row>
    <row r="1912" ht="15.75" customHeight="1">
      <c r="A1912" s="931" t="s">
        <v>8794</v>
      </c>
      <c r="B1912" s="68"/>
      <c r="C1912" s="69" t="s">
        <v>6947</v>
      </c>
      <c r="D1912" s="380"/>
      <c r="E1912" s="192" t="s">
        <v>8795</v>
      </c>
      <c r="F1912" s="118" t="s">
        <v>8796</v>
      </c>
      <c r="G1912" s="54"/>
      <c r="H1912" s="71" t="s">
        <v>8797</v>
      </c>
      <c r="I1912" s="26" t="s">
        <v>115</v>
      </c>
      <c r="J1912" s="178"/>
      <c r="K1912" s="26"/>
      <c r="L1912" s="26"/>
      <c r="M1912" s="25">
        <f t="shared" si="789"/>
        <v>2025</v>
      </c>
      <c r="N1912" s="26">
        <f t="shared" si="790"/>
        <v>0</v>
      </c>
      <c r="O1912" s="27" t="str">
        <f t="shared" si="3"/>
        <v>#N/A</v>
      </c>
      <c r="P1912" s="28"/>
      <c r="Q1912" s="28"/>
      <c r="R1912" s="28"/>
      <c r="S1912" s="28"/>
      <c r="T1912" s="28"/>
      <c r="U1912" s="28"/>
      <c r="V1912" s="30">
        <f t="shared" si="425"/>
        <v>0</v>
      </c>
      <c r="W1912" s="30"/>
      <c r="X1912" s="73"/>
      <c r="Y1912" s="33" t="str">
        <f t="shared" si="792"/>
        <v>#DIV/0!</v>
      </c>
      <c r="Z1912" s="692"/>
      <c r="AA1912" s="665"/>
      <c r="AB1912" s="74"/>
      <c r="AC1912" s="74"/>
      <c r="AD1912" s="279"/>
      <c r="AE1912" s="76"/>
      <c r="AF1912" s="338"/>
      <c r="AG1912" s="76"/>
      <c r="AH1912" s="929"/>
      <c r="AI1912" s="435"/>
      <c r="AJ1912" s="279"/>
      <c r="AK1912" s="435"/>
      <c r="AL1912" s="279"/>
      <c r="AM1912" s="76"/>
      <c r="AN1912" s="279"/>
      <c r="AO1912" s="76"/>
      <c r="AP1912" s="79"/>
      <c r="AQ1912" s="84"/>
      <c r="AR1912" s="79"/>
      <c r="AS1912" s="79"/>
      <c r="AT1912" s="79"/>
      <c r="AU1912" s="80"/>
      <c r="AV1912" s="79"/>
      <c r="AW1912" s="38"/>
      <c r="AX1912" s="79"/>
      <c r="AY1912" s="38"/>
      <c r="AZ1912" s="79"/>
      <c r="BA1912" s="80"/>
      <c r="BB1912" s="79"/>
      <c r="BC1912" s="80"/>
      <c r="BD1912" s="79"/>
      <c r="BE1912" s="38"/>
      <c r="BF1912" s="74"/>
      <c r="BG1912" s="115"/>
      <c r="BH1912" s="115"/>
      <c r="BI1912" s="115"/>
      <c r="BJ1912" s="115"/>
      <c r="BK1912" s="115"/>
      <c r="BL1912" s="115"/>
      <c r="BM1912" s="115"/>
      <c r="BN1912" s="115"/>
      <c r="BO1912" s="115"/>
      <c r="BP1912" s="115"/>
      <c r="BQ1912" s="115"/>
      <c r="BR1912" s="115"/>
      <c r="BS1912" s="115"/>
      <c r="BT1912" s="115"/>
      <c r="BU1912" s="115"/>
      <c r="BV1912" s="115"/>
      <c r="BW1912" s="115"/>
      <c r="BX1912" s="115"/>
      <c r="BY1912" s="115"/>
      <c r="BZ1912" s="115"/>
      <c r="CA1912" s="115"/>
      <c r="CB1912" s="115"/>
      <c r="CC1912" s="115"/>
      <c r="CD1912" s="115"/>
      <c r="CE1912" s="115"/>
      <c r="CF1912" s="115"/>
      <c r="CG1912" s="115"/>
      <c r="CH1912" s="115"/>
      <c r="CI1912" s="115"/>
      <c r="CJ1912" s="115"/>
      <c r="CK1912" s="115"/>
      <c r="CL1912" s="115"/>
      <c r="CM1912" s="115"/>
      <c r="CN1912" s="115"/>
      <c r="CO1912" s="115"/>
      <c r="CP1912" s="115"/>
    </row>
    <row r="1913" ht="15.75" customHeight="1">
      <c r="A1913" s="931" t="s">
        <v>8798</v>
      </c>
      <c r="B1913" s="68"/>
      <c r="C1913" s="69" t="s">
        <v>932</v>
      </c>
      <c r="D1913" s="380"/>
      <c r="E1913" s="192" t="s">
        <v>8799</v>
      </c>
      <c r="F1913" s="118" t="s">
        <v>8800</v>
      </c>
      <c r="G1913" s="54"/>
      <c r="H1913" s="71" t="s">
        <v>1065</v>
      </c>
      <c r="I1913" s="26" t="s">
        <v>639</v>
      </c>
      <c r="J1913" s="178"/>
      <c r="K1913" s="26"/>
      <c r="L1913" s="26">
        <v>2011.0</v>
      </c>
      <c r="M1913" s="25">
        <f t="shared" si="789"/>
        <v>14</v>
      </c>
      <c r="N1913" s="26">
        <f t="shared" si="790"/>
        <v>0</v>
      </c>
      <c r="O1913" s="27" t="str">
        <f t="shared" si="3"/>
        <v>#N/A</v>
      </c>
      <c r="P1913" s="28"/>
      <c r="Q1913" s="28"/>
      <c r="R1913" s="28"/>
      <c r="S1913" s="28"/>
      <c r="T1913" s="28"/>
      <c r="U1913" s="28"/>
      <c r="V1913" s="30">
        <f t="shared" si="425"/>
        <v>0</v>
      </c>
      <c r="W1913" s="30"/>
      <c r="X1913" s="73"/>
      <c r="Y1913" s="33" t="str">
        <f t="shared" si="792"/>
        <v>#DIV/0!</v>
      </c>
      <c r="Z1913" s="692"/>
      <c r="AA1913" s="665"/>
      <c r="AB1913" s="74"/>
      <c r="AC1913" s="74"/>
      <c r="AD1913" s="279"/>
      <c r="AE1913" s="76"/>
      <c r="AF1913" s="338"/>
      <c r="AG1913" s="76"/>
      <c r="AH1913" s="929"/>
      <c r="AI1913" s="435"/>
      <c r="AJ1913" s="279"/>
      <c r="AK1913" s="435"/>
      <c r="AL1913" s="279"/>
      <c r="AM1913" s="76"/>
      <c r="AN1913" s="279"/>
      <c r="AO1913" s="76"/>
      <c r="AP1913" s="79"/>
      <c r="AQ1913" s="84"/>
      <c r="AR1913" s="79"/>
      <c r="AS1913" s="79"/>
      <c r="AT1913" s="79"/>
      <c r="AU1913" s="80"/>
      <c r="AV1913" s="79"/>
      <c r="AW1913" s="38"/>
      <c r="AX1913" s="79"/>
      <c r="AY1913" s="38"/>
      <c r="AZ1913" s="79"/>
      <c r="BA1913" s="80"/>
      <c r="BB1913" s="79"/>
      <c r="BC1913" s="80"/>
      <c r="BD1913" s="79"/>
      <c r="BE1913" s="38"/>
      <c r="BF1913" s="74"/>
      <c r="BG1913" s="115"/>
      <c r="BH1913" s="115"/>
      <c r="BI1913" s="115"/>
      <c r="BJ1913" s="115"/>
      <c r="BK1913" s="115"/>
      <c r="BL1913" s="115"/>
      <c r="BM1913" s="115"/>
      <c r="BN1913" s="115"/>
      <c r="BO1913" s="115"/>
      <c r="BP1913" s="115"/>
      <c r="BQ1913" s="115"/>
      <c r="BR1913" s="115"/>
      <c r="BS1913" s="115"/>
      <c r="BT1913" s="115"/>
      <c r="BU1913" s="115"/>
      <c r="BV1913" s="115"/>
      <c r="BW1913" s="115"/>
      <c r="BX1913" s="115"/>
      <c r="BY1913" s="115"/>
      <c r="BZ1913" s="115"/>
      <c r="CA1913" s="115"/>
      <c r="CB1913" s="115"/>
      <c r="CC1913" s="115"/>
      <c r="CD1913" s="115"/>
      <c r="CE1913" s="115"/>
      <c r="CF1913" s="115"/>
      <c r="CG1913" s="115"/>
      <c r="CH1913" s="115"/>
      <c r="CI1913" s="115"/>
      <c r="CJ1913" s="115"/>
      <c r="CK1913" s="115"/>
      <c r="CL1913" s="115"/>
      <c r="CM1913" s="115"/>
      <c r="CN1913" s="115"/>
      <c r="CO1913" s="115"/>
      <c r="CP1913" s="115"/>
    </row>
    <row r="1914" ht="15.75" customHeight="1">
      <c r="A1914" s="1850" t="s">
        <v>8801</v>
      </c>
      <c r="B1914" s="1407"/>
      <c r="C1914" s="1463" t="s">
        <v>123</v>
      </c>
      <c r="D1914" s="1711" t="s">
        <v>4781</v>
      </c>
      <c r="E1914" s="1774" t="s">
        <v>4781</v>
      </c>
      <c r="F1914" s="1721" t="s">
        <v>8802</v>
      </c>
      <c r="G1914" s="1467" t="s">
        <v>8803</v>
      </c>
      <c r="H1914" s="1468" t="s">
        <v>8804</v>
      </c>
      <c r="I1914" s="1469" t="s">
        <v>1088</v>
      </c>
      <c r="J1914" s="1470" t="s">
        <v>8805</v>
      </c>
      <c r="K1914" s="1469"/>
      <c r="L1914" s="1469">
        <v>2019.0</v>
      </c>
      <c r="M1914" s="25">
        <f t="shared" si="789"/>
        <v>6</v>
      </c>
      <c r="N1914" s="26">
        <f t="shared" si="790"/>
        <v>0</v>
      </c>
      <c r="O1914" s="27" t="str">
        <f t="shared" si="3"/>
        <v>#N/A</v>
      </c>
      <c r="P1914" s="1472"/>
      <c r="Q1914" s="1472"/>
      <c r="R1914" s="1472"/>
      <c r="S1914" s="1472"/>
      <c r="T1914" s="1472"/>
      <c r="U1914" s="1472"/>
      <c r="V1914" s="30">
        <f t="shared" si="425"/>
        <v>0</v>
      </c>
      <c r="W1914" s="30"/>
      <c r="X1914" s="1473"/>
      <c r="Y1914" s="33" t="str">
        <f t="shared" si="792"/>
        <v>#DIV/0!</v>
      </c>
      <c r="Z1914" s="692"/>
      <c r="AA1914" s="665"/>
      <c r="AB1914" s="1474"/>
      <c r="AC1914" s="1474"/>
      <c r="AD1914" s="1715"/>
      <c r="AE1914" s="1476"/>
      <c r="AF1914" s="1722"/>
      <c r="AG1914" s="1476"/>
      <c r="AH1914" s="1916"/>
      <c r="AI1914" s="1837"/>
      <c r="AJ1914" s="1715"/>
      <c r="AK1914" s="1837"/>
      <c r="AL1914" s="1715"/>
      <c r="AM1914" s="1476"/>
      <c r="AN1914" s="1715"/>
      <c r="AO1914" s="1476"/>
      <c r="AP1914" s="1482"/>
      <c r="AQ1914" s="1717"/>
      <c r="AR1914" s="1482"/>
      <c r="AS1914" s="1482"/>
      <c r="AT1914" s="1482"/>
      <c r="AU1914" s="1483"/>
      <c r="AV1914" s="1482"/>
      <c r="AW1914" s="38"/>
      <c r="AX1914" s="1482"/>
      <c r="AY1914" s="38"/>
      <c r="AZ1914" s="1482"/>
      <c r="BA1914" s="1483"/>
      <c r="BB1914" s="1482"/>
      <c r="BC1914" s="1483"/>
      <c r="BD1914" s="1482"/>
      <c r="BE1914" s="38"/>
      <c r="BF1914" s="1474"/>
      <c r="BG1914" s="115"/>
      <c r="BH1914" s="115"/>
      <c r="BI1914" s="115"/>
      <c r="BJ1914" s="115"/>
      <c r="BK1914" s="115"/>
      <c r="BL1914" s="115"/>
      <c r="BM1914" s="115"/>
      <c r="BN1914" s="115"/>
      <c r="BO1914" s="115"/>
      <c r="BP1914" s="115"/>
      <c r="BQ1914" s="115"/>
      <c r="BR1914" s="115"/>
      <c r="BS1914" s="115"/>
      <c r="BT1914" s="115"/>
      <c r="BU1914" s="115"/>
      <c r="BV1914" s="115"/>
      <c r="BW1914" s="115"/>
      <c r="BX1914" s="115"/>
      <c r="BY1914" s="115"/>
      <c r="BZ1914" s="115"/>
      <c r="CA1914" s="115"/>
      <c r="CB1914" s="115"/>
      <c r="CC1914" s="115"/>
      <c r="CD1914" s="115"/>
      <c r="CE1914" s="115"/>
      <c r="CF1914" s="115"/>
      <c r="CG1914" s="115"/>
      <c r="CH1914" s="115"/>
      <c r="CI1914" s="115"/>
      <c r="CJ1914" s="115"/>
      <c r="CK1914" s="115"/>
      <c r="CL1914" s="115"/>
      <c r="CM1914" s="115"/>
      <c r="CN1914" s="115"/>
      <c r="CO1914" s="115"/>
      <c r="CP1914" s="115"/>
    </row>
    <row r="1915" ht="15.75" customHeight="1">
      <c r="A1915" s="931" t="s">
        <v>8806</v>
      </c>
      <c r="B1915" s="68"/>
      <c r="C1915" s="69" t="s">
        <v>132</v>
      </c>
      <c r="D1915" s="380"/>
      <c r="E1915" s="192" t="s">
        <v>8807</v>
      </c>
      <c r="F1915" s="118" t="s">
        <v>8808</v>
      </c>
      <c r="G1915" s="54"/>
      <c r="H1915" s="71" t="s">
        <v>129</v>
      </c>
      <c r="I1915" s="26" t="s">
        <v>129</v>
      </c>
      <c r="J1915" s="178"/>
      <c r="K1915" s="26"/>
      <c r="L1915" s="26">
        <v>2019.0</v>
      </c>
      <c r="M1915" s="25">
        <f t="shared" si="789"/>
        <v>6</v>
      </c>
      <c r="N1915" s="26">
        <f t="shared" si="790"/>
        <v>0</v>
      </c>
      <c r="O1915" s="27" t="str">
        <f t="shared" si="3"/>
        <v>#N/A</v>
      </c>
      <c r="P1915" s="28"/>
      <c r="Q1915" s="28"/>
      <c r="R1915" s="28"/>
      <c r="S1915" s="28"/>
      <c r="T1915" s="28"/>
      <c r="U1915" s="28"/>
      <c r="V1915" s="30">
        <f t="shared" si="425"/>
        <v>0</v>
      </c>
      <c r="W1915" s="30"/>
      <c r="X1915" s="73"/>
      <c r="Y1915" s="33" t="str">
        <f t="shared" si="792"/>
        <v>#DIV/0!</v>
      </c>
      <c r="Z1915" s="692"/>
      <c r="AA1915" s="665"/>
      <c r="AB1915" s="74"/>
      <c r="AC1915" s="74"/>
      <c r="AD1915" s="279"/>
      <c r="AE1915" s="76"/>
      <c r="AF1915" s="338"/>
      <c r="AG1915" s="76"/>
      <c r="AH1915" s="929"/>
      <c r="AI1915" s="435"/>
      <c r="AJ1915" s="279"/>
      <c r="AK1915" s="435"/>
      <c r="AL1915" s="279"/>
      <c r="AM1915" s="76"/>
      <c r="AN1915" s="279"/>
      <c r="AO1915" s="76"/>
      <c r="AP1915" s="79"/>
      <c r="AQ1915" s="84"/>
      <c r="AR1915" s="79"/>
      <c r="AS1915" s="79"/>
      <c r="AT1915" s="79"/>
      <c r="AU1915" s="80"/>
      <c r="AV1915" s="79"/>
      <c r="AW1915" s="38"/>
      <c r="AX1915" s="79"/>
      <c r="AY1915" s="38"/>
      <c r="AZ1915" s="79"/>
      <c r="BA1915" s="80"/>
      <c r="BB1915" s="79"/>
      <c r="BC1915" s="80"/>
      <c r="BD1915" s="79"/>
      <c r="BE1915" s="38"/>
      <c r="BF1915" s="74"/>
      <c r="BG1915" s="115"/>
      <c r="BH1915" s="115"/>
      <c r="BI1915" s="115"/>
      <c r="BJ1915" s="115"/>
      <c r="BK1915" s="115"/>
      <c r="BL1915" s="115"/>
      <c r="BM1915" s="115"/>
      <c r="BN1915" s="115"/>
      <c r="BO1915" s="115"/>
      <c r="BP1915" s="115"/>
      <c r="BQ1915" s="115"/>
      <c r="BR1915" s="115"/>
      <c r="BS1915" s="115"/>
      <c r="BT1915" s="115"/>
      <c r="BU1915" s="115"/>
      <c r="BV1915" s="115"/>
      <c r="BW1915" s="115"/>
      <c r="BX1915" s="115"/>
      <c r="BY1915" s="115"/>
      <c r="BZ1915" s="115"/>
      <c r="CA1915" s="115"/>
      <c r="CB1915" s="115"/>
      <c r="CC1915" s="115"/>
      <c r="CD1915" s="115"/>
      <c r="CE1915" s="115"/>
      <c r="CF1915" s="115"/>
      <c r="CG1915" s="115"/>
      <c r="CH1915" s="115"/>
      <c r="CI1915" s="115"/>
      <c r="CJ1915" s="115"/>
      <c r="CK1915" s="115"/>
      <c r="CL1915" s="115"/>
      <c r="CM1915" s="115"/>
      <c r="CN1915" s="115"/>
      <c r="CO1915" s="115"/>
      <c r="CP1915" s="115"/>
    </row>
    <row r="1916" ht="15.75" customHeight="1">
      <c r="A1916" s="1917" t="s">
        <v>8809</v>
      </c>
      <c r="B1916" s="760"/>
      <c r="C1916" s="824" t="s">
        <v>513</v>
      </c>
      <c r="D1916" s="825" t="s">
        <v>8810</v>
      </c>
      <c r="E1916" s="1883"/>
      <c r="F1916" s="1918"/>
      <c r="G1916" s="827"/>
      <c r="H1916" s="830"/>
      <c r="I1916" s="830"/>
      <c r="J1916" s="1884"/>
      <c r="K1916" s="831"/>
      <c r="L1916" s="830"/>
      <c r="M1916" s="25">
        <f t="shared" si="789"/>
        <v>2025</v>
      </c>
      <c r="N1916" s="26">
        <f t="shared" si="790"/>
        <v>0</v>
      </c>
      <c r="O1916" s="27" t="str">
        <f t="shared" si="3"/>
        <v>#N/A</v>
      </c>
      <c r="P1916" s="1919"/>
      <c r="Q1916" s="1919"/>
      <c r="R1916" s="1919"/>
      <c r="S1916" s="1919"/>
      <c r="T1916" s="1919"/>
      <c r="U1916" s="1919"/>
      <c r="V1916" s="30">
        <f t="shared" si="425"/>
        <v>0</v>
      </c>
      <c r="W1916" s="30"/>
      <c r="X1916" s="1526"/>
      <c r="Y1916" s="33" t="str">
        <f t="shared" si="792"/>
        <v>#DIV/0!</v>
      </c>
      <c r="Z1916" s="692"/>
      <c r="AA1916" s="665"/>
      <c r="AB1916" s="831"/>
      <c r="AC1916" s="831"/>
      <c r="AD1916" s="832"/>
      <c r="AE1916" s="833"/>
      <c r="AF1916" s="834"/>
      <c r="AG1916" s="833"/>
      <c r="AH1916" s="831"/>
      <c r="AI1916" s="835"/>
      <c r="AJ1916" s="832"/>
      <c r="AK1916" s="833"/>
      <c r="AL1916" s="832"/>
      <c r="AM1916" s="833"/>
      <c r="AN1916" s="832"/>
      <c r="AO1916" s="833"/>
      <c r="AP1916" s="832"/>
      <c r="AQ1916" s="833"/>
      <c r="AR1916" s="832"/>
      <c r="AS1916" s="832"/>
      <c r="AT1916" s="832"/>
      <c r="AU1916" s="838"/>
      <c r="AV1916" s="832"/>
      <c r="AW1916" s="38"/>
      <c r="AX1916" s="832"/>
      <c r="AY1916" s="38"/>
      <c r="AZ1916" s="832"/>
      <c r="BA1916" s="838"/>
      <c r="BB1916" s="832"/>
      <c r="BC1916" s="838"/>
      <c r="BD1916" s="832"/>
      <c r="BE1916" s="38"/>
      <c r="BF1916" s="831"/>
      <c r="BG1916" s="115"/>
      <c r="BH1916" s="115"/>
      <c r="BI1916" s="115"/>
      <c r="BJ1916" s="115"/>
      <c r="BK1916" s="115"/>
      <c r="BL1916" s="115"/>
      <c r="BM1916" s="115"/>
      <c r="BN1916" s="115"/>
      <c r="BO1916" s="115"/>
      <c r="BP1916" s="115"/>
      <c r="BQ1916" s="115"/>
      <c r="BR1916" s="115"/>
      <c r="BS1916" s="115"/>
      <c r="BT1916" s="115"/>
      <c r="BU1916" s="115"/>
      <c r="BV1916" s="115"/>
      <c r="BW1916" s="115"/>
      <c r="BX1916" s="115"/>
      <c r="BY1916" s="115"/>
      <c r="BZ1916" s="115"/>
      <c r="CA1916" s="115"/>
      <c r="CB1916" s="115"/>
      <c r="CC1916" s="115"/>
      <c r="CD1916" s="115"/>
      <c r="CE1916" s="115"/>
      <c r="CF1916" s="115"/>
      <c r="CG1916" s="115"/>
      <c r="CH1916" s="115"/>
      <c r="CI1916" s="115"/>
      <c r="CJ1916" s="115"/>
      <c r="CK1916" s="115"/>
      <c r="CL1916" s="115"/>
      <c r="CM1916" s="115"/>
      <c r="CN1916" s="115"/>
      <c r="CO1916" s="115"/>
      <c r="CP1916" s="115"/>
    </row>
    <row r="1917" ht="15.75" customHeight="1">
      <c r="A1917" s="1917" t="s">
        <v>8811</v>
      </c>
      <c r="B1917" s="760"/>
      <c r="C1917" s="1863" t="s">
        <v>513</v>
      </c>
      <c r="D1917" s="1685"/>
      <c r="E1917" s="1883"/>
      <c r="F1917" s="826" t="s">
        <v>8812</v>
      </c>
      <c r="G1917" s="827"/>
      <c r="H1917" s="830"/>
      <c r="I1917" s="830"/>
      <c r="J1917" s="1884"/>
      <c r="K1917" s="831"/>
      <c r="L1917" s="830"/>
      <c r="M1917" s="25">
        <f t="shared" si="789"/>
        <v>2025</v>
      </c>
      <c r="N1917" s="26">
        <f t="shared" si="790"/>
        <v>0</v>
      </c>
      <c r="O1917" s="27" t="str">
        <f t="shared" si="3"/>
        <v>#N/A</v>
      </c>
      <c r="P1917" s="1919"/>
      <c r="Q1917" s="1919"/>
      <c r="R1917" s="1919"/>
      <c r="S1917" s="1919"/>
      <c r="T1917" s="1919"/>
      <c r="U1917" s="1919"/>
      <c r="V1917" s="30">
        <f t="shared" si="425"/>
        <v>0</v>
      </c>
      <c r="W1917" s="30"/>
      <c r="X1917" s="1526"/>
      <c r="Y1917" s="33" t="str">
        <f t="shared" si="792"/>
        <v>#DIV/0!</v>
      </c>
      <c r="Z1917" s="692"/>
      <c r="AA1917" s="665"/>
      <c r="AB1917" s="831"/>
      <c r="AC1917" s="831"/>
      <c r="AD1917" s="832"/>
      <c r="AE1917" s="833"/>
      <c r="AF1917" s="834"/>
      <c r="AG1917" s="833"/>
      <c r="AH1917" s="831"/>
      <c r="AI1917" s="835"/>
      <c r="AJ1917" s="832"/>
      <c r="AK1917" s="833"/>
      <c r="AL1917" s="832"/>
      <c r="AM1917" s="833"/>
      <c r="AN1917" s="832"/>
      <c r="AO1917" s="833"/>
      <c r="AP1917" s="832"/>
      <c r="AQ1917" s="833"/>
      <c r="AR1917" s="832"/>
      <c r="AS1917" s="832"/>
      <c r="AT1917" s="832"/>
      <c r="AU1917" s="838"/>
      <c r="AV1917" s="832"/>
      <c r="AW1917" s="38"/>
      <c r="AX1917" s="832"/>
      <c r="AY1917" s="38"/>
      <c r="AZ1917" s="832"/>
      <c r="BA1917" s="838"/>
      <c r="BB1917" s="832"/>
      <c r="BC1917" s="838"/>
      <c r="BD1917" s="832"/>
      <c r="BE1917" s="38"/>
      <c r="BF1917" s="831"/>
      <c r="BG1917" s="115"/>
      <c r="BH1917" s="115"/>
      <c r="BI1917" s="115"/>
      <c r="BJ1917" s="115"/>
      <c r="BK1917" s="115"/>
      <c r="BL1917" s="115"/>
      <c r="BM1917" s="115"/>
      <c r="BN1917" s="115"/>
      <c r="BO1917" s="115"/>
      <c r="BP1917" s="115"/>
      <c r="BQ1917" s="115"/>
      <c r="BR1917" s="115"/>
      <c r="BS1917" s="115"/>
      <c r="BT1917" s="115"/>
      <c r="BU1917" s="115"/>
      <c r="BV1917" s="115"/>
      <c r="BW1917" s="115"/>
      <c r="BX1917" s="115"/>
      <c r="BY1917" s="115"/>
      <c r="BZ1917" s="115"/>
      <c r="CA1917" s="115"/>
      <c r="CB1917" s="115"/>
      <c r="CC1917" s="115"/>
      <c r="CD1917" s="115"/>
      <c r="CE1917" s="115"/>
      <c r="CF1917" s="115"/>
      <c r="CG1917" s="115"/>
      <c r="CH1917" s="115"/>
      <c r="CI1917" s="115"/>
      <c r="CJ1917" s="115"/>
      <c r="CK1917" s="115"/>
      <c r="CL1917" s="115"/>
      <c r="CM1917" s="115"/>
      <c r="CN1917" s="115"/>
      <c r="CO1917" s="115"/>
      <c r="CP1917" s="115"/>
    </row>
    <row r="1918" ht="15.75" customHeight="1">
      <c r="A1918" s="21" t="s">
        <v>8813</v>
      </c>
      <c r="B1918" s="68"/>
      <c r="C1918" s="69" t="s">
        <v>6872</v>
      </c>
      <c r="D1918" s="337"/>
      <c r="E1918" s="200" t="s">
        <v>8814</v>
      </c>
      <c r="F1918" s="841" t="s">
        <v>8815</v>
      </c>
      <c r="G1918" s="71" t="s">
        <v>8816</v>
      </c>
      <c r="H1918" s="26" t="s">
        <v>129</v>
      </c>
      <c r="I1918" s="26" t="s">
        <v>129</v>
      </c>
      <c r="J1918" s="72" t="s">
        <v>550</v>
      </c>
      <c r="K1918" s="74" t="s">
        <v>723</v>
      </c>
      <c r="L1918" s="26">
        <v>2013.0</v>
      </c>
      <c r="M1918" s="25">
        <f t="shared" si="789"/>
        <v>12</v>
      </c>
      <c r="N1918" s="26">
        <f t="shared" si="790"/>
        <v>0</v>
      </c>
      <c r="O1918" s="27" t="str">
        <f t="shared" si="3"/>
        <v>#N/A</v>
      </c>
      <c r="P1918" s="28"/>
      <c r="Q1918" s="28"/>
      <c r="R1918" s="28"/>
      <c r="S1918" s="28"/>
      <c r="T1918" s="28"/>
      <c r="U1918" s="28"/>
      <c r="V1918" s="30">
        <f t="shared" si="425"/>
        <v>0</v>
      </c>
      <c r="W1918" s="30"/>
      <c r="X1918" s="32"/>
      <c r="Y1918" s="33" t="str">
        <f t="shared" si="792"/>
        <v>#DIV/0!</v>
      </c>
      <c r="Z1918" s="692"/>
      <c r="AA1918" s="665"/>
      <c r="AB1918" s="74"/>
      <c r="AC1918" s="74"/>
      <c r="AD1918" s="79"/>
      <c r="AE1918" s="84"/>
      <c r="AF1918" s="338"/>
      <c r="AG1918" s="84"/>
      <c r="AH1918" s="74"/>
      <c r="AI1918" s="78"/>
      <c r="AJ1918" s="79"/>
      <c r="AK1918" s="84"/>
      <c r="AL1918" s="79"/>
      <c r="AM1918" s="84"/>
      <c r="AN1918" s="79"/>
      <c r="AO1918" s="84"/>
      <c r="AP1918" s="79"/>
      <c r="AQ1918" s="84"/>
      <c r="AR1918" s="79"/>
      <c r="AS1918" s="79"/>
      <c r="AT1918" s="79"/>
      <c r="AU1918" s="80"/>
      <c r="AV1918" s="79"/>
      <c r="AW1918" s="38"/>
      <c r="AX1918" s="79"/>
      <c r="AY1918" s="38"/>
      <c r="AZ1918" s="79"/>
      <c r="BA1918" s="80"/>
      <c r="BB1918" s="79"/>
      <c r="BC1918" s="80"/>
      <c r="BD1918" s="79"/>
      <c r="BE1918" s="38"/>
      <c r="BF1918" s="74"/>
      <c r="BG1918" s="115"/>
      <c r="BH1918" s="115"/>
      <c r="BI1918" s="115"/>
      <c r="BJ1918" s="115"/>
      <c r="BK1918" s="115"/>
      <c r="BL1918" s="115"/>
      <c r="BM1918" s="115"/>
      <c r="BN1918" s="115"/>
      <c r="BO1918" s="115"/>
      <c r="BP1918" s="115"/>
      <c r="BQ1918" s="115"/>
      <c r="BR1918" s="115"/>
      <c r="BS1918" s="115"/>
      <c r="BT1918" s="115"/>
      <c r="BU1918" s="115"/>
      <c r="BV1918" s="115"/>
      <c r="BW1918" s="115"/>
      <c r="BX1918" s="115"/>
      <c r="BY1918" s="115"/>
      <c r="BZ1918" s="115"/>
      <c r="CA1918" s="115"/>
      <c r="CB1918" s="115"/>
      <c r="CC1918" s="115"/>
      <c r="CD1918" s="115"/>
      <c r="CE1918" s="115"/>
      <c r="CF1918" s="115"/>
      <c r="CG1918" s="115"/>
      <c r="CH1918" s="115"/>
      <c r="CI1918" s="115"/>
      <c r="CJ1918" s="115"/>
      <c r="CK1918" s="115"/>
      <c r="CL1918" s="115"/>
      <c r="CM1918" s="115"/>
      <c r="CN1918" s="115"/>
      <c r="CO1918" s="115"/>
      <c r="CP1918" s="115"/>
    </row>
    <row r="1919" ht="15.75" customHeight="1">
      <c r="A1919" s="931" t="s">
        <v>8817</v>
      </c>
      <c r="B1919" s="68"/>
      <c r="C1919" s="69" t="s">
        <v>1186</v>
      </c>
      <c r="D1919" s="192" t="s">
        <v>8818</v>
      </c>
      <c r="E1919" s="192" t="s">
        <v>8819</v>
      </c>
      <c r="F1919" s="118" t="s">
        <v>8820</v>
      </c>
      <c r="G1919" s="71"/>
      <c r="H1919" s="71" t="s">
        <v>8821</v>
      </c>
      <c r="I1919" s="26" t="s">
        <v>5623</v>
      </c>
      <c r="J1919" s="72"/>
      <c r="K1919" s="26"/>
      <c r="L1919" s="26">
        <v>1994.0</v>
      </c>
      <c r="M1919" s="25">
        <f t="shared" si="789"/>
        <v>31</v>
      </c>
      <c r="N1919" s="26">
        <f t="shared" si="790"/>
        <v>0</v>
      </c>
      <c r="O1919" s="27" t="str">
        <f t="shared" si="3"/>
        <v>#N/A</v>
      </c>
      <c r="P1919" s="273"/>
      <c r="Q1919" s="273"/>
      <c r="R1919" s="273"/>
      <c r="S1919" s="273"/>
      <c r="T1919" s="273"/>
      <c r="U1919" s="273"/>
      <c r="V1919" s="30">
        <f t="shared" si="425"/>
        <v>0</v>
      </c>
      <c r="W1919" s="30"/>
      <c r="X1919" s="73"/>
      <c r="Y1919" s="33" t="str">
        <f t="shared" si="792"/>
        <v>#DIV/0!</v>
      </c>
      <c r="Z1919" s="692"/>
      <c r="AA1919" s="665"/>
      <c r="AB1919" s="74"/>
      <c r="AC1919" s="74"/>
      <c r="AD1919" s="79"/>
      <c r="AE1919" s="84"/>
      <c r="AF1919" s="338"/>
      <c r="AG1919" s="76"/>
      <c r="AH1919" s="74"/>
      <c r="AI1919" s="435"/>
      <c r="AJ1919" s="279"/>
      <c r="AK1919" s="76"/>
      <c r="AL1919" s="279"/>
      <c r="AM1919" s="76"/>
      <c r="AN1919" s="79"/>
      <c r="AO1919" s="84"/>
      <c r="AP1919" s="79"/>
      <c r="AQ1919" s="84"/>
      <c r="AR1919" s="79"/>
      <c r="AS1919" s="79"/>
      <c r="AT1919" s="79"/>
      <c r="AU1919" s="80"/>
      <c r="AV1919" s="79"/>
      <c r="AW1919" s="38"/>
      <c r="AX1919" s="79"/>
      <c r="AY1919" s="38"/>
      <c r="AZ1919" s="79"/>
      <c r="BA1919" s="80"/>
      <c r="BB1919" s="79"/>
      <c r="BC1919" s="80"/>
      <c r="BD1919" s="79"/>
      <c r="BE1919" s="38"/>
      <c r="BF1919" s="74"/>
      <c r="BG1919" s="115"/>
      <c r="BH1919" s="115"/>
      <c r="BI1919" s="115"/>
      <c r="BJ1919" s="115"/>
      <c r="BK1919" s="115"/>
      <c r="BL1919" s="115"/>
      <c r="BM1919" s="115"/>
      <c r="BN1919" s="115"/>
      <c r="BO1919" s="115"/>
      <c r="BP1919" s="115"/>
      <c r="BQ1919" s="115"/>
      <c r="BR1919" s="115"/>
      <c r="BS1919" s="115"/>
      <c r="BT1919" s="115"/>
      <c r="BU1919" s="115"/>
      <c r="BV1919" s="115"/>
      <c r="BW1919" s="115"/>
      <c r="BX1919" s="115"/>
      <c r="BY1919" s="115"/>
      <c r="BZ1919" s="115"/>
      <c r="CA1919" s="115"/>
      <c r="CB1919" s="115"/>
      <c r="CC1919" s="115"/>
      <c r="CD1919" s="115"/>
      <c r="CE1919" s="115"/>
      <c r="CF1919" s="115"/>
      <c r="CG1919" s="115"/>
      <c r="CH1919" s="115"/>
      <c r="CI1919" s="115"/>
      <c r="CJ1919" s="115"/>
      <c r="CK1919" s="115"/>
      <c r="CL1919" s="115"/>
      <c r="CM1919" s="115"/>
      <c r="CN1919" s="115"/>
      <c r="CO1919" s="115"/>
      <c r="CP1919" s="115"/>
    </row>
    <row r="1920" ht="15.75" customHeight="1">
      <c r="A1920" s="1917" t="s">
        <v>8822</v>
      </c>
      <c r="B1920" s="760"/>
      <c r="C1920" s="824" t="s">
        <v>513</v>
      </c>
      <c r="D1920" s="1883"/>
      <c r="E1920" s="825" t="s">
        <v>8823</v>
      </c>
      <c r="F1920" s="826" t="s">
        <v>8824</v>
      </c>
      <c r="G1920" s="827"/>
      <c r="H1920" s="827" t="s">
        <v>129</v>
      </c>
      <c r="I1920" s="830" t="s">
        <v>129</v>
      </c>
      <c r="J1920" s="1884"/>
      <c r="K1920" s="830"/>
      <c r="L1920" s="830">
        <v>2012.0</v>
      </c>
      <c r="M1920" s="25">
        <f t="shared" si="789"/>
        <v>13</v>
      </c>
      <c r="N1920" s="26">
        <f t="shared" si="790"/>
        <v>0</v>
      </c>
      <c r="O1920" s="27" t="str">
        <f t="shared" si="3"/>
        <v>#N/A</v>
      </c>
      <c r="P1920" s="1858"/>
      <c r="Q1920" s="1858"/>
      <c r="R1920" s="1858"/>
      <c r="S1920" s="1858"/>
      <c r="T1920" s="1858"/>
      <c r="U1920" s="1858"/>
      <c r="V1920" s="30">
        <f t="shared" si="425"/>
        <v>0</v>
      </c>
      <c r="W1920" s="30"/>
      <c r="X1920" s="1276"/>
      <c r="Y1920" s="33" t="str">
        <f t="shared" si="792"/>
        <v>#DIV/0!</v>
      </c>
      <c r="Z1920" s="692"/>
      <c r="AA1920" s="665"/>
      <c r="AB1920" s="831"/>
      <c r="AC1920" s="831"/>
      <c r="AD1920" s="832"/>
      <c r="AE1920" s="833"/>
      <c r="AF1920" s="834"/>
      <c r="AG1920" s="837"/>
      <c r="AH1920" s="831"/>
      <c r="AI1920" s="1866"/>
      <c r="AJ1920" s="1920"/>
      <c r="AK1920" s="837"/>
      <c r="AL1920" s="1920"/>
      <c r="AM1920" s="837"/>
      <c r="AN1920" s="832"/>
      <c r="AO1920" s="833"/>
      <c r="AP1920" s="832"/>
      <c r="AQ1920" s="833"/>
      <c r="AR1920" s="832"/>
      <c r="AS1920" s="832"/>
      <c r="AT1920" s="832"/>
      <c r="AU1920" s="838"/>
      <c r="AV1920" s="832"/>
      <c r="AW1920" s="38"/>
      <c r="AX1920" s="832"/>
      <c r="AY1920" s="38"/>
      <c r="AZ1920" s="832"/>
      <c r="BA1920" s="838"/>
      <c r="BB1920" s="832"/>
      <c r="BC1920" s="838"/>
      <c r="BD1920" s="832"/>
      <c r="BE1920" s="38"/>
      <c r="BF1920" s="831"/>
      <c r="BG1920" s="1921"/>
      <c r="BH1920" s="1265"/>
      <c r="BI1920" s="1922"/>
      <c r="BJ1920" s="1921"/>
      <c r="BK1920" s="509"/>
      <c r="BL1920" s="115"/>
      <c r="BM1920" s="115"/>
      <c r="BN1920" s="198"/>
      <c r="BO1920" s="1497"/>
      <c r="BP1920" s="1923"/>
      <c r="BQ1920" s="1891"/>
      <c r="BR1920" s="1458"/>
      <c r="BS1920" s="1459"/>
      <c r="BT1920" s="1924"/>
      <c r="BU1920" s="1925"/>
      <c r="BV1920" s="1926"/>
      <c r="BW1920" s="1891"/>
      <c r="BX1920" s="198"/>
      <c r="BY1920" s="1497"/>
      <c r="BZ1920" s="198"/>
      <c r="CA1920" s="1497"/>
      <c r="CB1920" s="198"/>
      <c r="CC1920" s="198"/>
      <c r="CD1920" s="198"/>
      <c r="CE1920" s="1898"/>
      <c r="CF1920" s="198"/>
      <c r="CG1920" s="1898"/>
      <c r="CH1920" s="198"/>
      <c r="CI1920" s="1898"/>
      <c r="CJ1920" s="198"/>
      <c r="CK1920" s="1898"/>
      <c r="CL1920" s="198"/>
      <c r="CM1920" s="1898"/>
      <c r="CN1920" s="198"/>
      <c r="CO1920" s="1497"/>
      <c r="CP1920" s="115"/>
    </row>
    <row r="1921" ht="15.75" customHeight="1">
      <c r="A1921" s="21" t="s">
        <v>8825</v>
      </c>
      <c r="B1921" s="68"/>
      <c r="C1921" s="69" t="s">
        <v>6947</v>
      </c>
      <c r="D1921" s="200" t="s">
        <v>8826</v>
      </c>
      <c r="E1921" s="200" t="s">
        <v>8827</v>
      </c>
      <c r="F1921" s="173" t="s">
        <v>8828</v>
      </c>
      <c r="G1921" s="71" t="s">
        <v>8829</v>
      </c>
      <c r="H1921" s="71" t="s">
        <v>5035</v>
      </c>
      <c r="I1921" s="26" t="s">
        <v>5036</v>
      </c>
      <c r="J1921" s="72" t="s">
        <v>8830</v>
      </c>
      <c r="K1921" s="26">
        <v>1.0</v>
      </c>
      <c r="L1921" s="26">
        <v>2014.0</v>
      </c>
      <c r="M1921" s="25">
        <f t="shared" si="789"/>
        <v>11</v>
      </c>
      <c r="N1921" s="26">
        <f t="shared" si="790"/>
        <v>0</v>
      </c>
      <c r="O1921" s="27" t="str">
        <f t="shared" si="3"/>
        <v>#N/A</v>
      </c>
      <c r="P1921" s="273"/>
      <c r="Q1921" s="273"/>
      <c r="R1921" s="273"/>
      <c r="S1921" s="273"/>
      <c r="T1921" s="273"/>
      <c r="U1921" s="273"/>
      <c r="V1921" s="30">
        <f t="shared" si="425"/>
        <v>0</v>
      </c>
      <c r="W1921" s="30"/>
      <c r="X1921" s="73"/>
      <c r="Y1921" s="33" t="str">
        <f t="shared" si="792"/>
        <v>#DIV/0!</v>
      </c>
      <c r="Z1921" s="692"/>
      <c r="AA1921" s="665"/>
      <c r="AB1921" s="74"/>
      <c r="AC1921" s="74"/>
      <c r="AD1921" s="79"/>
      <c r="AE1921" s="84"/>
      <c r="AF1921" s="338"/>
      <c r="AG1921" s="84"/>
      <c r="AH1921" s="74"/>
      <c r="AI1921" s="78"/>
      <c r="AJ1921" s="79"/>
      <c r="AK1921" s="84"/>
      <c r="AL1921" s="79"/>
      <c r="AM1921" s="84"/>
      <c r="AN1921" s="79"/>
      <c r="AO1921" s="84"/>
      <c r="AP1921" s="79"/>
      <c r="AQ1921" s="84"/>
      <c r="AR1921" s="79"/>
      <c r="AS1921" s="79"/>
      <c r="AT1921" s="79"/>
      <c r="AU1921" s="80"/>
      <c r="AV1921" s="79"/>
      <c r="AW1921" s="38"/>
      <c r="AX1921" s="79"/>
      <c r="AY1921" s="38"/>
      <c r="AZ1921" s="79"/>
      <c r="BA1921" s="80"/>
      <c r="BB1921" s="79"/>
      <c r="BC1921" s="80"/>
      <c r="BD1921" s="79"/>
      <c r="BE1921" s="38"/>
      <c r="BF1921" s="74"/>
      <c r="BG1921" s="115"/>
      <c r="BH1921" s="115"/>
      <c r="BI1921" s="115"/>
      <c r="BJ1921" s="115"/>
      <c r="BK1921" s="115"/>
      <c r="BL1921" s="115"/>
      <c r="BM1921" s="115"/>
      <c r="BN1921" s="115"/>
      <c r="BO1921" s="115"/>
      <c r="BP1921" s="115"/>
      <c r="BQ1921" s="115"/>
      <c r="BR1921" s="115"/>
      <c r="BS1921" s="115"/>
      <c r="BT1921" s="115"/>
      <c r="BU1921" s="115"/>
      <c r="BV1921" s="115"/>
      <c r="BW1921" s="115"/>
      <c r="BX1921" s="115"/>
      <c r="BY1921" s="115"/>
      <c r="BZ1921" s="115"/>
      <c r="CA1921" s="115"/>
      <c r="CB1921" s="115"/>
      <c r="CC1921" s="115"/>
      <c r="CD1921" s="115"/>
      <c r="CE1921" s="115"/>
      <c r="CF1921" s="115"/>
      <c r="CG1921" s="115"/>
      <c r="CH1921" s="115"/>
      <c r="CI1921" s="115"/>
      <c r="CJ1921" s="115"/>
      <c r="CK1921" s="115"/>
      <c r="CL1921" s="115"/>
      <c r="CM1921" s="115"/>
      <c r="CN1921" s="115"/>
      <c r="CO1921" s="115"/>
      <c r="CP1921" s="115"/>
    </row>
    <row r="1922" ht="15.75" customHeight="1">
      <c r="A1922" s="21" t="s">
        <v>8831</v>
      </c>
      <c r="B1922" s="68"/>
      <c r="C1922" s="69" t="s">
        <v>207</v>
      </c>
      <c r="D1922" s="337"/>
      <c r="E1922" s="200" t="s">
        <v>8832</v>
      </c>
      <c r="F1922" s="841" t="s">
        <v>8833</v>
      </c>
      <c r="G1922" s="54" t="s">
        <v>8834</v>
      </c>
      <c r="H1922" s="71" t="s">
        <v>8835</v>
      </c>
      <c r="I1922" s="26" t="s">
        <v>329</v>
      </c>
      <c r="J1922" s="72" t="s">
        <v>8836</v>
      </c>
      <c r="K1922" s="26">
        <v>2.0</v>
      </c>
      <c r="L1922" s="26">
        <v>2018.0</v>
      </c>
      <c r="M1922" s="25">
        <f t="shared" si="789"/>
        <v>7</v>
      </c>
      <c r="N1922" s="26">
        <f t="shared" si="790"/>
        <v>0</v>
      </c>
      <c r="O1922" s="27" t="str">
        <f t="shared" si="3"/>
        <v>#N/A</v>
      </c>
      <c r="P1922" s="273"/>
      <c r="Q1922" s="273"/>
      <c r="R1922" s="273"/>
      <c r="S1922" s="273"/>
      <c r="T1922" s="273"/>
      <c r="U1922" s="273"/>
      <c r="V1922" s="30">
        <f t="shared" si="425"/>
        <v>0</v>
      </c>
      <c r="W1922" s="30"/>
      <c r="X1922" s="73"/>
      <c r="Y1922" s="33" t="str">
        <f t="shared" si="792"/>
        <v>#DIV/0!</v>
      </c>
      <c r="Z1922" s="692"/>
      <c r="AA1922" s="665"/>
      <c r="AB1922" s="74"/>
      <c r="AC1922" s="74"/>
      <c r="AD1922" s="79"/>
      <c r="AE1922" s="84"/>
      <c r="AF1922" s="338"/>
      <c r="AG1922" s="84"/>
      <c r="AH1922" s="74"/>
      <c r="AI1922" s="78"/>
      <c r="AJ1922" s="79"/>
      <c r="AK1922" s="84"/>
      <c r="AL1922" s="79"/>
      <c r="AM1922" s="84"/>
      <c r="AN1922" s="79"/>
      <c r="AO1922" s="84"/>
      <c r="AP1922" s="79"/>
      <c r="AQ1922" s="84"/>
      <c r="AR1922" s="79"/>
      <c r="AS1922" s="79"/>
      <c r="AT1922" s="79"/>
      <c r="AU1922" s="80"/>
      <c r="AV1922" s="79"/>
      <c r="AW1922" s="38"/>
      <c r="AX1922" s="79"/>
      <c r="AY1922" s="38"/>
      <c r="AZ1922" s="79"/>
      <c r="BA1922" s="80"/>
      <c r="BB1922" s="79"/>
      <c r="BC1922" s="80"/>
      <c r="BD1922" s="79"/>
      <c r="BE1922" s="38"/>
      <c r="BF1922" s="74"/>
      <c r="BG1922" s="115"/>
      <c r="BH1922" s="115"/>
      <c r="BI1922" s="115"/>
      <c r="BJ1922" s="115"/>
      <c r="BK1922" s="115"/>
      <c r="BL1922" s="115"/>
      <c r="BM1922" s="115"/>
      <c r="BN1922" s="115"/>
      <c r="BO1922" s="115"/>
      <c r="BP1922" s="115"/>
      <c r="BQ1922" s="115"/>
      <c r="BR1922" s="115"/>
      <c r="BS1922" s="115"/>
      <c r="BT1922" s="115"/>
      <c r="BU1922" s="115"/>
      <c r="BV1922" s="115"/>
      <c r="BW1922" s="115"/>
      <c r="BX1922" s="115"/>
      <c r="BY1922" s="115"/>
      <c r="BZ1922" s="115"/>
      <c r="CA1922" s="115"/>
      <c r="CB1922" s="115"/>
      <c r="CC1922" s="115"/>
      <c r="CD1922" s="115"/>
      <c r="CE1922" s="115"/>
      <c r="CF1922" s="115"/>
      <c r="CG1922" s="115"/>
      <c r="CH1922" s="115"/>
      <c r="CI1922" s="115"/>
      <c r="CJ1922" s="115"/>
      <c r="CK1922" s="115"/>
      <c r="CL1922" s="115"/>
      <c r="CM1922" s="115"/>
      <c r="CN1922" s="115"/>
      <c r="CO1922" s="115"/>
      <c r="CP1922" s="115"/>
    </row>
    <row r="1923" ht="15.75" customHeight="1">
      <c r="A1923" s="21" t="s">
        <v>8837</v>
      </c>
      <c r="B1923" s="68"/>
      <c r="C1923" s="69" t="s">
        <v>123</v>
      </c>
      <c r="D1923" s="192" t="s">
        <v>8838</v>
      </c>
      <c r="E1923" s="192" t="s">
        <v>8839</v>
      </c>
      <c r="F1923" s="173" t="s">
        <v>8840</v>
      </c>
      <c r="G1923" s="186"/>
      <c r="H1923" s="71" t="s">
        <v>3446</v>
      </c>
      <c r="I1923" s="26" t="s">
        <v>8841</v>
      </c>
      <c r="J1923" s="155"/>
      <c r="K1923" s="74"/>
      <c r="L1923" s="26">
        <v>2019.0</v>
      </c>
      <c r="M1923" s="25">
        <f t="shared" si="789"/>
        <v>6</v>
      </c>
      <c r="N1923" s="26">
        <f t="shared" si="790"/>
        <v>0</v>
      </c>
      <c r="O1923" s="27" t="str">
        <f t="shared" si="3"/>
        <v>#N/A</v>
      </c>
      <c r="P1923" s="273"/>
      <c r="Q1923" s="273"/>
      <c r="R1923" s="273"/>
      <c r="S1923" s="273"/>
      <c r="T1923" s="273"/>
      <c r="U1923" s="273"/>
      <c r="V1923" s="30">
        <f t="shared" si="425"/>
        <v>0</v>
      </c>
      <c r="W1923" s="30"/>
      <c r="X1923" s="32"/>
      <c r="Y1923" s="33" t="str">
        <f t="shared" si="792"/>
        <v>#DIV/0!</v>
      </c>
      <c r="Z1923" s="692"/>
      <c r="AA1923" s="665"/>
      <c r="AB1923" s="74"/>
      <c r="AC1923" s="74"/>
      <c r="AD1923" s="79"/>
      <c r="AE1923" s="84"/>
      <c r="AF1923" s="338"/>
      <c r="AG1923" s="84"/>
      <c r="AH1923" s="74"/>
      <c r="AI1923" s="78"/>
      <c r="AJ1923" s="79"/>
      <c r="AK1923" s="84"/>
      <c r="AL1923" s="79"/>
      <c r="AM1923" s="84"/>
      <c r="AN1923" s="79"/>
      <c r="AO1923" s="84"/>
      <c r="AP1923" s="79"/>
      <c r="AQ1923" s="84"/>
      <c r="AR1923" s="79"/>
      <c r="AS1923" s="79"/>
      <c r="AT1923" s="79"/>
      <c r="AU1923" s="80"/>
      <c r="AV1923" s="79"/>
      <c r="AW1923" s="38"/>
      <c r="AX1923" s="79"/>
      <c r="AY1923" s="38"/>
      <c r="AZ1923" s="79"/>
      <c r="BA1923" s="80"/>
      <c r="BB1923" s="79"/>
      <c r="BC1923" s="80"/>
      <c r="BD1923" s="79"/>
      <c r="BE1923" s="38"/>
      <c r="BF1923" s="74"/>
      <c r="BG1923" s="115"/>
      <c r="BH1923" s="115"/>
      <c r="BI1923" s="115"/>
      <c r="BJ1923" s="115"/>
      <c r="BK1923" s="115"/>
      <c r="BL1923" s="115"/>
      <c r="BM1923" s="115"/>
      <c r="BN1923" s="115"/>
      <c r="BO1923" s="115"/>
      <c r="BP1923" s="115"/>
      <c r="BQ1923" s="115"/>
      <c r="BR1923" s="115"/>
      <c r="BS1923" s="115"/>
      <c r="BT1923" s="115"/>
      <c r="BU1923" s="115"/>
      <c r="BV1923" s="115"/>
      <c r="BW1923" s="115"/>
      <c r="BX1923" s="115"/>
      <c r="BY1923" s="115"/>
      <c r="BZ1923" s="115"/>
      <c r="CA1923" s="115"/>
      <c r="CB1923" s="115"/>
      <c r="CC1923" s="115"/>
      <c r="CD1923" s="115"/>
      <c r="CE1923" s="115"/>
      <c r="CF1923" s="115"/>
      <c r="CG1923" s="115"/>
      <c r="CH1923" s="115"/>
      <c r="CI1923" s="115"/>
      <c r="CJ1923" s="115"/>
      <c r="CK1923" s="115"/>
      <c r="CL1923" s="115"/>
      <c r="CM1923" s="115"/>
      <c r="CN1923" s="115"/>
      <c r="CO1923" s="115"/>
      <c r="CP1923" s="115"/>
    </row>
    <row r="1924" ht="15.75" customHeight="1">
      <c r="A1924" s="442" t="s">
        <v>8842</v>
      </c>
      <c r="B1924" s="68" t="s">
        <v>4660</v>
      </c>
      <c r="C1924" s="858" t="s">
        <v>123</v>
      </c>
      <c r="D1924" s="337"/>
      <c r="E1924" s="200" t="s">
        <v>8843</v>
      </c>
      <c r="F1924" s="185" t="s">
        <v>8844</v>
      </c>
      <c r="G1924" s="186" t="s">
        <v>8845</v>
      </c>
      <c r="H1924" s="186" t="s">
        <v>8846</v>
      </c>
      <c r="I1924" s="74" t="s">
        <v>8847</v>
      </c>
      <c r="J1924" s="155" t="s">
        <v>8848</v>
      </c>
      <c r="K1924" s="74">
        <v>1.0</v>
      </c>
      <c r="L1924" s="26">
        <v>2017.0</v>
      </c>
      <c r="M1924" s="25">
        <f t="shared" si="789"/>
        <v>8</v>
      </c>
      <c r="N1924" s="26">
        <f t="shared" si="790"/>
        <v>0</v>
      </c>
      <c r="O1924" s="27" t="str">
        <f t="shared" si="3"/>
        <v>#N/A</v>
      </c>
      <c r="P1924" s="273"/>
      <c r="Q1924" s="273"/>
      <c r="R1924" s="273"/>
      <c r="S1924" s="273"/>
      <c r="T1924" s="273"/>
      <c r="U1924" s="273"/>
      <c r="V1924" s="30">
        <f t="shared" si="425"/>
        <v>0</v>
      </c>
      <c r="W1924" s="30"/>
      <c r="X1924" s="32"/>
      <c r="Y1924" s="33" t="str">
        <f t="shared" si="792"/>
        <v>#DIV/0!</v>
      </c>
      <c r="Z1924" s="692"/>
      <c r="AA1924" s="665"/>
      <c r="AB1924" s="74"/>
      <c r="AC1924" s="74"/>
      <c r="AD1924" s="79"/>
      <c r="AE1924" s="84"/>
      <c r="AF1924" s="338"/>
      <c r="AG1924" s="84"/>
      <c r="AH1924" s="74"/>
      <c r="AI1924" s="78"/>
      <c r="AJ1924" s="79"/>
      <c r="AK1924" s="84"/>
      <c r="AL1924" s="79"/>
      <c r="AM1924" s="84"/>
      <c r="AN1924" s="79"/>
      <c r="AO1924" s="84"/>
      <c r="AP1924" s="79"/>
      <c r="AQ1924" s="84"/>
      <c r="AR1924" s="79"/>
      <c r="AS1924" s="79"/>
      <c r="AT1924" s="79"/>
      <c r="AU1924" s="80"/>
      <c r="AV1924" s="79"/>
      <c r="AW1924" s="38"/>
      <c r="AX1924" s="79"/>
      <c r="AY1924" s="38"/>
      <c r="AZ1924" s="79"/>
      <c r="BA1924" s="80"/>
      <c r="BB1924" s="79"/>
      <c r="BC1924" s="80"/>
      <c r="BD1924" s="79"/>
      <c r="BE1924" s="38"/>
      <c r="BF1924" s="74"/>
      <c r="BG1924" s="115"/>
      <c r="BH1924" s="115"/>
      <c r="BI1924" s="115"/>
      <c r="BJ1924" s="115"/>
      <c r="BK1924" s="115"/>
      <c r="BL1924" s="115"/>
      <c r="BM1924" s="115"/>
      <c r="BN1924" s="115"/>
      <c r="BO1924" s="115"/>
      <c r="BP1924" s="115"/>
      <c r="BQ1924" s="115"/>
      <c r="BR1924" s="115"/>
      <c r="BS1924" s="115"/>
      <c r="BT1924" s="115"/>
      <c r="BU1924" s="115"/>
      <c r="BV1924" s="115"/>
      <c r="BW1924" s="115"/>
      <c r="BX1924" s="115"/>
      <c r="BY1924" s="115"/>
      <c r="BZ1924" s="115"/>
      <c r="CA1924" s="115"/>
      <c r="CB1924" s="115"/>
      <c r="CC1924" s="115"/>
      <c r="CD1924" s="115"/>
      <c r="CE1924" s="115"/>
      <c r="CF1924" s="115"/>
      <c r="CG1924" s="115"/>
      <c r="CH1924" s="115"/>
      <c r="CI1924" s="115"/>
      <c r="CJ1924" s="115"/>
      <c r="CK1924" s="115"/>
      <c r="CL1924" s="115"/>
      <c r="CM1924" s="115"/>
      <c r="CN1924" s="115"/>
      <c r="CO1924" s="115"/>
      <c r="CP1924" s="115"/>
    </row>
    <row r="1925" ht="15.75" customHeight="1">
      <c r="A1925" s="931" t="s">
        <v>8849</v>
      </c>
      <c r="B1925" s="115"/>
      <c r="C1925" s="116" t="s">
        <v>84</v>
      </c>
      <c r="D1925" s="162" t="s">
        <v>8850</v>
      </c>
      <c r="E1925" s="162"/>
      <c r="F1925" s="118" t="s">
        <v>8851</v>
      </c>
      <c r="G1925" s="54" t="s">
        <v>8852</v>
      </c>
      <c r="H1925" s="119" t="s">
        <v>64</v>
      </c>
      <c r="I1925" s="25" t="s">
        <v>65</v>
      </c>
      <c r="J1925" s="178" t="s">
        <v>566</v>
      </c>
      <c r="K1925" s="25">
        <v>1.0</v>
      </c>
      <c r="L1925" s="25"/>
      <c r="M1925" s="25">
        <f t="shared" si="789"/>
        <v>2025</v>
      </c>
      <c r="N1925" s="26">
        <f t="shared" si="790"/>
        <v>0</v>
      </c>
      <c r="O1925" s="27" t="str">
        <f t="shared" si="3"/>
        <v>#N/A</v>
      </c>
      <c r="P1925" s="356"/>
      <c r="Q1925" s="356"/>
      <c r="R1925" s="356"/>
      <c r="S1925" s="356"/>
      <c r="T1925" s="356"/>
      <c r="U1925" s="356"/>
      <c r="V1925" s="30">
        <f t="shared" si="425"/>
        <v>0</v>
      </c>
      <c r="W1925" s="30"/>
      <c r="X1925" s="597"/>
      <c r="Y1925" s="33" t="str">
        <f t="shared" si="792"/>
        <v>#DIV/0!</v>
      </c>
      <c r="Z1925" s="692"/>
      <c r="AA1925" s="665"/>
      <c r="AB1925" s="123"/>
      <c r="AC1925" s="123"/>
      <c r="AD1925" s="124"/>
      <c r="AE1925" s="125"/>
      <c r="AF1925" s="166"/>
      <c r="AG1925" s="125"/>
      <c r="AH1925" s="123"/>
      <c r="AI1925" s="128"/>
      <c r="AJ1925" s="124"/>
      <c r="AK1925" s="125"/>
      <c r="AL1925" s="124"/>
      <c r="AM1925" s="125"/>
      <c r="AN1925" s="124"/>
      <c r="AO1925" s="125"/>
      <c r="AP1925" s="124"/>
      <c r="AQ1925" s="125"/>
      <c r="AR1925" s="124"/>
      <c r="AS1925" s="124"/>
      <c r="AT1925" s="124"/>
      <c r="AU1925" s="137"/>
      <c r="AV1925" s="124"/>
      <c r="AW1925" s="38"/>
      <c r="AX1925" s="124"/>
      <c r="AY1925" s="38"/>
      <c r="AZ1925" s="124"/>
      <c r="BA1925" s="137"/>
      <c r="BB1925" s="124"/>
      <c r="BC1925" s="137"/>
      <c r="BD1925" s="124"/>
      <c r="BE1925" s="38"/>
      <c r="BF1925" s="123"/>
      <c r="BG1925" s="115"/>
      <c r="BH1925" s="115"/>
      <c r="BI1925" s="115"/>
      <c r="BJ1925" s="115"/>
      <c r="BK1925" s="115"/>
      <c r="BL1925" s="115"/>
      <c r="BM1925" s="115"/>
      <c r="BN1925" s="115"/>
      <c r="BO1925" s="115"/>
      <c r="BP1925" s="115"/>
      <c r="BQ1925" s="115"/>
      <c r="BR1925" s="115"/>
      <c r="BS1925" s="115"/>
      <c r="BT1925" s="115"/>
      <c r="BU1925" s="115"/>
      <c r="BV1925" s="115"/>
      <c r="BW1925" s="115"/>
      <c r="BX1925" s="115"/>
      <c r="BY1925" s="115"/>
      <c r="BZ1925" s="115"/>
      <c r="CA1925" s="115"/>
      <c r="CB1925" s="115"/>
      <c r="CC1925" s="115"/>
      <c r="CD1925" s="115"/>
      <c r="CE1925" s="115"/>
      <c r="CF1925" s="115"/>
      <c r="CG1925" s="115"/>
      <c r="CH1925" s="115"/>
      <c r="CI1925" s="115"/>
      <c r="CJ1925" s="115"/>
      <c r="CK1925" s="115"/>
      <c r="CL1925" s="115"/>
      <c r="CM1925" s="115"/>
      <c r="CN1925" s="115"/>
      <c r="CO1925" s="115"/>
      <c r="CP1925" s="115"/>
    </row>
    <row r="1926" ht="15.75" customHeight="1">
      <c r="A1926" s="47" t="s">
        <v>8853</v>
      </c>
      <c r="B1926" s="115"/>
      <c r="C1926" s="116" t="s">
        <v>132</v>
      </c>
      <c r="D1926" s="48"/>
      <c r="E1926" s="192" t="s">
        <v>8854</v>
      </c>
      <c r="F1926" s="118" t="s">
        <v>8855</v>
      </c>
      <c r="G1926" s="119"/>
      <c r="H1926" s="119" t="s">
        <v>6100</v>
      </c>
      <c r="I1926" s="26" t="s">
        <v>5751</v>
      </c>
      <c r="J1926" s="120"/>
      <c r="K1926" s="25"/>
      <c r="L1926" s="25">
        <v>2011.0</v>
      </c>
      <c r="M1926" s="25">
        <f t="shared" si="789"/>
        <v>14</v>
      </c>
      <c r="N1926" s="26">
        <f t="shared" si="790"/>
        <v>0</v>
      </c>
      <c r="O1926" s="27" t="str">
        <f t="shared" si="3"/>
        <v>#N/A</v>
      </c>
      <c r="P1926" s="356"/>
      <c r="Q1926" s="356"/>
      <c r="R1926" s="356"/>
      <c r="S1926" s="356"/>
      <c r="T1926" s="356"/>
      <c r="U1926" s="356"/>
      <c r="V1926" s="30">
        <f t="shared" si="425"/>
        <v>0</v>
      </c>
      <c r="W1926" s="30"/>
      <c r="X1926" s="597"/>
      <c r="Y1926" s="33" t="str">
        <f t="shared" si="792"/>
        <v>#DIV/0!</v>
      </c>
      <c r="Z1926" s="692"/>
      <c r="AA1926" s="665"/>
      <c r="AB1926" s="123"/>
      <c r="AC1926" s="123"/>
      <c r="AD1926" s="124"/>
      <c r="AE1926" s="125"/>
      <c r="AF1926" s="166"/>
      <c r="AG1926" s="125"/>
      <c r="AH1926" s="123"/>
      <c r="AI1926" s="128"/>
      <c r="AJ1926" s="124"/>
      <c r="AK1926" s="125"/>
      <c r="AL1926" s="124"/>
      <c r="AM1926" s="125"/>
      <c r="AN1926" s="124"/>
      <c r="AO1926" s="125"/>
      <c r="AP1926" s="124"/>
      <c r="AQ1926" s="125"/>
      <c r="AR1926" s="124"/>
      <c r="AS1926" s="124"/>
      <c r="AT1926" s="124"/>
      <c r="AU1926" s="137"/>
      <c r="AV1926" s="124"/>
      <c r="AW1926" s="38"/>
      <c r="AX1926" s="124"/>
      <c r="AY1926" s="38"/>
      <c r="AZ1926" s="124"/>
      <c r="BA1926" s="137"/>
      <c r="BB1926" s="124"/>
      <c r="BC1926" s="137"/>
      <c r="BD1926" s="124"/>
      <c r="BE1926" s="38"/>
      <c r="BF1926" s="123"/>
      <c r="BG1926" s="115"/>
      <c r="BH1926" s="115"/>
      <c r="BI1926" s="115"/>
      <c r="BJ1926" s="115"/>
      <c r="BK1926" s="115"/>
      <c r="BL1926" s="115"/>
      <c r="BM1926" s="115"/>
      <c r="BN1926" s="115"/>
      <c r="BO1926" s="115"/>
      <c r="BP1926" s="115"/>
      <c r="BQ1926" s="115"/>
      <c r="BR1926" s="115"/>
      <c r="BS1926" s="115"/>
      <c r="BT1926" s="115"/>
      <c r="BU1926" s="115"/>
      <c r="BV1926" s="115"/>
      <c r="BW1926" s="115"/>
      <c r="BX1926" s="115"/>
      <c r="BY1926" s="115"/>
      <c r="BZ1926" s="115"/>
      <c r="CA1926" s="115"/>
      <c r="CB1926" s="115"/>
      <c r="CC1926" s="115"/>
      <c r="CD1926" s="115"/>
      <c r="CE1926" s="115"/>
      <c r="CF1926" s="115"/>
      <c r="CG1926" s="115"/>
      <c r="CH1926" s="115"/>
      <c r="CI1926" s="115"/>
      <c r="CJ1926" s="115"/>
      <c r="CK1926" s="115"/>
      <c r="CL1926" s="115"/>
      <c r="CM1926" s="115"/>
      <c r="CN1926" s="115"/>
      <c r="CO1926" s="115"/>
      <c r="CP1926" s="115"/>
    </row>
    <row r="1927" ht="15.75" customHeight="1">
      <c r="A1927" s="931" t="s">
        <v>8856</v>
      </c>
      <c r="B1927" s="115"/>
      <c r="C1927" s="116" t="s">
        <v>132</v>
      </c>
      <c r="D1927" s="192" t="s">
        <v>8857</v>
      </c>
      <c r="E1927" s="162"/>
      <c r="F1927" s="118" t="s">
        <v>8858</v>
      </c>
      <c r="G1927" s="119"/>
      <c r="H1927" s="119"/>
      <c r="I1927" s="74"/>
      <c r="J1927" s="120"/>
      <c r="K1927" s="25"/>
      <c r="L1927" s="25"/>
      <c r="M1927" s="25">
        <f t="shared" si="789"/>
        <v>2025</v>
      </c>
      <c r="N1927" s="26">
        <f t="shared" si="790"/>
        <v>0</v>
      </c>
      <c r="O1927" s="27" t="str">
        <f t="shared" si="3"/>
        <v>#N/A</v>
      </c>
      <c r="P1927" s="356"/>
      <c r="Q1927" s="356"/>
      <c r="R1927" s="356"/>
      <c r="S1927" s="356"/>
      <c r="T1927" s="356"/>
      <c r="U1927" s="356"/>
      <c r="V1927" s="30">
        <f t="shared" si="425"/>
        <v>0</v>
      </c>
      <c r="W1927" s="30"/>
      <c r="X1927" s="597"/>
      <c r="Y1927" s="33" t="str">
        <f t="shared" si="792"/>
        <v>#DIV/0!</v>
      </c>
      <c r="Z1927" s="692"/>
      <c r="AA1927" s="665"/>
      <c r="AB1927" s="123"/>
      <c r="AC1927" s="123"/>
      <c r="AD1927" s="124"/>
      <c r="AE1927" s="1497"/>
      <c r="AF1927" s="166"/>
      <c r="AG1927" s="125"/>
      <c r="AH1927" s="123"/>
      <c r="AI1927" s="128"/>
      <c r="AJ1927" s="124"/>
      <c r="AK1927" s="125"/>
      <c r="AL1927" s="124"/>
      <c r="AM1927" s="125"/>
      <c r="AN1927" s="124"/>
      <c r="AO1927" s="125"/>
      <c r="AP1927" s="124"/>
      <c r="AQ1927" s="125"/>
      <c r="AR1927" s="124"/>
      <c r="AS1927" s="124"/>
      <c r="AT1927" s="124"/>
      <c r="AU1927" s="137"/>
      <c r="AV1927" s="124"/>
      <c r="AW1927" s="38"/>
      <c r="AX1927" s="124"/>
      <c r="AY1927" s="38"/>
      <c r="AZ1927" s="124"/>
      <c r="BA1927" s="137"/>
      <c r="BB1927" s="124"/>
      <c r="BC1927" s="137"/>
      <c r="BD1927" s="124"/>
      <c r="BE1927" s="38"/>
      <c r="BF1927" s="123"/>
      <c r="BG1927" s="115"/>
      <c r="BH1927" s="115"/>
      <c r="BI1927" s="115"/>
      <c r="BJ1927" s="115"/>
      <c r="BK1927" s="115"/>
      <c r="BL1927" s="115"/>
      <c r="BM1927" s="115"/>
      <c r="BN1927" s="115"/>
      <c r="BO1927" s="115"/>
      <c r="BP1927" s="115"/>
      <c r="BQ1927" s="115"/>
      <c r="BR1927" s="115"/>
      <c r="BS1927" s="115"/>
      <c r="BT1927" s="115"/>
      <c r="BU1927" s="115"/>
      <c r="BV1927" s="115"/>
      <c r="BW1927" s="115"/>
      <c r="BX1927" s="115"/>
      <c r="BY1927" s="115"/>
      <c r="BZ1927" s="115"/>
      <c r="CA1927" s="115"/>
      <c r="CB1927" s="115"/>
      <c r="CC1927" s="115"/>
      <c r="CD1927" s="115"/>
      <c r="CE1927" s="115"/>
      <c r="CF1927" s="115"/>
      <c r="CG1927" s="115"/>
      <c r="CH1927" s="115"/>
      <c r="CI1927" s="115"/>
      <c r="CJ1927" s="115"/>
      <c r="CK1927" s="115"/>
      <c r="CL1927" s="115"/>
      <c r="CM1927" s="115"/>
      <c r="CN1927" s="115"/>
      <c r="CO1927" s="115"/>
      <c r="CP1927" s="115"/>
    </row>
    <row r="1928" ht="15.75" customHeight="1">
      <c r="A1928" s="1927" t="s">
        <v>8859</v>
      </c>
      <c r="B1928" s="68"/>
      <c r="C1928" s="69" t="s">
        <v>207</v>
      </c>
      <c r="D1928" s="231"/>
      <c r="E1928" s="236" t="s">
        <v>8860</v>
      </c>
      <c r="F1928" s="803" t="s">
        <v>8861</v>
      </c>
      <c r="G1928" s="71" t="s">
        <v>8862</v>
      </c>
      <c r="H1928" s="1401" t="s">
        <v>2922</v>
      </c>
      <c r="I1928" s="74" t="s">
        <v>65</v>
      </c>
      <c r="J1928" s="72"/>
      <c r="K1928" s="26"/>
      <c r="L1928" s="26">
        <v>2015.0</v>
      </c>
      <c r="M1928" s="25">
        <f t="shared" si="789"/>
        <v>10</v>
      </c>
      <c r="N1928" s="26">
        <f t="shared" si="790"/>
        <v>0</v>
      </c>
      <c r="O1928" s="27" t="str">
        <f t="shared" si="3"/>
        <v>#N/A</v>
      </c>
      <c r="P1928" s="28"/>
      <c r="Q1928" s="28"/>
      <c r="R1928" s="28"/>
      <c r="S1928" s="28"/>
      <c r="T1928" s="28"/>
      <c r="U1928" s="28"/>
      <c r="V1928" s="30">
        <f t="shared" si="425"/>
        <v>0</v>
      </c>
      <c r="W1928" s="30"/>
      <c r="X1928" s="73"/>
      <c r="Y1928" s="33" t="str">
        <f t="shared" si="792"/>
        <v>#DIV/0!</v>
      </c>
      <c r="Z1928" s="692"/>
      <c r="AA1928" s="665"/>
      <c r="AB1928" s="74"/>
      <c r="AC1928" s="74"/>
      <c r="AD1928" s="79"/>
      <c r="AE1928" s="84"/>
      <c r="AF1928" s="338"/>
      <c r="AG1928" s="84"/>
      <c r="AH1928" s="74"/>
      <c r="AI1928" s="78"/>
      <c r="AJ1928" s="79"/>
      <c r="AK1928" s="84"/>
      <c r="AL1928" s="79"/>
      <c r="AM1928" s="84"/>
      <c r="AN1928" s="79"/>
      <c r="AO1928" s="84"/>
      <c r="AP1928" s="79"/>
      <c r="AQ1928" s="84"/>
      <c r="AR1928" s="79"/>
      <c r="AS1928" s="79"/>
      <c r="AT1928" s="79"/>
      <c r="AU1928" s="80"/>
      <c r="AV1928" s="79"/>
      <c r="AW1928" s="38"/>
      <c r="AX1928" s="79"/>
      <c r="AY1928" s="38"/>
      <c r="AZ1928" s="79"/>
      <c r="BA1928" s="80"/>
      <c r="BB1928" s="79"/>
      <c r="BC1928" s="80"/>
      <c r="BD1928" s="79"/>
      <c r="BE1928" s="38"/>
      <c r="BF1928" s="74"/>
      <c r="BG1928" s="115"/>
      <c r="BH1928" s="115"/>
      <c r="BI1928" s="115"/>
      <c r="BJ1928" s="115"/>
      <c r="BK1928" s="115"/>
      <c r="BL1928" s="115"/>
      <c r="BM1928" s="115"/>
      <c r="BN1928" s="115"/>
      <c r="BO1928" s="115"/>
      <c r="BP1928" s="115"/>
      <c r="BQ1928" s="115"/>
      <c r="BR1928" s="115"/>
      <c r="BS1928" s="115"/>
      <c r="BT1928" s="115"/>
      <c r="BU1928" s="115"/>
      <c r="BV1928" s="115"/>
      <c r="BW1928" s="115"/>
      <c r="BX1928" s="115"/>
      <c r="BY1928" s="115"/>
      <c r="BZ1928" s="115"/>
      <c r="CA1928" s="115"/>
      <c r="CB1928" s="115"/>
      <c r="CC1928" s="115"/>
      <c r="CD1928" s="115"/>
      <c r="CE1928" s="115"/>
      <c r="CF1928" s="115"/>
      <c r="CG1928" s="115"/>
      <c r="CH1928" s="115"/>
      <c r="CI1928" s="115"/>
      <c r="CJ1928" s="115"/>
      <c r="CK1928" s="115"/>
      <c r="CL1928" s="115"/>
      <c r="CM1928" s="115"/>
      <c r="CN1928" s="115"/>
      <c r="CO1928" s="115"/>
      <c r="CP1928" s="115"/>
    </row>
    <row r="1929" ht="15.75" customHeight="1">
      <c r="A1929" s="400" t="s">
        <v>8863</v>
      </c>
      <c r="B1929" s="115"/>
      <c r="C1929" s="116" t="s">
        <v>59</v>
      </c>
      <c r="D1929" s="162" t="s">
        <v>8864</v>
      </c>
      <c r="E1929" s="162" t="s">
        <v>8865</v>
      </c>
      <c r="F1929" s="402" t="s">
        <v>8866</v>
      </c>
      <c r="G1929" s="119" t="s">
        <v>8867</v>
      </c>
      <c r="H1929" s="119" t="s">
        <v>241</v>
      </c>
      <c r="I1929" s="74" t="s">
        <v>65</v>
      </c>
      <c r="J1929" s="120" t="s">
        <v>8868</v>
      </c>
      <c r="K1929" s="25">
        <v>2.0</v>
      </c>
      <c r="L1929" s="25">
        <v>2013.0</v>
      </c>
      <c r="M1929" s="25">
        <f t="shared" si="789"/>
        <v>12</v>
      </c>
      <c r="N1929" s="26">
        <f t="shared" si="790"/>
        <v>0</v>
      </c>
      <c r="O1929" s="27" t="str">
        <f t="shared" si="3"/>
        <v>#N/A</v>
      </c>
      <c r="P1929" s="356"/>
      <c r="Q1929" s="356"/>
      <c r="R1929" s="356"/>
      <c r="S1929" s="356"/>
      <c r="T1929" s="356"/>
      <c r="U1929" s="356"/>
      <c r="V1929" s="30">
        <f t="shared" si="425"/>
        <v>0</v>
      </c>
      <c r="W1929" s="30"/>
      <c r="X1929" s="597"/>
      <c r="Y1929" s="33" t="str">
        <f t="shared" si="792"/>
        <v>#DIV/0!</v>
      </c>
      <c r="Z1929" s="692"/>
      <c r="AA1929" s="665"/>
      <c r="AB1929" s="123"/>
      <c r="AC1929" s="123"/>
      <c r="AD1929" s="124"/>
      <c r="AE1929" s="125"/>
      <c r="AF1929" s="166"/>
      <c r="AG1929" s="125"/>
      <c r="AH1929" s="123"/>
      <c r="AI1929" s="128"/>
      <c r="AJ1929" s="124"/>
      <c r="AK1929" s="125"/>
      <c r="AL1929" s="124"/>
      <c r="AM1929" s="125"/>
      <c r="AN1929" s="124"/>
      <c r="AO1929" s="125"/>
      <c r="AP1929" s="124"/>
      <c r="AQ1929" s="125"/>
      <c r="AR1929" s="124"/>
      <c r="AS1929" s="124"/>
      <c r="AT1929" s="124"/>
      <c r="AU1929" s="137"/>
      <c r="AV1929" s="124"/>
      <c r="AW1929" s="38"/>
      <c r="AX1929" s="124"/>
      <c r="AY1929" s="38"/>
      <c r="AZ1929" s="124"/>
      <c r="BA1929" s="137"/>
      <c r="BB1929" s="124"/>
      <c r="BC1929" s="137"/>
      <c r="BD1929" s="124"/>
      <c r="BE1929" s="38"/>
      <c r="BF1929" s="123"/>
      <c r="BG1929" s="115"/>
      <c r="BH1929" s="115"/>
      <c r="BI1929" s="115"/>
      <c r="BJ1929" s="115"/>
      <c r="BK1929" s="115"/>
      <c r="BL1929" s="115"/>
      <c r="BM1929" s="115"/>
      <c r="BN1929" s="115"/>
      <c r="BO1929" s="115"/>
      <c r="BP1929" s="115"/>
      <c r="BQ1929" s="115"/>
      <c r="BR1929" s="115"/>
      <c r="BS1929" s="115"/>
      <c r="BT1929" s="115"/>
      <c r="BU1929" s="115"/>
      <c r="BV1929" s="115"/>
      <c r="BW1929" s="115"/>
      <c r="BX1929" s="115"/>
      <c r="BY1929" s="115"/>
      <c r="BZ1929" s="115"/>
      <c r="CA1929" s="115"/>
      <c r="CB1929" s="115"/>
      <c r="CC1929" s="115"/>
      <c r="CD1929" s="115"/>
      <c r="CE1929" s="115"/>
      <c r="CF1929" s="115"/>
      <c r="CG1929" s="115"/>
      <c r="CH1929" s="115"/>
      <c r="CI1929" s="115"/>
      <c r="CJ1929" s="115"/>
      <c r="CK1929" s="115"/>
      <c r="CL1929" s="115"/>
      <c r="CM1929" s="115"/>
      <c r="CN1929" s="115"/>
      <c r="CO1929" s="115"/>
      <c r="CP1929" s="115"/>
    </row>
    <row r="1930" ht="15.75" customHeight="1">
      <c r="A1930" s="860" t="s">
        <v>8869</v>
      </c>
      <c r="B1930" s="115"/>
      <c r="C1930" s="116" t="s">
        <v>59</v>
      </c>
      <c r="D1930" s="192" t="s">
        <v>8870</v>
      </c>
      <c r="E1930" s="192" t="s">
        <v>8871</v>
      </c>
      <c r="F1930" s="118" t="s">
        <v>8872</v>
      </c>
      <c r="G1930" s="54"/>
      <c r="H1930" s="119" t="s">
        <v>8873</v>
      </c>
      <c r="I1930" s="25" t="s">
        <v>4984</v>
      </c>
      <c r="J1930" s="178"/>
      <c r="K1930" s="123"/>
      <c r="L1930" s="25"/>
      <c r="M1930" s="25">
        <f t="shared" si="789"/>
        <v>2025</v>
      </c>
      <c r="N1930" s="26">
        <f t="shared" si="790"/>
        <v>0</v>
      </c>
      <c r="O1930" s="27" t="str">
        <f t="shared" si="3"/>
        <v>#N/A</v>
      </c>
      <c r="P1930" s="356"/>
      <c r="Q1930" s="356"/>
      <c r="R1930" s="356"/>
      <c r="S1930" s="356"/>
      <c r="T1930" s="356"/>
      <c r="U1930" s="356"/>
      <c r="V1930" s="30">
        <f t="shared" si="425"/>
        <v>0</v>
      </c>
      <c r="W1930" s="30"/>
      <c r="X1930" s="403"/>
      <c r="Y1930" s="33" t="str">
        <f t="shared" si="792"/>
        <v>#DIV/0!</v>
      </c>
      <c r="Z1930" s="692"/>
      <c r="AA1930" s="665"/>
      <c r="AB1930" s="123"/>
      <c r="AC1930" s="123"/>
      <c r="AD1930" s="124"/>
      <c r="AE1930" s="125"/>
      <c r="AF1930" s="166"/>
      <c r="AG1930" s="125"/>
      <c r="AH1930" s="123"/>
      <c r="AI1930" s="128"/>
      <c r="AJ1930" s="124"/>
      <c r="AK1930" s="125"/>
      <c r="AL1930" s="124"/>
      <c r="AM1930" s="125"/>
      <c r="AN1930" s="124"/>
      <c r="AO1930" s="125"/>
      <c r="AP1930" s="124"/>
      <c r="AQ1930" s="125"/>
      <c r="AR1930" s="124"/>
      <c r="AS1930" s="124"/>
      <c r="AT1930" s="124"/>
      <c r="AU1930" s="137"/>
      <c r="AV1930" s="124"/>
      <c r="AW1930" s="38"/>
      <c r="AX1930" s="124"/>
      <c r="AY1930" s="38"/>
      <c r="AZ1930" s="124"/>
      <c r="BA1930" s="137"/>
      <c r="BB1930" s="124"/>
      <c r="BC1930" s="137"/>
      <c r="BD1930" s="124"/>
      <c r="BE1930" s="38"/>
      <c r="BF1930" s="123"/>
      <c r="BG1930" s="115"/>
      <c r="BH1930" s="115"/>
      <c r="BI1930" s="115"/>
      <c r="BJ1930" s="115"/>
      <c r="BK1930" s="115"/>
      <c r="BL1930" s="115"/>
      <c r="BM1930" s="115"/>
      <c r="BN1930" s="115"/>
      <c r="BO1930" s="115"/>
      <c r="BP1930" s="115"/>
      <c r="BQ1930" s="115"/>
      <c r="BR1930" s="115"/>
      <c r="BS1930" s="115"/>
      <c r="BT1930" s="115"/>
      <c r="BU1930" s="115"/>
      <c r="BV1930" s="115"/>
      <c r="BW1930" s="115"/>
      <c r="BX1930" s="115"/>
      <c r="BY1930" s="115"/>
      <c r="BZ1930" s="115"/>
      <c r="CA1930" s="115"/>
      <c r="CB1930" s="115"/>
      <c r="CC1930" s="115"/>
      <c r="CD1930" s="115"/>
      <c r="CE1930" s="115"/>
      <c r="CF1930" s="115"/>
      <c r="CG1930" s="115"/>
      <c r="CH1930" s="115"/>
      <c r="CI1930" s="115"/>
      <c r="CJ1930" s="115"/>
      <c r="CK1930" s="115"/>
      <c r="CL1930" s="115"/>
      <c r="CM1930" s="115"/>
      <c r="CN1930" s="115"/>
      <c r="CO1930" s="115"/>
      <c r="CP1930" s="115"/>
    </row>
    <row r="1931" ht="15.75" customHeight="1">
      <c r="A1931" s="866" t="s">
        <v>8874</v>
      </c>
      <c r="B1931" s="68"/>
      <c r="C1931" s="69" t="s">
        <v>207</v>
      </c>
      <c r="D1931" s="1928" t="s">
        <v>8875</v>
      </c>
      <c r="E1931" s="337"/>
      <c r="F1931" s="803" t="s">
        <v>8876</v>
      </c>
      <c r="G1931" s="810"/>
      <c r="H1931" s="186"/>
      <c r="I1931" s="74"/>
      <c r="J1931" s="494"/>
      <c r="K1931" s="74"/>
      <c r="L1931" s="26"/>
      <c r="M1931" s="25">
        <f t="shared" si="789"/>
        <v>2025</v>
      </c>
      <c r="N1931" s="26">
        <f t="shared" si="790"/>
        <v>0</v>
      </c>
      <c r="O1931" s="27" t="str">
        <f t="shared" si="3"/>
        <v>#N/A</v>
      </c>
      <c r="P1931" s="28"/>
      <c r="Q1931" s="28"/>
      <c r="R1931" s="28"/>
      <c r="S1931" s="28"/>
      <c r="T1931" s="28"/>
      <c r="U1931" s="28"/>
      <c r="V1931" s="30">
        <f t="shared" si="425"/>
        <v>0</v>
      </c>
      <c r="W1931" s="30"/>
      <c r="X1931" s="32"/>
      <c r="Y1931" s="33" t="str">
        <f t="shared" si="792"/>
        <v>#DIV/0!</v>
      </c>
      <c r="Z1931" s="692"/>
      <c r="AA1931" s="665"/>
      <c r="AB1931" s="74"/>
      <c r="AC1931" s="74"/>
      <c r="AD1931" s="79"/>
      <c r="AE1931" s="84"/>
      <c r="AF1931" s="338"/>
      <c r="AG1931" s="84"/>
      <c r="AH1931" s="74"/>
      <c r="AI1931" s="78"/>
      <c r="AJ1931" s="79"/>
      <c r="AK1931" s="84"/>
      <c r="AL1931" s="79"/>
      <c r="AM1931" s="84"/>
      <c r="AN1931" s="79"/>
      <c r="AO1931" s="84"/>
      <c r="AP1931" s="79"/>
      <c r="AQ1931" s="84"/>
      <c r="AR1931" s="79"/>
      <c r="AS1931" s="79"/>
      <c r="AT1931" s="79"/>
      <c r="AU1931" s="80"/>
      <c r="AV1931" s="79"/>
      <c r="AW1931" s="38"/>
      <c r="AX1931" s="79"/>
      <c r="AY1931" s="38"/>
      <c r="AZ1931" s="79"/>
      <c r="BA1931" s="80"/>
      <c r="BB1931" s="79"/>
      <c r="BC1931" s="80"/>
      <c r="BD1931" s="79"/>
      <c r="BE1931" s="38"/>
      <c r="BF1931" s="74"/>
      <c r="BG1931" s="115"/>
      <c r="BH1931" s="115"/>
      <c r="BI1931" s="115"/>
      <c r="BJ1931" s="115"/>
      <c r="BK1931" s="115"/>
      <c r="BL1931" s="115"/>
      <c r="BM1931" s="115"/>
      <c r="BN1931" s="115"/>
      <c r="BO1931" s="115"/>
      <c r="BP1931" s="115"/>
      <c r="BQ1931" s="115"/>
      <c r="BR1931" s="115"/>
      <c r="BS1931" s="115"/>
      <c r="BT1931" s="115"/>
      <c r="BU1931" s="115"/>
      <c r="BV1931" s="115"/>
      <c r="BW1931" s="115"/>
      <c r="BX1931" s="115"/>
      <c r="BY1931" s="115"/>
      <c r="BZ1931" s="115"/>
      <c r="CA1931" s="115"/>
      <c r="CB1931" s="115"/>
      <c r="CC1931" s="115"/>
      <c r="CD1931" s="115"/>
      <c r="CE1931" s="115"/>
      <c r="CF1931" s="115"/>
      <c r="CG1931" s="115"/>
      <c r="CH1931" s="115"/>
      <c r="CI1931" s="115"/>
      <c r="CJ1931" s="115"/>
      <c r="CK1931" s="115"/>
      <c r="CL1931" s="115"/>
      <c r="CM1931" s="115"/>
      <c r="CN1931" s="115"/>
      <c r="CO1931" s="115"/>
      <c r="CP1931" s="115"/>
    </row>
    <row r="1932" ht="15.75" customHeight="1">
      <c r="A1932" s="1484" t="s">
        <v>8877</v>
      </c>
      <c r="B1932" s="115"/>
      <c r="C1932" s="116" t="s">
        <v>132</v>
      </c>
      <c r="D1932" s="48"/>
      <c r="E1932" s="48"/>
      <c r="F1932" s="386" t="s">
        <v>8878</v>
      </c>
      <c r="G1932" s="54"/>
      <c r="H1932" s="119"/>
      <c r="I1932" s="25"/>
      <c r="J1932" s="178"/>
      <c r="K1932" s="123"/>
      <c r="L1932" s="25"/>
      <c r="M1932" s="25">
        <f t="shared" si="789"/>
        <v>2025</v>
      </c>
      <c r="N1932" s="26">
        <f t="shared" si="790"/>
        <v>0</v>
      </c>
      <c r="O1932" s="27" t="str">
        <f t="shared" si="3"/>
        <v>#N/A</v>
      </c>
      <c r="P1932" s="356"/>
      <c r="Q1932" s="356"/>
      <c r="R1932" s="356"/>
      <c r="S1932" s="356"/>
      <c r="T1932" s="356"/>
      <c r="U1932" s="356"/>
      <c r="V1932" s="30">
        <f t="shared" si="425"/>
        <v>0</v>
      </c>
      <c r="W1932" s="30"/>
      <c r="X1932" s="403"/>
      <c r="Y1932" s="33" t="str">
        <f t="shared" si="792"/>
        <v>#DIV/0!</v>
      </c>
      <c r="Z1932" s="692"/>
      <c r="AA1932" s="665"/>
      <c r="AB1932" s="123"/>
      <c r="AC1932" s="123"/>
      <c r="AD1932" s="124"/>
      <c r="AE1932" s="125"/>
      <c r="AF1932" s="166"/>
      <c r="AG1932" s="125"/>
      <c r="AH1932" s="123"/>
      <c r="AI1932" s="128"/>
      <c r="AJ1932" s="124"/>
      <c r="AK1932" s="125"/>
      <c r="AL1932" s="124"/>
      <c r="AM1932" s="125"/>
      <c r="AN1932" s="124"/>
      <c r="AO1932" s="125"/>
      <c r="AP1932" s="124"/>
      <c r="AQ1932" s="125"/>
      <c r="AR1932" s="124"/>
      <c r="AS1932" s="124"/>
      <c r="AT1932" s="124"/>
      <c r="AU1932" s="137"/>
      <c r="AV1932" s="124"/>
      <c r="AW1932" s="38"/>
      <c r="AX1932" s="124"/>
      <c r="AY1932" s="38"/>
      <c r="AZ1932" s="124"/>
      <c r="BA1932" s="137"/>
      <c r="BB1932" s="124"/>
      <c r="BC1932" s="137"/>
      <c r="BD1932" s="124"/>
      <c r="BE1932" s="38"/>
      <c r="BF1932" s="123"/>
      <c r="BG1932" s="115"/>
      <c r="BH1932" s="115"/>
      <c r="BI1932" s="115"/>
      <c r="BJ1932" s="115"/>
      <c r="BK1932" s="115"/>
      <c r="BL1932" s="115"/>
      <c r="BM1932" s="115"/>
      <c r="BN1932" s="115"/>
      <c r="BO1932" s="115"/>
      <c r="BP1932" s="115"/>
      <c r="BQ1932" s="115"/>
      <c r="BR1932" s="115"/>
      <c r="BS1932" s="115"/>
      <c r="BT1932" s="115"/>
      <c r="BU1932" s="115"/>
      <c r="BV1932" s="115"/>
      <c r="BW1932" s="115"/>
      <c r="BX1932" s="115"/>
      <c r="BY1932" s="115"/>
      <c r="BZ1932" s="115"/>
      <c r="CA1932" s="115"/>
      <c r="CB1932" s="115"/>
      <c r="CC1932" s="115"/>
      <c r="CD1932" s="115"/>
      <c r="CE1932" s="115"/>
      <c r="CF1932" s="115"/>
      <c r="CG1932" s="115"/>
      <c r="CH1932" s="115"/>
      <c r="CI1932" s="115"/>
      <c r="CJ1932" s="115"/>
      <c r="CK1932" s="115"/>
      <c r="CL1932" s="115"/>
      <c r="CM1932" s="115"/>
      <c r="CN1932" s="115"/>
      <c r="CO1932" s="115"/>
      <c r="CP1932" s="115"/>
    </row>
    <row r="1933" ht="15.75" customHeight="1">
      <c r="A1933" s="892" t="s">
        <v>8879</v>
      </c>
      <c r="B1933" s="115"/>
      <c r="C1933" s="116" t="s">
        <v>84</v>
      </c>
      <c r="D1933" s="192" t="s">
        <v>8880</v>
      </c>
      <c r="E1933" s="192" t="s">
        <v>8881</v>
      </c>
      <c r="F1933" s="118" t="s">
        <v>8882</v>
      </c>
      <c r="G1933" s="54"/>
      <c r="H1933" s="119" t="s">
        <v>619</v>
      </c>
      <c r="I1933" s="25" t="s">
        <v>257</v>
      </c>
      <c r="J1933" s="178"/>
      <c r="K1933" s="123"/>
      <c r="L1933" s="25">
        <v>2014.0</v>
      </c>
      <c r="M1933" s="25">
        <f t="shared" si="789"/>
        <v>11</v>
      </c>
      <c r="N1933" s="26">
        <f t="shared" si="790"/>
        <v>0</v>
      </c>
      <c r="O1933" s="27" t="str">
        <f t="shared" si="3"/>
        <v>#N/A</v>
      </c>
      <c r="P1933" s="356"/>
      <c r="Q1933" s="356"/>
      <c r="R1933" s="356"/>
      <c r="S1933" s="356"/>
      <c r="T1933" s="356"/>
      <c r="U1933" s="356"/>
      <c r="V1933" s="30">
        <f t="shared" si="425"/>
        <v>0</v>
      </c>
      <c r="W1933" s="30"/>
      <c r="X1933" s="403"/>
      <c r="Y1933" s="33" t="str">
        <f t="shared" si="792"/>
        <v>#DIV/0!</v>
      </c>
      <c r="Z1933" s="692"/>
      <c r="AA1933" s="665"/>
      <c r="AB1933" s="123"/>
      <c r="AC1933" s="123"/>
      <c r="AD1933" s="124"/>
      <c r="AE1933" s="125"/>
      <c r="AF1933" s="166"/>
      <c r="AG1933" s="125"/>
      <c r="AH1933" s="123"/>
      <c r="AI1933" s="128"/>
      <c r="AJ1933" s="124"/>
      <c r="AK1933" s="125"/>
      <c r="AL1933" s="124"/>
      <c r="AM1933" s="125"/>
      <c r="AN1933" s="124"/>
      <c r="AO1933" s="125"/>
      <c r="AP1933" s="124"/>
      <c r="AQ1933" s="125"/>
      <c r="AR1933" s="124"/>
      <c r="AS1933" s="124"/>
      <c r="AT1933" s="124"/>
      <c r="AU1933" s="137"/>
      <c r="AV1933" s="124"/>
      <c r="AW1933" s="38"/>
      <c r="AX1933" s="124"/>
      <c r="AY1933" s="38"/>
      <c r="AZ1933" s="124"/>
      <c r="BA1933" s="137"/>
      <c r="BB1933" s="124"/>
      <c r="BC1933" s="137"/>
      <c r="BD1933" s="124"/>
      <c r="BE1933" s="38"/>
      <c r="BF1933" s="123"/>
      <c r="BG1933" s="115"/>
      <c r="BH1933" s="115"/>
      <c r="BI1933" s="115"/>
      <c r="BJ1933" s="115"/>
      <c r="BK1933" s="115"/>
      <c r="BL1933" s="115"/>
      <c r="BM1933" s="115"/>
      <c r="BN1933" s="115"/>
      <c r="BO1933" s="115"/>
      <c r="BP1933" s="115"/>
      <c r="BQ1933" s="115"/>
      <c r="BR1933" s="115"/>
      <c r="BS1933" s="115"/>
      <c r="BT1933" s="115"/>
      <c r="BU1933" s="115"/>
      <c r="BV1933" s="115"/>
      <c r="BW1933" s="115"/>
      <c r="BX1933" s="115"/>
      <c r="BY1933" s="115"/>
      <c r="BZ1933" s="115"/>
      <c r="CA1933" s="115"/>
      <c r="CB1933" s="115"/>
      <c r="CC1933" s="115"/>
      <c r="CD1933" s="115"/>
      <c r="CE1933" s="115"/>
      <c r="CF1933" s="115"/>
      <c r="CG1933" s="115"/>
      <c r="CH1933" s="115"/>
      <c r="CI1933" s="115"/>
      <c r="CJ1933" s="115"/>
      <c r="CK1933" s="115"/>
      <c r="CL1933" s="115"/>
      <c r="CM1933" s="115"/>
      <c r="CN1933" s="115"/>
      <c r="CO1933" s="115"/>
      <c r="CP1933" s="115"/>
    </row>
    <row r="1934" ht="15.75" customHeight="1">
      <c r="A1934" s="860" t="s">
        <v>8883</v>
      </c>
      <c r="B1934" s="115"/>
      <c r="C1934" s="116" t="s">
        <v>59</v>
      </c>
      <c r="D1934" s="192" t="s">
        <v>8884</v>
      </c>
      <c r="E1934" s="192" t="s">
        <v>8885</v>
      </c>
      <c r="F1934" s="118" t="s">
        <v>8886</v>
      </c>
      <c r="G1934" s="286"/>
      <c r="H1934" s="119" t="s">
        <v>1130</v>
      </c>
      <c r="I1934" s="25" t="s">
        <v>2377</v>
      </c>
      <c r="J1934" s="287"/>
      <c r="K1934" s="25"/>
      <c r="L1934" s="25">
        <v>2018.0</v>
      </c>
      <c r="M1934" s="25">
        <f t="shared" si="789"/>
        <v>7</v>
      </c>
      <c r="N1934" s="26">
        <f t="shared" si="790"/>
        <v>0</v>
      </c>
      <c r="O1934" s="27" t="str">
        <f t="shared" si="3"/>
        <v>#N/A</v>
      </c>
      <c r="P1934" s="356"/>
      <c r="Q1934" s="356"/>
      <c r="R1934" s="356"/>
      <c r="S1934" s="356"/>
      <c r="T1934" s="356"/>
      <c r="U1934" s="356"/>
      <c r="V1934" s="30">
        <f t="shared" si="425"/>
        <v>0</v>
      </c>
      <c r="W1934" s="30"/>
      <c r="X1934" s="597"/>
      <c r="Y1934" s="33" t="str">
        <f t="shared" si="792"/>
        <v>#DIV/0!</v>
      </c>
      <c r="Z1934" s="692"/>
      <c r="AA1934" s="665"/>
      <c r="AB1934" s="123"/>
      <c r="AC1934" s="123"/>
      <c r="AD1934" s="124"/>
      <c r="AE1934" s="125"/>
      <c r="AF1934" s="166"/>
      <c r="AG1934" s="125"/>
      <c r="AH1934" s="123"/>
      <c r="AI1934" s="128"/>
      <c r="AJ1934" s="124"/>
      <c r="AK1934" s="127"/>
      <c r="AL1934" s="124"/>
      <c r="AM1934" s="125"/>
      <c r="AN1934" s="124"/>
      <c r="AO1934" s="125"/>
      <c r="AP1934" s="124"/>
      <c r="AQ1934" s="125"/>
      <c r="AR1934" s="124"/>
      <c r="AS1934" s="124"/>
      <c r="AT1934" s="124"/>
      <c r="AU1934" s="137"/>
      <c r="AV1934" s="124"/>
      <c r="AW1934" s="38"/>
      <c r="AX1934" s="124"/>
      <c r="AY1934" s="38"/>
      <c r="AZ1934" s="124"/>
      <c r="BA1934" s="137"/>
      <c r="BB1934" s="124"/>
      <c r="BC1934" s="137"/>
      <c r="BD1934" s="124"/>
      <c r="BE1934" s="38"/>
      <c r="BF1934" s="123"/>
      <c r="BG1934" s="115"/>
      <c r="BH1934" s="115"/>
      <c r="BI1934" s="115"/>
      <c r="BJ1934" s="115"/>
      <c r="BK1934" s="115"/>
      <c r="BL1934" s="115"/>
      <c r="BM1934" s="115"/>
      <c r="BN1934" s="115"/>
      <c r="BO1934" s="115"/>
      <c r="BP1934" s="115"/>
      <c r="BQ1934" s="115"/>
      <c r="BR1934" s="115"/>
      <c r="BS1934" s="115"/>
      <c r="BT1934" s="115"/>
      <c r="BU1934" s="115"/>
      <c r="BV1934" s="115"/>
      <c r="BW1934" s="115"/>
      <c r="BX1934" s="115"/>
      <c r="BY1934" s="115"/>
      <c r="BZ1934" s="115"/>
      <c r="CA1934" s="115"/>
      <c r="CB1934" s="115"/>
      <c r="CC1934" s="115"/>
      <c r="CD1934" s="115"/>
      <c r="CE1934" s="115"/>
      <c r="CF1934" s="115"/>
      <c r="CG1934" s="115"/>
      <c r="CH1934" s="115"/>
      <c r="CI1934" s="115"/>
      <c r="CJ1934" s="115"/>
      <c r="CK1934" s="115"/>
      <c r="CL1934" s="115"/>
      <c r="CM1934" s="115"/>
      <c r="CN1934" s="115"/>
      <c r="CO1934" s="115"/>
      <c r="CP1934" s="115"/>
    </row>
    <row r="1935" ht="15.75" customHeight="1">
      <c r="A1935" s="860" t="s">
        <v>8887</v>
      </c>
      <c r="B1935" s="115"/>
      <c r="C1935" s="116" t="s">
        <v>59</v>
      </c>
      <c r="D1935" s="449"/>
      <c r="E1935" s="192" t="s">
        <v>8888</v>
      </c>
      <c r="F1935" s="118" t="s">
        <v>8889</v>
      </c>
      <c r="G1935" s="54"/>
      <c r="H1935" s="119" t="s">
        <v>8890</v>
      </c>
      <c r="I1935" s="25" t="s">
        <v>218</v>
      </c>
      <c r="J1935" s="178"/>
      <c r="K1935" s="123"/>
      <c r="L1935" s="25">
        <v>2018.0</v>
      </c>
      <c r="M1935" s="25">
        <f t="shared" si="789"/>
        <v>7</v>
      </c>
      <c r="N1935" s="26">
        <f t="shared" si="790"/>
        <v>0</v>
      </c>
      <c r="O1935" s="27" t="str">
        <f t="shared" si="3"/>
        <v>#N/A</v>
      </c>
      <c r="P1935" s="356"/>
      <c r="Q1935" s="356"/>
      <c r="R1935" s="356"/>
      <c r="S1935" s="356"/>
      <c r="T1935" s="356"/>
      <c r="U1935" s="356"/>
      <c r="V1935" s="30">
        <f t="shared" si="425"/>
        <v>0</v>
      </c>
      <c r="W1935" s="30"/>
      <c r="X1935" s="403"/>
      <c r="Y1935" s="33" t="str">
        <f t="shared" si="792"/>
        <v>#DIV/0!</v>
      </c>
      <c r="Z1935" s="692"/>
      <c r="AA1935" s="665"/>
      <c r="AB1935" s="123"/>
      <c r="AC1935" s="123"/>
      <c r="AD1935" s="124"/>
      <c r="AE1935" s="125"/>
      <c r="AF1935" s="166"/>
      <c r="AG1935" s="125"/>
      <c r="AH1935" s="123"/>
      <c r="AI1935" s="128"/>
      <c r="AJ1935" s="124"/>
      <c r="AK1935" s="125"/>
      <c r="AL1935" s="124"/>
      <c r="AM1935" s="125"/>
      <c r="AN1935" s="124"/>
      <c r="AO1935" s="125"/>
      <c r="AP1935" s="124"/>
      <c r="AQ1935" s="125"/>
      <c r="AR1935" s="124"/>
      <c r="AS1935" s="124"/>
      <c r="AT1935" s="124"/>
      <c r="AU1935" s="137"/>
      <c r="AV1935" s="124"/>
      <c r="AW1935" s="38"/>
      <c r="AX1935" s="124"/>
      <c r="AY1935" s="38"/>
      <c r="AZ1935" s="124"/>
      <c r="BA1935" s="137"/>
      <c r="BB1935" s="124"/>
      <c r="BC1935" s="137"/>
      <c r="BD1935" s="124"/>
      <c r="BE1935" s="38"/>
      <c r="BF1935" s="123"/>
      <c r="BG1935" s="115"/>
      <c r="BH1935" s="115"/>
      <c r="BI1935" s="115"/>
      <c r="BJ1935" s="115"/>
      <c r="BK1935" s="115"/>
      <c r="BL1935" s="115"/>
      <c r="BM1935" s="115"/>
      <c r="BN1935" s="115"/>
      <c r="BO1935" s="115"/>
      <c r="BP1935" s="115"/>
      <c r="BQ1935" s="115"/>
      <c r="BR1935" s="115"/>
      <c r="BS1935" s="115"/>
      <c r="BT1935" s="115"/>
      <c r="BU1935" s="115"/>
      <c r="BV1935" s="115"/>
      <c r="BW1935" s="115"/>
      <c r="BX1935" s="115"/>
      <c r="BY1935" s="115"/>
      <c r="BZ1935" s="115"/>
      <c r="CA1935" s="115"/>
      <c r="CB1935" s="115"/>
      <c r="CC1935" s="115"/>
      <c r="CD1935" s="115"/>
      <c r="CE1935" s="115"/>
      <c r="CF1935" s="115"/>
      <c r="CG1935" s="115"/>
      <c r="CH1935" s="115"/>
      <c r="CI1935" s="115"/>
      <c r="CJ1935" s="115"/>
      <c r="CK1935" s="115"/>
      <c r="CL1935" s="115"/>
      <c r="CM1935" s="115"/>
      <c r="CN1935" s="115"/>
      <c r="CO1935" s="115"/>
      <c r="CP1935" s="115"/>
    </row>
    <row r="1936" ht="15.75" customHeight="1">
      <c r="A1936" s="860" t="s">
        <v>8891</v>
      </c>
      <c r="B1936" s="115"/>
      <c r="C1936" s="116" t="s">
        <v>132</v>
      </c>
      <c r="D1936" s="449"/>
      <c r="E1936" s="192" t="s">
        <v>8892</v>
      </c>
      <c r="F1936" s="118" t="s">
        <v>8893</v>
      </c>
      <c r="G1936" s="54"/>
      <c r="H1936" s="119" t="s">
        <v>8894</v>
      </c>
      <c r="I1936" s="25" t="s">
        <v>792</v>
      </c>
      <c r="J1936" s="178"/>
      <c r="K1936" s="123"/>
      <c r="L1936" s="25">
        <v>2012.0</v>
      </c>
      <c r="M1936" s="25">
        <f t="shared" si="789"/>
        <v>13</v>
      </c>
      <c r="N1936" s="26">
        <f t="shared" si="790"/>
        <v>0</v>
      </c>
      <c r="O1936" s="27" t="str">
        <f t="shared" si="3"/>
        <v>#N/A</v>
      </c>
      <c r="P1936" s="356"/>
      <c r="Q1936" s="356"/>
      <c r="R1936" s="356"/>
      <c r="S1936" s="356"/>
      <c r="T1936" s="356"/>
      <c r="U1936" s="356"/>
      <c r="V1936" s="30">
        <f t="shared" si="425"/>
        <v>0</v>
      </c>
      <c r="W1936" s="30"/>
      <c r="X1936" s="403"/>
      <c r="Y1936" s="33" t="str">
        <f t="shared" si="792"/>
        <v>#DIV/0!</v>
      </c>
      <c r="Z1936" s="692"/>
      <c r="AA1936" s="665"/>
      <c r="AB1936" s="123"/>
      <c r="AC1936" s="123"/>
      <c r="AD1936" s="124"/>
      <c r="AE1936" s="125"/>
      <c r="AF1936" s="166"/>
      <c r="AG1936" s="125"/>
      <c r="AH1936" s="123"/>
      <c r="AI1936" s="128"/>
      <c r="AJ1936" s="124"/>
      <c r="AK1936" s="125"/>
      <c r="AL1936" s="124"/>
      <c r="AM1936" s="125"/>
      <c r="AN1936" s="124"/>
      <c r="AO1936" s="125"/>
      <c r="AP1936" s="124"/>
      <c r="AQ1936" s="125"/>
      <c r="AR1936" s="124"/>
      <c r="AS1936" s="124"/>
      <c r="AT1936" s="124"/>
      <c r="AU1936" s="137"/>
      <c r="AV1936" s="124"/>
      <c r="AW1936" s="38"/>
      <c r="AX1936" s="124"/>
      <c r="AY1936" s="38"/>
      <c r="AZ1936" s="124"/>
      <c r="BA1936" s="137"/>
      <c r="BB1936" s="124"/>
      <c r="BC1936" s="137"/>
      <c r="BD1936" s="124"/>
      <c r="BE1936" s="38"/>
      <c r="BF1936" s="123"/>
      <c r="BG1936" s="115"/>
      <c r="BH1936" s="115"/>
      <c r="BI1936" s="115"/>
      <c r="BJ1936" s="115"/>
      <c r="BK1936" s="115"/>
      <c r="BL1936" s="115"/>
      <c r="BM1936" s="115"/>
      <c r="BN1936" s="115"/>
      <c r="BO1936" s="115"/>
      <c r="BP1936" s="115"/>
      <c r="BQ1936" s="115"/>
      <c r="BR1936" s="115"/>
      <c r="BS1936" s="115"/>
      <c r="BT1936" s="115"/>
      <c r="BU1936" s="115"/>
      <c r="BV1936" s="115"/>
      <c r="BW1936" s="115"/>
      <c r="BX1936" s="115"/>
      <c r="BY1936" s="115"/>
      <c r="BZ1936" s="115"/>
      <c r="CA1936" s="115"/>
      <c r="CB1936" s="115"/>
      <c r="CC1936" s="115"/>
      <c r="CD1936" s="115"/>
      <c r="CE1936" s="115"/>
      <c r="CF1936" s="115"/>
      <c r="CG1936" s="115"/>
      <c r="CH1936" s="115"/>
      <c r="CI1936" s="115"/>
      <c r="CJ1936" s="115"/>
      <c r="CK1936" s="115"/>
      <c r="CL1936" s="115"/>
      <c r="CM1936" s="115"/>
      <c r="CN1936" s="115"/>
      <c r="CO1936" s="115"/>
      <c r="CP1936" s="115"/>
    </row>
    <row r="1937" ht="15.75" customHeight="1">
      <c r="A1937" s="860" t="s">
        <v>8895</v>
      </c>
      <c r="B1937" s="115"/>
      <c r="C1937" s="116" t="s">
        <v>59</v>
      </c>
      <c r="D1937" s="192" t="s">
        <v>8896</v>
      </c>
      <c r="E1937" s="192" t="s">
        <v>8897</v>
      </c>
      <c r="F1937" s="118" t="s">
        <v>8898</v>
      </c>
      <c r="G1937" s="54"/>
      <c r="H1937" s="119" t="s">
        <v>7560</v>
      </c>
      <c r="I1937" s="25" t="s">
        <v>115</v>
      </c>
      <c r="J1937" s="178"/>
      <c r="K1937" s="123"/>
      <c r="L1937" s="25">
        <v>2010.0</v>
      </c>
      <c r="M1937" s="25">
        <f t="shared" si="789"/>
        <v>15</v>
      </c>
      <c r="N1937" s="26">
        <f t="shared" si="790"/>
        <v>0</v>
      </c>
      <c r="O1937" s="27" t="str">
        <f t="shared" si="3"/>
        <v>#N/A</v>
      </c>
      <c r="P1937" s="356"/>
      <c r="Q1937" s="356"/>
      <c r="R1937" s="356"/>
      <c r="S1937" s="356"/>
      <c r="T1937" s="356"/>
      <c r="U1937" s="356"/>
      <c r="V1937" s="30">
        <f t="shared" si="425"/>
        <v>0</v>
      </c>
      <c r="W1937" s="30"/>
      <c r="X1937" s="403"/>
      <c r="Y1937" s="33" t="str">
        <f t="shared" si="792"/>
        <v>#DIV/0!</v>
      </c>
      <c r="Z1937" s="692"/>
      <c r="AA1937" s="665"/>
      <c r="AB1937" s="123"/>
      <c r="AC1937" s="123"/>
      <c r="AD1937" s="124"/>
      <c r="AE1937" s="125"/>
      <c r="AF1937" s="166"/>
      <c r="AG1937" s="125"/>
      <c r="AH1937" s="123"/>
      <c r="AI1937" s="128"/>
      <c r="AJ1937" s="124"/>
      <c r="AK1937" s="125"/>
      <c r="AL1937" s="124"/>
      <c r="AM1937" s="125"/>
      <c r="AN1937" s="124"/>
      <c r="AO1937" s="125"/>
      <c r="AP1937" s="124"/>
      <c r="AQ1937" s="125"/>
      <c r="AR1937" s="124"/>
      <c r="AS1937" s="124"/>
      <c r="AT1937" s="124"/>
      <c r="AU1937" s="137"/>
      <c r="AV1937" s="124"/>
      <c r="AW1937" s="38"/>
      <c r="AX1937" s="124"/>
      <c r="AY1937" s="38"/>
      <c r="AZ1937" s="124"/>
      <c r="BA1937" s="137"/>
      <c r="BB1937" s="124"/>
      <c r="BC1937" s="137"/>
      <c r="BD1937" s="124"/>
      <c r="BE1937" s="38"/>
      <c r="BF1937" s="123"/>
      <c r="BG1937" s="115"/>
      <c r="BH1937" s="115"/>
      <c r="BI1937" s="115"/>
      <c r="BJ1937" s="115"/>
      <c r="BK1937" s="115"/>
      <c r="BL1937" s="115"/>
      <c r="BM1937" s="115"/>
      <c r="BN1937" s="115"/>
      <c r="BO1937" s="115"/>
      <c r="BP1937" s="115"/>
      <c r="BQ1937" s="115"/>
      <c r="BR1937" s="115"/>
      <c r="BS1937" s="115"/>
      <c r="BT1937" s="115"/>
      <c r="BU1937" s="115"/>
      <c r="BV1937" s="115"/>
      <c r="BW1937" s="115"/>
      <c r="BX1937" s="115"/>
      <c r="BY1937" s="115"/>
      <c r="BZ1937" s="115"/>
      <c r="CA1937" s="115"/>
      <c r="CB1937" s="115"/>
      <c r="CC1937" s="115"/>
      <c r="CD1937" s="115"/>
      <c r="CE1937" s="115"/>
      <c r="CF1937" s="115"/>
      <c r="CG1937" s="115"/>
      <c r="CH1937" s="115"/>
      <c r="CI1937" s="115"/>
      <c r="CJ1937" s="115"/>
      <c r="CK1937" s="115"/>
      <c r="CL1937" s="115"/>
      <c r="CM1937" s="115"/>
      <c r="CN1937" s="115"/>
      <c r="CO1937" s="115"/>
      <c r="CP1937" s="115"/>
    </row>
    <row r="1938" ht="15.75" customHeight="1">
      <c r="A1938" s="931" t="s">
        <v>8899</v>
      </c>
      <c r="B1938" s="68"/>
      <c r="C1938" s="69" t="s">
        <v>513</v>
      </c>
      <c r="D1938" s="192" t="s">
        <v>8900</v>
      </c>
      <c r="E1938" s="192" t="s">
        <v>8901</v>
      </c>
      <c r="F1938" s="118" t="s">
        <v>8902</v>
      </c>
      <c r="G1938" s="186"/>
      <c r="H1938" s="71" t="s">
        <v>6335</v>
      </c>
      <c r="I1938" s="26" t="s">
        <v>959</v>
      </c>
      <c r="J1938" s="72"/>
      <c r="K1938" s="74"/>
      <c r="L1938" s="26">
        <v>2004.0</v>
      </c>
      <c r="M1938" s="25">
        <f t="shared" si="789"/>
        <v>21</v>
      </c>
      <c r="N1938" s="26">
        <f t="shared" si="790"/>
        <v>0</v>
      </c>
      <c r="O1938" s="27" t="str">
        <f t="shared" si="3"/>
        <v>#N/A</v>
      </c>
      <c r="P1938" s="28"/>
      <c r="Q1938" s="28"/>
      <c r="R1938" s="28"/>
      <c r="S1938" s="28"/>
      <c r="T1938" s="28"/>
      <c r="U1938" s="28"/>
      <c r="V1938" s="30">
        <f t="shared" si="425"/>
        <v>0</v>
      </c>
      <c r="W1938" s="30"/>
      <c r="X1938" s="32"/>
      <c r="Y1938" s="33" t="str">
        <f t="shared" si="792"/>
        <v>#DIV/0!</v>
      </c>
      <c r="Z1938" s="692"/>
      <c r="AA1938" s="665"/>
      <c r="AB1938" s="74"/>
      <c r="AC1938" s="74"/>
      <c r="AD1938" s="79"/>
      <c r="AE1938" s="84"/>
      <c r="AF1938" s="338"/>
      <c r="AG1938" s="84"/>
      <c r="AH1938" s="74"/>
      <c r="AI1938" s="78"/>
      <c r="AJ1938" s="79"/>
      <c r="AK1938" s="84"/>
      <c r="AL1938" s="79"/>
      <c r="AM1938" s="84"/>
      <c r="AN1938" s="79"/>
      <c r="AO1938" s="84"/>
      <c r="AP1938" s="79"/>
      <c r="AQ1938" s="84"/>
      <c r="AR1938" s="79"/>
      <c r="AS1938" s="79"/>
      <c r="AT1938" s="79"/>
      <c r="AU1938" s="80"/>
      <c r="AV1938" s="79"/>
      <c r="AW1938" s="38"/>
      <c r="AX1938" s="79"/>
      <c r="AY1938" s="38"/>
      <c r="AZ1938" s="79"/>
      <c r="BA1938" s="80"/>
      <c r="BB1938" s="79"/>
      <c r="BC1938" s="80"/>
      <c r="BD1938" s="79"/>
      <c r="BE1938" s="38"/>
      <c r="BF1938" s="74"/>
      <c r="BG1938" s="115"/>
      <c r="BH1938" s="115"/>
      <c r="BI1938" s="115"/>
      <c r="BJ1938" s="115"/>
      <c r="BK1938" s="115"/>
      <c r="BL1938" s="115"/>
      <c r="BM1938" s="115"/>
      <c r="BN1938" s="115"/>
      <c r="BO1938" s="115"/>
      <c r="BP1938" s="115"/>
      <c r="BQ1938" s="115"/>
      <c r="BR1938" s="115"/>
      <c r="BS1938" s="115"/>
      <c r="BT1938" s="115"/>
      <c r="BU1938" s="115"/>
      <c r="BV1938" s="115"/>
      <c r="BW1938" s="115"/>
      <c r="BX1938" s="115"/>
      <c r="BY1938" s="115"/>
      <c r="BZ1938" s="115"/>
      <c r="CA1938" s="115"/>
      <c r="CB1938" s="115"/>
      <c r="CC1938" s="115"/>
      <c r="CD1938" s="115"/>
      <c r="CE1938" s="115"/>
      <c r="CF1938" s="115"/>
      <c r="CG1938" s="115"/>
      <c r="CH1938" s="115"/>
      <c r="CI1938" s="115"/>
      <c r="CJ1938" s="115"/>
      <c r="CK1938" s="115"/>
      <c r="CL1938" s="115"/>
      <c r="CM1938" s="115"/>
      <c r="CN1938" s="115"/>
      <c r="CO1938" s="115"/>
      <c r="CP1938" s="115"/>
    </row>
    <row r="1939" ht="15.75" customHeight="1">
      <c r="A1939" s="21" t="s">
        <v>8903</v>
      </c>
      <c r="B1939" s="68"/>
      <c r="C1939" s="69" t="s">
        <v>5790</v>
      </c>
      <c r="D1939" s="337"/>
      <c r="E1939" s="236" t="s">
        <v>7739</v>
      </c>
      <c r="F1939" s="118" t="s">
        <v>8904</v>
      </c>
      <c r="G1939" s="186"/>
      <c r="H1939" s="71" t="s">
        <v>7741</v>
      </c>
      <c r="I1939" s="26" t="s">
        <v>8905</v>
      </c>
      <c r="J1939" s="72" t="s">
        <v>329</v>
      </c>
      <c r="K1939" s="74"/>
      <c r="L1939" s="26">
        <v>2000.0</v>
      </c>
      <c r="M1939" s="25">
        <f t="shared" si="789"/>
        <v>25</v>
      </c>
      <c r="N1939" s="26">
        <f t="shared" si="790"/>
        <v>0</v>
      </c>
      <c r="O1939" s="27" t="str">
        <f t="shared" si="3"/>
        <v>#N/A</v>
      </c>
      <c r="P1939" s="28"/>
      <c r="Q1939" s="28"/>
      <c r="R1939" s="28"/>
      <c r="S1939" s="28"/>
      <c r="T1939" s="28"/>
      <c r="U1939" s="28"/>
      <c r="V1939" s="30">
        <f t="shared" si="425"/>
        <v>0</v>
      </c>
      <c r="W1939" s="30"/>
      <c r="X1939" s="32"/>
      <c r="Y1939" s="33" t="str">
        <f t="shared" si="792"/>
        <v>#DIV/0!</v>
      </c>
      <c r="Z1939" s="692"/>
      <c r="AA1939" s="665"/>
      <c r="AB1939" s="74"/>
      <c r="AC1939" s="74"/>
      <c r="AD1939" s="79"/>
      <c r="AE1939" s="84"/>
      <c r="AF1939" s="338"/>
      <c r="AG1939" s="84"/>
      <c r="AH1939" s="74"/>
      <c r="AI1939" s="78"/>
      <c r="AJ1939" s="79"/>
      <c r="AK1939" s="84"/>
      <c r="AL1939" s="79"/>
      <c r="AM1939" s="84"/>
      <c r="AN1939" s="79"/>
      <c r="AO1939" s="84"/>
      <c r="AP1939" s="79"/>
      <c r="AQ1939" s="84"/>
      <c r="AR1939" s="79"/>
      <c r="AS1939" s="79"/>
      <c r="AT1939" s="79"/>
      <c r="AU1939" s="80"/>
      <c r="AV1939" s="79"/>
      <c r="AW1939" s="38"/>
      <c r="AX1939" s="79"/>
      <c r="AY1939" s="38"/>
      <c r="AZ1939" s="79"/>
      <c r="BA1939" s="80"/>
      <c r="BB1939" s="79"/>
      <c r="BC1939" s="80"/>
      <c r="BD1939" s="79"/>
      <c r="BE1939" s="38"/>
      <c r="BF1939" s="74"/>
      <c r="BG1939" s="115"/>
      <c r="BH1939" s="115"/>
      <c r="BI1939" s="115"/>
      <c r="BJ1939" s="115"/>
      <c r="BK1939" s="115"/>
      <c r="BL1939" s="115"/>
      <c r="BM1939" s="115"/>
      <c r="BN1939" s="115"/>
      <c r="BO1939" s="115"/>
      <c r="BP1939" s="115"/>
      <c r="BQ1939" s="115"/>
      <c r="BR1939" s="115"/>
      <c r="BS1939" s="115"/>
      <c r="BT1939" s="115"/>
      <c r="BU1939" s="115"/>
      <c r="BV1939" s="115"/>
      <c r="BW1939" s="115"/>
      <c r="BX1939" s="115"/>
      <c r="BY1939" s="115"/>
      <c r="BZ1939" s="115"/>
      <c r="CA1939" s="115"/>
      <c r="CB1939" s="115"/>
      <c r="CC1939" s="115"/>
      <c r="CD1939" s="115"/>
      <c r="CE1939" s="115"/>
      <c r="CF1939" s="115"/>
      <c r="CG1939" s="115"/>
      <c r="CH1939" s="115"/>
      <c r="CI1939" s="115"/>
      <c r="CJ1939" s="115"/>
      <c r="CK1939" s="115"/>
      <c r="CL1939" s="115"/>
      <c r="CM1939" s="115"/>
      <c r="CN1939" s="115"/>
      <c r="CO1939" s="115"/>
      <c r="CP1939" s="115"/>
    </row>
    <row r="1940" ht="15.75" customHeight="1">
      <c r="A1940" s="931" t="s">
        <v>8906</v>
      </c>
      <c r="B1940" s="69"/>
      <c r="C1940" s="69" t="s">
        <v>84</v>
      </c>
      <c r="D1940" s="380"/>
      <c r="E1940" s="192" t="s">
        <v>8907</v>
      </c>
      <c r="F1940" s="118" t="s">
        <v>8908</v>
      </c>
      <c r="G1940" s="193"/>
      <c r="H1940" s="23" t="s">
        <v>8909</v>
      </c>
      <c r="I1940" s="23" t="s">
        <v>65</v>
      </c>
      <c r="J1940" s="24"/>
      <c r="K1940" s="26"/>
      <c r="L1940" s="23">
        <v>2018.0</v>
      </c>
      <c r="M1940" s="25">
        <f t="shared" si="789"/>
        <v>7</v>
      </c>
      <c r="N1940" s="26">
        <f t="shared" si="790"/>
        <v>0</v>
      </c>
      <c r="O1940" s="27" t="str">
        <f t="shared" si="3"/>
        <v>#N/A</v>
      </c>
      <c r="P1940" s="28"/>
      <c r="Q1940" s="28"/>
      <c r="R1940" s="28"/>
      <c r="S1940" s="28"/>
      <c r="T1940" s="28"/>
      <c r="U1940" s="28"/>
      <c r="V1940" s="30">
        <f t="shared" si="425"/>
        <v>0</v>
      </c>
      <c r="W1940" s="30"/>
      <c r="X1940" s="73"/>
      <c r="Y1940" s="33" t="str">
        <f t="shared" si="792"/>
        <v>#DIV/0!</v>
      </c>
      <c r="Z1940" s="692"/>
      <c r="AA1940" s="665"/>
      <c r="AB1940" s="74"/>
      <c r="AC1940" s="74"/>
      <c r="AD1940" s="79"/>
      <c r="AE1940" s="84"/>
      <c r="AF1940" s="338"/>
      <c r="AG1940" s="84"/>
      <c r="AH1940" s="74"/>
      <c r="AI1940" s="78"/>
      <c r="AJ1940" s="79"/>
      <c r="AK1940" s="84"/>
      <c r="AL1940" s="79"/>
      <c r="AM1940" s="84"/>
      <c r="AN1940" s="79"/>
      <c r="AO1940" s="84"/>
      <c r="AP1940" s="79"/>
      <c r="AQ1940" s="84"/>
      <c r="AR1940" s="79"/>
      <c r="AS1940" s="79"/>
      <c r="AT1940" s="79"/>
      <c r="AU1940" s="80"/>
      <c r="AV1940" s="79"/>
      <c r="AW1940" s="38"/>
      <c r="AX1940" s="79"/>
      <c r="AY1940" s="38"/>
      <c r="AZ1940" s="79"/>
      <c r="BA1940" s="80"/>
      <c r="BB1940" s="79"/>
      <c r="BC1940" s="80"/>
      <c r="BD1940" s="79"/>
      <c r="BE1940" s="38"/>
      <c r="BF1940" s="74"/>
      <c r="BG1940" s="115"/>
      <c r="BH1940" s="115"/>
      <c r="BI1940" s="115"/>
      <c r="BJ1940" s="115"/>
      <c r="BK1940" s="115"/>
      <c r="BL1940" s="115"/>
      <c r="BM1940" s="115"/>
      <c r="BN1940" s="115"/>
      <c r="BO1940" s="115"/>
      <c r="BP1940" s="115"/>
      <c r="BQ1940" s="115"/>
      <c r="BR1940" s="115"/>
      <c r="BS1940" s="115"/>
      <c r="BT1940" s="115"/>
      <c r="BU1940" s="115"/>
      <c r="BV1940" s="115"/>
      <c r="BW1940" s="115"/>
      <c r="BX1940" s="115"/>
      <c r="BY1940" s="115"/>
      <c r="BZ1940" s="115"/>
      <c r="CA1940" s="115"/>
      <c r="CB1940" s="115"/>
      <c r="CC1940" s="115"/>
      <c r="CD1940" s="115"/>
      <c r="CE1940" s="115"/>
      <c r="CF1940" s="115"/>
      <c r="CG1940" s="115"/>
      <c r="CH1940" s="115"/>
      <c r="CI1940" s="115"/>
      <c r="CJ1940" s="115"/>
      <c r="CK1940" s="115"/>
      <c r="CL1940" s="115"/>
      <c r="CM1940" s="115"/>
      <c r="CN1940" s="115"/>
      <c r="CO1940" s="115"/>
      <c r="CP1940" s="115"/>
    </row>
    <row r="1941" ht="15.75" customHeight="1">
      <c r="A1941" s="21" t="s">
        <v>8910</v>
      </c>
      <c r="B1941" s="69" t="s">
        <v>944</v>
      </c>
      <c r="C1941" s="69" t="s">
        <v>59</v>
      </c>
      <c r="D1941" s="200" t="s">
        <v>8911</v>
      </c>
      <c r="E1941" s="200" t="s">
        <v>8912</v>
      </c>
      <c r="F1941" s="841" t="s">
        <v>8913</v>
      </c>
      <c r="G1941" s="193" t="s">
        <v>8914</v>
      </c>
      <c r="H1941" s="23" t="s">
        <v>328</v>
      </c>
      <c r="I1941" s="23" t="s">
        <v>328</v>
      </c>
      <c r="J1941" s="24" t="s">
        <v>8915</v>
      </c>
      <c r="K1941" s="26">
        <v>1.0</v>
      </c>
      <c r="L1941" s="23">
        <v>1997.0</v>
      </c>
      <c r="M1941" s="25">
        <f t="shared" si="789"/>
        <v>28</v>
      </c>
      <c r="N1941" s="26">
        <f t="shared" si="790"/>
        <v>0</v>
      </c>
      <c r="O1941" s="27" t="str">
        <f t="shared" si="3"/>
        <v>#N/A</v>
      </c>
      <c r="P1941" s="28"/>
      <c r="Q1941" s="28"/>
      <c r="R1941" s="28"/>
      <c r="S1941" s="28"/>
      <c r="T1941" s="28"/>
      <c r="U1941" s="28"/>
      <c r="V1941" s="30">
        <f t="shared" si="425"/>
        <v>0</v>
      </c>
      <c r="W1941" s="30"/>
      <c r="X1941" s="73"/>
      <c r="Y1941" s="33" t="str">
        <f t="shared" si="792"/>
        <v>#DIV/0!</v>
      </c>
      <c r="Z1941" s="692"/>
      <c r="AA1941" s="665"/>
      <c r="AB1941" s="74"/>
      <c r="AC1941" s="74"/>
      <c r="AD1941" s="79"/>
      <c r="AE1941" s="84"/>
      <c r="AF1941" s="338"/>
      <c r="AG1941" s="84"/>
      <c r="AH1941" s="74"/>
      <c r="AI1941" s="78"/>
      <c r="AJ1941" s="79"/>
      <c r="AK1941" s="84"/>
      <c r="AL1941" s="79"/>
      <c r="AM1941" s="84"/>
      <c r="AN1941" s="79"/>
      <c r="AO1941" s="84"/>
      <c r="AP1941" s="79"/>
      <c r="AQ1941" s="84"/>
      <c r="AR1941" s="79"/>
      <c r="AS1941" s="79"/>
      <c r="AT1941" s="79"/>
      <c r="AU1941" s="80"/>
      <c r="AV1941" s="79"/>
      <c r="AW1941" s="38"/>
      <c r="AX1941" s="79"/>
      <c r="AY1941" s="38"/>
      <c r="AZ1941" s="79"/>
      <c r="BA1941" s="80"/>
      <c r="BB1941" s="79"/>
      <c r="BC1941" s="80"/>
      <c r="BD1941" s="79"/>
      <c r="BE1941" s="38"/>
      <c r="BF1941" s="74"/>
      <c r="BG1941" s="115"/>
      <c r="BH1941" s="115"/>
      <c r="BI1941" s="115"/>
      <c r="BJ1941" s="115"/>
      <c r="BK1941" s="115"/>
      <c r="BL1941" s="115"/>
      <c r="BM1941" s="115"/>
      <c r="BN1941" s="115"/>
      <c r="BO1941" s="115"/>
      <c r="BP1941" s="115"/>
      <c r="BQ1941" s="115"/>
      <c r="BR1941" s="115"/>
      <c r="BS1941" s="115"/>
      <c r="BT1941" s="115"/>
      <c r="BU1941" s="115"/>
      <c r="BV1941" s="115"/>
      <c r="BW1941" s="115"/>
      <c r="BX1941" s="115"/>
      <c r="BY1941" s="115"/>
      <c r="BZ1941" s="115"/>
      <c r="CA1941" s="115"/>
      <c r="CB1941" s="115"/>
      <c r="CC1941" s="115"/>
      <c r="CD1941" s="115"/>
      <c r="CE1941" s="115"/>
      <c r="CF1941" s="115"/>
      <c r="CG1941" s="115"/>
      <c r="CH1941" s="115"/>
      <c r="CI1941" s="115"/>
      <c r="CJ1941" s="115"/>
      <c r="CK1941" s="115"/>
      <c r="CL1941" s="115"/>
      <c r="CM1941" s="115"/>
      <c r="CN1941" s="115"/>
      <c r="CO1941" s="115"/>
      <c r="CP1941" s="115"/>
    </row>
    <row r="1942" ht="15.75" customHeight="1">
      <c r="A1942" s="21" t="s">
        <v>8916</v>
      </c>
      <c r="B1942" s="68"/>
      <c r="C1942" s="69" t="s">
        <v>207</v>
      </c>
      <c r="D1942" s="138" t="s">
        <v>8917</v>
      </c>
      <c r="E1942" s="200" t="s">
        <v>8918</v>
      </c>
      <c r="F1942" s="841" t="s">
        <v>8919</v>
      </c>
      <c r="G1942" s="71" t="s">
        <v>8920</v>
      </c>
      <c r="H1942" s="71" t="s">
        <v>3103</v>
      </c>
      <c r="I1942" s="26" t="s">
        <v>772</v>
      </c>
      <c r="J1942" s="72" t="s">
        <v>8921</v>
      </c>
      <c r="K1942" s="74" t="s">
        <v>723</v>
      </c>
      <c r="L1942" s="26">
        <v>1985.0</v>
      </c>
      <c r="M1942" s="25">
        <f t="shared" si="789"/>
        <v>40</v>
      </c>
      <c r="N1942" s="26">
        <f t="shared" si="790"/>
        <v>0</v>
      </c>
      <c r="O1942" s="27" t="str">
        <f t="shared" si="3"/>
        <v>#N/A</v>
      </c>
      <c r="P1942" s="28"/>
      <c r="Q1942" s="28"/>
      <c r="R1942" s="28"/>
      <c r="S1942" s="28"/>
      <c r="T1942" s="28"/>
      <c r="U1942" s="28"/>
      <c r="V1942" s="30">
        <f t="shared" si="425"/>
        <v>0</v>
      </c>
      <c r="W1942" s="30"/>
      <c r="X1942" s="32"/>
      <c r="Y1942" s="33" t="str">
        <f t="shared" si="792"/>
        <v>#DIV/0!</v>
      </c>
      <c r="Z1942" s="692"/>
      <c r="AA1942" s="665"/>
      <c r="AB1942" s="74"/>
      <c r="AC1942" s="74"/>
      <c r="AD1942" s="79"/>
      <c r="AE1942" s="84"/>
      <c r="AF1942" s="338"/>
      <c r="AG1942" s="84"/>
      <c r="AH1942" s="74"/>
      <c r="AI1942" s="78"/>
      <c r="AJ1942" s="79"/>
      <c r="AK1942" s="84"/>
      <c r="AL1942" s="79"/>
      <c r="AM1942" s="84"/>
      <c r="AN1942" s="79"/>
      <c r="AO1942" s="84"/>
      <c r="AP1942" s="79"/>
      <c r="AQ1942" s="84"/>
      <c r="AR1942" s="79"/>
      <c r="AS1942" s="79"/>
      <c r="AT1942" s="79"/>
      <c r="AU1942" s="80"/>
      <c r="AV1942" s="79"/>
      <c r="AW1942" s="38"/>
      <c r="AX1942" s="79"/>
      <c r="AY1942" s="38"/>
      <c r="AZ1942" s="79"/>
      <c r="BA1942" s="80"/>
      <c r="BB1942" s="79"/>
      <c r="BC1942" s="80"/>
      <c r="BD1942" s="79"/>
      <c r="BE1942" s="38"/>
      <c r="BF1942" s="74"/>
      <c r="BG1942" s="115"/>
      <c r="BH1942" s="115"/>
      <c r="BI1942" s="115"/>
      <c r="BJ1942" s="115"/>
      <c r="BK1942" s="115"/>
      <c r="BL1942" s="115"/>
      <c r="BM1942" s="115"/>
      <c r="BN1942" s="115"/>
      <c r="BO1942" s="115"/>
      <c r="BP1942" s="115"/>
      <c r="BQ1942" s="115"/>
      <c r="BR1942" s="115"/>
      <c r="BS1942" s="115"/>
      <c r="BT1942" s="115"/>
      <c r="BU1942" s="115"/>
      <c r="BV1942" s="115"/>
      <c r="BW1942" s="115"/>
      <c r="BX1942" s="115"/>
      <c r="BY1942" s="115"/>
      <c r="BZ1942" s="115"/>
      <c r="CA1942" s="115"/>
      <c r="CB1942" s="115"/>
      <c r="CC1942" s="115"/>
      <c r="CD1942" s="115"/>
      <c r="CE1942" s="115"/>
      <c r="CF1942" s="115"/>
      <c r="CG1942" s="115"/>
      <c r="CH1942" s="115"/>
      <c r="CI1942" s="115"/>
      <c r="CJ1942" s="115"/>
      <c r="CK1942" s="115"/>
      <c r="CL1942" s="115"/>
      <c r="CM1942" s="115"/>
      <c r="CN1942" s="115"/>
      <c r="CO1942" s="115"/>
      <c r="CP1942" s="115"/>
    </row>
    <row r="1943" ht="15.75" customHeight="1">
      <c r="A1943" s="21" t="s">
        <v>8922</v>
      </c>
      <c r="B1943" s="68"/>
      <c r="C1943" s="69" t="s">
        <v>5790</v>
      </c>
      <c r="D1943" s="380"/>
      <c r="E1943" s="200" t="s">
        <v>8923</v>
      </c>
      <c r="F1943" s="841" t="s">
        <v>8924</v>
      </c>
      <c r="G1943" s="54" t="s">
        <v>8925</v>
      </c>
      <c r="H1943" s="71" t="s">
        <v>2264</v>
      </c>
      <c r="I1943" s="26" t="s">
        <v>100</v>
      </c>
      <c r="J1943" s="178" t="s">
        <v>8926</v>
      </c>
      <c r="K1943" s="26">
        <v>2.0</v>
      </c>
      <c r="L1943" s="26">
        <v>2017.0</v>
      </c>
      <c r="M1943" s="25">
        <f t="shared" si="789"/>
        <v>8</v>
      </c>
      <c r="N1943" s="26">
        <f t="shared" si="790"/>
        <v>0</v>
      </c>
      <c r="O1943" s="27" t="str">
        <f t="shared" si="3"/>
        <v>#N/A</v>
      </c>
      <c r="P1943" s="28"/>
      <c r="Q1943" s="28"/>
      <c r="R1943" s="28"/>
      <c r="S1943" s="28"/>
      <c r="T1943" s="28"/>
      <c r="U1943" s="28"/>
      <c r="V1943" s="30">
        <f t="shared" si="425"/>
        <v>0</v>
      </c>
      <c r="W1943" s="30"/>
      <c r="X1943" s="73"/>
      <c r="Y1943" s="33" t="str">
        <f t="shared" si="792"/>
        <v>#DIV/0!</v>
      </c>
      <c r="Z1943" s="692"/>
      <c r="AA1943" s="665"/>
      <c r="AB1943" s="74"/>
      <c r="AC1943" s="74"/>
      <c r="AD1943" s="79"/>
      <c r="AE1943" s="84"/>
      <c r="AF1943" s="338"/>
      <c r="AG1943" s="76"/>
      <c r="AH1943" s="74"/>
      <c r="AI1943" s="78"/>
      <c r="AJ1943" s="79"/>
      <c r="AK1943" s="84"/>
      <c r="AL1943" s="79"/>
      <c r="AM1943" s="84"/>
      <c r="AN1943" s="79"/>
      <c r="AO1943" s="84"/>
      <c r="AP1943" s="79"/>
      <c r="AQ1943" s="84"/>
      <c r="AR1943" s="79"/>
      <c r="AS1943" s="79"/>
      <c r="AT1943" s="79"/>
      <c r="AU1943" s="80"/>
      <c r="AV1943" s="79"/>
      <c r="AW1943" s="38"/>
      <c r="AX1943" s="79"/>
      <c r="AY1943" s="38"/>
      <c r="AZ1943" s="79"/>
      <c r="BA1943" s="80"/>
      <c r="BB1943" s="79"/>
      <c r="BC1943" s="80"/>
      <c r="BD1943" s="79"/>
      <c r="BE1943" s="38"/>
      <c r="BF1943" s="74"/>
      <c r="BG1943" s="115"/>
      <c r="BH1943" s="115"/>
      <c r="BI1943" s="115"/>
      <c r="BJ1943" s="115"/>
      <c r="BK1943" s="115"/>
      <c r="BL1943" s="115"/>
      <c r="BM1943" s="115"/>
      <c r="BN1943" s="115"/>
      <c r="BO1943" s="115"/>
      <c r="BP1943" s="115"/>
      <c r="BQ1943" s="115"/>
      <c r="BR1943" s="115"/>
      <c r="BS1943" s="115"/>
      <c r="BT1943" s="115"/>
      <c r="BU1943" s="115"/>
      <c r="BV1943" s="115"/>
      <c r="BW1943" s="115"/>
      <c r="BX1943" s="115"/>
      <c r="BY1943" s="115"/>
      <c r="BZ1943" s="115"/>
      <c r="CA1943" s="115"/>
      <c r="CB1943" s="115"/>
      <c r="CC1943" s="115"/>
      <c r="CD1943" s="115"/>
      <c r="CE1943" s="115"/>
      <c r="CF1943" s="115"/>
      <c r="CG1943" s="115"/>
      <c r="CH1943" s="115"/>
      <c r="CI1943" s="115"/>
      <c r="CJ1943" s="115"/>
      <c r="CK1943" s="115"/>
      <c r="CL1943" s="115"/>
      <c r="CM1943" s="115"/>
      <c r="CN1943" s="115"/>
      <c r="CO1943" s="115"/>
      <c r="CP1943" s="115"/>
    </row>
    <row r="1944" ht="15.75" customHeight="1">
      <c r="A1944" s="21" t="s">
        <v>8927</v>
      </c>
      <c r="B1944" s="68"/>
      <c r="C1944" s="69" t="s">
        <v>513</v>
      </c>
      <c r="D1944" s="200" t="s">
        <v>8928</v>
      </c>
      <c r="E1944" s="138" t="s">
        <v>8929</v>
      </c>
      <c r="F1944" s="841" t="s">
        <v>8930</v>
      </c>
      <c r="G1944" s="71" t="s">
        <v>8931</v>
      </c>
      <c r="H1944" s="140" t="s">
        <v>8932</v>
      </c>
      <c r="I1944" s="26" t="s">
        <v>5623</v>
      </c>
      <c r="J1944" s="72" t="s">
        <v>8933</v>
      </c>
      <c r="K1944" s="26">
        <v>1.0</v>
      </c>
      <c r="L1944" s="26">
        <v>2001.0</v>
      </c>
      <c r="M1944" s="25">
        <f t="shared" si="789"/>
        <v>24</v>
      </c>
      <c r="N1944" s="26">
        <f t="shared" si="790"/>
        <v>0</v>
      </c>
      <c r="O1944" s="27" t="str">
        <f t="shared" si="3"/>
        <v>#N/A</v>
      </c>
      <c r="P1944" s="28"/>
      <c r="Q1944" s="28"/>
      <c r="R1944" s="28"/>
      <c r="S1944" s="28"/>
      <c r="T1944" s="28"/>
      <c r="U1944" s="28"/>
      <c r="V1944" s="30">
        <f t="shared" si="425"/>
        <v>0</v>
      </c>
      <c r="W1944" s="30"/>
      <c r="X1944" s="73"/>
      <c r="Y1944" s="33" t="str">
        <f t="shared" si="792"/>
        <v>#DIV/0!</v>
      </c>
      <c r="Z1944" s="692"/>
      <c r="AA1944" s="665"/>
      <c r="AB1944" s="74"/>
      <c r="AC1944" s="74"/>
      <c r="AD1944" s="79"/>
      <c r="AE1944" s="84"/>
      <c r="AF1944" s="338"/>
      <c r="AG1944" s="84"/>
      <c r="AH1944" s="74"/>
      <c r="AI1944" s="78"/>
      <c r="AJ1944" s="79"/>
      <c r="AK1944" s="84"/>
      <c r="AL1944" s="79"/>
      <c r="AM1944" s="84"/>
      <c r="AN1944" s="79"/>
      <c r="AO1944" s="84"/>
      <c r="AP1944" s="79"/>
      <c r="AQ1944" s="84"/>
      <c r="AR1944" s="79"/>
      <c r="AS1944" s="79"/>
      <c r="AT1944" s="79"/>
      <c r="AU1944" s="80"/>
      <c r="AV1944" s="79"/>
      <c r="AW1944" s="38"/>
      <c r="AX1944" s="79"/>
      <c r="AY1944" s="38"/>
      <c r="AZ1944" s="79"/>
      <c r="BA1944" s="80"/>
      <c r="BB1944" s="79"/>
      <c r="BC1944" s="80"/>
      <c r="BD1944" s="79"/>
      <c r="BE1944" s="38"/>
      <c r="BF1944" s="74"/>
      <c r="BG1944" s="115"/>
      <c r="BH1944" s="115"/>
      <c r="BI1944" s="115"/>
      <c r="BJ1944" s="115"/>
      <c r="BK1944" s="115"/>
      <c r="BL1944" s="115"/>
      <c r="BM1944" s="115"/>
      <c r="BN1944" s="115"/>
      <c r="BO1944" s="115"/>
      <c r="BP1944" s="115"/>
      <c r="BQ1944" s="115"/>
      <c r="BR1944" s="115"/>
      <c r="BS1944" s="115"/>
      <c r="BT1944" s="115"/>
      <c r="BU1944" s="115"/>
      <c r="BV1944" s="115"/>
      <c r="BW1944" s="115"/>
      <c r="BX1944" s="115"/>
      <c r="BY1944" s="115"/>
      <c r="BZ1944" s="115"/>
      <c r="CA1944" s="115"/>
      <c r="CB1944" s="115"/>
      <c r="CC1944" s="115"/>
      <c r="CD1944" s="115"/>
      <c r="CE1944" s="115"/>
      <c r="CF1944" s="115"/>
      <c r="CG1944" s="115"/>
      <c r="CH1944" s="115"/>
      <c r="CI1944" s="115"/>
      <c r="CJ1944" s="115"/>
      <c r="CK1944" s="115"/>
      <c r="CL1944" s="115"/>
      <c r="CM1944" s="115"/>
      <c r="CN1944" s="115"/>
      <c r="CO1944" s="115"/>
      <c r="CP1944" s="115"/>
    </row>
    <row r="1945" ht="15.75" customHeight="1">
      <c r="A1945" s="21" t="s">
        <v>8934</v>
      </c>
      <c r="B1945" s="69" t="s">
        <v>2156</v>
      </c>
      <c r="C1945" s="69" t="s">
        <v>132</v>
      </c>
      <c r="D1945" s="200" t="s">
        <v>8935</v>
      </c>
      <c r="E1945" s="200" t="s">
        <v>8936</v>
      </c>
      <c r="F1945" s="173" t="s">
        <v>8937</v>
      </c>
      <c r="G1945" s="54" t="s">
        <v>8938</v>
      </c>
      <c r="H1945" s="71" t="s">
        <v>187</v>
      </c>
      <c r="I1945" s="26" t="s">
        <v>188</v>
      </c>
      <c r="J1945" s="72" t="s">
        <v>1804</v>
      </c>
      <c r="K1945" s="26">
        <v>1.0</v>
      </c>
      <c r="L1945" s="26">
        <v>2016.0</v>
      </c>
      <c r="M1945" s="25">
        <f t="shared" si="789"/>
        <v>9</v>
      </c>
      <c r="N1945" s="26">
        <f t="shared" si="790"/>
        <v>0</v>
      </c>
      <c r="O1945" s="27" t="str">
        <f t="shared" si="3"/>
        <v>#N/A</v>
      </c>
      <c r="P1945" s="28"/>
      <c r="Q1945" s="28"/>
      <c r="R1945" s="28"/>
      <c r="S1945" s="28"/>
      <c r="T1945" s="28"/>
      <c r="U1945" s="28"/>
      <c r="V1945" s="30">
        <f t="shared" si="425"/>
        <v>0</v>
      </c>
      <c r="W1945" s="30"/>
      <c r="X1945" s="73"/>
      <c r="Y1945" s="33" t="str">
        <f t="shared" si="792"/>
        <v>#DIV/0!</v>
      </c>
      <c r="Z1945" s="692"/>
      <c r="AA1945" s="665"/>
      <c r="AB1945" s="74"/>
      <c r="AC1945" s="74"/>
      <c r="AD1945" s="79"/>
      <c r="AE1945" s="84"/>
      <c r="AF1945" s="338"/>
      <c r="AG1945" s="84"/>
      <c r="AH1945" s="74"/>
      <c r="AI1945" s="78"/>
      <c r="AJ1945" s="79"/>
      <c r="AK1945" s="84"/>
      <c r="AL1945" s="79"/>
      <c r="AM1945" s="84"/>
      <c r="AN1945" s="79"/>
      <c r="AO1945" s="84"/>
      <c r="AP1945" s="79"/>
      <c r="AQ1945" s="84"/>
      <c r="AR1945" s="79"/>
      <c r="AS1945" s="79"/>
      <c r="AT1945" s="79"/>
      <c r="AU1945" s="80"/>
      <c r="AV1945" s="79"/>
      <c r="AW1945" s="38"/>
      <c r="AX1945" s="79"/>
      <c r="AY1945" s="38"/>
      <c r="AZ1945" s="79"/>
      <c r="BA1945" s="80"/>
      <c r="BB1945" s="79"/>
      <c r="BC1945" s="80"/>
      <c r="BD1945" s="79"/>
      <c r="BE1945" s="38"/>
      <c r="BF1945" s="74"/>
      <c r="BG1945" s="115"/>
      <c r="BH1945" s="115"/>
      <c r="BI1945" s="115"/>
      <c r="BJ1945" s="115"/>
      <c r="BK1945" s="115"/>
      <c r="BL1945" s="115"/>
      <c r="BM1945" s="115"/>
      <c r="BN1945" s="115"/>
      <c r="BO1945" s="115"/>
      <c r="BP1945" s="115"/>
      <c r="BQ1945" s="115"/>
      <c r="BR1945" s="115"/>
      <c r="BS1945" s="115"/>
      <c r="BT1945" s="115"/>
      <c r="BU1945" s="115"/>
      <c r="BV1945" s="115"/>
      <c r="BW1945" s="115"/>
      <c r="BX1945" s="115"/>
      <c r="BY1945" s="115"/>
      <c r="BZ1945" s="115"/>
      <c r="CA1945" s="115"/>
      <c r="CB1945" s="115"/>
      <c r="CC1945" s="115"/>
      <c r="CD1945" s="115"/>
      <c r="CE1945" s="115"/>
      <c r="CF1945" s="115"/>
      <c r="CG1945" s="115"/>
      <c r="CH1945" s="115"/>
      <c r="CI1945" s="115"/>
      <c r="CJ1945" s="115"/>
      <c r="CK1945" s="115"/>
      <c r="CL1945" s="115"/>
      <c r="CM1945" s="115"/>
      <c r="CN1945" s="115"/>
      <c r="CO1945" s="115"/>
      <c r="CP1945" s="115"/>
    </row>
    <row r="1946" ht="15.75" customHeight="1">
      <c r="A1946" s="21" t="s">
        <v>8939</v>
      </c>
      <c r="B1946" s="68"/>
      <c r="C1946" s="69" t="s">
        <v>84</v>
      </c>
      <c r="D1946" s="200" t="s">
        <v>8940</v>
      </c>
      <c r="E1946" s="200" t="s">
        <v>8941</v>
      </c>
      <c r="F1946" s="841" t="s">
        <v>8942</v>
      </c>
      <c r="G1946" s="1929" t="s">
        <v>8943</v>
      </c>
      <c r="H1946" s="186" t="s">
        <v>128</v>
      </c>
      <c r="I1946" s="74" t="s">
        <v>129</v>
      </c>
      <c r="J1946" s="72" t="s">
        <v>8944</v>
      </c>
      <c r="K1946" s="26">
        <v>1.0</v>
      </c>
      <c r="L1946" s="26">
        <v>2018.0</v>
      </c>
      <c r="M1946" s="25">
        <f t="shared" si="789"/>
        <v>7</v>
      </c>
      <c r="N1946" s="26">
        <f t="shared" si="790"/>
        <v>0</v>
      </c>
      <c r="O1946" s="27" t="str">
        <f t="shared" si="3"/>
        <v>#N/A</v>
      </c>
      <c r="P1946" s="28"/>
      <c r="Q1946" s="28"/>
      <c r="R1946" s="28"/>
      <c r="S1946" s="28"/>
      <c r="T1946" s="28"/>
      <c r="U1946" s="28"/>
      <c r="V1946" s="30">
        <f t="shared" si="425"/>
        <v>0</v>
      </c>
      <c r="W1946" s="30"/>
      <c r="X1946" s="73"/>
      <c r="Y1946" s="33" t="str">
        <f t="shared" si="792"/>
        <v>#DIV/0!</v>
      </c>
      <c r="Z1946" s="692"/>
      <c r="AA1946" s="665"/>
      <c r="AB1946" s="74"/>
      <c r="AC1946" s="74"/>
      <c r="AD1946" s="79"/>
      <c r="AE1946" s="84"/>
      <c r="AF1946" s="338"/>
      <c r="AG1946" s="84"/>
      <c r="AH1946" s="74"/>
      <c r="AI1946" s="78"/>
      <c r="AJ1946" s="79"/>
      <c r="AK1946" s="84"/>
      <c r="AL1946" s="79"/>
      <c r="AM1946" s="84"/>
      <c r="AN1946" s="79"/>
      <c r="AO1946" s="84"/>
      <c r="AP1946" s="79"/>
      <c r="AQ1946" s="84"/>
      <c r="AR1946" s="79"/>
      <c r="AS1946" s="79"/>
      <c r="AT1946" s="79"/>
      <c r="AU1946" s="80"/>
      <c r="AV1946" s="79"/>
      <c r="AW1946" s="38"/>
      <c r="AX1946" s="79"/>
      <c r="AY1946" s="38"/>
      <c r="AZ1946" s="79"/>
      <c r="BA1946" s="80"/>
      <c r="BB1946" s="79"/>
      <c r="BC1946" s="80"/>
      <c r="BD1946" s="79"/>
      <c r="BE1946" s="38"/>
      <c r="BF1946" s="74"/>
      <c r="BG1946" s="115"/>
      <c r="BH1946" s="115"/>
      <c r="BI1946" s="115"/>
      <c r="BJ1946" s="115"/>
      <c r="BK1946" s="115"/>
      <c r="BL1946" s="115"/>
      <c r="BM1946" s="115"/>
      <c r="BN1946" s="115"/>
      <c r="BO1946" s="115"/>
      <c r="BP1946" s="115"/>
      <c r="BQ1946" s="115"/>
      <c r="BR1946" s="115"/>
      <c r="BS1946" s="115"/>
      <c r="BT1946" s="115"/>
      <c r="BU1946" s="115"/>
      <c r="BV1946" s="115"/>
      <c r="BW1946" s="115"/>
      <c r="BX1946" s="115"/>
      <c r="BY1946" s="115"/>
      <c r="BZ1946" s="115"/>
      <c r="CA1946" s="115"/>
      <c r="CB1946" s="115"/>
      <c r="CC1946" s="115"/>
      <c r="CD1946" s="115"/>
      <c r="CE1946" s="115"/>
      <c r="CF1946" s="115"/>
      <c r="CG1946" s="115"/>
      <c r="CH1946" s="115"/>
      <c r="CI1946" s="115"/>
      <c r="CJ1946" s="115"/>
      <c r="CK1946" s="115"/>
      <c r="CL1946" s="115"/>
      <c r="CM1946" s="115"/>
      <c r="CN1946" s="115"/>
      <c r="CO1946" s="115"/>
      <c r="CP1946" s="115"/>
    </row>
    <row r="1947" ht="15.75" customHeight="1">
      <c r="A1947" s="21" t="s">
        <v>8945</v>
      </c>
      <c r="B1947" s="68"/>
      <c r="C1947" s="69" t="s">
        <v>132</v>
      </c>
      <c r="D1947" s="138" t="s">
        <v>8946</v>
      </c>
      <c r="E1947" s="200" t="s">
        <v>8947</v>
      </c>
      <c r="F1947" s="173" t="s">
        <v>8948</v>
      </c>
      <c r="G1947" s="54" t="s">
        <v>8949</v>
      </c>
      <c r="H1947" s="186" t="s">
        <v>128</v>
      </c>
      <c r="I1947" s="74" t="s">
        <v>129</v>
      </c>
      <c r="J1947" s="72" t="s">
        <v>8950</v>
      </c>
      <c r="K1947" s="26">
        <v>1.0</v>
      </c>
      <c r="L1947" s="26">
        <v>1979.0</v>
      </c>
      <c r="M1947" s="25">
        <f t="shared" si="789"/>
        <v>46</v>
      </c>
      <c r="N1947" s="26">
        <f t="shared" si="790"/>
        <v>0</v>
      </c>
      <c r="O1947" s="27" t="str">
        <f t="shared" si="3"/>
        <v>#N/A</v>
      </c>
      <c r="P1947" s="28"/>
      <c r="Q1947" s="28"/>
      <c r="R1947" s="28"/>
      <c r="S1947" s="28"/>
      <c r="T1947" s="28"/>
      <c r="U1947" s="28"/>
      <c r="V1947" s="30">
        <f t="shared" si="425"/>
        <v>0</v>
      </c>
      <c r="W1947" s="30"/>
      <c r="X1947" s="73"/>
      <c r="Y1947" s="33" t="str">
        <f t="shared" si="792"/>
        <v>#DIV/0!</v>
      </c>
      <c r="Z1947" s="692"/>
      <c r="AA1947" s="665"/>
      <c r="AB1947" s="74"/>
      <c r="AC1947" s="74"/>
      <c r="AD1947" s="79"/>
      <c r="AE1947" s="84"/>
      <c r="AF1947" s="338"/>
      <c r="AG1947" s="84"/>
      <c r="AH1947" s="74"/>
      <c r="AI1947" s="78"/>
      <c r="AJ1947" s="279"/>
      <c r="AK1947" s="76"/>
      <c r="AL1947" s="279"/>
      <c r="AM1947" s="76"/>
      <c r="AN1947" s="79"/>
      <c r="AO1947" s="84"/>
      <c r="AP1947" s="79"/>
      <c r="AQ1947" s="84"/>
      <c r="AR1947" s="79"/>
      <c r="AS1947" s="79"/>
      <c r="AT1947" s="79"/>
      <c r="AU1947" s="80"/>
      <c r="AV1947" s="79"/>
      <c r="AW1947" s="38"/>
      <c r="AX1947" s="79"/>
      <c r="AY1947" s="38"/>
      <c r="AZ1947" s="79"/>
      <c r="BA1947" s="80"/>
      <c r="BB1947" s="79"/>
      <c r="BC1947" s="80"/>
      <c r="BD1947" s="79"/>
      <c r="BE1947" s="38"/>
      <c r="BF1947" s="74"/>
      <c r="BG1947" s="115"/>
      <c r="BH1947" s="115"/>
      <c r="BI1947" s="115"/>
      <c r="BJ1947" s="115"/>
      <c r="BK1947" s="115"/>
      <c r="BL1947" s="115"/>
      <c r="BM1947" s="115"/>
      <c r="BN1947" s="115"/>
      <c r="BO1947" s="115"/>
      <c r="BP1947" s="115"/>
      <c r="BQ1947" s="115"/>
      <c r="BR1947" s="115"/>
      <c r="BS1947" s="115"/>
      <c r="BT1947" s="115"/>
      <c r="BU1947" s="115"/>
      <c r="BV1947" s="115"/>
      <c r="BW1947" s="115"/>
      <c r="BX1947" s="115"/>
      <c r="BY1947" s="115"/>
      <c r="BZ1947" s="115"/>
      <c r="CA1947" s="115"/>
      <c r="CB1947" s="115"/>
      <c r="CC1947" s="115"/>
      <c r="CD1947" s="115"/>
      <c r="CE1947" s="115"/>
      <c r="CF1947" s="115"/>
      <c r="CG1947" s="115"/>
      <c r="CH1947" s="115"/>
      <c r="CI1947" s="115"/>
      <c r="CJ1947" s="115"/>
      <c r="CK1947" s="115"/>
      <c r="CL1947" s="115"/>
      <c r="CM1947" s="115"/>
      <c r="CN1947" s="115"/>
      <c r="CO1947" s="115"/>
      <c r="CP1947" s="115"/>
    </row>
    <row r="1948" ht="15.75" customHeight="1">
      <c r="A1948" s="931" t="s">
        <v>8951</v>
      </c>
      <c r="B1948" s="68"/>
      <c r="C1948" s="69" t="s">
        <v>207</v>
      </c>
      <c r="D1948" s="337"/>
      <c r="E1948" s="192" t="s">
        <v>8952</v>
      </c>
      <c r="F1948" s="118" t="s">
        <v>8953</v>
      </c>
      <c r="G1948" s="186"/>
      <c r="H1948" s="71" t="s">
        <v>6014</v>
      </c>
      <c r="I1948" s="26" t="s">
        <v>6015</v>
      </c>
      <c r="J1948" s="155"/>
      <c r="K1948" s="74"/>
      <c r="L1948" s="26">
        <v>2012.0</v>
      </c>
      <c r="M1948" s="25">
        <f t="shared" si="789"/>
        <v>13</v>
      </c>
      <c r="N1948" s="26">
        <f t="shared" si="790"/>
        <v>0</v>
      </c>
      <c r="O1948" s="27" t="str">
        <f t="shared" si="3"/>
        <v>#N/A</v>
      </c>
      <c r="P1948" s="273"/>
      <c r="Q1948" s="273"/>
      <c r="R1948" s="273"/>
      <c r="S1948" s="273"/>
      <c r="T1948" s="273"/>
      <c r="U1948" s="273"/>
      <c r="V1948" s="30">
        <f t="shared" si="425"/>
        <v>0</v>
      </c>
      <c r="W1948" s="30"/>
      <c r="X1948" s="32"/>
      <c r="Y1948" s="33" t="str">
        <f t="shared" si="792"/>
        <v>#DIV/0!</v>
      </c>
      <c r="Z1948" s="692"/>
      <c r="AA1948" s="665"/>
      <c r="AB1948" s="74"/>
      <c r="AC1948" s="74"/>
      <c r="AD1948" s="79"/>
      <c r="AE1948" s="84"/>
      <c r="AF1948" s="338"/>
      <c r="AG1948" s="84"/>
      <c r="AH1948" s="74"/>
      <c r="AI1948" s="78"/>
      <c r="AJ1948" s="279"/>
      <c r="AK1948" s="76"/>
      <c r="AL1948" s="279"/>
      <c r="AM1948" s="76"/>
      <c r="AN1948" s="79"/>
      <c r="AO1948" s="84"/>
      <c r="AP1948" s="79"/>
      <c r="AQ1948" s="84"/>
      <c r="AR1948" s="79"/>
      <c r="AS1948" s="79"/>
      <c r="AT1948" s="79"/>
      <c r="AU1948" s="80"/>
      <c r="AV1948" s="79"/>
      <c r="AW1948" s="38"/>
      <c r="AX1948" s="79"/>
      <c r="AY1948" s="38"/>
      <c r="AZ1948" s="79"/>
      <c r="BA1948" s="80"/>
      <c r="BB1948" s="79"/>
      <c r="BC1948" s="80"/>
      <c r="BD1948" s="79"/>
      <c r="BE1948" s="38"/>
      <c r="BF1948" s="74"/>
      <c r="BG1948" s="115"/>
      <c r="BH1948" s="115"/>
      <c r="BI1948" s="115"/>
      <c r="BJ1948" s="115"/>
      <c r="BK1948" s="115"/>
      <c r="BL1948" s="115"/>
      <c r="BM1948" s="115"/>
      <c r="BN1948" s="115"/>
      <c r="BO1948" s="115"/>
      <c r="BP1948" s="115"/>
      <c r="BQ1948" s="115"/>
      <c r="BR1948" s="115"/>
      <c r="BS1948" s="115"/>
      <c r="BT1948" s="115"/>
      <c r="BU1948" s="115"/>
      <c r="BV1948" s="115"/>
      <c r="BW1948" s="115"/>
      <c r="BX1948" s="115"/>
      <c r="BY1948" s="115"/>
      <c r="BZ1948" s="115"/>
      <c r="CA1948" s="115"/>
      <c r="CB1948" s="115"/>
      <c r="CC1948" s="115"/>
      <c r="CD1948" s="115"/>
      <c r="CE1948" s="115"/>
      <c r="CF1948" s="115"/>
      <c r="CG1948" s="115"/>
      <c r="CH1948" s="115"/>
      <c r="CI1948" s="115"/>
      <c r="CJ1948" s="115"/>
      <c r="CK1948" s="115"/>
      <c r="CL1948" s="115"/>
      <c r="CM1948" s="115"/>
      <c r="CN1948" s="115"/>
      <c r="CO1948" s="115"/>
      <c r="CP1948" s="115"/>
    </row>
    <row r="1949" ht="15.75" customHeight="1">
      <c r="A1949" s="931" t="s">
        <v>8954</v>
      </c>
      <c r="B1949" s="115"/>
      <c r="C1949" s="116" t="s">
        <v>132</v>
      </c>
      <c r="D1949" s="161" t="s">
        <v>8955</v>
      </c>
      <c r="E1949" s="161" t="s">
        <v>8956</v>
      </c>
      <c r="F1949" s="118" t="s">
        <v>8957</v>
      </c>
      <c r="G1949" s="54" t="s">
        <v>8958</v>
      </c>
      <c r="H1949" s="119" t="s">
        <v>241</v>
      </c>
      <c r="I1949" s="25" t="s">
        <v>65</v>
      </c>
      <c r="J1949" s="178" t="s">
        <v>883</v>
      </c>
      <c r="K1949" s="123"/>
      <c r="L1949" s="25">
        <v>1998.0</v>
      </c>
      <c r="M1949" s="25">
        <f t="shared" si="789"/>
        <v>27</v>
      </c>
      <c r="N1949" s="26">
        <f t="shared" si="790"/>
        <v>0</v>
      </c>
      <c r="O1949" s="27" t="str">
        <f t="shared" si="3"/>
        <v>#N/A</v>
      </c>
      <c r="P1949" s="55"/>
      <c r="Q1949" s="55"/>
      <c r="R1949" s="55"/>
      <c r="S1949" s="55"/>
      <c r="T1949" s="55"/>
      <c r="U1949" s="55"/>
      <c r="V1949" s="30">
        <f t="shared" si="425"/>
        <v>0</v>
      </c>
      <c r="W1949" s="30"/>
      <c r="X1949" s="403"/>
      <c r="Y1949" s="33" t="str">
        <f t="shared" si="792"/>
        <v>#DIV/0!</v>
      </c>
      <c r="Z1949" s="692"/>
      <c r="AA1949" s="665"/>
      <c r="AB1949" s="123"/>
      <c r="AC1949" s="123"/>
      <c r="AD1949" s="124"/>
      <c r="AE1949" s="125"/>
      <c r="AF1949" s="166"/>
      <c r="AG1949" s="125"/>
      <c r="AH1949" s="123"/>
      <c r="AI1949" s="128"/>
      <c r="AJ1949" s="169"/>
      <c r="AK1949" s="127"/>
      <c r="AL1949" s="169"/>
      <c r="AM1949" s="127"/>
      <c r="AN1949" s="124"/>
      <c r="AO1949" s="125"/>
      <c r="AP1949" s="124"/>
      <c r="AQ1949" s="125"/>
      <c r="AR1949" s="124"/>
      <c r="AS1949" s="124"/>
      <c r="AT1949" s="124"/>
      <c r="AU1949" s="137"/>
      <c r="AV1949" s="124"/>
      <c r="AW1949" s="38"/>
      <c r="AX1949" s="124"/>
      <c r="AY1949" s="38"/>
      <c r="AZ1949" s="124"/>
      <c r="BA1949" s="137"/>
      <c r="BB1949" s="124"/>
      <c r="BC1949" s="137"/>
      <c r="BD1949" s="124"/>
      <c r="BE1949" s="38"/>
      <c r="BF1949" s="123"/>
      <c r="BG1949" s="115"/>
      <c r="BH1949" s="115"/>
      <c r="BI1949" s="115"/>
      <c r="BJ1949" s="115"/>
      <c r="BK1949" s="115"/>
      <c r="BL1949" s="115"/>
      <c r="BM1949" s="115"/>
      <c r="BN1949" s="115"/>
      <c r="BO1949" s="115"/>
      <c r="BP1949" s="115"/>
      <c r="BQ1949" s="115"/>
      <c r="BR1949" s="115"/>
      <c r="BS1949" s="115"/>
      <c r="BT1949" s="115"/>
      <c r="BU1949" s="115"/>
      <c r="BV1949" s="115"/>
      <c r="BW1949" s="115"/>
      <c r="BX1949" s="115"/>
      <c r="BY1949" s="115"/>
      <c r="BZ1949" s="115"/>
      <c r="CA1949" s="115"/>
      <c r="CB1949" s="115"/>
      <c r="CC1949" s="115"/>
      <c r="CD1949" s="115"/>
      <c r="CE1949" s="115"/>
      <c r="CF1949" s="115"/>
      <c r="CG1949" s="115"/>
      <c r="CH1949" s="115"/>
      <c r="CI1949" s="115"/>
      <c r="CJ1949" s="115"/>
      <c r="CK1949" s="115"/>
      <c r="CL1949" s="115"/>
      <c r="CM1949" s="115"/>
      <c r="CN1949" s="115"/>
      <c r="CO1949" s="115"/>
      <c r="CP1949" s="115"/>
    </row>
    <row r="1950" ht="15.75" customHeight="1">
      <c r="A1950" s="1927" t="s">
        <v>8959</v>
      </c>
      <c r="B1950" s="68"/>
      <c r="C1950" s="69" t="s">
        <v>84</v>
      </c>
      <c r="D1950" s="236" t="s">
        <v>8960</v>
      </c>
      <c r="E1950" s="380"/>
      <c r="F1950" s="803" t="s">
        <v>8961</v>
      </c>
      <c r="G1950" s="71"/>
      <c r="H1950" s="71"/>
      <c r="I1950" s="26"/>
      <c r="J1950" s="72"/>
      <c r="K1950" s="26"/>
      <c r="L1950" s="26"/>
      <c r="M1950" s="25">
        <f t="shared" si="789"/>
        <v>2025</v>
      </c>
      <c r="N1950" s="26">
        <f t="shared" si="790"/>
        <v>0</v>
      </c>
      <c r="O1950" s="27" t="str">
        <f t="shared" si="3"/>
        <v>#N/A</v>
      </c>
      <c r="P1950" s="273"/>
      <c r="Q1950" s="273"/>
      <c r="R1950" s="273"/>
      <c r="S1950" s="273"/>
      <c r="T1950" s="273"/>
      <c r="U1950" s="273"/>
      <c r="V1950" s="30">
        <f t="shared" si="425"/>
        <v>0</v>
      </c>
      <c r="W1950" s="30"/>
      <c r="X1950" s="73"/>
      <c r="Y1950" s="33" t="str">
        <f t="shared" si="792"/>
        <v>#DIV/0!</v>
      </c>
      <c r="Z1950" s="692"/>
      <c r="AA1950" s="665"/>
      <c r="AB1950" s="74"/>
      <c r="AC1950" s="74"/>
      <c r="AD1950" s="79"/>
      <c r="AE1950" s="84"/>
      <c r="AF1950" s="338"/>
      <c r="AG1950" s="84"/>
      <c r="AH1950" s="74"/>
      <c r="AI1950" s="78"/>
      <c r="AJ1950" s="79"/>
      <c r="AK1950" s="84"/>
      <c r="AL1950" s="79"/>
      <c r="AM1950" s="84"/>
      <c r="AN1950" s="79"/>
      <c r="AO1950" s="84"/>
      <c r="AP1950" s="79"/>
      <c r="AQ1950" s="84"/>
      <c r="AR1950" s="79"/>
      <c r="AS1950" s="79"/>
      <c r="AT1950" s="79"/>
      <c r="AU1950" s="80"/>
      <c r="AV1950" s="79"/>
      <c r="AW1950" s="38"/>
      <c r="AX1950" s="79"/>
      <c r="AY1950" s="38"/>
      <c r="AZ1950" s="79"/>
      <c r="BA1950" s="80"/>
      <c r="BB1950" s="79"/>
      <c r="BC1950" s="80"/>
      <c r="BD1950" s="79"/>
      <c r="BE1950" s="38"/>
      <c r="BF1950" s="74"/>
      <c r="BG1950" s="115"/>
      <c r="BH1950" s="115"/>
      <c r="BI1950" s="115"/>
      <c r="BJ1950" s="115"/>
      <c r="BK1950" s="115"/>
      <c r="BL1950" s="115"/>
      <c r="BM1950" s="115"/>
      <c r="BN1950" s="115"/>
      <c r="BO1950" s="115"/>
      <c r="BP1950" s="115"/>
      <c r="BQ1950" s="115"/>
      <c r="BR1950" s="115"/>
      <c r="BS1950" s="115"/>
      <c r="BT1950" s="115"/>
      <c r="BU1950" s="115"/>
      <c r="BV1950" s="115"/>
      <c r="BW1950" s="115"/>
      <c r="BX1950" s="115"/>
      <c r="BY1950" s="115"/>
      <c r="BZ1950" s="115"/>
      <c r="CA1950" s="115"/>
      <c r="CB1950" s="115"/>
      <c r="CC1950" s="115"/>
      <c r="CD1950" s="115"/>
      <c r="CE1950" s="115"/>
      <c r="CF1950" s="115"/>
      <c r="CG1950" s="115"/>
      <c r="CH1950" s="115"/>
      <c r="CI1950" s="115"/>
      <c r="CJ1950" s="115"/>
      <c r="CK1950" s="115"/>
      <c r="CL1950" s="115"/>
      <c r="CM1950" s="115"/>
      <c r="CN1950" s="115"/>
      <c r="CO1950" s="115"/>
      <c r="CP1950" s="115"/>
    </row>
    <row r="1951" ht="15.75" customHeight="1">
      <c r="A1951" s="21" t="s">
        <v>8962</v>
      </c>
      <c r="B1951" s="68"/>
      <c r="C1951" s="69" t="s">
        <v>132</v>
      </c>
      <c r="D1951" s="200" t="s">
        <v>8963</v>
      </c>
      <c r="E1951" s="200" t="s">
        <v>8964</v>
      </c>
      <c r="F1951" s="173" t="s">
        <v>8965</v>
      </c>
      <c r="G1951" s="71" t="s">
        <v>8966</v>
      </c>
      <c r="H1951" s="71" t="s">
        <v>8967</v>
      </c>
      <c r="I1951" s="26" t="s">
        <v>2954</v>
      </c>
      <c r="J1951" s="72" t="s">
        <v>8968</v>
      </c>
      <c r="K1951" s="26">
        <v>1.0</v>
      </c>
      <c r="L1951" s="26">
        <v>2014.0</v>
      </c>
      <c r="M1951" s="25">
        <f t="shared" si="789"/>
        <v>11</v>
      </c>
      <c r="N1951" s="26">
        <f t="shared" si="790"/>
        <v>0</v>
      </c>
      <c r="O1951" s="27" t="str">
        <f t="shared" si="3"/>
        <v>#N/A</v>
      </c>
      <c r="P1951" s="273"/>
      <c r="Q1951" s="273"/>
      <c r="R1951" s="273"/>
      <c r="S1951" s="273"/>
      <c r="T1951" s="273"/>
      <c r="U1951" s="273"/>
      <c r="V1951" s="30">
        <f t="shared" si="425"/>
        <v>0</v>
      </c>
      <c r="W1951" s="30"/>
      <c r="X1951" s="73"/>
      <c r="Y1951" s="33" t="str">
        <f t="shared" si="792"/>
        <v>#DIV/0!</v>
      </c>
      <c r="Z1951" s="692"/>
      <c r="AA1951" s="665"/>
      <c r="AB1951" s="74"/>
      <c r="AC1951" s="74"/>
      <c r="AD1951" s="79"/>
      <c r="AE1951" s="84"/>
      <c r="AF1951" s="338"/>
      <c r="AG1951" s="84"/>
      <c r="AH1951" s="74"/>
      <c r="AI1951" s="78"/>
      <c r="AJ1951" s="79"/>
      <c r="AK1951" s="84"/>
      <c r="AL1951" s="79"/>
      <c r="AM1951" s="84"/>
      <c r="AN1951" s="79"/>
      <c r="AO1951" s="84"/>
      <c r="AP1951" s="79"/>
      <c r="AQ1951" s="84"/>
      <c r="AR1951" s="79"/>
      <c r="AS1951" s="79"/>
      <c r="AT1951" s="79"/>
      <c r="AU1951" s="80"/>
      <c r="AV1951" s="79"/>
      <c r="AW1951" s="38"/>
      <c r="AX1951" s="79"/>
      <c r="AY1951" s="38"/>
      <c r="AZ1951" s="79"/>
      <c r="BA1951" s="80"/>
      <c r="BB1951" s="79"/>
      <c r="BC1951" s="80"/>
      <c r="BD1951" s="79"/>
      <c r="BE1951" s="38"/>
      <c r="BF1951" s="74"/>
      <c r="BG1951" s="115"/>
      <c r="BH1951" s="115"/>
      <c r="BI1951" s="115"/>
      <c r="BJ1951" s="115"/>
      <c r="BK1951" s="115"/>
      <c r="BL1951" s="115"/>
      <c r="BM1951" s="115"/>
      <c r="BN1951" s="115"/>
      <c r="BO1951" s="115"/>
      <c r="BP1951" s="115"/>
      <c r="BQ1951" s="115"/>
      <c r="BR1951" s="115"/>
      <c r="BS1951" s="115"/>
      <c r="BT1951" s="115"/>
      <c r="BU1951" s="115"/>
      <c r="BV1951" s="115"/>
      <c r="BW1951" s="115"/>
      <c r="BX1951" s="115"/>
      <c r="BY1951" s="115"/>
      <c r="BZ1951" s="115"/>
      <c r="CA1951" s="115"/>
      <c r="CB1951" s="115"/>
      <c r="CC1951" s="115"/>
      <c r="CD1951" s="115"/>
      <c r="CE1951" s="115"/>
      <c r="CF1951" s="115"/>
      <c r="CG1951" s="115"/>
      <c r="CH1951" s="115"/>
      <c r="CI1951" s="115"/>
      <c r="CJ1951" s="115"/>
      <c r="CK1951" s="115"/>
      <c r="CL1951" s="115"/>
      <c r="CM1951" s="115"/>
      <c r="CN1951" s="115"/>
      <c r="CO1951" s="115"/>
      <c r="CP1951" s="115"/>
    </row>
    <row r="1952" ht="15.75" customHeight="1">
      <c r="A1952" s="400" t="s">
        <v>8969</v>
      </c>
      <c r="B1952" s="115"/>
      <c r="C1952" s="116" t="s">
        <v>513</v>
      </c>
      <c r="D1952" s="957" t="s">
        <v>8970</v>
      </c>
      <c r="E1952" s="449"/>
      <c r="F1952" s="192" t="s">
        <v>8971</v>
      </c>
      <c r="G1952" s="54" t="s">
        <v>8972</v>
      </c>
      <c r="H1952" s="119" t="s">
        <v>7912</v>
      </c>
      <c r="I1952" s="25" t="s">
        <v>1547</v>
      </c>
      <c r="J1952" s="120" t="s">
        <v>2136</v>
      </c>
      <c r="K1952" s="25">
        <v>1.0</v>
      </c>
      <c r="L1952" s="25">
        <v>1988.0</v>
      </c>
      <c r="M1952" s="25">
        <f t="shared" si="789"/>
        <v>37</v>
      </c>
      <c r="N1952" s="26">
        <f t="shared" si="790"/>
        <v>0</v>
      </c>
      <c r="O1952" s="27" t="str">
        <f t="shared" si="3"/>
        <v>#N/A</v>
      </c>
      <c r="P1952" s="55"/>
      <c r="Q1952" s="55"/>
      <c r="R1952" s="55"/>
      <c r="S1952" s="55"/>
      <c r="T1952" s="55"/>
      <c r="U1952" s="55"/>
      <c r="V1952" s="30">
        <f t="shared" si="425"/>
        <v>0</v>
      </c>
      <c r="W1952" s="30"/>
      <c r="X1952" s="597"/>
      <c r="Y1952" s="33" t="str">
        <f t="shared" si="792"/>
        <v>#DIV/0!</v>
      </c>
      <c r="Z1952" s="692"/>
      <c r="AA1952" s="665"/>
      <c r="AB1952" s="123"/>
      <c r="AC1952" s="123"/>
      <c r="AD1952" s="124"/>
      <c r="AE1952" s="125"/>
      <c r="AF1952" s="166"/>
      <c r="AG1952" s="125"/>
      <c r="AH1952" s="881"/>
      <c r="AI1952" s="128"/>
      <c r="AJ1952" s="124"/>
      <c r="AK1952" s="125"/>
      <c r="AL1952" s="124"/>
      <c r="AM1952" s="125"/>
      <c r="AN1952" s="124"/>
      <c r="AO1952" s="125"/>
      <c r="AP1952" s="124"/>
      <c r="AQ1952" s="125"/>
      <c r="AR1952" s="124"/>
      <c r="AS1952" s="124"/>
      <c r="AT1952" s="124"/>
      <c r="AU1952" s="137"/>
      <c r="AV1952" s="124"/>
      <c r="AW1952" s="38"/>
      <c r="AX1952" s="124"/>
      <c r="AY1952" s="38"/>
      <c r="AZ1952" s="124"/>
      <c r="BA1952" s="137"/>
      <c r="BB1952" s="124"/>
      <c r="BC1952" s="137"/>
      <c r="BD1952" s="124"/>
      <c r="BE1952" s="38"/>
      <c r="BF1952" s="123"/>
      <c r="BG1952" s="115"/>
      <c r="BH1952" s="115"/>
      <c r="BI1952" s="115"/>
      <c r="BJ1952" s="115"/>
      <c r="BK1952" s="115"/>
      <c r="BL1952" s="115"/>
      <c r="BM1952" s="115"/>
      <c r="BN1952" s="115"/>
      <c r="BO1952" s="115"/>
      <c r="BP1952" s="115"/>
      <c r="BQ1952" s="115"/>
      <c r="BR1952" s="115"/>
      <c r="BS1952" s="115"/>
      <c r="BT1952" s="115"/>
      <c r="BU1952" s="115"/>
      <c r="BV1952" s="115"/>
      <c r="BW1952" s="115"/>
      <c r="BX1952" s="115"/>
      <c r="BY1952" s="115"/>
      <c r="BZ1952" s="115"/>
      <c r="CA1952" s="115"/>
      <c r="CB1952" s="115"/>
      <c r="CC1952" s="115"/>
      <c r="CD1952" s="115"/>
      <c r="CE1952" s="115"/>
      <c r="CF1952" s="115"/>
      <c r="CG1952" s="115"/>
      <c r="CH1952" s="115"/>
      <c r="CI1952" s="115"/>
      <c r="CJ1952" s="115"/>
      <c r="CK1952" s="115"/>
      <c r="CL1952" s="115"/>
      <c r="CM1952" s="115"/>
      <c r="CN1952" s="115"/>
      <c r="CO1952" s="115"/>
      <c r="CP1952" s="115"/>
    </row>
    <row r="1953" ht="15.75" customHeight="1">
      <c r="A1953" s="931" t="s">
        <v>8973</v>
      </c>
      <c r="B1953" s="68"/>
      <c r="C1953" s="69" t="s">
        <v>132</v>
      </c>
      <c r="D1953" s="385"/>
      <c r="E1953" s="192" t="s">
        <v>8974</v>
      </c>
      <c r="F1953" s="386" t="s">
        <v>8975</v>
      </c>
      <c r="G1953" s="71"/>
      <c r="H1953" s="71" t="s">
        <v>8976</v>
      </c>
      <c r="I1953" s="26" t="s">
        <v>2016</v>
      </c>
      <c r="J1953" s="72"/>
      <c r="K1953" s="26"/>
      <c r="L1953" s="26">
        <v>2002.0</v>
      </c>
      <c r="M1953" s="25">
        <f t="shared" si="789"/>
        <v>23</v>
      </c>
      <c r="N1953" s="26">
        <f t="shared" si="790"/>
        <v>0</v>
      </c>
      <c r="O1953" s="27" t="str">
        <f t="shared" si="3"/>
        <v>#N/A</v>
      </c>
      <c r="P1953" s="273"/>
      <c r="Q1953" s="273"/>
      <c r="R1953" s="273"/>
      <c r="S1953" s="273"/>
      <c r="T1953" s="273"/>
      <c r="U1953" s="273"/>
      <c r="V1953" s="30">
        <f t="shared" si="425"/>
        <v>0</v>
      </c>
      <c r="W1953" s="30"/>
      <c r="X1953" s="73"/>
      <c r="Y1953" s="33" t="str">
        <f t="shared" si="792"/>
        <v>#DIV/0!</v>
      </c>
      <c r="Z1953" s="692"/>
      <c r="AA1953" s="665"/>
      <c r="AB1953" s="74"/>
      <c r="AC1953" s="74"/>
      <c r="AD1953" s="79"/>
      <c r="AE1953" s="84"/>
      <c r="AF1953" s="338"/>
      <c r="AG1953" s="84"/>
      <c r="AH1953" s="77"/>
      <c r="AI1953" s="78"/>
      <c r="AJ1953" s="79"/>
      <c r="AK1953" s="84"/>
      <c r="AL1953" s="79"/>
      <c r="AM1953" s="84"/>
      <c r="AN1953" s="79"/>
      <c r="AO1953" s="84"/>
      <c r="AP1953" s="79"/>
      <c r="AQ1953" s="84"/>
      <c r="AR1953" s="79"/>
      <c r="AS1953" s="79"/>
      <c r="AT1953" s="79"/>
      <c r="AU1953" s="80"/>
      <c r="AV1953" s="79"/>
      <c r="AW1953" s="38"/>
      <c r="AX1953" s="79"/>
      <c r="AY1953" s="38"/>
      <c r="AZ1953" s="79"/>
      <c r="BA1953" s="80"/>
      <c r="BB1953" s="79"/>
      <c r="BC1953" s="80"/>
      <c r="BD1953" s="79"/>
      <c r="BE1953" s="38"/>
      <c r="BF1953" s="74"/>
      <c r="BG1953" s="115"/>
      <c r="BH1953" s="115"/>
      <c r="BI1953" s="115"/>
      <c r="BJ1953" s="115"/>
      <c r="BK1953" s="115"/>
      <c r="BL1953" s="115"/>
      <c r="BM1953" s="115"/>
      <c r="BN1953" s="115"/>
      <c r="BO1953" s="115"/>
      <c r="BP1953" s="115"/>
      <c r="BQ1953" s="115"/>
      <c r="BR1953" s="115"/>
      <c r="BS1953" s="115"/>
      <c r="BT1953" s="115"/>
      <c r="BU1953" s="115"/>
      <c r="BV1953" s="115"/>
      <c r="BW1953" s="115"/>
      <c r="BX1953" s="115"/>
      <c r="BY1953" s="115"/>
      <c r="BZ1953" s="115"/>
      <c r="CA1953" s="115"/>
      <c r="CB1953" s="115"/>
      <c r="CC1953" s="115"/>
      <c r="CD1953" s="115"/>
      <c r="CE1953" s="115"/>
      <c r="CF1953" s="115"/>
      <c r="CG1953" s="115"/>
      <c r="CH1953" s="115"/>
      <c r="CI1953" s="115"/>
      <c r="CJ1953" s="115"/>
      <c r="CK1953" s="115"/>
      <c r="CL1953" s="115"/>
      <c r="CM1953" s="115"/>
      <c r="CN1953" s="115"/>
      <c r="CO1953" s="115"/>
      <c r="CP1953" s="115"/>
    </row>
    <row r="1954" ht="15.75" customHeight="1">
      <c r="A1954" s="400" t="s">
        <v>8977</v>
      </c>
      <c r="B1954" s="115"/>
      <c r="C1954" s="116" t="s">
        <v>207</v>
      </c>
      <c r="D1954" s="731"/>
      <c r="E1954" s="540" t="s">
        <v>8978</v>
      </c>
      <c r="F1954" s="1416" t="s">
        <v>8979</v>
      </c>
      <c r="G1954" s="54" t="s">
        <v>8980</v>
      </c>
      <c r="H1954" s="54" t="s">
        <v>455</v>
      </c>
      <c r="I1954" s="25" t="s">
        <v>100</v>
      </c>
      <c r="J1954" s="120"/>
      <c r="K1954" s="25">
        <v>2.0</v>
      </c>
      <c r="L1954" s="25">
        <v>2019.0</v>
      </c>
      <c r="M1954" s="25">
        <f t="shared" si="789"/>
        <v>6</v>
      </c>
      <c r="N1954" s="26">
        <f t="shared" si="790"/>
        <v>0</v>
      </c>
      <c r="O1954" s="27" t="str">
        <f t="shared" si="3"/>
        <v>#N/A</v>
      </c>
      <c r="P1954" s="55"/>
      <c r="Q1954" s="55"/>
      <c r="R1954" s="55"/>
      <c r="S1954" s="55"/>
      <c r="T1954" s="55"/>
      <c r="U1954" s="55"/>
      <c r="V1954" s="30">
        <f t="shared" si="425"/>
        <v>0</v>
      </c>
      <c r="W1954" s="30"/>
      <c r="X1954" s="597"/>
      <c r="Y1954" s="33" t="str">
        <f t="shared" si="792"/>
        <v>#DIV/0!</v>
      </c>
      <c r="Z1954" s="692"/>
      <c r="AA1954" s="665"/>
      <c r="AB1954" s="123"/>
      <c r="AC1954" s="123"/>
      <c r="AD1954" s="124"/>
      <c r="AE1954" s="125"/>
      <c r="AF1954" s="126" t="str">
        <f>HYPERLINK("https://www.crunchbase.com/funding_round/twostay-seed--8555386a","Jan 21, 2021")</f>
        <v>Jan 21, 2021</v>
      </c>
      <c r="AG1954" s="127"/>
      <c r="AH1954" s="881"/>
      <c r="AI1954" s="128"/>
      <c r="AJ1954" s="124"/>
      <c r="AK1954" s="125"/>
      <c r="AL1954" s="124"/>
      <c r="AM1954" s="125"/>
      <c r="AN1954" s="124"/>
      <c r="AO1954" s="125"/>
      <c r="AP1954" s="124"/>
      <c r="AQ1954" s="125"/>
      <c r="AR1954" s="124"/>
      <c r="AS1954" s="124"/>
      <c r="AT1954" s="124"/>
      <c r="AU1954" s="137"/>
      <c r="AV1954" s="124"/>
      <c r="AW1954" s="38"/>
      <c r="AX1954" s="124"/>
      <c r="AY1954" s="38"/>
      <c r="AZ1954" s="124"/>
      <c r="BA1954" s="137"/>
      <c r="BB1954" s="124"/>
      <c r="BC1954" s="137"/>
      <c r="BD1954" s="124"/>
      <c r="BE1954" s="38"/>
      <c r="BF1954" s="123"/>
      <c r="BG1954" s="115"/>
      <c r="BH1954" s="115"/>
      <c r="BI1954" s="115"/>
      <c r="BJ1954" s="115"/>
      <c r="BK1954" s="115"/>
      <c r="BL1954" s="115"/>
      <c r="BM1954" s="115"/>
      <c r="BN1954" s="115"/>
      <c r="BO1954" s="115"/>
      <c r="BP1954" s="115"/>
      <c r="BQ1954" s="115"/>
      <c r="BR1954" s="115"/>
      <c r="BS1954" s="115"/>
      <c r="BT1954" s="115"/>
      <c r="BU1954" s="115"/>
      <c r="BV1954" s="115"/>
      <c r="BW1954" s="115"/>
      <c r="BX1954" s="115"/>
      <c r="BY1954" s="115"/>
      <c r="BZ1954" s="115"/>
      <c r="CA1954" s="115"/>
      <c r="CB1954" s="115"/>
      <c r="CC1954" s="115"/>
      <c r="CD1954" s="115"/>
      <c r="CE1954" s="115"/>
      <c r="CF1954" s="115"/>
      <c r="CG1954" s="115"/>
      <c r="CH1954" s="115"/>
      <c r="CI1954" s="115"/>
      <c r="CJ1954" s="115"/>
      <c r="CK1954" s="115"/>
      <c r="CL1954" s="115"/>
      <c r="CM1954" s="115"/>
      <c r="CN1954" s="115"/>
      <c r="CO1954" s="115"/>
      <c r="CP1954" s="115"/>
    </row>
    <row r="1955" ht="15.75" customHeight="1">
      <c r="A1955" s="21" t="s">
        <v>8981</v>
      </c>
      <c r="B1955" s="68"/>
      <c r="C1955" s="69" t="s">
        <v>1257</v>
      </c>
      <c r="D1955" s="385"/>
      <c r="E1955" s="192" t="s">
        <v>8982</v>
      </c>
      <c r="F1955" s="118" t="s">
        <v>8983</v>
      </c>
      <c r="G1955" s="71" t="s">
        <v>8984</v>
      </c>
      <c r="H1955" s="71" t="s">
        <v>271</v>
      </c>
      <c r="I1955" s="969" t="s">
        <v>272</v>
      </c>
      <c r="J1955" s="72"/>
      <c r="K1955" s="26"/>
      <c r="L1955" s="26">
        <v>1953.0</v>
      </c>
      <c r="M1955" s="25">
        <f t="shared" si="789"/>
        <v>72</v>
      </c>
      <c r="N1955" s="26">
        <f t="shared" si="790"/>
        <v>0</v>
      </c>
      <c r="O1955" s="27" t="str">
        <f t="shared" si="3"/>
        <v>#N/A</v>
      </c>
      <c r="P1955" s="273"/>
      <c r="Q1955" s="273"/>
      <c r="R1955" s="273"/>
      <c r="S1955" s="273"/>
      <c r="T1955" s="273"/>
      <c r="U1955" s="273"/>
      <c r="V1955" s="30">
        <f t="shared" si="425"/>
        <v>0</v>
      </c>
      <c r="W1955" s="30"/>
      <c r="X1955" s="73"/>
      <c r="Y1955" s="33" t="str">
        <f t="shared" si="792"/>
        <v>#DIV/0!</v>
      </c>
      <c r="Z1955" s="692"/>
      <c r="AA1955" s="665"/>
      <c r="AB1955" s="74"/>
      <c r="AC1955" s="74"/>
      <c r="AD1955" s="79"/>
      <c r="AE1955" s="84"/>
      <c r="AF1955" s="338"/>
      <c r="AG1955" s="84"/>
      <c r="AH1955" s="77"/>
      <c r="AI1955" s="435"/>
      <c r="AJ1955" s="79"/>
      <c r="AK1955" s="76"/>
      <c r="AL1955" s="79"/>
      <c r="AM1955" s="76"/>
      <c r="AN1955" s="79"/>
      <c r="AO1955" s="76"/>
      <c r="AP1955" s="79"/>
      <c r="AQ1955" s="84"/>
      <c r="AR1955" s="79"/>
      <c r="AS1955" s="79"/>
      <c r="AT1955" s="79"/>
      <c r="AU1955" s="80"/>
      <c r="AV1955" s="79"/>
      <c r="AW1955" s="38"/>
      <c r="AX1955" s="79"/>
      <c r="AY1955" s="38"/>
      <c r="AZ1955" s="79"/>
      <c r="BA1955" s="80"/>
      <c r="BB1955" s="79"/>
      <c r="BC1955" s="80"/>
      <c r="BD1955" s="79"/>
      <c r="BE1955" s="38"/>
      <c r="BF1955" s="74"/>
      <c r="BG1955" s="115"/>
      <c r="BH1955" s="115"/>
      <c r="BI1955" s="115"/>
      <c r="BJ1955" s="115"/>
      <c r="BK1955" s="115"/>
      <c r="BL1955" s="115"/>
      <c r="BM1955" s="115"/>
      <c r="BN1955" s="115"/>
      <c r="BO1955" s="115"/>
      <c r="BP1955" s="115"/>
      <c r="BQ1955" s="115"/>
      <c r="BR1955" s="115"/>
      <c r="BS1955" s="115"/>
      <c r="BT1955" s="115"/>
      <c r="BU1955" s="115"/>
      <c r="BV1955" s="115"/>
      <c r="BW1955" s="115"/>
      <c r="BX1955" s="115"/>
      <c r="BY1955" s="115"/>
      <c r="BZ1955" s="115"/>
      <c r="CA1955" s="115"/>
      <c r="CB1955" s="115"/>
      <c r="CC1955" s="115"/>
      <c r="CD1955" s="115"/>
      <c r="CE1955" s="115"/>
      <c r="CF1955" s="115"/>
      <c r="CG1955" s="115"/>
      <c r="CH1955" s="115"/>
      <c r="CI1955" s="115"/>
      <c r="CJ1955" s="115"/>
      <c r="CK1955" s="115"/>
      <c r="CL1955" s="115"/>
      <c r="CM1955" s="115"/>
      <c r="CN1955" s="115"/>
      <c r="CO1955" s="115"/>
      <c r="CP1955" s="115"/>
    </row>
    <row r="1956" ht="15.75" customHeight="1">
      <c r="A1956" s="931" t="s">
        <v>8985</v>
      </c>
      <c r="B1956" s="68"/>
      <c r="C1956" s="69" t="s">
        <v>123</v>
      </c>
      <c r="D1956" s="192" t="s">
        <v>8986</v>
      </c>
      <c r="E1956" s="192" t="s">
        <v>8987</v>
      </c>
      <c r="F1956" s="118" t="s">
        <v>8988</v>
      </c>
      <c r="G1956" s="71"/>
      <c r="H1956" s="71" t="s">
        <v>6100</v>
      </c>
      <c r="I1956" s="26" t="s">
        <v>8989</v>
      </c>
      <c r="J1956" s="72"/>
      <c r="K1956" s="26"/>
      <c r="L1956" s="26">
        <v>2010.0</v>
      </c>
      <c r="M1956" s="25">
        <f t="shared" si="789"/>
        <v>15</v>
      </c>
      <c r="N1956" s="26">
        <f t="shared" si="790"/>
        <v>0</v>
      </c>
      <c r="O1956" s="27" t="str">
        <f t="shared" si="3"/>
        <v>#N/A</v>
      </c>
      <c r="P1956" s="273"/>
      <c r="Q1956" s="273"/>
      <c r="R1956" s="273"/>
      <c r="S1956" s="273"/>
      <c r="T1956" s="273"/>
      <c r="U1956" s="273"/>
      <c r="V1956" s="30">
        <f t="shared" si="425"/>
        <v>0</v>
      </c>
      <c r="W1956" s="30"/>
      <c r="X1956" s="73"/>
      <c r="Y1956" s="33" t="str">
        <f t="shared" si="792"/>
        <v>#DIV/0!</v>
      </c>
      <c r="Z1956" s="692"/>
      <c r="AA1956" s="665"/>
      <c r="AB1956" s="74"/>
      <c r="AC1956" s="74"/>
      <c r="AD1956" s="79"/>
      <c r="AE1956" s="84"/>
      <c r="AF1956" s="338"/>
      <c r="AG1956" s="84"/>
      <c r="AH1956" s="77"/>
      <c r="AI1956" s="435"/>
      <c r="AJ1956" s="79"/>
      <c r="AK1956" s="76"/>
      <c r="AL1956" s="79"/>
      <c r="AM1956" s="76"/>
      <c r="AN1956" s="79"/>
      <c r="AO1956" s="76"/>
      <c r="AP1956" s="79"/>
      <c r="AQ1956" s="84"/>
      <c r="AR1956" s="79"/>
      <c r="AS1956" s="79"/>
      <c r="AT1956" s="79"/>
      <c r="AU1956" s="80"/>
      <c r="AV1956" s="79"/>
      <c r="AW1956" s="38"/>
      <c r="AX1956" s="79"/>
      <c r="AY1956" s="38"/>
      <c r="AZ1956" s="79"/>
      <c r="BA1956" s="80"/>
      <c r="BB1956" s="79"/>
      <c r="BC1956" s="80"/>
      <c r="BD1956" s="79"/>
      <c r="BE1956" s="38"/>
      <c r="BF1956" s="74"/>
      <c r="BG1956" s="115"/>
      <c r="BH1956" s="115"/>
      <c r="BI1956" s="115"/>
      <c r="BJ1956" s="115"/>
      <c r="BK1956" s="115"/>
      <c r="BL1956" s="115"/>
      <c r="BM1956" s="115"/>
      <c r="BN1956" s="115"/>
      <c r="BO1956" s="115"/>
      <c r="BP1956" s="115"/>
      <c r="BQ1956" s="115"/>
      <c r="BR1956" s="115"/>
      <c r="BS1956" s="115"/>
      <c r="BT1956" s="115"/>
      <c r="BU1956" s="115"/>
      <c r="BV1956" s="115"/>
      <c r="BW1956" s="115"/>
      <c r="BX1956" s="115"/>
      <c r="BY1956" s="115"/>
      <c r="BZ1956" s="115"/>
      <c r="CA1956" s="115"/>
      <c r="CB1956" s="115"/>
      <c r="CC1956" s="115"/>
      <c r="CD1956" s="115"/>
      <c r="CE1956" s="115"/>
      <c r="CF1956" s="115"/>
      <c r="CG1956" s="115"/>
      <c r="CH1956" s="115"/>
      <c r="CI1956" s="115"/>
      <c r="CJ1956" s="115"/>
      <c r="CK1956" s="115"/>
      <c r="CL1956" s="115"/>
      <c r="CM1956" s="115"/>
      <c r="CN1956" s="115"/>
      <c r="CO1956" s="115"/>
      <c r="CP1956" s="115"/>
    </row>
    <row r="1957" ht="15.75" customHeight="1">
      <c r="A1957" s="21" t="s">
        <v>8990</v>
      </c>
      <c r="B1957" s="68"/>
      <c r="C1957" s="69" t="s">
        <v>84</v>
      </c>
      <c r="D1957" s="138" t="s">
        <v>8991</v>
      </c>
      <c r="E1957" s="200" t="s">
        <v>8992</v>
      </c>
      <c r="F1957" s="841" t="s">
        <v>8993</v>
      </c>
      <c r="G1957" s="54" t="s">
        <v>8994</v>
      </c>
      <c r="H1957" s="71" t="s">
        <v>3019</v>
      </c>
      <c r="I1957" s="26" t="s">
        <v>1547</v>
      </c>
      <c r="J1957" s="72" t="s">
        <v>8995</v>
      </c>
      <c r="K1957" s="26">
        <v>1.0</v>
      </c>
      <c r="L1957" s="142">
        <v>2017.0</v>
      </c>
      <c r="M1957" s="25">
        <f t="shared" si="789"/>
        <v>8</v>
      </c>
      <c r="N1957" s="26">
        <f t="shared" si="790"/>
        <v>0</v>
      </c>
      <c r="O1957" s="27" t="str">
        <f t="shared" si="3"/>
        <v>#N/A</v>
      </c>
      <c r="P1957" s="28"/>
      <c r="Q1957" s="28"/>
      <c r="R1957" s="28"/>
      <c r="S1957" s="28"/>
      <c r="T1957" s="28"/>
      <c r="U1957" s="28"/>
      <c r="V1957" s="30">
        <f t="shared" si="425"/>
        <v>0</v>
      </c>
      <c r="W1957" s="30"/>
      <c r="X1957" s="73"/>
      <c r="Y1957" s="33" t="str">
        <f t="shared" si="792"/>
        <v>#DIV/0!</v>
      </c>
      <c r="Z1957" s="692"/>
      <c r="AA1957" s="665"/>
      <c r="AB1957" s="74"/>
      <c r="AC1957" s="74"/>
      <c r="AD1957" s="79"/>
      <c r="AE1957" s="84"/>
      <c r="AF1957" s="338"/>
      <c r="AG1957" s="84"/>
      <c r="AH1957" s="77"/>
      <c r="AI1957" s="78"/>
      <c r="AJ1957" s="79"/>
      <c r="AK1957" s="84"/>
      <c r="AL1957" s="79"/>
      <c r="AM1957" s="84"/>
      <c r="AN1957" s="79"/>
      <c r="AO1957" s="84"/>
      <c r="AP1957" s="79"/>
      <c r="AQ1957" s="84"/>
      <c r="AR1957" s="79"/>
      <c r="AS1957" s="79"/>
      <c r="AT1957" s="79"/>
      <c r="AU1957" s="80"/>
      <c r="AV1957" s="79"/>
      <c r="AW1957" s="38"/>
      <c r="AX1957" s="79"/>
      <c r="AY1957" s="38"/>
      <c r="AZ1957" s="79"/>
      <c r="BA1957" s="80"/>
      <c r="BB1957" s="79"/>
      <c r="BC1957" s="80"/>
      <c r="BD1957" s="79"/>
      <c r="BE1957" s="38"/>
      <c r="BF1957" s="74"/>
      <c r="BG1957" s="115"/>
      <c r="BH1957" s="115"/>
      <c r="BI1957" s="115"/>
      <c r="BJ1957" s="115"/>
      <c r="BK1957" s="115"/>
      <c r="BL1957" s="115"/>
      <c r="BM1957" s="115"/>
      <c r="BN1957" s="115"/>
      <c r="BO1957" s="115"/>
      <c r="BP1957" s="115"/>
      <c r="BQ1957" s="115"/>
      <c r="BR1957" s="115"/>
      <c r="BS1957" s="115"/>
      <c r="BT1957" s="115"/>
      <c r="BU1957" s="115"/>
      <c r="BV1957" s="115"/>
      <c r="BW1957" s="115"/>
      <c r="BX1957" s="115"/>
      <c r="BY1957" s="115"/>
      <c r="BZ1957" s="115"/>
      <c r="CA1957" s="115"/>
      <c r="CB1957" s="115"/>
      <c r="CC1957" s="115"/>
      <c r="CD1957" s="115"/>
      <c r="CE1957" s="115"/>
      <c r="CF1957" s="115"/>
      <c r="CG1957" s="115"/>
      <c r="CH1957" s="115"/>
      <c r="CI1957" s="115"/>
      <c r="CJ1957" s="115"/>
      <c r="CK1957" s="115"/>
      <c r="CL1957" s="115"/>
      <c r="CM1957" s="115"/>
      <c r="CN1957" s="115"/>
      <c r="CO1957" s="115"/>
      <c r="CP1957" s="115"/>
    </row>
    <row r="1958" ht="15.75" customHeight="1">
      <c r="A1958" s="21" t="s">
        <v>8996</v>
      </c>
      <c r="B1958" s="69"/>
      <c r="C1958" s="69" t="s">
        <v>84</v>
      </c>
      <c r="D1958" s="236" t="s">
        <v>8997</v>
      </c>
      <c r="E1958" s="270" t="s">
        <v>8998</v>
      </c>
      <c r="F1958" s="271" t="s">
        <v>8999</v>
      </c>
      <c r="G1958" s="1016"/>
      <c r="H1958" s="71" t="s">
        <v>128</v>
      </c>
      <c r="I1958" s="26" t="s">
        <v>129</v>
      </c>
      <c r="J1958" s="72"/>
      <c r="K1958" s="26">
        <v>4.0</v>
      </c>
      <c r="L1958" s="26">
        <v>2017.0</v>
      </c>
      <c r="M1958" s="25">
        <f t="shared" si="789"/>
        <v>8</v>
      </c>
      <c r="N1958" s="26">
        <f t="shared" si="790"/>
        <v>0</v>
      </c>
      <c r="O1958" s="27" t="str">
        <f t="shared" si="3"/>
        <v>#N/A</v>
      </c>
      <c r="P1958" s="273"/>
      <c r="Q1958" s="273"/>
      <c r="R1958" s="273"/>
      <c r="S1958" s="273"/>
      <c r="T1958" s="273"/>
      <c r="U1958" s="273"/>
      <c r="V1958" s="30">
        <f t="shared" si="425"/>
        <v>0</v>
      </c>
      <c r="W1958" s="30"/>
      <c r="X1958" s="73"/>
      <c r="Y1958" s="33" t="str">
        <f t="shared" si="792"/>
        <v>#DIV/0!</v>
      </c>
      <c r="Z1958" s="692"/>
      <c r="AA1958" s="665"/>
      <c r="AB1958" s="74"/>
      <c r="AC1958" s="74"/>
      <c r="AD1958" s="79"/>
      <c r="AE1958" s="84"/>
      <c r="AF1958" s="175" t="str">
        <f>HYPERLINK("https://www.crunchbase.com/funding_round/homevest-seed--6de00666","Aug 16, 2018")</f>
        <v>Aug 16, 2018</v>
      </c>
      <c r="AG1958" s="76"/>
      <c r="AH1958" s="77"/>
      <c r="AI1958" s="435"/>
      <c r="AJ1958" s="79"/>
      <c r="AK1958" s="76"/>
      <c r="AL1958" s="79"/>
      <c r="AM1958" s="76"/>
      <c r="AN1958" s="79"/>
      <c r="AO1958" s="76"/>
      <c r="AP1958" s="79"/>
      <c r="AQ1958" s="84"/>
      <c r="AR1958" s="79"/>
      <c r="AS1958" s="79"/>
      <c r="AT1958" s="79"/>
      <c r="AU1958" s="80"/>
      <c r="AV1958" s="79"/>
      <c r="AW1958" s="38"/>
      <c r="AX1958" s="79"/>
      <c r="AY1958" s="38"/>
      <c r="AZ1958" s="79"/>
      <c r="BA1958" s="80"/>
      <c r="BB1958" s="79"/>
      <c r="BC1958" s="80"/>
      <c r="BD1958" s="79"/>
      <c r="BE1958" s="38"/>
      <c r="BF1958" s="74"/>
      <c r="BG1958" s="115"/>
      <c r="BH1958" s="115"/>
      <c r="BI1958" s="115"/>
      <c r="BJ1958" s="115"/>
      <c r="BK1958" s="115"/>
      <c r="BL1958" s="115"/>
      <c r="BM1958" s="115"/>
      <c r="BN1958" s="115"/>
      <c r="BO1958" s="115"/>
      <c r="BP1958" s="115"/>
      <c r="BQ1958" s="115"/>
      <c r="BR1958" s="115"/>
      <c r="BS1958" s="115"/>
      <c r="BT1958" s="115"/>
      <c r="BU1958" s="115"/>
      <c r="BV1958" s="115"/>
      <c r="BW1958" s="115"/>
      <c r="BX1958" s="115"/>
      <c r="BY1958" s="115"/>
      <c r="BZ1958" s="115"/>
      <c r="CA1958" s="115"/>
      <c r="CB1958" s="115"/>
      <c r="CC1958" s="115"/>
      <c r="CD1958" s="115"/>
      <c r="CE1958" s="115"/>
      <c r="CF1958" s="115"/>
      <c r="CG1958" s="115"/>
      <c r="CH1958" s="115"/>
      <c r="CI1958" s="115"/>
      <c r="CJ1958" s="115"/>
      <c r="CK1958" s="115"/>
      <c r="CL1958" s="115"/>
      <c r="CM1958" s="115"/>
      <c r="CN1958" s="115"/>
      <c r="CO1958" s="115"/>
      <c r="CP1958" s="115"/>
    </row>
    <row r="1959" ht="15.75" customHeight="1">
      <c r="A1959" s="21" t="s">
        <v>9000</v>
      </c>
      <c r="B1959" s="69"/>
      <c r="C1959" s="69" t="s">
        <v>6306</v>
      </c>
      <c r="D1959" s="245"/>
      <c r="E1959" s="269"/>
      <c r="F1959" s="271" t="s">
        <v>9001</v>
      </c>
      <c r="G1959" s="1016"/>
      <c r="H1959" s="407" t="s">
        <v>357</v>
      </c>
      <c r="I1959" s="26" t="s">
        <v>358</v>
      </c>
      <c r="J1959" s="72"/>
      <c r="K1959" s="26"/>
      <c r="L1959" s="26"/>
      <c r="M1959" s="25">
        <f t="shared" si="789"/>
        <v>2025</v>
      </c>
      <c r="N1959" s="26">
        <f t="shared" si="790"/>
        <v>0</v>
      </c>
      <c r="O1959" s="27" t="str">
        <f t="shared" si="3"/>
        <v>#N/A</v>
      </c>
      <c r="P1959" s="273"/>
      <c r="Q1959" s="273"/>
      <c r="R1959" s="273"/>
      <c r="S1959" s="273"/>
      <c r="T1959" s="273"/>
      <c r="U1959" s="273"/>
      <c r="V1959" s="30">
        <f t="shared" si="425"/>
        <v>0</v>
      </c>
      <c r="W1959" s="30"/>
      <c r="X1959" s="73"/>
      <c r="Y1959" s="33" t="str">
        <f t="shared" si="792"/>
        <v>#DIV/0!</v>
      </c>
      <c r="Z1959" s="692"/>
      <c r="AA1959" s="665"/>
      <c r="AB1959" s="74"/>
      <c r="AC1959" s="74"/>
      <c r="AD1959" s="79"/>
      <c r="AE1959" s="84"/>
      <c r="AF1959" s="338"/>
      <c r="AG1959" s="84"/>
      <c r="AH1959" s="77"/>
      <c r="AI1959" s="435"/>
      <c r="AJ1959" s="79"/>
      <c r="AK1959" s="76"/>
      <c r="AL1959" s="79"/>
      <c r="AM1959" s="76"/>
      <c r="AN1959" s="79"/>
      <c r="AO1959" s="76"/>
      <c r="AP1959" s="79"/>
      <c r="AQ1959" s="84"/>
      <c r="AR1959" s="79"/>
      <c r="AS1959" s="79"/>
      <c r="AT1959" s="79"/>
      <c r="AU1959" s="80"/>
      <c r="AV1959" s="79"/>
      <c r="AW1959" s="38"/>
      <c r="AX1959" s="79"/>
      <c r="AY1959" s="38"/>
      <c r="AZ1959" s="79"/>
      <c r="BA1959" s="80"/>
      <c r="BB1959" s="79"/>
      <c r="BC1959" s="80"/>
      <c r="BD1959" s="79"/>
      <c r="BE1959" s="38"/>
      <c r="BF1959" s="74"/>
      <c r="BG1959" s="115"/>
      <c r="BH1959" s="115"/>
      <c r="BI1959" s="115"/>
      <c r="BJ1959" s="115"/>
      <c r="BK1959" s="115"/>
      <c r="BL1959" s="115"/>
      <c r="BM1959" s="115"/>
      <c r="BN1959" s="115"/>
      <c r="BO1959" s="115"/>
      <c r="BP1959" s="115"/>
      <c r="BQ1959" s="115"/>
      <c r="BR1959" s="115"/>
      <c r="BS1959" s="115"/>
      <c r="BT1959" s="115"/>
      <c r="BU1959" s="115"/>
      <c r="BV1959" s="115"/>
      <c r="BW1959" s="115"/>
      <c r="BX1959" s="115"/>
      <c r="BY1959" s="115"/>
      <c r="BZ1959" s="115"/>
      <c r="CA1959" s="115"/>
      <c r="CB1959" s="115"/>
      <c r="CC1959" s="115"/>
      <c r="CD1959" s="115"/>
      <c r="CE1959" s="115"/>
      <c r="CF1959" s="115"/>
      <c r="CG1959" s="115"/>
      <c r="CH1959" s="115"/>
      <c r="CI1959" s="115"/>
      <c r="CJ1959" s="115"/>
      <c r="CK1959" s="115"/>
      <c r="CL1959" s="115"/>
      <c r="CM1959" s="115"/>
      <c r="CN1959" s="115"/>
      <c r="CO1959" s="115"/>
      <c r="CP1959" s="115"/>
    </row>
    <row r="1960" ht="15.75" customHeight="1">
      <c r="A1960" s="21" t="s">
        <v>9002</v>
      </c>
      <c r="B1960" s="68"/>
      <c r="C1960" s="69" t="s">
        <v>84</v>
      </c>
      <c r="D1960" s="138" t="s">
        <v>9003</v>
      </c>
      <c r="E1960" s="200" t="s">
        <v>9004</v>
      </c>
      <c r="F1960" s="173" t="s">
        <v>9005</v>
      </c>
      <c r="G1960" s="71" t="s">
        <v>9006</v>
      </c>
      <c r="H1960" s="71" t="s">
        <v>8214</v>
      </c>
      <c r="I1960" s="74" t="s">
        <v>772</v>
      </c>
      <c r="J1960" s="72" t="s">
        <v>9007</v>
      </c>
      <c r="K1960" s="26">
        <v>1.0</v>
      </c>
      <c r="L1960" s="26">
        <v>1994.0</v>
      </c>
      <c r="M1960" s="25">
        <f t="shared" si="789"/>
        <v>31</v>
      </c>
      <c r="N1960" s="26">
        <f t="shared" si="790"/>
        <v>0</v>
      </c>
      <c r="O1960" s="27" t="str">
        <f t="shared" si="3"/>
        <v>#N/A</v>
      </c>
      <c r="P1960" s="28"/>
      <c r="Q1960" s="28"/>
      <c r="R1960" s="28"/>
      <c r="S1960" s="28"/>
      <c r="T1960" s="28"/>
      <c r="U1960" s="28"/>
      <c r="V1960" s="30">
        <f t="shared" si="425"/>
        <v>0</v>
      </c>
      <c r="W1960" s="30"/>
      <c r="X1960" s="73"/>
      <c r="Y1960" s="33" t="str">
        <f t="shared" si="792"/>
        <v>#DIV/0!</v>
      </c>
      <c r="Z1960" s="692"/>
      <c r="AA1960" s="665"/>
      <c r="AB1960" s="74"/>
      <c r="AC1960" s="74"/>
      <c r="AD1960" s="79"/>
      <c r="AE1960" s="84"/>
      <c r="AF1960" s="338"/>
      <c r="AG1960" s="84"/>
      <c r="AH1960" s="77"/>
      <c r="AI1960" s="78"/>
      <c r="AJ1960" s="79"/>
      <c r="AK1960" s="84"/>
      <c r="AL1960" s="79"/>
      <c r="AM1960" s="84"/>
      <c r="AN1960" s="79"/>
      <c r="AO1960" s="84"/>
      <c r="AP1960" s="79"/>
      <c r="AQ1960" s="807"/>
      <c r="AR1960" s="79"/>
      <c r="AS1960" s="79"/>
      <c r="AT1960" s="79"/>
      <c r="AU1960" s="80"/>
      <c r="AV1960" s="79"/>
      <c r="AW1960" s="38"/>
      <c r="AX1960" s="79"/>
      <c r="AY1960" s="38"/>
      <c r="AZ1960" s="79"/>
      <c r="BA1960" s="80"/>
      <c r="BB1960" s="79"/>
      <c r="BC1960" s="80"/>
      <c r="BD1960" s="79"/>
      <c r="BE1960" s="38"/>
      <c r="BF1960" s="74"/>
      <c r="BG1960" s="115"/>
      <c r="BH1960" s="115"/>
      <c r="BI1960" s="115"/>
      <c r="BJ1960" s="115"/>
      <c r="BK1960" s="115"/>
      <c r="BL1960" s="115"/>
      <c r="BM1960" s="115"/>
      <c r="BN1960" s="115"/>
      <c r="BO1960" s="115"/>
      <c r="BP1960" s="115"/>
      <c r="BQ1960" s="115"/>
      <c r="BR1960" s="115"/>
      <c r="BS1960" s="115"/>
      <c r="BT1960" s="115"/>
      <c r="BU1960" s="115"/>
      <c r="BV1960" s="115"/>
      <c r="BW1960" s="115"/>
      <c r="BX1960" s="115"/>
      <c r="BY1960" s="115"/>
      <c r="BZ1960" s="115"/>
      <c r="CA1960" s="115"/>
      <c r="CB1960" s="115"/>
      <c r="CC1960" s="115"/>
      <c r="CD1960" s="115"/>
      <c r="CE1960" s="115"/>
      <c r="CF1960" s="115"/>
      <c r="CG1960" s="115"/>
      <c r="CH1960" s="115"/>
      <c r="CI1960" s="115"/>
      <c r="CJ1960" s="115"/>
      <c r="CK1960" s="115"/>
      <c r="CL1960" s="115"/>
      <c r="CM1960" s="115"/>
      <c r="CN1960" s="115"/>
      <c r="CO1960" s="115"/>
      <c r="CP1960" s="115"/>
    </row>
    <row r="1961" ht="15.75" customHeight="1">
      <c r="A1961" s="21" t="s">
        <v>9008</v>
      </c>
      <c r="B1961" s="68"/>
      <c r="C1961" s="69" t="s">
        <v>123</v>
      </c>
      <c r="D1961" s="184"/>
      <c r="E1961" s="184"/>
      <c r="F1961" s="803" t="s">
        <v>9009</v>
      </c>
      <c r="G1961" s="186"/>
      <c r="H1961" s="186"/>
      <c r="I1961" s="74"/>
      <c r="J1961" s="155"/>
      <c r="K1961" s="74"/>
      <c r="L1961" s="79"/>
      <c r="M1961" s="169">
        <f t="shared" si="789"/>
        <v>2025</v>
      </c>
      <c r="N1961" s="26">
        <f t="shared" si="790"/>
        <v>0</v>
      </c>
      <c r="O1961" s="27" t="str">
        <f t="shared" si="3"/>
        <v>#N/A</v>
      </c>
      <c r="P1961" s="28"/>
      <c r="Q1961" s="28"/>
      <c r="R1961" s="28"/>
      <c r="S1961" s="28"/>
      <c r="T1961" s="28"/>
      <c r="U1961" s="28"/>
      <c r="V1961" s="30">
        <f t="shared" si="425"/>
        <v>0</v>
      </c>
      <c r="W1961" s="30"/>
      <c r="X1961" s="32"/>
      <c r="Y1961" s="33" t="str">
        <f t="shared" si="792"/>
        <v>#DIV/0!</v>
      </c>
      <c r="Z1961" s="692"/>
      <c r="AA1961" s="665"/>
      <c r="AB1961" s="74"/>
      <c r="AC1961" s="74"/>
      <c r="AD1961" s="79"/>
      <c r="AE1961" s="84"/>
      <c r="AF1961" s="338"/>
      <c r="AG1961" s="84"/>
      <c r="AH1961" s="77"/>
      <c r="AI1961" s="78"/>
      <c r="AJ1961" s="79"/>
      <c r="AK1961" s="84"/>
      <c r="AL1961" s="79"/>
      <c r="AM1961" s="84"/>
      <c r="AN1961" s="79"/>
      <c r="AO1961" s="84"/>
      <c r="AP1961" s="79"/>
      <c r="AQ1961" s="84"/>
      <c r="AR1961" s="79"/>
      <c r="AS1961" s="79"/>
      <c r="AT1961" s="79"/>
      <c r="AU1961" s="80"/>
      <c r="AV1961" s="79"/>
      <c r="AW1961" s="38"/>
      <c r="AX1961" s="79"/>
      <c r="AY1961" s="38"/>
      <c r="AZ1961" s="79"/>
      <c r="BA1961" s="80"/>
      <c r="BB1961" s="79"/>
      <c r="BC1961" s="80"/>
      <c r="BD1961" s="79"/>
      <c r="BE1961" s="38"/>
      <c r="BF1961" s="74"/>
      <c r="BG1961" s="115"/>
      <c r="BH1961" s="115"/>
      <c r="BI1961" s="115"/>
      <c r="BJ1961" s="115"/>
      <c r="BK1961" s="115"/>
      <c r="BL1961" s="115"/>
      <c r="BM1961" s="115"/>
      <c r="BN1961" s="115"/>
      <c r="BO1961" s="115"/>
      <c r="BP1961" s="115"/>
      <c r="BQ1961" s="115"/>
      <c r="BR1961" s="115"/>
      <c r="BS1961" s="115"/>
      <c r="BT1961" s="115"/>
      <c r="BU1961" s="115"/>
      <c r="BV1961" s="115"/>
      <c r="BW1961" s="115"/>
      <c r="BX1961" s="115"/>
      <c r="BY1961" s="115"/>
      <c r="BZ1961" s="115"/>
      <c r="CA1961" s="115"/>
      <c r="CB1961" s="115"/>
      <c r="CC1961" s="115"/>
      <c r="CD1961" s="115"/>
      <c r="CE1961" s="115"/>
      <c r="CF1961" s="115"/>
      <c r="CG1961" s="115"/>
      <c r="CH1961" s="115"/>
      <c r="CI1961" s="115"/>
      <c r="CJ1961" s="115"/>
      <c r="CK1961" s="115"/>
      <c r="CL1961" s="115"/>
      <c r="CM1961" s="115"/>
      <c r="CN1961" s="115"/>
      <c r="CO1961" s="115"/>
      <c r="CP1961" s="115"/>
    </row>
    <row r="1962" ht="15.75" customHeight="1">
      <c r="A1962" s="21" t="s">
        <v>9010</v>
      </c>
      <c r="B1962" s="68"/>
      <c r="C1962" s="69" t="s">
        <v>123</v>
      </c>
      <c r="D1962" s="138" t="s">
        <v>9011</v>
      </c>
      <c r="E1962" s="200" t="s">
        <v>9012</v>
      </c>
      <c r="F1962" s="173" t="s">
        <v>9013</v>
      </c>
      <c r="G1962" s="71" t="s">
        <v>9014</v>
      </c>
      <c r="H1962" s="71" t="s">
        <v>9015</v>
      </c>
      <c r="I1962" s="26" t="s">
        <v>1892</v>
      </c>
      <c r="J1962" s="155"/>
      <c r="K1962" s="74" t="s">
        <v>723</v>
      </c>
      <c r="L1962" s="26">
        <v>2009.0</v>
      </c>
      <c r="M1962" s="25">
        <f t="shared" si="789"/>
        <v>16</v>
      </c>
      <c r="N1962" s="26">
        <f t="shared" si="790"/>
        <v>0</v>
      </c>
      <c r="O1962" s="27" t="str">
        <f t="shared" si="3"/>
        <v>#N/A</v>
      </c>
      <c r="P1962" s="28"/>
      <c r="Q1962" s="28"/>
      <c r="R1962" s="28"/>
      <c r="S1962" s="28"/>
      <c r="T1962" s="28"/>
      <c r="U1962" s="28"/>
      <c r="V1962" s="30">
        <f t="shared" si="425"/>
        <v>0</v>
      </c>
      <c r="W1962" s="30"/>
      <c r="X1962" s="32"/>
      <c r="Y1962" s="33" t="str">
        <f t="shared" si="792"/>
        <v>#DIV/0!</v>
      </c>
      <c r="Z1962" s="692"/>
      <c r="AA1962" s="665"/>
      <c r="AB1962" s="74"/>
      <c r="AC1962" s="74"/>
      <c r="AD1962" s="79"/>
      <c r="AE1962" s="84"/>
      <c r="AF1962" s="338"/>
      <c r="AG1962" s="84"/>
      <c r="AH1962" s="77"/>
      <c r="AI1962" s="78"/>
      <c r="AJ1962" s="79"/>
      <c r="AK1962" s="84"/>
      <c r="AL1962" s="79"/>
      <c r="AM1962" s="84"/>
      <c r="AN1962" s="79"/>
      <c r="AO1962" s="84"/>
      <c r="AP1962" s="79"/>
      <c r="AQ1962" s="84"/>
      <c r="AR1962" s="79"/>
      <c r="AS1962" s="79"/>
      <c r="AT1962" s="79"/>
      <c r="AU1962" s="80"/>
      <c r="AV1962" s="79"/>
      <c r="AW1962" s="38"/>
      <c r="AX1962" s="79"/>
      <c r="AY1962" s="38"/>
      <c r="AZ1962" s="79"/>
      <c r="BA1962" s="80"/>
      <c r="BB1962" s="79"/>
      <c r="BC1962" s="80"/>
      <c r="BD1962" s="79"/>
      <c r="BE1962" s="38"/>
      <c r="BF1962" s="74"/>
      <c r="BG1962" s="115"/>
      <c r="BH1962" s="115"/>
      <c r="BI1962" s="115"/>
      <c r="BJ1962" s="115"/>
      <c r="BK1962" s="115"/>
      <c r="BL1962" s="115"/>
      <c r="BM1962" s="115"/>
      <c r="BN1962" s="115"/>
      <c r="BO1962" s="115"/>
      <c r="BP1962" s="115"/>
      <c r="BQ1962" s="115"/>
      <c r="BR1962" s="115"/>
      <c r="BS1962" s="115"/>
      <c r="BT1962" s="115"/>
      <c r="BU1962" s="115"/>
      <c r="BV1962" s="115"/>
      <c r="BW1962" s="115"/>
      <c r="BX1962" s="115"/>
      <c r="BY1962" s="115"/>
      <c r="BZ1962" s="115"/>
      <c r="CA1962" s="115"/>
      <c r="CB1962" s="115"/>
      <c r="CC1962" s="115"/>
      <c r="CD1962" s="115"/>
      <c r="CE1962" s="115"/>
      <c r="CF1962" s="115"/>
      <c r="CG1962" s="115"/>
      <c r="CH1962" s="115"/>
      <c r="CI1962" s="115"/>
      <c r="CJ1962" s="115"/>
      <c r="CK1962" s="115"/>
      <c r="CL1962" s="115"/>
      <c r="CM1962" s="115"/>
      <c r="CN1962" s="115"/>
      <c r="CO1962" s="115"/>
      <c r="CP1962" s="115"/>
    </row>
    <row r="1963" ht="15.75" customHeight="1">
      <c r="A1963" s="21" t="s">
        <v>9016</v>
      </c>
      <c r="B1963" s="68"/>
      <c r="C1963" s="69" t="s">
        <v>123</v>
      </c>
      <c r="D1963" s="184"/>
      <c r="E1963" s="138" t="s">
        <v>9017</v>
      </c>
      <c r="F1963" s="841" t="s">
        <v>9018</v>
      </c>
      <c r="G1963" s="71" t="s">
        <v>9019</v>
      </c>
      <c r="H1963" s="71" t="s">
        <v>9020</v>
      </c>
      <c r="I1963" s="26" t="s">
        <v>9021</v>
      </c>
      <c r="J1963" s="72" t="s">
        <v>9022</v>
      </c>
      <c r="K1963" s="26">
        <v>1.0</v>
      </c>
      <c r="L1963" s="26">
        <v>2014.0</v>
      </c>
      <c r="M1963" s="25">
        <f t="shared" si="789"/>
        <v>11</v>
      </c>
      <c r="N1963" s="26">
        <f t="shared" si="790"/>
        <v>0</v>
      </c>
      <c r="O1963" s="27" t="str">
        <f t="shared" si="3"/>
        <v>#N/A</v>
      </c>
      <c r="P1963" s="28"/>
      <c r="Q1963" s="28"/>
      <c r="R1963" s="28"/>
      <c r="S1963" s="28"/>
      <c r="T1963" s="28"/>
      <c r="U1963" s="28"/>
      <c r="V1963" s="30">
        <f t="shared" si="425"/>
        <v>0</v>
      </c>
      <c r="W1963" s="30"/>
      <c r="X1963" s="73"/>
      <c r="Y1963" s="33" t="str">
        <f t="shared" si="792"/>
        <v>#DIV/0!</v>
      </c>
      <c r="Z1963" s="692"/>
      <c r="AA1963" s="665"/>
      <c r="AB1963" s="74"/>
      <c r="AC1963" s="74"/>
      <c r="AD1963" s="79"/>
      <c r="AE1963" s="84"/>
      <c r="AF1963" s="338"/>
      <c r="AG1963" s="84"/>
      <c r="AH1963" s="77"/>
      <c r="AI1963" s="78"/>
      <c r="AJ1963" s="79"/>
      <c r="AK1963" s="84"/>
      <c r="AL1963" s="79"/>
      <c r="AM1963" s="84"/>
      <c r="AN1963" s="79"/>
      <c r="AO1963" s="84"/>
      <c r="AP1963" s="79"/>
      <c r="AQ1963" s="84"/>
      <c r="AR1963" s="79"/>
      <c r="AS1963" s="79"/>
      <c r="AT1963" s="79"/>
      <c r="AU1963" s="80"/>
      <c r="AV1963" s="79"/>
      <c r="AW1963" s="38"/>
      <c r="AX1963" s="79"/>
      <c r="AY1963" s="38"/>
      <c r="AZ1963" s="79"/>
      <c r="BA1963" s="80"/>
      <c r="BB1963" s="79"/>
      <c r="BC1963" s="80"/>
      <c r="BD1963" s="79"/>
      <c r="BE1963" s="38"/>
      <c r="BF1963" s="74"/>
      <c r="BG1963" s="115"/>
      <c r="BH1963" s="115"/>
      <c r="BI1963" s="115"/>
      <c r="BJ1963" s="115"/>
      <c r="BK1963" s="115"/>
      <c r="BL1963" s="115"/>
      <c r="BM1963" s="115"/>
      <c r="BN1963" s="115"/>
      <c r="BO1963" s="115"/>
      <c r="BP1963" s="115"/>
      <c r="BQ1963" s="115"/>
      <c r="BR1963" s="115"/>
      <c r="BS1963" s="115"/>
      <c r="BT1963" s="115"/>
      <c r="BU1963" s="115"/>
      <c r="BV1963" s="115"/>
      <c r="BW1963" s="115"/>
      <c r="BX1963" s="115"/>
      <c r="BY1963" s="115"/>
      <c r="BZ1963" s="115"/>
      <c r="CA1963" s="115"/>
      <c r="CB1963" s="115"/>
      <c r="CC1963" s="115"/>
      <c r="CD1963" s="115"/>
      <c r="CE1963" s="115"/>
      <c r="CF1963" s="115"/>
      <c r="CG1963" s="115"/>
      <c r="CH1963" s="115"/>
      <c r="CI1963" s="115"/>
      <c r="CJ1963" s="115"/>
      <c r="CK1963" s="115"/>
      <c r="CL1963" s="115"/>
      <c r="CM1963" s="115"/>
      <c r="CN1963" s="115"/>
      <c r="CO1963" s="115"/>
      <c r="CP1963" s="115"/>
    </row>
    <row r="1964" ht="15.75" customHeight="1">
      <c r="A1964" s="931" t="s">
        <v>9023</v>
      </c>
      <c r="B1964" s="115"/>
      <c r="C1964" s="116" t="s">
        <v>84</v>
      </c>
      <c r="D1964" s="192" t="s">
        <v>9024</v>
      </c>
      <c r="E1964" s="192" t="s">
        <v>9025</v>
      </c>
      <c r="F1964" s="118" t="s">
        <v>9026</v>
      </c>
      <c r="G1964" s="286"/>
      <c r="H1964" s="119" t="s">
        <v>9027</v>
      </c>
      <c r="I1964" s="25" t="s">
        <v>651</v>
      </c>
      <c r="J1964" s="287"/>
      <c r="K1964" s="123"/>
      <c r="L1964" s="25">
        <v>2011.0</v>
      </c>
      <c r="M1964" s="25">
        <f t="shared" si="789"/>
        <v>14</v>
      </c>
      <c r="N1964" s="26">
        <f t="shared" si="790"/>
        <v>0</v>
      </c>
      <c r="O1964" s="27" t="str">
        <f t="shared" si="3"/>
        <v>#N/A</v>
      </c>
      <c r="P1964" s="55"/>
      <c r="Q1964" s="55"/>
      <c r="R1964" s="55"/>
      <c r="S1964" s="55"/>
      <c r="T1964" s="55"/>
      <c r="U1964" s="55"/>
      <c r="V1964" s="30">
        <f t="shared" si="425"/>
        <v>0</v>
      </c>
      <c r="W1964" s="30"/>
      <c r="X1964" s="403"/>
      <c r="Y1964" s="33" t="str">
        <f t="shared" si="792"/>
        <v>#DIV/0!</v>
      </c>
      <c r="Z1964" s="692"/>
      <c r="AA1964" s="665"/>
      <c r="AB1964" s="123"/>
      <c r="AC1964" s="123"/>
      <c r="AD1964" s="124"/>
      <c r="AE1964" s="125"/>
      <c r="AF1964" s="166"/>
      <c r="AG1964" s="125"/>
      <c r="AH1964" s="123"/>
      <c r="AI1964" s="128"/>
      <c r="AJ1964" s="124"/>
      <c r="AK1964" s="125"/>
      <c r="AL1964" s="124"/>
      <c r="AM1964" s="125"/>
      <c r="AN1964" s="124"/>
      <c r="AO1964" s="125"/>
      <c r="AP1964" s="124"/>
      <c r="AQ1964" s="125"/>
      <c r="AR1964" s="124"/>
      <c r="AS1964" s="124"/>
      <c r="AT1964" s="124"/>
      <c r="AU1964" s="137"/>
      <c r="AV1964" s="124"/>
      <c r="AW1964" s="38"/>
      <c r="AX1964" s="124"/>
      <c r="AY1964" s="38"/>
      <c r="AZ1964" s="124"/>
      <c r="BA1964" s="137"/>
      <c r="BB1964" s="124"/>
      <c r="BC1964" s="137"/>
      <c r="BD1964" s="124"/>
      <c r="BE1964" s="38"/>
      <c r="BF1964" s="123"/>
      <c r="BG1964" s="115"/>
      <c r="BH1964" s="115"/>
      <c r="BI1964" s="115"/>
      <c r="BJ1964" s="115"/>
      <c r="BK1964" s="115"/>
      <c r="BL1964" s="115"/>
      <c r="BM1964" s="115"/>
      <c r="BN1964" s="115"/>
      <c r="BO1964" s="115"/>
      <c r="BP1964" s="115"/>
      <c r="BQ1964" s="115"/>
      <c r="BR1964" s="115"/>
      <c r="BS1964" s="115"/>
      <c r="BT1964" s="115"/>
      <c r="BU1964" s="115"/>
      <c r="BV1964" s="115"/>
      <c r="BW1964" s="115"/>
      <c r="BX1964" s="115"/>
      <c r="BY1964" s="115"/>
      <c r="BZ1964" s="115"/>
      <c r="CA1964" s="115"/>
      <c r="CB1964" s="115"/>
      <c r="CC1964" s="115"/>
      <c r="CD1964" s="115"/>
      <c r="CE1964" s="115"/>
      <c r="CF1964" s="115"/>
      <c r="CG1964" s="115"/>
      <c r="CH1964" s="115"/>
      <c r="CI1964" s="115"/>
      <c r="CJ1964" s="115"/>
      <c r="CK1964" s="115"/>
      <c r="CL1964" s="115"/>
      <c r="CM1964" s="115"/>
      <c r="CN1964" s="115"/>
      <c r="CO1964" s="115"/>
      <c r="CP1964" s="115"/>
    </row>
    <row r="1965" ht="15.75" customHeight="1">
      <c r="A1965" s="747" t="s">
        <v>9028</v>
      </c>
      <c r="B1965" s="115"/>
      <c r="C1965" s="69" t="s">
        <v>3612</v>
      </c>
      <c r="D1965" s="48"/>
      <c r="E1965" s="48"/>
      <c r="F1965" s="118" t="s">
        <v>9029</v>
      </c>
      <c r="G1965" s="286"/>
      <c r="H1965" s="119" t="s">
        <v>357</v>
      </c>
      <c r="I1965" s="25" t="s">
        <v>358</v>
      </c>
      <c r="J1965" s="287"/>
      <c r="K1965" s="123"/>
      <c r="L1965" s="25"/>
      <c r="M1965" s="25">
        <f t="shared" si="789"/>
        <v>2025</v>
      </c>
      <c r="N1965" s="26">
        <f t="shared" si="790"/>
        <v>0</v>
      </c>
      <c r="O1965" s="27" t="str">
        <f t="shared" si="3"/>
        <v>#N/A</v>
      </c>
      <c r="P1965" s="55"/>
      <c r="Q1965" s="55"/>
      <c r="R1965" s="55"/>
      <c r="S1965" s="55"/>
      <c r="T1965" s="55"/>
      <c r="U1965" s="55"/>
      <c r="V1965" s="30">
        <f t="shared" si="425"/>
        <v>0</v>
      </c>
      <c r="W1965" s="30"/>
      <c r="X1965" s="403"/>
      <c r="Y1965" s="33" t="str">
        <f t="shared" si="792"/>
        <v>#DIV/0!</v>
      </c>
      <c r="Z1965" s="692"/>
      <c r="AA1965" s="665"/>
      <c r="AB1965" s="123"/>
      <c r="AC1965" s="123"/>
      <c r="AD1965" s="124"/>
      <c r="AE1965" s="125"/>
      <c r="AF1965" s="166"/>
      <c r="AG1965" s="125"/>
      <c r="AH1965" s="123"/>
      <c r="AI1965" s="128"/>
      <c r="AJ1965" s="124"/>
      <c r="AK1965" s="125"/>
      <c r="AL1965" s="124"/>
      <c r="AM1965" s="125"/>
      <c r="AN1965" s="124"/>
      <c r="AO1965" s="125"/>
      <c r="AP1965" s="124"/>
      <c r="AQ1965" s="125"/>
      <c r="AR1965" s="124"/>
      <c r="AS1965" s="124"/>
      <c r="AT1965" s="124"/>
      <c r="AU1965" s="137"/>
      <c r="AV1965" s="124"/>
      <c r="AW1965" s="38"/>
      <c r="AX1965" s="124"/>
      <c r="AY1965" s="38"/>
      <c r="AZ1965" s="124"/>
      <c r="BA1965" s="137"/>
      <c r="BB1965" s="124"/>
      <c r="BC1965" s="137"/>
      <c r="BD1965" s="124"/>
      <c r="BE1965" s="38"/>
      <c r="BF1965" s="123"/>
      <c r="BG1965" s="115"/>
      <c r="BH1965" s="115"/>
      <c r="BI1965" s="115"/>
      <c r="BJ1965" s="115"/>
      <c r="BK1965" s="115"/>
      <c r="BL1965" s="115"/>
      <c r="BM1965" s="115"/>
      <c r="BN1965" s="115"/>
      <c r="BO1965" s="115"/>
      <c r="BP1965" s="115"/>
      <c r="BQ1965" s="115"/>
      <c r="BR1965" s="115"/>
      <c r="BS1965" s="115"/>
      <c r="BT1965" s="115"/>
      <c r="BU1965" s="115"/>
      <c r="BV1965" s="115"/>
      <c r="BW1965" s="115"/>
      <c r="BX1965" s="115"/>
      <c r="BY1965" s="115"/>
      <c r="BZ1965" s="115"/>
      <c r="CA1965" s="115"/>
      <c r="CB1965" s="115"/>
      <c r="CC1965" s="115"/>
      <c r="CD1965" s="115"/>
      <c r="CE1965" s="115"/>
      <c r="CF1965" s="115"/>
      <c r="CG1965" s="115"/>
      <c r="CH1965" s="115"/>
      <c r="CI1965" s="115"/>
      <c r="CJ1965" s="115"/>
      <c r="CK1965" s="115"/>
      <c r="CL1965" s="115"/>
      <c r="CM1965" s="115"/>
      <c r="CN1965" s="115"/>
      <c r="CO1965" s="115"/>
      <c r="CP1965" s="115"/>
    </row>
    <row r="1966" ht="15.75" customHeight="1">
      <c r="A1966" s="21" t="s">
        <v>9030</v>
      </c>
      <c r="B1966" s="16"/>
      <c r="C1966" s="17" t="s">
        <v>123</v>
      </c>
      <c r="D1966" s="492" t="s">
        <v>9031</v>
      </c>
      <c r="E1966" s="337"/>
      <c r="F1966" s="118" t="s">
        <v>9032</v>
      </c>
      <c r="G1966" s="186"/>
      <c r="H1966" s="186"/>
      <c r="I1966" s="74"/>
      <c r="J1966" s="155"/>
      <c r="K1966" s="74"/>
      <c r="L1966" s="26"/>
      <c r="M1966" s="25">
        <f t="shared" si="789"/>
        <v>2025</v>
      </c>
      <c r="N1966" s="26">
        <f t="shared" si="790"/>
        <v>0</v>
      </c>
      <c r="O1966" s="27" t="str">
        <f t="shared" si="3"/>
        <v>#N/A</v>
      </c>
      <c r="P1966" s="273"/>
      <c r="Q1966" s="273"/>
      <c r="R1966" s="273"/>
      <c r="S1966" s="273"/>
      <c r="T1966" s="273"/>
      <c r="U1966" s="273"/>
      <c r="V1966" s="30">
        <f t="shared" si="425"/>
        <v>0</v>
      </c>
      <c r="W1966" s="30"/>
      <c r="X1966" s="32"/>
      <c r="Y1966" s="33" t="str">
        <f t="shared" si="792"/>
        <v>#DIV/0!</v>
      </c>
      <c r="Z1966" s="692"/>
      <c r="AA1966" s="665"/>
      <c r="AB1966" s="74"/>
      <c r="AC1966" s="74"/>
      <c r="AD1966" s="79"/>
      <c r="AE1966" s="84"/>
      <c r="AF1966" s="338"/>
      <c r="AG1966" s="46"/>
      <c r="AH1966" s="46"/>
      <c r="AI1966" s="78"/>
      <c r="AJ1966" s="279"/>
      <c r="AK1966" s="76"/>
      <c r="AL1966" s="279"/>
      <c r="AM1966" s="76"/>
      <c r="AN1966" s="279"/>
      <c r="AO1966" s="76"/>
      <c r="AP1966" s="279"/>
      <c r="AQ1966" s="76"/>
      <c r="AR1966" s="227"/>
      <c r="AS1966" s="427"/>
      <c r="AT1966" s="79"/>
      <c r="AU1966" s="80"/>
      <c r="AV1966" s="79"/>
      <c r="AW1966" s="38"/>
      <c r="AX1966" s="79"/>
      <c r="AY1966" s="38"/>
      <c r="AZ1966" s="79"/>
      <c r="BA1966" s="80"/>
      <c r="BB1966" s="79"/>
      <c r="BC1966" s="80"/>
      <c r="BD1966" s="79"/>
      <c r="BE1966" s="38"/>
      <c r="BF1966" s="74"/>
      <c r="BG1966" s="115"/>
      <c r="BH1966" s="115"/>
      <c r="BI1966" s="115"/>
      <c r="BJ1966" s="115"/>
      <c r="BK1966" s="115"/>
      <c r="BL1966" s="115"/>
      <c r="BM1966" s="115"/>
      <c r="BN1966" s="115"/>
      <c r="BO1966" s="115"/>
      <c r="BP1966" s="115"/>
      <c r="BQ1966" s="115"/>
      <c r="BR1966" s="115"/>
      <c r="BS1966" s="115"/>
      <c r="BT1966" s="115"/>
      <c r="BU1966" s="115"/>
      <c r="BV1966" s="115"/>
      <c r="BW1966" s="115"/>
      <c r="BX1966" s="115"/>
      <c r="BY1966" s="115"/>
      <c r="BZ1966" s="115"/>
      <c r="CA1966" s="115"/>
      <c r="CB1966" s="115"/>
      <c r="CC1966" s="115"/>
      <c r="CD1966" s="115"/>
      <c r="CE1966" s="115"/>
      <c r="CF1966" s="115"/>
      <c r="CG1966" s="115"/>
      <c r="CH1966" s="115"/>
      <c r="CI1966" s="115"/>
      <c r="CJ1966" s="115"/>
      <c r="CK1966" s="115"/>
      <c r="CL1966" s="115"/>
      <c r="CM1966" s="115"/>
      <c r="CN1966" s="115"/>
      <c r="CO1966" s="115"/>
      <c r="CP1966" s="115"/>
    </row>
    <row r="1967" ht="15.75" customHeight="1">
      <c r="A1967" s="400" t="s">
        <v>9033</v>
      </c>
      <c r="B1967" s="534"/>
      <c r="C1967" s="849" t="s">
        <v>123</v>
      </c>
      <c r="D1967" s="192" t="s">
        <v>9034</v>
      </c>
      <c r="E1967" s="161" t="s">
        <v>9035</v>
      </c>
      <c r="F1967" s="118" t="s">
        <v>9036</v>
      </c>
      <c r="G1967" s="54" t="s">
        <v>9037</v>
      </c>
      <c r="H1967" s="119" t="s">
        <v>365</v>
      </c>
      <c r="I1967" s="25" t="s">
        <v>65</v>
      </c>
      <c r="J1967" s="120" t="s">
        <v>9038</v>
      </c>
      <c r="K1967" s="25">
        <v>1.0</v>
      </c>
      <c r="L1967" s="124"/>
      <c r="M1967" s="169">
        <f t="shared" si="789"/>
        <v>2025</v>
      </c>
      <c r="N1967" s="26">
        <f t="shared" si="790"/>
        <v>0</v>
      </c>
      <c r="O1967" s="27" t="str">
        <f t="shared" si="3"/>
        <v>#N/A</v>
      </c>
      <c r="P1967" s="55"/>
      <c r="Q1967" s="55"/>
      <c r="R1967" s="55"/>
      <c r="S1967" s="55"/>
      <c r="T1967" s="55"/>
      <c r="U1967" s="55"/>
      <c r="V1967" s="30">
        <f t="shared" si="425"/>
        <v>0</v>
      </c>
      <c r="W1967" s="30"/>
      <c r="X1967" s="597"/>
      <c r="Y1967" s="33" t="str">
        <f t="shared" si="792"/>
        <v>#DIV/0!</v>
      </c>
      <c r="Z1967" s="692"/>
      <c r="AA1967" s="665"/>
      <c r="AB1967" s="123"/>
      <c r="AC1967" s="123"/>
      <c r="AD1967" s="124"/>
      <c r="AE1967" s="125"/>
      <c r="AF1967" s="166"/>
      <c r="AG1967" s="323"/>
      <c r="AH1967" s="323"/>
      <c r="AI1967" s="128"/>
      <c r="AJ1967" s="124"/>
      <c r="AK1967" s="125"/>
      <c r="AL1967" s="124"/>
      <c r="AM1967" s="125"/>
      <c r="AN1967" s="124"/>
      <c r="AO1967" s="125"/>
      <c r="AP1967" s="124"/>
      <c r="AQ1967" s="125"/>
      <c r="AR1967" s="124"/>
      <c r="AS1967" s="124"/>
      <c r="AT1967" s="124"/>
      <c r="AU1967" s="137"/>
      <c r="AV1967" s="124"/>
      <c r="AW1967" s="38"/>
      <c r="AX1967" s="124"/>
      <c r="AY1967" s="38"/>
      <c r="AZ1967" s="124"/>
      <c r="BA1967" s="137"/>
      <c r="BB1967" s="124"/>
      <c r="BC1967" s="137"/>
      <c r="BD1967" s="124"/>
      <c r="BE1967" s="38"/>
      <c r="BF1967" s="123"/>
      <c r="BG1967" s="115"/>
      <c r="BH1967" s="115"/>
      <c r="BI1967" s="115"/>
      <c r="BJ1967" s="115"/>
      <c r="BK1967" s="115"/>
      <c r="BL1967" s="115"/>
      <c r="BM1967" s="115"/>
      <c r="BN1967" s="115"/>
      <c r="BO1967" s="115"/>
      <c r="BP1967" s="115"/>
      <c r="BQ1967" s="115"/>
      <c r="BR1967" s="115"/>
      <c r="BS1967" s="115"/>
      <c r="BT1967" s="115"/>
      <c r="BU1967" s="115"/>
      <c r="BV1967" s="115"/>
      <c r="BW1967" s="115"/>
      <c r="BX1967" s="115"/>
      <c r="BY1967" s="115"/>
      <c r="BZ1967" s="115"/>
      <c r="CA1967" s="115"/>
      <c r="CB1967" s="115"/>
      <c r="CC1967" s="115"/>
      <c r="CD1967" s="115"/>
      <c r="CE1967" s="115"/>
      <c r="CF1967" s="115"/>
      <c r="CG1967" s="115"/>
      <c r="CH1967" s="115"/>
      <c r="CI1967" s="115"/>
      <c r="CJ1967" s="115"/>
      <c r="CK1967" s="115"/>
      <c r="CL1967" s="115"/>
      <c r="CM1967" s="115"/>
      <c r="CN1967" s="115"/>
      <c r="CO1967" s="115"/>
      <c r="CP1967" s="115"/>
    </row>
    <row r="1968" ht="15.75" customHeight="1">
      <c r="A1968" s="21" t="s">
        <v>9039</v>
      </c>
      <c r="B1968" s="16"/>
      <c r="C1968" s="17" t="s">
        <v>9040</v>
      </c>
      <c r="D1968" s="337"/>
      <c r="E1968" s="200" t="s">
        <v>9041</v>
      </c>
      <c r="F1968" s="173" t="s">
        <v>9042</v>
      </c>
      <c r="G1968" s="71" t="s">
        <v>9043</v>
      </c>
      <c r="H1968" s="71" t="s">
        <v>9044</v>
      </c>
      <c r="I1968" s="26" t="s">
        <v>717</v>
      </c>
      <c r="J1968" s="155"/>
      <c r="K1968" s="74" t="s">
        <v>723</v>
      </c>
      <c r="L1968" s="74" t="s">
        <v>723</v>
      </c>
      <c r="M1968" s="25" t="str">
        <f t="shared" si="789"/>
        <v>#VALUE!</v>
      </c>
      <c r="N1968" s="26">
        <f t="shared" si="790"/>
        <v>0</v>
      </c>
      <c r="O1968" s="27" t="str">
        <f t="shared" si="3"/>
        <v>#N/A</v>
      </c>
      <c r="P1968" s="273"/>
      <c r="Q1968" s="273"/>
      <c r="R1968" s="273"/>
      <c r="S1968" s="273"/>
      <c r="T1968" s="273"/>
      <c r="U1968" s="273"/>
      <c r="V1968" s="30">
        <f t="shared" si="425"/>
        <v>0</v>
      </c>
      <c r="W1968" s="30"/>
      <c r="X1968" s="32"/>
      <c r="Y1968" s="33" t="str">
        <f t="shared" si="792"/>
        <v>#DIV/0!</v>
      </c>
      <c r="Z1968" s="692"/>
      <c r="AA1968" s="665"/>
      <c r="AB1968" s="74"/>
      <c r="AC1968" s="74"/>
      <c r="AD1968" s="79"/>
      <c r="AE1968" s="84"/>
      <c r="AF1968" s="338"/>
      <c r="AG1968" s="46"/>
      <c r="AH1968" s="46"/>
      <c r="AI1968" s="78"/>
      <c r="AJ1968" s="79"/>
      <c r="AK1968" s="84"/>
      <c r="AL1968" s="79"/>
      <c r="AM1968" s="84"/>
      <c r="AN1968" s="79"/>
      <c r="AO1968" s="84"/>
      <c r="AP1968" s="79"/>
      <c r="AQ1968" s="84"/>
      <c r="AR1968" s="79"/>
      <c r="AS1968" s="79"/>
      <c r="AT1968" s="79"/>
      <c r="AU1968" s="80"/>
      <c r="AV1968" s="79"/>
      <c r="AW1968" s="38"/>
      <c r="AX1968" s="79"/>
      <c r="AY1968" s="38"/>
      <c r="AZ1968" s="79"/>
      <c r="BA1968" s="80"/>
      <c r="BB1968" s="79"/>
      <c r="BC1968" s="80"/>
      <c r="BD1968" s="79"/>
      <c r="BE1968" s="38"/>
      <c r="BF1968" s="74"/>
      <c r="BG1968" s="115"/>
      <c r="BH1968" s="115"/>
      <c r="BI1968" s="115"/>
      <c r="BJ1968" s="115"/>
      <c r="BK1968" s="115"/>
      <c r="BL1968" s="115"/>
      <c r="BM1968" s="115"/>
      <c r="BN1968" s="115"/>
      <c r="BO1968" s="115"/>
      <c r="BP1968" s="115"/>
      <c r="BQ1968" s="115"/>
      <c r="BR1968" s="115"/>
      <c r="BS1968" s="115"/>
      <c r="BT1968" s="115"/>
      <c r="BU1968" s="115"/>
      <c r="BV1968" s="115"/>
      <c r="BW1968" s="115"/>
      <c r="BX1968" s="115"/>
      <c r="BY1968" s="115"/>
      <c r="BZ1968" s="115"/>
      <c r="CA1968" s="115"/>
      <c r="CB1968" s="115"/>
      <c r="CC1968" s="115"/>
      <c r="CD1968" s="115"/>
      <c r="CE1968" s="115"/>
      <c r="CF1968" s="115"/>
      <c r="CG1968" s="115"/>
      <c r="CH1968" s="115"/>
      <c r="CI1968" s="115"/>
      <c r="CJ1968" s="115"/>
      <c r="CK1968" s="115"/>
      <c r="CL1968" s="115"/>
      <c r="CM1968" s="115"/>
      <c r="CN1968" s="115"/>
      <c r="CO1968" s="115"/>
      <c r="CP1968" s="115"/>
    </row>
    <row r="1969" ht="15.75" customHeight="1">
      <c r="A1969" s="666" t="s">
        <v>9045</v>
      </c>
      <c r="B1969" s="115" t="s">
        <v>3002</v>
      </c>
      <c r="C1969" s="115" t="s">
        <v>132</v>
      </c>
      <c r="D1969" s="667" t="s">
        <v>9046</v>
      </c>
      <c r="E1969" s="667" t="s">
        <v>9047</v>
      </c>
      <c r="F1969" s="668" t="s">
        <v>9048</v>
      </c>
      <c r="G1969" s="286" t="s">
        <v>9049</v>
      </c>
      <c r="H1969" s="286" t="s">
        <v>601</v>
      </c>
      <c r="I1969" s="123" t="s">
        <v>129</v>
      </c>
      <c r="J1969" s="287" t="s">
        <v>4810</v>
      </c>
      <c r="K1969" s="123">
        <v>2.0</v>
      </c>
      <c r="L1969" s="25">
        <v>2016.0</v>
      </c>
      <c r="M1969" s="25">
        <f t="shared" si="789"/>
        <v>9</v>
      </c>
      <c r="N1969" s="26">
        <f t="shared" si="790"/>
        <v>0</v>
      </c>
      <c r="O1969" s="27" t="str">
        <f t="shared" si="3"/>
        <v>#N/A</v>
      </c>
      <c r="P1969" s="55"/>
      <c r="Q1969" s="55"/>
      <c r="R1969" s="55"/>
      <c r="S1969" s="55"/>
      <c r="T1969" s="55"/>
      <c r="U1969" s="55"/>
      <c r="V1969" s="30">
        <f t="shared" si="425"/>
        <v>0</v>
      </c>
      <c r="W1969" s="30"/>
      <c r="X1969" s="403"/>
      <c r="Y1969" s="33" t="str">
        <f t="shared" si="792"/>
        <v>#DIV/0!</v>
      </c>
      <c r="Z1969" s="692"/>
      <c r="AA1969" s="665"/>
      <c r="AB1969" s="123"/>
      <c r="AC1969" s="123"/>
      <c r="AD1969" s="124"/>
      <c r="AE1969" s="125"/>
      <c r="AF1969" s="166"/>
      <c r="AG1969" s="125"/>
      <c r="AH1969" s="123"/>
      <c r="AI1969" s="128"/>
      <c r="AJ1969" s="124"/>
      <c r="AK1969" s="125"/>
      <c r="AL1969" s="124"/>
      <c r="AM1969" s="125"/>
      <c r="AN1969" s="124"/>
      <c r="AO1969" s="125"/>
      <c r="AP1969" s="124"/>
      <c r="AQ1969" s="125"/>
      <c r="AR1969" s="124"/>
      <c r="AS1969" s="124"/>
      <c r="AT1969" s="124"/>
      <c r="AU1969" s="137"/>
      <c r="AV1969" s="124"/>
      <c r="AW1969" s="38"/>
      <c r="AX1969" s="124"/>
      <c r="AY1969" s="38"/>
      <c r="AZ1969" s="124"/>
      <c r="BA1969" s="137"/>
      <c r="BB1969" s="124"/>
      <c r="BC1969" s="137"/>
      <c r="BD1969" s="124"/>
      <c r="BE1969" s="38"/>
      <c r="BF1969" s="123"/>
      <c r="BG1969" s="115"/>
      <c r="BH1969" s="115"/>
      <c r="BI1969" s="115"/>
      <c r="BJ1969" s="115"/>
      <c r="BK1969" s="115"/>
      <c r="BL1969" s="115"/>
      <c r="BM1969" s="115"/>
      <c r="BN1969" s="115"/>
      <c r="BO1969" s="115"/>
      <c r="BP1969" s="115"/>
      <c r="BQ1969" s="115"/>
      <c r="BR1969" s="115"/>
      <c r="BS1969" s="115"/>
      <c r="BT1969" s="115"/>
      <c r="BU1969" s="115"/>
      <c r="BV1969" s="115"/>
      <c r="BW1969" s="115"/>
      <c r="BX1969" s="115"/>
      <c r="BY1969" s="115"/>
      <c r="BZ1969" s="115"/>
      <c r="CA1969" s="115"/>
      <c r="CB1969" s="115"/>
      <c r="CC1969" s="115"/>
      <c r="CD1969" s="115"/>
      <c r="CE1969" s="115"/>
      <c r="CF1969" s="115"/>
      <c r="CG1969" s="115"/>
      <c r="CH1969" s="115"/>
      <c r="CI1969" s="115"/>
      <c r="CJ1969" s="115"/>
      <c r="CK1969" s="115"/>
      <c r="CL1969" s="115"/>
      <c r="CM1969" s="115"/>
      <c r="CN1969" s="115"/>
      <c r="CO1969" s="115"/>
      <c r="CP1969" s="115"/>
    </row>
    <row r="1970" ht="15.75" customHeight="1">
      <c r="A1970" s="1850" t="s">
        <v>9050</v>
      </c>
      <c r="B1970" s="1407"/>
      <c r="C1970" s="1463" t="s">
        <v>84</v>
      </c>
      <c r="D1970" s="1774" t="s">
        <v>4781</v>
      </c>
      <c r="E1970" s="1774" t="s">
        <v>4781</v>
      </c>
      <c r="F1970" s="1721" t="s">
        <v>9051</v>
      </c>
      <c r="G1970" s="1467" t="s">
        <v>9052</v>
      </c>
      <c r="H1970" s="1468" t="s">
        <v>394</v>
      </c>
      <c r="I1970" s="1469" t="s">
        <v>395</v>
      </c>
      <c r="J1970" s="1470" t="s">
        <v>9053</v>
      </c>
      <c r="K1970" s="1469">
        <v>2.0</v>
      </c>
      <c r="L1970" s="1469"/>
      <c r="M1970" s="25">
        <f t="shared" si="789"/>
        <v>2025</v>
      </c>
      <c r="N1970" s="26">
        <f t="shared" si="790"/>
        <v>0</v>
      </c>
      <c r="O1970" s="27" t="str">
        <f t="shared" si="3"/>
        <v>#N/A</v>
      </c>
      <c r="P1970" s="1847"/>
      <c r="Q1970" s="1847"/>
      <c r="R1970" s="1847"/>
      <c r="S1970" s="1847"/>
      <c r="T1970" s="1847"/>
      <c r="U1970" s="1847"/>
      <c r="V1970" s="30">
        <f t="shared" si="425"/>
        <v>0</v>
      </c>
      <c r="W1970" s="30"/>
      <c r="X1970" s="1473"/>
      <c r="Y1970" s="33" t="str">
        <f t="shared" si="792"/>
        <v>#DIV/0!</v>
      </c>
      <c r="Z1970" s="692"/>
      <c r="AA1970" s="665"/>
      <c r="AB1970" s="1474"/>
      <c r="AC1970" s="1474"/>
      <c r="AD1970" s="1482"/>
      <c r="AE1970" s="1717"/>
      <c r="AF1970" s="1722"/>
      <c r="AG1970" s="1717"/>
      <c r="AH1970" s="1474"/>
      <c r="AI1970" s="1479"/>
      <c r="AJ1970" s="1482"/>
      <c r="AK1970" s="1717"/>
      <c r="AL1970" s="1482"/>
      <c r="AM1970" s="1717"/>
      <c r="AN1970" s="1482"/>
      <c r="AO1970" s="1717"/>
      <c r="AP1970" s="1482"/>
      <c r="AQ1970" s="1717"/>
      <c r="AR1970" s="1482"/>
      <c r="AS1970" s="1482"/>
      <c r="AT1970" s="1482"/>
      <c r="AU1970" s="1483"/>
      <c r="AV1970" s="1482"/>
      <c r="AW1970" s="38"/>
      <c r="AX1970" s="1482"/>
      <c r="AY1970" s="38"/>
      <c r="AZ1970" s="1482"/>
      <c r="BA1970" s="1483"/>
      <c r="BB1970" s="1482"/>
      <c r="BC1970" s="1483"/>
      <c r="BD1970" s="1482"/>
      <c r="BE1970" s="38"/>
      <c r="BF1970" s="1474"/>
      <c r="BG1970" s="115"/>
      <c r="BH1970" s="115"/>
      <c r="BI1970" s="115"/>
      <c r="BJ1970" s="115"/>
      <c r="BK1970" s="115"/>
      <c r="BL1970" s="115"/>
      <c r="BM1970" s="115"/>
      <c r="BN1970" s="115"/>
      <c r="BO1970" s="115"/>
      <c r="BP1970" s="115"/>
      <c r="BQ1970" s="115"/>
      <c r="BR1970" s="115"/>
      <c r="BS1970" s="115"/>
      <c r="BT1970" s="115"/>
      <c r="BU1970" s="115"/>
      <c r="BV1970" s="115"/>
      <c r="BW1970" s="115"/>
      <c r="BX1970" s="115"/>
      <c r="BY1970" s="115"/>
      <c r="BZ1970" s="115"/>
      <c r="CA1970" s="115"/>
      <c r="CB1970" s="115"/>
      <c r="CC1970" s="115"/>
      <c r="CD1970" s="115"/>
      <c r="CE1970" s="115"/>
      <c r="CF1970" s="115"/>
      <c r="CG1970" s="115"/>
      <c r="CH1970" s="115"/>
      <c r="CI1970" s="115"/>
      <c r="CJ1970" s="115"/>
      <c r="CK1970" s="115"/>
      <c r="CL1970" s="115"/>
      <c r="CM1970" s="115"/>
      <c r="CN1970" s="115"/>
      <c r="CO1970" s="115"/>
      <c r="CP1970" s="115"/>
    </row>
    <row r="1971" ht="15.75" customHeight="1">
      <c r="A1971" s="931" t="s">
        <v>9054</v>
      </c>
      <c r="B1971" s="68"/>
      <c r="C1971" s="69" t="s">
        <v>123</v>
      </c>
      <c r="D1971" s="192" t="s">
        <v>9055</v>
      </c>
      <c r="E1971" s="192" t="s">
        <v>9056</v>
      </c>
      <c r="F1971" s="118" t="s">
        <v>9057</v>
      </c>
      <c r="G1971" s="71"/>
      <c r="H1971" s="71" t="s">
        <v>9058</v>
      </c>
      <c r="I1971" s="26" t="s">
        <v>2016</v>
      </c>
      <c r="J1971" s="72"/>
      <c r="K1971" s="74"/>
      <c r="L1971" s="26">
        <v>1995.0</v>
      </c>
      <c r="M1971" s="25">
        <f t="shared" si="789"/>
        <v>30</v>
      </c>
      <c r="N1971" s="26">
        <f t="shared" si="790"/>
        <v>0</v>
      </c>
      <c r="O1971" s="27" t="str">
        <f t="shared" si="3"/>
        <v>#N/A</v>
      </c>
      <c r="P1971" s="273"/>
      <c r="Q1971" s="273"/>
      <c r="R1971" s="273"/>
      <c r="S1971" s="273"/>
      <c r="T1971" s="273"/>
      <c r="U1971" s="273"/>
      <c r="V1971" s="30">
        <f t="shared" si="425"/>
        <v>0</v>
      </c>
      <c r="W1971" s="30"/>
      <c r="X1971" s="32"/>
      <c r="Y1971" s="33" t="str">
        <f t="shared" si="792"/>
        <v>#DIV/0!</v>
      </c>
      <c r="Z1971" s="692"/>
      <c r="AA1971" s="665"/>
      <c r="AB1971" s="74"/>
      <c r="AC1971" s="74"/>
      <c r="AD1971" s="79"/>
      <c r="AE1971" s="84"/>
      <c r="AF1971" s="338"/>
      <c r="AG1971" s="84"/>
      <c r="AH1971" s="74"/>
      <c r="AI1971" s="78"/>
      <c r="AJ1971" s="79"/>
      <c r="AK1971" s="84"/>
      <c r="AL1971" s="79"/>
      <c r="AM1971" s="84"/>
      <c r="AN1971" s="79"/>
      <c r="AO1971" s="84"/>
      <c r="AP1971" s="79"/>
      <c r="AQ1971" s="84"/>
      <c r="AR1971" s="79"/>
      <c r="AS1971" s="79"/>
      <c r="AT1971" s="79"/>
      <c r="AU1971" s="80"/>
      <c r="AV1971" s="79"/>
      <c r="AW1971" s="38"/>
      <c r="AX1971" s="79"/>
      <c r="AY1971" s="38"/>
      <c r="AZ1971" s="79"/>
      <c r="BA1971" s="80"/>
      <c r="BB1971" s="81"/>
      <c r="BC1971" s="1930"/>
      <c r="BD1971" s="79"/>
      <c r="BE1971" s="38"/>
      <c r="BF1971" s="74"/>
      <c r="BG1971" s="115"/>
      <c r="BH1971" s="115"/>
      <c r="BI1971" s="115"/>
      <c r="BJ1971" s="115"/>
      <c r="BK1971" s="115"/>
      <c r="BL1971" s="115"/>
      <c r="BM1971" s="115"/>
      <c r="BN1971" s="115"/>
      <c r="BO1971" s="115"/>
      <c r="BP1971" s="115"/>
      <c r="BQ1971" s="115"/>
      <c r="BR1971" s="115"/>
      <c r="BS1971" s="115"/>
      <c r="BT1971" s="115"/>
      <c r="BU1971" s="115"/>
      <c r="BV1971" s="115"/>
      <c r="BW1971" s="115"/>
      <c r="BX1971" s="115"/>
      <c r="BY1971" s="115"/>
      <c r="BZ1971" s="115"/>
      <c r="CA1971" s="115"/>
      <c r="CB1971" s="115"/>
      <c r="CC1971" s="115"/>
      <c r="CD1971" s="115"/>
      <c r="CE1971" s="115"/>
      <c r="CF1971" s="115"/>
      <c r="CG1971" s="115"/>
      <c r="CH1971" s="115"/>
      <c r="CI1971" s="115"/>
      <c r="CJ1971" s="115"/>
      <c r="CK1971" s="115"/>
      <c r="CL1971" s="115"/>
      <c r="CM1971" s="115"/>
      <c r="CN1971" s="115"/>
      <c r="CO1971" s="115"/>
      <c r="CP1971" s="115"/>
    </row>
    <row r="1972" ht="15.75" customHeight="1">
      <c r="A1972" s="21" t="s">
        <v>9059</v>
      </c>
      <c r="B1972" s="68"/>
      <c r="C1972" s="69" t="s">
        <v>629</v>
      </c>
      <c r="D1972" s="192" t="s">
        <v>9060</v>
      </c>
      <c r="E1972" s="192" t="s">
        <v>9061</v>
      </c>
      <c r="F1972" s="173" t="s">
        <v>9062</v>
      </c>
      <c r="G1972" s="71"/>
      <c r="H1972" s="71" t="s">
        <v>9063</v>
      </c>
      <c r="I1972" s="26" t="s">
        <v>65</v>
      </c>
      <c r="J1972" s="72"/>
      <c r="K1972" s="74"/>
      <c r="L1972" s="26">
        <v>2009.0</v>
      </c>
      <c r="M1972" s="25">
        <f t="shared" si="789"/>
        <v>16</v>
      </c>
      <c r="N1972" s="26">
        <f t="shared" si="790"/>
        <v>0</v>
      </c>
      <c r="O1972" s="27" t="str">
        <f t="shared" si="3"/>
        <v>#N/A</v>
      </c>
      <c r="P1972" s="273"/>
      <c r="Q1972" s="273"/>
      <c r="R1972" s="273"/>
      <c r="S1972" s="273"/>
      <c r="T1972" s="273"/>
      <c r="U1972" s="273"/>
      <c r="V1972" s="30">
        <f t="shared" si="425"/>
        <v>0</v>
      </c>
      <c r="W1972" s="30"/>
      <c r="X1972" s="32"/>
      <c r="Y1972" s="33" t="str">
        <f t="shared" si="792"/>
        <v>#DIV/0!</v>
      </c>
      <c r="Z1972" s="692"/>
      <c r="AA1972" s="665"/>
      <c r="AB1972" s="74"/>
      <c r="AC1972" s="74"/>
      <c r="AD1972" s="79"/>
      <c r="AE1972" s="84"/>
      <c r="AF1972" s="338"/>
      <c r="AG1972" s="84"/>
      <c r="AH1972" s="74"/>
      <c r="AI1972" s="78"/>
      <c r="AJ1972" s="79"/>
      <c r="AK1972" s="84"/>
      <c r="AL1972" s="79"/>
      <c r="AM1972" s="84"/>
      <c r="AN1972" s="79"/>
      <c r="AO1972" s="84"/>
      <c r="AP1972" s="79"/>
      <c r="AQ1972" s="84"/>
      <c r="AR1972" s="79"/>
      <c r="AS1972" s="79"/>
      <c r="AT1972" s="79"/>
      <c r="AU1972" s="80"/>
      <c r="AV1972" s="79"/>
      <c r="AW1972" s="38"/>
      <c r="AX1972" s="79"/>
      <c r="AY1972" s="38"/>
      <c r="AZ1972" s="79"/>
      <c r="BA1972" s="80"/>
      <c r="BB1972" s="79"/>
      <c r="BC1972" s="80"/>
      <c r="BD1972" s="79"/>
      <c r="BE1972" s="38"/>
      <c r="BF1972" s="74"/>
      <c r="BG1972" s="115"/>
      <c r="BH1972" s="115"/>
      <c r="BI1972" s="115"/>
      <c r="BJ1972" s="115"/>
      <c r="BK1972" s="115"/>
      <c r="BL1972" s="115"/>
      <c r="BM1972" s="115"/>
      <c r="BN1972" s="115"/>
      <c r="BO1972" s="115"/>
      <c r="BP1972" s="115"/>
      <c r="BQ1972" s="115"/>
      <c r="BR1972" s="115"/>
      <c r="BS1972" s="115"/>
      <c r="BT1972" s="115"/>
      <c r="BU1972" s="115"/>
      <c r="BV1972" s="115"/>
      <c r="BW1972" s="115"/>
      <c r="BX1972" s="115"/>
      <c r="BY1972" s="115"/>
      <c r="BZ1972" s="115"/>
      <c r="CA1972" s="115"/>
      <c r="CB1972" s="115"/>
      <c r="CC1972" s="115"/>
      <c r="CD1972" s="115"/>
      <c r="CE1972" s="115"/>
      <c r="CF1972" s="115"/>
      <c r="CG1972" s="115"/>
      <c r="CH1972" s="115"/>
      <c r="CI1972" s="115"/>
      <c r="CJ1972" s="115"/>
      <c r="CK1972" s="115"/>
      <c r="CL1972" s="115"/>
      <c r="CM1972" s="115"/>
      <c r="CN1972" s="115"/>
      <c r="CO1972" s="115"/>
      <c r="CP1972" s="115"/>
    </row>
    <row r="1973" ht="15.75" customHeight="1">
      <c r="A1973" s="21" t="s">
        <v>9064</v>
      </c>
      <c r="B1973" s="68"/>
      <c r="C1973" s="69" t="s">
        <v>207</v>
      </c>
      <c r="D1973" s="385"/>
      <c r="E1973" s="117" t="s">
        <v>9065</v>
      </c>
      <c r="F1973" s="118" t="s">
        <v>9066</v>
      </c>
      <c r="G1973" s="71"/>
      <c r="H1973" s="71" t="s">
        <v>673</v>
      </c>
      <c r="I1973" s="26" t="s">
        <v>674</v>
      </c>
      <c r="J1973" s="72"/>
      <c r="K1973" s="74"/>
      <c r="L1973" s="26">
        <v>2015.0</v>
      </c>
      <c r="M1973" s="25">
        <f t="shared" si="789"/>
        <v>10</v>
      </c>
      <c r="N1973" s="26">
        <f t="shared" si="790"/>
        <v>0</v>
      </c>
      <c r="O1973" s="27" t="str">
        <f t="shared" si="3"/>
        <v>#N/A</v>
      </c>
      <c r="P1973" s="273"/>
      <c r="Q1973" s="273"/>
      <c r="R1973" s="273"/>
      <c r="S1973" s="273"/>
      <c r="T1973" s="273"/>
      <c r="U1973" s="273"/>
      <c r="V1973" s="30">
        <f t="shared" si="425"/>
        <v>0</v>
      </c>
      <c r="W1973" s="30"/>
      <c r="X1973" s="32"/>
      <c r="Y1973" s="33" t="str">
        <f t="shared" si="792"/>
        <v>#DIV/0!</v>
      </c>
      <c r="Z1973" s="692"/>
      <c r="AA1973" s="665"/>
      <c r="AB1973" s="74"/>
      <c r="AC1973" s="74"/>
      <c r="AD1973" s="79"/>
      <c r="AE1973" s="84"/>
      <c r="AF1973" s="338"/>
      <c r="AG1973" s="84"/>
      <c r="AH1973" s="74"/>
      <c r="AI1973" s="78"/>
      <c r="AJ1973" s="1516"/>
      <c r="AK1973" s="84"/>
      <c r="AL1973" s="1931"/>
      <c r="AM1973" s="84"/>
      <c r="AN1973" s="79"/>
      <c r="AO1973" s="84"/>
      <c r="AP1973" s="79"/>
      <c r="AQ1973" s="84"/>
      <c r="AR1973" s="79"/>
      <c r="AS1973" s="79"/>
      <c r="AT1973" s="79"/>
      <c r="AU1973" s="80"/>
      <c r="AV1973" s="79"/>
      <c r="AW1973" s="38"/>
      <c r="AX1973" s="79"/>
      <c r="AY1973" s="38"/>
      <c r="AZ1973" s="79"/>
      <c r="BA1973" s="80"/>
      <c r="BB1973" s="79"/>
      <c r="BC1973" s="80"/>
      <c r="BD1973" s="79"/>
      <c r="BE1973" s="38"/>
      <c r="BF1973" s="74"/>
      <c r="BG1973" s="115"/>
      <c r="BH1973" s="115"/>
      <c r="BI1973" s="115"/>
      <c r="BJ1973" s="115"/>
      <c r="BK1973" s="115"/>
      <c r="BL1973" s="115"/>
      <c r="BM1973" s="115"/>
      <c r="BN1973" s="115"/>
      <c r="BO1973" s="115"/>
      <c r="BP1973" s="115"/>
      <c r="BQ1973" s="115"/>
      <c r="BR1973" s="115"/>
      <c r="BS1973" s="115"/>
      <c r="BT1973" s="115"/>
      <c r="BU1973" s="115"/>
      <c r="BV1973" s="115"/>
      <c r="BW1973" s="115"/>
      <c r="BX1973" s="115"/>
      <c r="BY1973" s="115"/>
      <c r="BZ1973" s="115"/>
      <c r="CA1973" s="115"/>
      <c r="CB1973" s="115"/>
      <c r="CC1973" s="115"/>
      <c r="CD1973" s="115"/>
      <c r="CE1973" s="115"/>
      <c r="CF1973" s="115"/>
      <c r="CG1973" s="115"/>
      <c r="CH1973" s="115"/>
      <c r="CI1973" s="115"/>
      <c r="CJ1973" s="115"/>
      <c r="CK1973" s="115"/>
      <c r="CL1973" s="115"/>
      <c r="CM1973" s="115"/>
      <c r="CN1973" s="115"/>
      <c r="CO1973" s="115"/>
      <c r="CP1973" s="115"/>
    </row>
    <row r="1974" ht="15.75" customHeight="1">
      <c r="A1974" s="21" t="s">
        <v>9067</v>
      </c>
      <c r="B1974" s="68"/>
      <c r="C1974" s="69" t="s">
        <v>123</v>
      </c>
      <c r="D1974" s="385"/>
      <c r="E1974" s="192" t="s">
        <v>9068</v>
      </c>
      <c r="F1974" s="118" t="s">
        <v>9069</v>
      </c>
      <c r="G1974" s="71"/>
      <c r="H1974" s="71"/>
      <c r="I1974" s="1932"/>
      <c r="J1974" s="72"/>
      <c r="K1974" s="74"/>
      <c r="L1974" s="26">
        <v>2017.0</v>
      </c>
      <c r="M1974" s="25">
        <f t="shared" si="789"/>
        <v>8</v>
      </c>
      <c r="N1974" s="26">
        <f t="shared" si="790"/>
        <v>0</v>
      </c>
      <c r="O1974" s="27" t="str">
        <f t="shared" si="3"/>
        <v>#N/A</v>
      </c>
      <c r="P1974" s="273"/>
      <c r="Q1974" s="273"/>
      <c r="R1974" s="273"/>
      <c r="S1974" s="273"/>
      <c r="T1974" s="273"/>
      <c r="U1974" s="273"/>
      <c r="V1974" s="30">
        <f t="shared" si="425"/>
        <v>0</v>
      </c>
      <c r="W1974" s="30"/>
      <c r="X1974" s="32"/>
      <c r="Y1974" s="33" t="str">
        <f t="shared" si="792"/>
        <v>#DIV/0!</v>
      </c>
      <c r="Z1974" s="692"/>
      <c r="AA1974" s="665"/>
      <c r="AB1974" s="74"/>
      <c r="AC1974" s="74"/>
      <c r="AD1974" s="42">
        <v>43225.0</v>
      </c>
      <c r="AE1974" s="84"/>
      <c r="AF1974" s="338"/>
      <c r="AG1974" s="84"/>
      <c r="AH1974" s="74"/>
      <c r="AI1974" s="78"/>
      <c r="AJ1974" s="79"/>
      <c r="AK1974" s="84"/>
      <c r="AL1974" s="79"/>
      <c r="AM1974" s="84"/>
      <c r="AN1974" s="79"/>
      <c r="AO1974" s="84"/>
      <c r="AP1974" s="79"/>
      <c r="AQ1974" s="84"/>
      <c r="AR1974" s="79"/>
      <c r="AS1974" s="79"/>
      <c r="AT1974" s="79"/>
      <c r="AU1974" s="80"/>
      <c r="AV1974" s="79"/>
      <c r="AW1974" s="38"/>
      <c r="AX1974" s="79"/>
      <c r="AY1974" s="38"/>
      <c r="AZ1974" s="79"/>
      <c r="BA1974" s="80"/>
      <c r="BB1974" s="79"/>
      <c r="BC1974" s="80"/>
      <c r="BD1974" s="79"/>
      <c r="BE1974" s="38"/>
      <c r="BF1974" s="74"/>
      <c r="BG1974" s="115"/>
      <c r="BH1974" s="115"/>
      <c r="BI1974" s="115"/>
      <c r="BJ1974" s="115"/>
      <c r="BK1974" s="115"/>
      <c r="BL1974" s="115"/>
      <c r="BM1974" s="115"/>
      <c r="BN1974" s="115"/>
      <c r="BO1974" s="115"/>
      <c r="BP1974" s="115"/>
      <c r="BQ1974" s="115"/>
      <c r="BR1974" s="115"/>
      <c r="BS1974" s="115"/>
      <c r="BT1974" s="115"/>
      <c r="BU1974" s="115"/>
      <c r="BV1974" s="115"/>
      <c r="BW1974" s="115"/>
      <c r="BX1974" s="115"/>
      <c r="BY1974" s="115"/>
      <c r="BZ1974" s="115"/>
      <c r="CA1974" s="115"/>
      <c r="CB1974" s="115"/>
      <c r="CC1974" s="115"/>
      <c r="CD1974" s="115"/>
      <c r="CE1974" s="115"/>
      <c r="CF1974" s="115"/>
      <c r="CG1974" s="115"/>
      <c r="CH1974" s="115"/>
      <c r="CI1974" s="115"/>
      <c r="CJ1974" s="115"/>
      <c r="CK1974" s="115"/>
      <c r="CL1974" s="115"/>
      <c r="CM1974" s="115"/>
      <c r="CN1974" s="115"/>
      <c r="CO1974" s="115"/>
      <c r="CP1974" s="115"/>
    </row>
    <row r="1975" ht="15.75" customHeight="1">
      <c r="A1975" s="21" t="s">
        <v>9070</v>
      </c>
      <c r="B1975" s="68"/>
      <c r="C1975" s="69" t="s">
        <v>123</v>
      </c>
      <c r="D1975" s="138" t="s">
        <v>9071</v>
      </c>
      <c r="E1975" s="138" t="s">
        <v>9072</v>
      </c>
      <c r="F1975" s="173" t="s">
        <v>9073</v>
      </c>
      <c r="G1975" s="71" t="s">
        <v>9074</v>
      </c>
      <c r="H1975" s="71" t="s">
        <v>9075</v>
      </c>
      <c r="I1975" s="1932" t="s">
        <v>329</v>
      </c>
      <c r="J1975" s="72" t="s">
        <v>9076</v>
      </c>
      <c r="K1975" s="74" t="s">
        <v>723</v>
      </c>
      <c r="L1975" s="26">
        <v>2012.0</v>
      </c>
      <c r="M1975" s="25">
        <f t="shared" si="789"/>
        <v>13</v>
      </c>
      <c r="N1975" s="26">
        <f t="shared" si="790"/>
        <v>0</v>
      </c>
      <c r="O1975" s="27" t="str">
        <f t="shared" si="3"/>
        <v>#N/A</v>
      </c>
      <c r="P1975" s="273"/>
      <c r="Q1975" s="273"/>
      <c r="R1975" s="273"/>
      <c r="S1975" s="273"/>
      <c r="T1975" s="273"/>
      <c r="U1975" s="273"/>
      <c r="V1975" s="30">
        <f t="shared" si="425"/>
        <v>0</v>
      </c>
      <c r="W1975" s="30"/>
      <c r="X1975" s="32"/>
      <c r="Y1975" s="33" t="str">
        <f t="shared" si="792"/>
        <v>#DIV/0!</v>
      </c>
      <c r="Z1975" s="692"/>
      <c r="AA1975" s="665"/>
      <c r="AB1975" s="74"/>
      <c r="AC1975" s="74"/>
      <c r="AD1975" s="79"/>
      <c r="AE1975" s="84"/>
      <c r="AF1975" s="338"/>
      <c r="AG1975" s="84"/>
      <c r="AH1975" s="74"/>
      <c r="AI1975" s="78"/>
      <c r="AJ1975" s="79"/>
      <c r="AK1975" s="84"/>
      <c r="AL1975" s="79"/>
      <c r="AM1975" s="84"/>
      <c r="AN1975" s="79"/>
      <c r="AO1975" s="84"/>
      <c r="AP1975" s="79"/>
      <c r="AQ1975" s="84"/>
      <c r="AR1975" s="79"/>
      <c r="AS1975" s="79"/>
      <c r="AT1975" s="79"/>
      <c r="AU1975" s="80"/>
      <c r="AV1975" s="79"/>
      <c r="AW1975" s="38"/>
      <c r="AX1975" s="79"/>
      <c r="AY1975" s="38"/>
      <c r="AZ1975" s="79"/>
      <c r="BA1975" s="80"/>
      <c r="BB1975" s="79"/>
      <c r="BC1975" s="80"/>
      <c r="BD1975" s="79"/>
      <c r="BE1975" s="38"/>
      <c r="BF1975" s="74"/>
      <c r="BG1975" s="115"/>
      <c r="BH1975" s="115"/>
      <c r="BI1975" s="115"/>
      <c r="BJ1975" s="115"/>
      <c r="BK1975" s="115"/>
      <c r="BL1975" s="115"/>
      <c r="BM1975" s="115"/>
      <c r="BN1975" s="115"/>
      <c r="BO1975" s="115"/>
      <c r="BP1975" s="115"/>
      <c r="BQ1975" s="115"/>
      <c r="BR1975" s="115"/>
      <c r="BS1975" s="115"/>
      <c r="BT1975" s="115"/>
      <c r="BU1975" s="115"/>
      <c r="BV1975" s="115"/>
      <c r="BW1975" s="115"/>
      <c r="BX1975" s="115"/>
      <c r="BY1975" s="115"/>
      <c r="BZ1975" s="115"/>
      <c r="CA1975" s="115"/>
      <c r="CB1975" s="115"/>
      <c r="CC1975" s="115"/>
      <c r="CD1975" s="115"/>
      <c r="CE1975" s="115"/>
      <c r="CF1975" s="115"/>
      <c r="CG1975" s="115"/>
      <c r="CH1975" s="115"/>
      <c r="CI1975" s="115"/>
      <c r="CJ1975" s="115"/>
      <c r="CK1975" s="115"/>
      <c r="CL1975" s="115"/>
      <c r="CM1975" s="115"/>
      <c r="CN1975" s="115"/>
      <c r="CO1975" s="115"/>
      <c r="CP1975" s="115"/>
    </row>
    <row r="1976" ht="15.75" customHeight="1">
      <c r="A1976" s="442" t="s">
        <v>9077</v>
      </c>
      <c r="B1976" s="68"/>
      <c r="C1976" s="69" t="s">
        <v>123</v>
      </c>
      <c r="D1976" s="184"/>
      <c r="E1976" s="270" t="s">
        <v>9078</v>
      </c>
      <c r="F1976" s="417" t="s">
        <v>9079</v>
      </c>
      <c r="G1976" s="71" t="s">
        <v>9080</v>
      </c>
      <c r="H1976" s="71" t="s">
        <v>4063</v>
      </c>
      <c r="I1976" s="74"/>
      <c r="J1976" s="72" t="s">
        <v>9081</v>
      </c>
      <c r="K1976" s="74" t="s">
        <v>723</v>
      </c>
      <c r="L1976" s="26">
        <v>2015.0</v>
      </c>
      <c r="M1976" s="25">
        <f t="shared" si="789"/>
        <v>10</v>
      </c>
      <c r="N1976" s="26">
        <f t="shared" si="790"/>
        <v>0</v>
      </c>
      <c r="O1976" s="27" t="str">
        <f t="shared" si="3"/>
        <v>#N/A</v>
      </c>
      <c r="P1976" s="28"/>
      <c r="Q1976" s="28"/>
      <c r="R1976" s="28"/>
      <c r="S1976" s="28"/>
      <c r="T1976" s="28"/>
      <c r="U1976" s="28"/>
      <c r="V1976" s="30">
        <f t="shared" si="425"/>
        <v>0</v>
      </c>
      <c r="W1976" s="30"/>
      <c r="X1976" s="32"/>
      <c r="Y1976" s="33" t="str">
        <f t="shared" si="792"/>
        <v>#DIV/0!</v>
      </c>
      <c r="Z1976" s="692"/>
      <c r="AA1976" s="665"/>
      <c r="AB1976" s="74"/>
      <c r="AC1976" s="74"/>
      <c r="AD1976" s="79"/>
      <c r="AE1976" s="84"/>
      <c r="AF1976" s="338"/>
      <c r="AG1976" s="84"/>
      <c r="AH1976" s="74"/>
      <c r="AI1976" s="78"/>
      <c r="AJ1976" s="79"/>
      <c r="AK1976" s="84"/>
      <c r="AL1976" s="1516"/>
      <c r="AM1976" s="84"/>
      <c r="AN1976" s="79"/>
      <c r="AO1976" s="84"/>
      <c r="AP1976" s="79"/>
      <c r="AQ1976" s="84"/>
      <c r="AR1976" s="79"/>
      <c r="AS1976" s="79"/>
      <c r="AT1976" s="79"/>
      <c r="AU1976" s="80"/>
      <c r="AV1976" s="79"/>
      <c r="AW1976" s="38"/>
      <c r="AX1976" s="79"/>
      <c r="AY1976" s="38"/>
      <c r="AZ1976" s="79"/>
      <c r="BA1976" s="80"/>
      <c r="BB1976" s="79"/>
      <c r="BC1976" s="80"/>
      <c r="BD1976" s="79"/>
      <c r="BE1976" s="38"/>
      <c r="BF1976" s="74"/>
      <c r="BG1976" s="115"/>
      <c r="BH1976" s="115"/>
      <c r="BI1976" s="115"/>
      <c r="BJ1976" s="115"/>
      <c r="BK1976" s="115"/>
      <c r="BL1976" s="115"/>
      <c r="BM1976" s="115"/>
      <c r="BN1976" s="115"/>
      <c r="BO1976" s="115"/>
      <c r="BP1976" s="115"/>
      <c r="BQ1976" s="115"/>
      <c r="BR1976" s="115"/>
      <c r="BS1976" s="115"/>
      <c r="BT1976" s="115"/>
      <c r="BU1976" s="115"/>
      <c r="BV1976" s="115"/>
      <c r="BW1976" s="115"/>
      <c r="BX1976" s="115"/>
      <c r="BY1976" s="115"/>
      <c r="BZ1976" s="115"/>
      <c r="CA1976" s="115"/>
      <c r="CB1976" s="115"/>
      <c r="CC1976" s="115"/>
      <c r="CD1976" s="115"/>
      <c r="CE1976" s="115"/>
      <c r="CF1976" s="115"/>
      <c r="CG1976" s="115"/>
      <c r="CH1976" s="115"/>
      <c r="CI1976" s="115"/>
      <c r="CJ1976" s="115"/>
      <c r="CK1976" s="115"/>
      <c r="CL1976" s="115"/>
      <c r="CM1976" s="115"/>
      <c r="CN1976" s="115"/>
      <c r="CO1976" s="115"/>
      <c r="CP1976" s="115"/>
    </row>
    <row r="1977" ht="15.75" customHeight="1">
      <c r="A1977" s="21" t="s">
        <v>9082</v>
      </c>
      <c r="B1977" s="68"/>
      <c r="C1977" s="69" t="s">
        <v>84</v>
      </c>
      <c r="D1977" s="200" t="s">
        <v>9083</v>
      </c>
      <c r="E1977" s="138" t="s">
        <v>9084</v>
      </c>
      <c r="F1977" s="154" t="s">
        <v>9085</v>
      </c>
      <c r="G1977" s="71" t="s">
        <v>9086</v>
      </c>
      <c r="H1977" s="71" t="s">
        <v>9087</v>
      </c>
      <c r="I1977" s="26" t="s">
        <v>188</v>
      </c>
      <c r="J1977" s="72" t="s">
        <v>9088</v>
      </c>
      <c r="K1977" s="74" t="s">
        <v>723</v>
      </c>
      <c r="L1977" s="74" t="s">
        <v>723</v>
      </c>
      <c r="M1977" s="25" t="str">
        <f t="shared" si="789"/>
        <v>#VALUE!</v>
      </c>
      <c r="N1977" s="26">
        <f t="shared" si="790"/>
        <v>0</v>
      </c>
      <c r="O1977" s="27" t="str">
        <f t="shared" si="3"/>
        <v>#N/A</v>
      </c>
      <c r="P1977" s="28"/>
      <c r="Q1977" s="28"/>
      <c r="R1977" s="28"/>
      <c r="S1977" s="28"/>
      <c r="T1977" s="28"/>
      <c r="U1977" s="28"/>
      <c r="V1977" s="30">
        <f t="shared" si="425"/>
        <v>0</v>
      </c>
      <c r="W1977" s="30"/>
      <c r="X1977" s="32"/>
      <c r="Y1977" s="33" t="str">
        <f t="shared" si="792"/>
        <v>#DIV/0!</v>
      </c>
      <c r="Z1977" s="692"/>
      <c r="AA1977" s="665"/>
      <c r="AB1977" s="74"/>
      <c r="AC1977" s="74"/>
      <c r="AD1977" s="79"/>
      <c r="AE1977" s="84"/>
      <c r="AF1977" s="338"/>
      <c r="AG1977" s="84"/>
      <c r="AH1977" s="74"/>
      <c r="AI1977" s="78"/>
      <c r="AJ1977" s="79"/>
      <c r="AK1977" s="84"/>
      <c r="AL1977" s="79"/>
      <c r="AM1977" s="84"/>
      <c r="AN1977" s="79"/>
      <c r="AO1977" s="84"/>
      <c r="AP1977" s="79"/>
      <c r="AQ1977" s="84"/>
      <c r="AR1977" s="79"/>
      <c r="AS1977" s="79"/>
      <c r="AT1977" s="79"/>
      <c r="AU1977" s="80"/>
      <c r="AV1977" s="79"/>
      <c r="AW1977" s="38"/>
      <c r="AX1977" s="79"/>
      <c r="AY1977" s="38"/>
      <c r="AZ1977" s="79"/>
      <c r="BA1977" s="80"/>
      <c r="BB1977" s="79"/>
      <c r="BC1977" s="80"/>
      <c r="BD1977" s="79"/>
      <c r="BE1977" s="38"/>
      <c r="BF1977" s="74"/>
      <c r="BG1977" s="115"/>
      <c r="BH1977" s="115"/>
      <c r="BI1977" s="115"/>
      <c r="BJ1977" s="115"/>
      <c r="BK1977" s="115"/>
      <c r="BL1977" s="115"/>
      <c r="BM1977" s="115"/>
      <c r="BN1977" s="115"/>
      <c r="BO1977" s="115"/>
      <c r="BP1977" s="115"/>
      <c r="BQ1977" s="115"/>
      <c r="BR1977" s="115"/>
      <c r="BS1977" s="115"/>
      <c r="BT1977" s="115"/>
      <c r="BU1977" s="115"/>
      <c r="BV1977" s="115"/>
      <c r="BW1977" s="115"/>
      <c r="BX1977" s="115"/>
      <c r="BY1977" s="115"/>
      <c r="BZ1977" s="115"/>
      <c r="CA1977" s="115"/>
      <c r="CB1977" s="115"/>
      <c r="CC1977" s="115"/>
      <c r="CD1977" s="115"/>
      <c r="CE1977" s="115"/>
      <c r="CF1977" s="115"/>
      <c r="CG1977" s="115"/>
      <c r="CH1977" s="115"/>
      <c r="CI1977" s="115"/>
      <c r="CJ1977" s="115"/>
      <c r="CK1977" s="115"/>
      <c r="CL1977" s="115"/>
      <c r="CM1977" s="115"/>
      <c r="CN1977" s="115"/>
      <c r="CO1977" s="115"/>
      <c r="CP1977" s="115"/>
    </row>
    <row r="1978" ht="15.75" customHeight="1">
      <c r="A1978" s="931" t="s">
        <v>9089</v>
      </c>
      <c r="B1978" s="68"/>
      <c r="C1978" s="69" t="s">
        <v>132</v>
      </c>
      <c r="D1978" s="192" t="s">
        <v>9090</v>
      </c>
      <c r="E1978" s="192" t="s">
        <v>9091</v>
      </c>
      <c r="F1978" s="1487" t="s">
        <v>9092</v>
      </c>
      <c r="G1978" s="71"/>
      <c r="H1978" s="71" t="s">
        <v>114</v>
      </c>
      <c r="I1978" s="26" t="s">
        <v>115</v>
      </c>
      <c r="J1978" s="72"/>
      <c r="K1978" s="26"/>
      <c r="L1978" s="26">
        <v>2016.0</v>
      </c>
      <c r="M1978" s="25">
        <f t="shared" si="789"/>
        <v>9</v>
      </c>
      <c r="N1978" s="26">
        <f t="shared" si="790"/>
        <v>0</v>
      </c>
      <c r="O1978" s="27" t="str">
        <f t="shared" si="3"/>
        <v>#N/A</v>
      </c>
      <c r="P1978" s="28"/>
      <c r="Q1978" s="28"/>
      <c r="R1978" s="28"/>
      <c r="S1978" s="28"/>
      <c r="T1978" s="28"/>
      <c r="U1978" s="28"/>
      <c r="V1978" s="30">
        <f t="shared" si="425"/>
        <v>0</v>
      </c>
      <c r="W1978" s="30"/>
      <c r="X1978" s="73"/>
      <c r="Y1978" s="33" t="str">
        <f t="shared" si="792"/>
        <v>#DIV/0!</v>
      </c>
      <c r="Z1978" s="692"/>
      <c r="AA1978" s="665"/>
      <c r="AB1978" s="74"/>
      <c r="AC1978" s="74"/>
      <c r="AD1978" s="79"/>
      <c r="AE1978" s="84"/>
      <c r="AF1978" s="338"/>
      <c r="AG1978" s="76"/>
      <c r="AH1978" s="74"/>
      <c r="AI1978" s="78"/>
      <c r="AJ1978" s="79"/>
      <c r="AK1978" s="84"/>
      <c r="AL1978" s="79"/>
      <c r="AM1978" s="84"/>
      <c r="AN1978" s="79"/>
      <c r="AO1978" s="84"/>
      <c r="AP1978" s="79"/>
      <c r="AQ1978" s="84"/>
      <c r="AR1978" s="79"/>
      <c r="AS1978" s="79"/>
      <c r="AT1978" s="79"/>
      <c r="AU1978" s="80"/>
      <c r="AV1978" s="79"/>
      <c r="AW1978" s="38"/>
      <c r="AX1978" s="79"/>
      <c r="AY1978" s="38"/>
      <c r="AZ1978" s="79"/>
      <c r="BA1978" s="80"/>
      <c r="BB1978" s="79"/>
      <c r="BC1978" s="80"/>
      <c r="BD1978" s="79"/>
      <c r="BE1978" s="38"/>
      <c r="BF1978" s="74"/>
      <c r="BG1978" s="115"/>
      <c r="BH1978" s="115"/>
      <c r="BI1978" s="115"/>
      <c r="BJ1978" s="115"/>
      <c r="BK1978" s="115"/>
      <c r="BL1978" s="115"/>
      <c r="BM1978" s="115"/>
      <c r="BN1978" s="115"/>
      <c r="BO1978" s="115"/>
      <c r="BP1978" s="115"/>
      <c r="BQ1978" s="115"/>
      <c r="BR1978" s="115"/>
      <c r="BS1978" s="115"/>
      <c r="BT1978" s="115"/>
      <c r="BU1978" s="115"/>
      <c r="BV1978" s="115"/>
      <c r="BW1978" s="115"/>
      <c r="BX1978" s="115"/>
      <c r="BY1978" s="115"/>
      <c r="BZ1978" s="115"/>
      <c r="CA1978" s="115"/>
      <c r="CB1978" s="115"/>
      <c r="CC1978" s="115"/>
      <c r="CD1978" s="115"/>
      <c r="CE1978" s="115"/>
      <c r="CF1978" s="115"/>
      <c r="CG1978" s="115"/>
      <c r="CH1978" s="115"/>
      <c r="CI1978" s="115"/>
      <c r="CJ1978" s="115"/>
      <c r="CK1978" s="115"/>
      <c r="CL1978" s="115"/>
      <c r="CM1978" s="115"/>
      <c r="CN1978" s="115"/>
      <c r="CO1978" s="115"/>
      <c r="CP1978" s="115"/>
    </row>
    <row r="1979" ht="15.75" customHeight="1">
      <c r="A1979" s="442" t="s">
        <v>9093</v>
      </c>
      <c r="B1979" s="68"/>
      <c r="C1979" s="69" t="s">
        <v>132</v>
      </c>
      <c r="D1979" s="200" t="s">
        <v>9094</v>
      </c>
      <c r="E1979" s="200" t="s">
        <v>9095</v>
      </c>
      <c r="F1979" s="417" t="s">
        <v>9096</v>
      </c>
      <c r="G1979" s="71" t="s">
        <v>9097</v>
      </c>
      <c r="H1979" s="71" t="s">
        <v>64</v>
      </c>
      <c r="I1979" s="26" t="s">
        <v>65</v>
      </c>
      <c r="J1979" s="72" t="s">
        <v>1288</v>
      </c>
      <c r="K1979" s="26">
        <v>1.0</v>
      </c>
      <c r="L1979" s="26">
        <v>2009.0</v>
      </c>
      <c r="M1979" s="25">
        <f t="shared" si="789"/>
        <v>16</v>
      </c>
      <c r="N1979" s="26">
        <f t="shared" si="790"/>
        <v>0</v>
      </c>
      <c r="O1979" s="27" t="str">
        <f t="shared" si="3"/>
        <v>#N/A</v>
      </c>
      <c r="P1979" s="28"/>
      <c r="Q1979" s="28"/>
      <c r="R1979" s="28"/>
      <c r="S1979" s="28"/>
      <c r="T1979" s="28"/>
      <c r="U1979" s="28"/>
      <c r="V1979" s="30">
        <f t="shared" si="425"/>
        <v>0</v>
      </c>
      <c r="W1979" s="30"/>
      <c r="X1979" s="73"/>
      <c r="Y1979" s="33" t="str">
        <f t="shared" si="792"/>
        <v>#DIV/0!</v>
      </c>
      <c r="Z1979" s="692"/>
      <c r="AA1979" s="665"/>
      <c r="AB1979" s="74"/>
      <c r="AC1979" s="74"/>
      <c r="AD1979" s="79"/>
      <c r="AE1979" s="84"/>
      <c r="AF1979" s="338"/>
      <c r="AG1979" s="84"/>
      <c r="AH1979" s="74"/>
      <c r="AI1979" s="78"/>
      <c r="AJ1979" s="79"/>
      <c r="AK1979" s="84"/>
      <c r="AL1979" s="79"/>
      <c r="AM1979" s="84"/>
      <c r="AN1979" s="79"/>
      <c r="AO1979" s="84"/>
      <c r="AP1979" s="79"/>
      <c r="AQ1979" s="84"/>
      <c r="AR1979" s="79"/>
      <c r="AS1979" s="79"/>
      <c r="AT1979" s="79"/>
      <c r="AU1979" s="80"/>
      <c r="AV1979" s="79"/>
      <c r="AW1979" s="38"/>
      <c r="AX1979" s="79"/>
      <c r="AY1979" s="38"/>
      <c r="AZ1979" s="79"/>
      <c r="BA1979" s="80"/>
      <c r="BB1979" s="79"/>
      <c r="BC1979" s="80"/>
      <c r="BD1979" s="79"/>
      <c r="BE1979" s="38"/>
      <c r="BF1979" s="74"/>
      <c r="BG1979" s="115"/>
      <c r="BH1979" s="115"/>
      <c r="BI1979" s="115"/>
      <c r="BJ1979" s="115"/>
      <c r="BK1979" s="115"/>
      <c r="BL1979" s="115"/>
      <c r="BM1979" s="115"/>
      <c r="BN1979" s="115"/>
      <c r="BO1979" s="115"/>
      <c r="BP1979" s="115"/>
      <c r="BQ1979" s="115"/>
      <c r="BR1979" s="115"/>
      <c r="BS1979" s="115"/>
      <c r="BT1979" s="115"/>
      <c r="BU1979" s="115"/>
      <c r="BV1979" s="115"/>
      <c r="BW1979" s="115"/>
      <c r="BX1979" s="115"/>
      <c r="BY1979" s="115"/>
      <c r="BZ1979" s="115"/>
      <c r="CA1979" s="115"/>
      <c r="CB1979" s="115"/>
      <c r="CC1979" s="115"/>
      <c r="CD1979" s="115"/>
      <c r="CE1979" s="115"/>
      <c r="CF1979" s="115"/>
      <c r="CG1979" s="115"/>
      <c r="CH1979" s="115"/>
      <c r="CI1979" s="115"/>
      <c r="CJ1979" s="115"/>
      <c r="CK1979" s="115"/>
      <c r="CL1979" s="115"/>
      <c r="CM1979" s="115"/>
      <c r="CN1979" s="115"/>
      <c r="CO1979" s="115"/>
      <c r="CP1979" s="115"/>
    </row>
    <row r="1980" ht="15.75" customHeight="1">
      <c r="A1980" s="21" t="s">
        <v>9098</v>
      </c>
      <c r="B1980" s="68"/>
      <c r="C1980" s="69" t="s">
        <v>267</v>
      </c>
      <c r="D1980" s="200" t="s">
        <v>9099</v>
      </c>
      <c r="E1980" s="138" t="s">
        <v>9100</v>
      </c>
      <c r="F1980" s="154" t="s">
        <v>9101</v>
      </c>
      <c r="G1980" s="71" t="s">
        <v>9102</v>
      </c>
      <c r="H1980" s="71" t="s">
        <v>9103</v>
      </c>
      <c r="I1980" s="26" t="s">
        <v>651</v>
      </c>
      <c r="J1980" s="72" t="s">
        <v>9104</v>
      </c>
      <c r="K1980" s="74" t="s">
        <v>723</v>
      </c>
      <c r="L1980" s="26">
        <v>1992.0</v>
      </c>
      <c r="M1980" s="25">
        <f t="shared" si="789"/>
        <v>33</v>
      </c>
      <c r="N1980" s="26">
        <f t="shared" si="790"/>
        <v>0</v>
      </c>
      <c r="O1980" s="27" t="str">
        <f t="shared" si="3"/>
        <v>#N/A</v>
      </c>
      <c r="P1980" s="28"/>
      <c r="Q1980" s="28"/>
      <c r="R1980" s="28"/>
      <c r="S1980" s="28"/>
      <c r="T1980" s="28"/>
      <c r="U1980" s="28"/>
      <c r="V1980" s="30">
        <f t="shared" si="425"/>
        <v>0</v>
      </c>
      <c r="W1980" s="30"/>
      <c r="X1980" s="32"/>
      <c r="Y1980" s="33" t="str">
        <f t="shared" si="792"/>
        <v>#DIV/0!</v>
      </c>
      <c r="Z1980" s="692"/>
      <c r="AA1980" s="665"/>
      <c r="AB1980" s="74"/>
      <c r="AC1980" s="74"/>
      <c r="AD1980" s="79"/>
      <c r="AE1980" s="84"/>
      <c r="AF1980" s="338"/>
      <c r="AG1980" s="84"/>
      <c r="AH1980" s="74"/>
      <c r="AI1980" s="78"/>
      <c r="AJ1980" s="79"/>
      <c r="AK1980" s="84"/>
      <c r="AL1980" s="79"/>
      <c r="AM1980" s="84"/>
      <c r="AN1980" s="79"/>
      <c r="AO1980" s="84"/>
      <c r="AP1980" s="79"/>
      <c r="AQ1980" s="84"/>
      <c r="AR1980" s="79"/>
      <c r="AS1980" s="79"/>
      <c r="AT1980" s="79"/>
      <c r="AU1980" s="80"/>
      <c r="AV1980" s="79"/>
      <c r="AW1980" s="38"/>
      <c r="AX1980" s="79"/>
      <c r="AY1980" s="38"/>
      <c r="AZ1980" s="79"/>
      <c r="BA1980" s="80"/>
      <c r="BB1980" s="79"/>
      <c r="BC1980" s="80"/>
      <c r="BD1980" s="79"/>
      <c r="BE1980" s="38"/>
      <c r="BF1980" s="74"/>
      <c r="BG1980" s="115"/>
      <c r="BH1980" s="115"/>
      <c r="BI1980" s="115"/>
      <c r="BJ1980" s="115"/>
      <c r="BK1980" s="115"/>
      <c r="BL1980" s="115"/>
      <c r="BM1980" s="115"/>
      <c r="BN1980" s="115"/>
      <c r="BO1980" s="115"/>
      <c r="BP1980" s="115"/>
      <c r="BQ1980" s="115"/>
      <c r="BR1980" s="115"/>
      <c r="BS1980" s="115"/>
      <c r="BT1980" s="115"/>
      <c r="BU1980" s="115"/>
      <c r="BV1980" s="115"/>
      <c r="BW1980" s="115"/>
      <c r="BX1980" s="115"/>
      <c r="BY1980" s="115"/>
      <c r="BZ1980" s="115"/>
      <c r="CA1980" s="115"/>
      <c r="CB1980" s="115"/>
      <c r="CC1980" s="115"/>
      <c r="CD1980" s="115"/>
      <c r="CE1980" s="115"/>
      <c r="CF1980" s="115"/>
      <c r="CG1980" s="115"/>
      <c r="CH1980" s="115"/>
      <c r="CI1980" s="115"/>
      <c r="CJ1980" s="115"/>
      <c r="CK1980" s="115"/>
      <c r="CL1980" s="115"/>
      <c r="CM1980" s="115"/>
      <c r="CN1980" s="115"/>
      <c r="CO1980" s="115"/>
      <c r="CP1980" s="115"/>
    </row>
    <row r="1981" ht="15.75" customHeight="1">
      <c r="A1981" s="21" t="s">
        <v>9105</v>
      </c>
      <c r="B1981" s="68"/>
      <c r="C1981" s="69" t="s">
        <v>59</v>
      </c>
      <c r="D1981" s="200" t="s">
        <v>9106</v>
      </c>
      <c r="E1981" s="385" t="s">
        <v>3432</v>
      </c>
      <c r="F1981" s="173" t="s">
        <v>9107</v>
      </c>
      <c r="G1981" s="71" t="s">
        <v>9108</v>
      </c>
      <c r="H1981" s="71" t="s">
        <v>9109</v>
      </c>
      <c r="I1981" s="26" t="s">
        <v>65</v>
      </c>
      <c r="J1981" s="72" t="s">
        <v>9110</v>
      </c>
      <c r="K1981" s="74" t="s">
        <v>723</v>
      </c>
      <c r="L1981" s="74" t="s">
        <v>723</v>
      </c>
      <c r="M1981" s="25" t="str">
        <f t="shared" si="789"/>
        <v>#VALUE!</v>
      </c>
      <c r="N1981" s="26">
        <f t="shared" si="790"/>
        <v>0</v>
      </c>
      <c r="O1981" s="27" t="str">
        <f t="shared" si="3"/>
        <v>#N/A</v>
      </c>
      <c r="P1981" s="273"/>
      <c r="Q1981" s="273"/>
      <c r="R1981" s="273"/>
      <c r="S1981" s="273"/>
      <c r="T1981" s="273"/>
      <c r="U1981" s="273"/>
      <c r="V1981" s="30">
        <f t="shared" si="425"/>
        <v>0</v>
      </c>
      <c r="W1981" s="30"/>
      <c r="X1981" s="32"/>
      <c r="Y1981" s="33" t="str">
        <f t="shared" si="792"/>
        <v>#DIV/0!</v>
      </c>
      <c r="Z1981" s="692"/>
      <c r="AA1981" s="665"/>
      <c r="AB1981" s="74"/>
      <c r="AC1981" s="74"/>
      <c r="AD1981" s="79"/>
      <c r="AE1981" s="84"/>
      <c r="AF1981" s="338"/>
      <c r="AG1981" s="894"/>
      <c r="AH1981" s="74"/>
      <c r="AI1981" s="78"/>
      <c r="AJ1981" s="279"/>
      <c r="AK1981" s="76"/>
      <c r="AL1981" s="79"/>
      <c r="AM1981" s="84"/>
      <c r="AN1981" s="79"/>
      <c r="AO1981" s="84"/>
      <c r="AP1981" s="79"/>
      <c r="AQ1981" s="84"/>
      <c r="AR1981" s="79"/>
      <c r="AS1981" s="79"/>
      <c r="AT1981" s="79"/>
      <c r="AU1981" s="80"/>
      <c r="AV1981" s="79"/>
      <c r="AW1981" s="38"/>
      <c r="AX1981" s="79"/>
      <c r="AY1981" s="38"/>
      <c r="AZ1981" s="79"/>
      <c r="BA1981" s="80"/>
      <c r="BB1981" s="79"/>
      <c r="BC1981" s="80"/>
      <c r="BD1981" s="79"/>
      <c r="BE1981" s="38"/>
      <c r="BF1981" s="74"/>
      <c r="BG1981" s="115"/>
      <c r="BH1981" s="115"/>
      <c r="BI1981" s="115"/>
      <c r="BJ1981" s="115"/>
      <c r="BK1981" s="115"/>
      <c r="BL1981" s="115"/>
      <c r="BM1981" s="115"/>
      <c r="BN1981" s="115"/>
      <c r="BO1981" s="115"/>
      <c r="BP1981" s="115"/>
      <c r="BQ1981" s="115"/>
      <c r="BR1981" s="115"/>
      <c r="BS1981" s="115"/>
      <c r="BT1981" s="115"/>
      <c r="BU1981" s="115"/>
      <c r="BV1981" s="115"/>
      <c r="BW1981" s="115"/>
      <c r="BX1981" s="115"/>
      <c r="BY1981" s="115"/>
      <c r="BZ1981" s="115"/>
      <c r="CA1981" s="115"/>
      <c r="CB1981" s="115"/>
      <c r="CC1981" s="115"/>
      <c r="CD1981" s="115"/>
      <c r="CE1981" s="115"/>
      <c r="CF1981" s="115"/>
      <c r="CG1981" s="115"/>
      <c r="CH1981" s="115"/>
      <c r="CI1981" s="115"/>
      <c r="CJ1981" s="115"/>
      <c r="CK1981" s="115"/>
      <c r="CL1981" s="115"/>
      <c r="CM1981" s="115"/>
      <c r="CN1981" s="115"/>
      <c r="CO1981" s="115"/>
      <c r="CP1981" s="115"/>
    </row>
    <row r="1982" ht="15.75" customHeight="1">
      <c r="A1982" s="442" t="s">
        <v>9111</v>
      </c>
      <c r="B1982" s="68" t="s">
        <v>1032</v>
      </c>
      <c r="C1982" s="1933" t="s">
        <v>123</v>
      </c>
      <c r="D1982" s="138" t="s">
        <v>9112</v>
      </c>
      <c r="E1982" s="138" t="s">
        <v>9113</v>
      </c>
      <c r="F1982" s="417" t="s">
        <v>9114</v>
      </c>
      <c r="G1982" s="71" t="s">
        <v>9115</v>
      </c>
      <c r="H1982" s="71" t="s">
        <v>9116</v>
      </c>
      <c r="I1982" s="74"/>
      <c r="J1982" s="237"/>
      <c r="K1982" s="74" t="s">
        <v>723</v>
      </c>
      <c r="L1982" s="74" t="s">
        <v>723</v>
      </c>
      <c r="M1982" s="25" t="str">
        <f t="shared" si="789"/>
        <v>#VALUE!</v>
      </c>
      <c r="N1982" s="26">
        <f t="shared" si="790"/>
        <v>0</v>
      </c>
      <c r="O1982" s="27" t="str">
        <f t="shared" si="3"/>
        <v>#N/A</v>
      </c>
      <c r="P1982" s="28"/>
      <c r="Q1982" s="28"/>
      <c r="R1982" s="28"/>
      <c r="S1982" s="28"/>
      <c r="T1982" s="28"/>
      <c r="U1982" s="28"/>
      <c r="V1982" s="30">
        <f t="shared" si="425"/>
        <v>0</v>
      </c>
      <c r="W1982" s="30"/>
      <c r="X1982" s="32"/>
      <c r="Y1982" s="33" t="str">
        <f t="shared" si="792"/>
        <v>#DIV/0!</v>
      </c>
      <c r="Z1982" s="692"/>
      <c r="AA1982" s="665"/>
      <c r="AB1982" s="74"/>
      <c r="AC1982" s="74"/>
      <c r="AD1982" s="79"/>
      <c r="AE1982" s="84"/>
      <c r="AF1982" s="338"/>
      <c r="AG1982" s="84"/>
      <c r="AH1982" s="74"/>
      <c r="AI1982" s="78"/>
      <c r="AJ1982" s="79"/>
      <c r="AK1982" s="84"/>
      <c r="AL1982" s="79"/>
      <c r="AM1982" s="84"/>
      <c r="AN1982" s="79"/>
      <c r="AO1982" s="84"/>
      <c r="AP1982" s="79"/>
      <c r="AQ1982" s="84"/>
      <c r="AR1982" s="79"/>
      <c r="AS1982" s="79"/>
      <c r="AT1982" s="79"/>
      <c r="AU1982" s="80"/>
      <c r="AV1982" s="79"/>
      <c r="AW1982" s="38"/>
      <c r="AX1982" s="79"/>
      <c r="AY1982" s="38"/>
      <c r="AZ1982" s="79"/>
      <c r="BA1982" s="80"/>
      <c r="BB1982" s="79"/>
      <c r="BC1982" s="80"/>
      <c r="BD1982" s="79"/>
      <c r="BE1982" s="38"/>
      <c r="BF1982" s="74"/>
      <c r="BG1982" s="115"/>
      <c r="BH1982" s="115"/>
      <c r="BI1982" s="115"/>
      <c r="BJ1982" s="115"/>
      <c r="BK1982" s="115"/>
      <c r="BL1982" s="115"/>
      <c r="BM1982" s="115"/>
      <c r="BN1982" s="115"/>
      <c r="BO1982" s="115"/>
      <c r="BP1982" s="115"/>
      <c r="BQ1982" s="115"/>
      <c r="BR1982" s="115"/>
      <c r="BS1982" s="115"/>
      <c r="BT1982" s="115"/>
      <c r="BU1982" s="115"/>
      <c r="BV1982" s="115"/>
      <c r="BW1982" s="115"/>
      <c r="BX1982" s="115"/>
      <c r="BY1982" s="115"/>
      <c r="BZ1982" s="115"/>
      <c r="CA1982" s="115"/>
      <c r="CB1982" s="115"/>
      <c r="CC1982" s="115"/>
      <c r="CD1982" s="115"/>
      <c r="CE1982" s="115"/>
      <c r="CF1982" s="115"/>
      <c r="CG1982" s="115"/>
      <c r="CH1982" s="115"/>
      <c r="CI1982" s="115"/>
      <c r="CJ1982" s="115"/>
      <c r="CK1982" s="115"/>
      <c r="CL1982" s="115"/>
      <c r="CM1982" s="115"/>
      <c r="CN1982" s="115"/>
      <c r="CO1982" s="115"/>
      <c r="CP1982" s="115"/>
    </row>
    <row r="1983" ht="15.75" customHeight="1">
      <c r="A1983" s="931" t="s">
        <v>9117</v>
      </c>
      <c r="B1983" s="68"/>
      <c r="C1983" s="69" t="s">
        <v>132</v>
      </c>
      <c r="D1983" s="192" t="s">
        <v>9118</v>
      </c>
      <c r="E1983" s="192" t="s">
        <v>9119</v>
      </c>
      <c r="F1983" s="118" t="s">
        <v>9120</v>
      </c>
      <c r="G1983" s="54" t="s">
        <v>9121</v>
      </c>
      <c r="H1983" s="71" t="s">
        <v>587</v>
      </c>
      <c r="I1983" s="26" t="s">
        <v>65</v>
      </c>
      <c r="J1983" s="178" t="s">
        <v>5371</v>
      </c>
      <c r="K1983" s="74"/>
      <c r="L1983" s="26">
        <v>2017.0</v>
      </c>
      <c r="M1983" s="25">
        <f t="shared" si="789"/>
        <v>8</v>
      </c>
      <c r="N1983" s="26">
        <f t="shared" si="790"/>
        <v>0</v>
      </c>
      <c r="O1983" s="27" t="str">
        <f t="shared" si="3"/>
        <v>#N/A</v>
      </c>
      <c r="P1983" s="28"/>
      <c r="Q1983" s="28"/>
      <c r="R1983" s="28"/>
      <c r="S1983" s="28"/>
      <c r="T1983" s="28"/>
      <c r="U1983" s="28"/>
      <c r="V1983" s="30">
        <f t="shared" si="425"/>
        <v>0</v>
      </c>
      <c r="W1983" s="30"/>
      <c r="X1983" s="32"/>
      <c r="Y1983" s="33" t="str">
        <f t="shared" si="792"/>
        <v>#DIV/0!</v>
      </c>
      <c r="Z1983" s="692"/>
      <c r="AA1983" s="665"/>
      <c r="AB1983" s="74"/>
      <c r="AC1983" s="74"/>
      <c r="AD1983" s="79"/>
      <c r="AE1983" s="84"/>
      <c r="AF1983" s="84"/>
      <c r="AG1983" s="84"/>
      <c r="AH1983" s="74"/>
      <c r="AI1983" s="78"/>
      <c r="AJ1983" s="79"/>
      <c r="AK1983" s="84"/>
      <c r="AL1983" s="279"/>
      <c r="AM1983" s="76"/>
      <c r="AN1983" s="79"/>
      <c r="AO1983" s="84"/>
      <c r="AP1983" s="79"/>
      <c r="AQ1983" s="84"/>
      <c r="AR1983" s="79"/>
      <c r="AS1983" s="79"/>
      <c r="AT1983" s="79"/>
      <c r="AU1983" s="80"/>
      <c r="AV1983" s="79"/>
      <c r="AW1983" s="38"/>
      <c r="AX1983" s="79"/>
      <c r="AY1983" s="38"/>
      <c r="AZ1983" s="79"/>
      <c r="BA1983" s="80"/>
      <c r="BB1983" s="79"/>
      <c r="BC1983" s="80"/>
      <c r="BD1983" s="79"/>
      <c r="BE1983" s="38"/>
      <c r="BF1983" s="74"/>
      <c r="BG1983" s="115"/>
      <c r="BH1983" s="115"/>
      <c r="BI1983" s="115"/>
      <c r="BJ1983" s="115"/>
      <c r="BK1983" s="115"/>
      <c r="BL1983" s="115"/>
      <c r="BM1983" s="115"/>
      <c r="BN1983" s="115"/>
      <c r="BO1983" s="115"/>
      <c r="BP1983" s="115"/>
      <c r="BQ1983" s="115"/>
      <c r="BR1983" s="115"/>
      <c r="BS1983" s="115"/>
      <c r="BT1983" s="115"/>
      <c r="BU1983" s="115"/>
      <c r="BV1983" s="115"/>
      <c r="BW1983" s="115"/>
      <c r="BX1983" s="115"/>
      <c r="BY1983" s="115"/>
      <c r="BZ1983" s="115"/>
      <c r="CA1983" s="115"/>
      <c r="CB1983" s="115"/>
      <c r="CC1983" s="115"/>
      <c r="CD1983" s="115"/>
      <c r="CE1983" s="115"/>
      <c r="CF1983" s="115"/>
      <c r="CG1983" s="115"/>
      <c r="CH1983" s="115"/>
      <c r="CI1983" s="115"/>
      <c r="CJ1983" s="115"/>
      <c r="CK1983" s="115"/>
      <c r="CL1983" s="115"/>
      <c r="CM1983" s="115"/>
      <c r="CN1983" s="115"/>
      <c r="CO1983" s="115"/>
      <c r="CP1983" s="115"/>
    </row>
    <row r="1984" ht="15.75" customHeight="1">
      <c r="A1984" s="931" t="s">
        <v>9122</v>
      </c>
      <c r="B1984" s="68"/>
      <c r="C1984" s="69" t="s">
        <v>132</v>
      </c>
      <c r="D1984" s="192" t="s">
        <v>9123</v>
      </c>
      <c r="E1984" s="192" t="s">
        <v>9124</v>
      </c>
      <c r="F1984" s="118" t="s">
        <v>9125</v>
      </c>
      <c r="G1984" s="186"/>
      <c r="H1984" s="71" t="s">
        <v>3056</v>
      </c>
      <c r="I1984" s="26" t="s">
        <v>1384</v>
      </c>
      <c r="J1984" s="155"/>
      <c r="K1984" s="74"/>
      <c r="L1984" s="26">
        <v>2016.0</v>
      </c>
      <c r="M1984" s="25">
        <f t="shared" si="789"/>
        <v>9</v>
      </c>
      <c r="N1984" s="26">
        <f t="shared" si="790"/>
        <v>0</v>
      </c>
      <c r="O1984" s="27" t="str">
        <f t="shared" si="3"/>
        <v>#N/A</v>
      </c>
      <c r="P1984" s="273"/>
      <c r="Q1984" s="273"/>
      <c r="R1984" s="273"/>
      <c r="S1984" s="273"/>
      <c r="T1984" s="273"/>
      <c r="U1984" s="273"/>
      <c r="V1984" s="30">
        <f t="shared" si="425"/>
        <v>0</v>
      </c>
      <c r="W1984" s="30"/>
      <c r="X1984" s="32"/>
      <c r="Y1984" s="33" t="str">
        <f t="shared" si="792"/>
        <v>#DIV/0!</v>
      </c>
      <c r="Z1984" s="692"/>
      <c r="AA1984" s="665"/>
      <c r="AB1984" s="74"/>
      <c r="AC1984" s="74"/>
      <c r="AD1984" s="79"/>
      <c r="AE1984" s="84"/>
      <c r="AF1984" s="338"/>
      <c r="AG1984" s="84"/>
      <c r="AH1984" s="74"/>
      <c r="AI1984" s="78"/>
      <c r="AJ1984" s="79"/>
      <c r="AK1984" s="84"/>
      <c r="AL1984" s="79"/>
      <c r="AM1984" s="84"/>
      <c r="AN1984" s="79"/>
      <c r="AO1984" s="84"/>
      <c r="AP1984" s="79"/>
      <c r="AQ1984" s="84"/>
      <c r="AR1984" s="79"/>
      <c r="AS1984" s="79"/>
      <c r="AT1984" s="79"/>
      <c r="AU1984" s="80"/>
      <c r="AV1984" s="79"/>
      <c r="AW1984" s="38"/>
      <c r="AX1984" s="79"/>
      <c r="AY1984" s="38"/>
      <c r="AZ1984" s="79"/>
      <c r="BA1984" s="80"/>
      <c r="BB1984" s="79"/>
      <c r="BC1984" s="80"/>
      <c r="BD1984" s="79"/>
      <c r="BE1984" s="38"/>
      <c r="BF1984" s="74"/>
      <c r="BG1984" s="115"/>
      <c r="BH1984" s="115"/>
      <c r="BI1984" s="115"/>
      <c r="BJ1984" s="115"/>
      <c r="BK1984" s="115"/>
      <c r="BL1984" s="115"/>
      <c r="BM1984" s="115"/>
      <c r="BN1984" s="115"/>
      <c r="BO1984" s="115"/>
      <c r="BP1984" s="115"/>
      <c r="BQ1984" s="115"/>
      <c r="BR1984" s="115"/>
      <c r="BS1984" s="115"/>
      <c r="BT1984" s="115"/>
      <c r="BU1984" s="115"/>
      <c r="BV1984" s="115"/>
      <c r="BW1984" s="115"/>
      <c r="BX1984" s="115"/>
      <c r="BY1984" s="115"/>
      <c r="BZ1984" s="115"/>
      <c r="CA1984" s="115"/>
      <c r="CB1984" s="115"/>
      <c r="CC1984" s="115"/>
      <c r="CD1984" s="115"/>
      <c r="CE1984" s="115"/>
      <c r="CF1984" s="115"/>
      <c r="CG1984" s="115"/>
      <c r="CH1984" s="115"/>
      <c r="CI1984" s="115"/>
      <c r="CJ1984" s="115"/>
      <c r="CK1984" s="115"/>
      <c r="CL1984" s="115"/>
      <c r="CM1984" s="115"/>
      <c r="CN1984" s="115"/>
      <c r="CO1984" s="115"/>
      <c r="CP1984" s="115"/>
    </row>
    <row r="1985" ht="15.75" customHeight="1">
      <c r="A1985" s="840" t="s">
        <v>9126</v>
      </c>
      <c r="B1985" s="68"/>
      <c r="C1985" s="69" t="s">
        <v>267</v>
      </c>
      <c r="D1985" s="200" t="s">
        <v>9127</v>
      </c>
      <c r="E1985" s="138" t="s">
        <v>9128</v>
      </c>
      <c r="F1985" s="173" t="s">
        <v>9129</v>
      </c>
      <c r="G1985" s="186"/>
      <c r="H1985" s="71"/>
      <c r="I1985" s="26"/>
      <c r="J1985" s="155"/>
      <c r="K1985" s="74" t="s">
        <v>723</v>
      </c>
      <c r="L1985" s="26">
        <v>2015.0</v>
      </c>
      <c r="M1985" s="25">
        <f t="shared" si="789"/>
        <v>10</v>
      </c>
      <c r="N1985" s="26">
        <f t="shared" si="790"/>
        <v>0</v>
      </c>
      <c r="O1985" s="27" t="str">
        <f t="shared" si="3"/>
        <v>#N/A</v>
      </c>
      <c r="P1985" s="273"/>
      <c r="Q1985" s="273"/>
      <c r="R1985" s="273"/>
      <c r="S1985" s="273"/>
      <c r="T1985" s="273"/>
      <c r="U1985" s="273"/>
      <c r="V1985" s="30">
        <f t="shared" si="425"/>
        <v>0</v>
      </c>
      <c r="W1985" s="30"/>
      <c r="X1985" s="32"/>
      <c r="Y1985" s="33" t="str">
        <f t="shared" si="792"/>
        <v>#DIV/0!</v>
      </c>
      <c r="Z1985" s="692"/>
      <c r="AA1985" s="665"/>
      <c r="AB1985" s="74"/>
      <c r="AC1985" s="74"/>
      <c r="AD1985" s="79"/>
      <c r="AE1985" s="84"/>
      <c r="AF1985" s="338"/>
      <c r="AG1985" s="84"/>
      <c r="AH1985" s="74"/>
      <c r="AI1985" s="78"/>
      <c r="AJ1985" s="79"/>
      <c r="AK1985" s="84"/>
      <c r="AL1985" s="79"/>
      <c r="AM1985" s="84"/>
      <c r="AN1985" s="79"/>
      <c r="AO1985" s="84"/>
      <c r="AP1985" s="79"/>
      <c r="AQ1985" s="84"/>
      <c r="AR1985" s="79"/>
      <c r="AS1985" s="79"/>
      <c r="AT1985" s="79"/>
      <c r="AU1985" s="80"/>
      <c r="AV1985" s="79"/>
      <c r="AW1985" s="38"/>
      <c r="AX1985" s="79"/>
      <c r="AY1985" s="38"/>
      <c r="AZ1985" s="79"/>
      <c r="BA1985" s="80"/>
      <c r="BB1985" s="79"/>
      <c r="BC1985" s="80"/>
      <c r="BD1985" s="79"/>
      <c r="BE1985" s="38"/>
      <c r="BF1985" s="74"/>
      <c r="BG1985" s="115"/>
      <c r="BH1985" s="115"/>
      <c r="BI1985" s="115"/>
      <c r="BJ1985" s="115"/>
      <c r="BK1985" s="115"/>
      <c r="BL1985" s="115"/>
      <c r="BM1985" s="115"/>
      <c r="BN1985" s="115"/>
      <c r="BO1985" s="115"/>
      <c r="BP1985" s="115"/>
      <c r="BQ1985" s="115"/>
      <c r="BR1985" s="115"/>
      <c r="BS1985" s="115"/>
      <c r="BT1985" s="115"/>
      <c r="BU1985" s="115"/>
      <c r="BV1985" s="115"/>
      <c r="BW1985" s="115"/>
      <c r="BX1985" s="115"/>
      <c r="BY1985" s="115"/>
      <c r="BZ1985" s="115"/>
      <c r="CA1985" s="115"/>
      <c r="CB1985" s="115"/>
      <c r="CC1985" s="115"/>
      <c r="CD1985" s="115"/>
      <c r="CE1985" s="115"/>
      <c r="CF1985" s="115"/>
      <c r="CG1985" s="115"/>
      <c r="CH1985" s="115"/>
      <c r="CI1985" s="115"/>
      <c r="CJ1985" s="115"/>
      <c r="CK1985" s="115"/>
      <c r="CL1985" s="115"/>
      <c r="CM1985" s="115"/>
      <c r="CN1985" s="115"/>
      <c r="CO1985" s="115"/>
      <c r="CP1985" s="115"/>
    </row>
    <row r="1986" ht="15.75" customHeight="1">
      <c r="A1986" s="931" t="s">
        <v>9130</v>
      </c>
      <c r="B1986" s="68"/>
      <c r="C1986" s="69" t="s">
        <v>132</v>
      </c>
      <c r="D1986" s="337"/>
      <c r="E1986" s="192" t="s">
        <v>9131</v>
      </c>
      <c r="F1986" s="118" t="s">
        <v>9132</v>
      </c>
      <c r="G1986" s="186"/>
      <c r="H1986" s="71" t="s">
        <v>9133</v>
      </c>
      <c r="I1986" s="26" t="s">
        <v>109</v>
      </c>
      <c r="J1986" s="155"/>
      <c r="K1986" s="74"/>
      <c r="L1986" s="26">
        <v>2012.0</v>
      </c>
      <c r="M1986" s="25">
        <f t="shared" si="789"/>
        <v>13</v>
      </c>
      <c r="N1986" s="26">
        <f t="shared" si="790"/>
        <v>0</v>
      </c>
      <c r="O1986" s="27" t="str">
        <f t="shared" si="3"/>
        <v>#N/A</v>
      </c>
      <c r="P1986" s="273"/>
      <c r="Q1986" s="273"/>
      <c r="R1986" s="273"/>
      <c r="S1986" s="273"/>
      <c r="T1986" s="273"/>
      <c r="U1986" s="273"/>
      <c r="V1986" s="30">
        <f t="shared" si="425"/>
        <v>0</v>
      </c>
      <c r="W1986" s="30"/>
      <c r="X1986" s="32"/>
      <c r="Y1986" s="33" t="str">
        <f t="shared" si="792"/>
        <v>#DIV/0!</v>
      </c>
      <c r="Z1986" s="692"/>
      <c r="AA1986" s="665"/>
      <c r="AB1986" s="74"/>
      <c r="AC1986" s="74"/>
      <c r="AD1986" s="79"/>
      <c r="AE1986" s="84"/>
      <c r="AF1986" s="338"/>
      <c r="AG1986" s="84"/>
      <c r="AH1986" s="74"/>
      <c r="AI1986" s="78"/>
      <c r="AJ1986" s="79"/>
      <c r="AK1986" s="84"/>
      <c r="AL1986" s="79"/>
      <c r="AM1986" s="84"/>
      <c r="AN1986" s="79"/>
      <c r="AO1986" s="84"/>
      <c r="AP1986" s="79"/>
      <c r="AQ1986" s="84"/>
      <c r="AR1986" s="79"/>
      <c r="AS1986" s="79"/>
      <c r="AT1986" s="79"/>
      <c r="AU1986" s="80"/>
      <c r="AV1986" s="79"/>
      <c r="AW1986" s="38"/>
      <c r="AX1986" s="79"/>
      <c r="AY1986" s="38"/>
      <c r="AZ1986" s="79"/>
      <c r="BA1986" s="80"/>
      <c r="BB1986" s="79"/>
      <c r="BC1986" s="80"/>
      <c r="BD1986" s="79"/>
      <c r="BE1986" s="38"/>
      <c r="BF1986" s="74"/>
    </row>
    <row r="1987">
      <c r="A1987" s="21" t="s">
        <v>9134</v>
      </c>
      <c r="B1987" s="68"/>
      <c r="C1987" s="69" t="s">
        <v>59</v>
      </c>
      <c r="D1987" s="337"/>
      <c r="E1987" s="138" t="s">
        <v>9135</v>
      </c>
      <c r="F1987" s="177" t="s">
        <v>9136</v>
      </c>
      <c r="G1987" s="186"/>
      <c r="H1987" s="186"/>
      <c r="I1987" s="74"/>
      <c r="J1987" s="155"/>
      <c r="K1987" s="74"/>
      <c r="L1987" s="79"/>
      <c r="M1987" s="169">
        <f t="shared" si="789"/>
        <v>2025</v>
      </c>
      <c r="N1987" s="26">
        <f t="shared" si="790"/>
        <v>0</v>
      </c>
      <c r="O1987" s="27" t="str">
        <f t="shared" si="3"/>
        <v>#N/A</v>
      </c>
      <c r="P1987" s="273"/>
      <c r="Q1987" s="273"/>
      <c r="R1987" s="273"/>
      <c r="S1987" s="273"/>
      <c r="T1987" s="273"/>
      <c r="U1987" s="273"/>
      <c r="V1987" s="30">
        <f t="shared" si="425"/>
        <v>0</v>
      </c>
      <c r="W1987" s="30"/>
      <c r="X1987" s="32"/>
      <c r="Y1987" s="33" t="str">
        <f t="shared" si="792"/>
        <v>#DIV/0!</v>
      </c>
      <c r="Z1987" s="692"/>
      <c r="AA1987" s="665"/>
      <c r="AB1987" s="74"/>
      <c r="AC1987" s="74"/>
      <c r="AD1987" s="79"/>
      <c r="AE1987" s="84"/>
      <c r="AF1987" s="338"/>
      <c r="AG1987" s="84"/>
      <c r="AH1987" s="74"/>
      <c r="AI1987" s="78"/>
      <c r="AJ1987" s="79"/>
      <c r="AK1987" s="84"/>
      <c r="AL1987" s="79"/>
      <c r="AM1987" s="84"/>
      <c r="AN1987" s="79"/>
      <c r="AO1987" s="84"/>
      <c r="AP1987" s="79"/>
      <c r="AQ1987" s="84"/>
      <c r="AR1987" s="79"/>
      <c r="AS1987" s="79"/>
      <c r="AT1987" s="79"/>
      <c r="AU1987" s="80"/>
      <c r="AV1987" s="79"/>
      <c r="AW1987" s="38"/>
      <c r="AX1987" s="79"/>
      <c r="AY1987" s="38"/>
      <c r="AZ1987" s="79"/>
      <c r="BA1987" s="80"/>
      <c r="BB1987" s="79"/>
      <c r="BC1987" s="80"/>
      <c r="BD1987" s="79"/>
      <c r="BE1987" s="38"/>
      <c r="BF1987" s="74"/>
    </row>
    <row r="1988">
      <c r="A1988" s="21" t="s">
        <v>9137</v>
      </c>
      <c r="B1988" s="68"/>
      <c r="C1988" s="69" t="s">
        <v>207</v>
      </c>
      <c r="D1988" s="192" t="s">
        <v>9138</v>
      </c>
      <c r="E1988" s="138" t="s">
        <v>9139</v>
      </c>
      <c r="F1988" s="173" t="s">
        <v>9140</v>
      </c>
      <c r="G1988" s="71" t="s">
        <v>9141</v>
      </c>
      <c r="H1988" s="186"/>
      <c r="I1988" s="74"/>
      <c r="J1988" s="155"/>
      <c r="K1988" s="74" t="s">
        <v>723</v>
      </c>
      <c r="L1988" s="26">
        <v>2017.0</v>
      </c>
      <c r="M1988" s="25">
        <f t="shared" si="789"/>
        <v>8</v>
      </c>
      <c r="N1988" s="26">
        <f t="shared" si="790"/>
        <v>0</v>
      </c>
      <c r="O1988" s="27" t="str">
        <f t="shared" si="3"/>
        <v>#N/A</v>
      </c>
      <c r="P1988" s="273"/>
      <c r="Q1988" s="273"/>
      <c r="R1988" s="273"/>
      <c r="S1988" s="273"/>
      <c r="T1988" s="273"/>
      <c r="U1988" s="273"/>
      <c r="V1988" s="30">
        <f t="shared" si="425"/>
        <v>0</v>
      </c>
      <c r="W1988" s="30"/>
      <c r="X1988" s="32"/>
      <c r="Y1988" s="33" t="str">
        <f t="shared" si="792"/>
        <v>#DIV/0!</v>
      </c>
      <c r="Z1988" s="692"/>
      <c r="AA1988" s="665"/>
      <c r="AB1988" s="74"/>
      <c r="AC1988" s="74"/>
      <c r="AD1988" s="79"/>
      <c r="AE1988" s="84"/>
      <c r="AF1988" s="338"/>
      <c r="AG1988" s="84"/>
      <c r="AH1988" s="74"/>
      <c r="AI1988" s="78"/>
      <c r="AJ1988" s="79"/>
      <c r="AK1988" s="84"/>
      <c r="AL1988" s="79"/>
      <c r="AM1988" s="84"/>
      <c r="AN1988" s="79"/>
      <c r="AO1988" s="84"/>
      <c r="AP1988" s="79"/>
      <c r="AQ1988" s="84"/>
      <c r="AR1988" s="79"/>
      <c r="AS1988" s="79"/>
      <c r="AT1988" s="79"/>
      <c r="AU1988" s="80"/>
      <c r="AV1988" s="79"/>
      <c r="AW1988" s="38"/>
      <c r="AX1988" s="79"/>
      <c r="AY1988" s="38"/>
      <c r="AZ1988" s="79"/>
      <c r="BA1988" s="80"/>
      <c r="BB1988" s="79"/>
      <c r="BC1988" s="80"/>
      <c r="BD1988" s="79"/>
      <c r="BE1988" s="38"/>
      <c r="BF1988" s="74"/>
    </row>
    <row r="1989">
      <c r="A1989" s="21" t="s">
        <v>9142</v>
      </c>
      <c r="B1989" s="68"/>
      <c r="C1989" s="69" t="s">
        <v>84</v>
      </c>
      <c r="D1989" s="337"/>
      <c r="E1989" s="192" t="s">
        <v>9143</v>
      </c>
      <c r="F1989" s="803" t="s">
        <v>9144</v>
      </c>
      <c r="G1989" s="186"/>
      <c r="H1989" s="71" t="s">
        <v>187</v>
      </c>
      <c r="I1989" s="26" t="s">
        <v>188</v>
      </c>
      <c r="J1989" s="155"/>
      <c r="K1989" s="74"/>
      <c r="L1989" s="26">
        <v>2013.0</v>
      </c>
      <c r="M1989" s="25">
        <f t="shared" si="789"/>
        <v>12</v>
      </c>
      <c r="N1989" s="26">
        <f t="shared" si="790"/>
        <v>0</v>
      </c>
      <c r="O1989" s="27" t="str">
        <f t="shared" si="3"/>
        <v>#N/A</v>
      </c>
      <c r="P1989" s="273"/>
      <c r="Q1989" s="273"/>
      <c r="R1989" s="273"/>
      <c r="S1989" s="273"/>
      <c r="T1989" s="273"/>
      <c r="U1989" s="273"/>
      <c r="V1989" s="30">
        <f t="shared" si="425"/>
        <v>0</v>
      </c>
      <c r="W1989" s="30"/>
      <c r="X1989" s="32"/>
      <c r="Y1989" s="33" t="str">
        <f t="shared" si="792"/>
        <v>#DIV/0!</v>
      </c>
      <c r="Z1989" s="692"/>
      <c r="AA1989" s="665"/>
      <c r="AB1989" s="74"/>
      <c r="AC1989" s="74"/>
      <c r="AD1989" s="79"/>
      <c r="AE1989" s="84"/>
      <c r="AF1989" s="338"/>
      <c r="AG1989" s="84"/>
      <c r="AH1989" s="74"/>
      <c r="AI1989" s="78"/>
      <c r="AJ1989" s="79"/>
      <c r="AK1989" s="84"/>
      <c r="AL1989" s="79"/>
      <c r="AM1989" s="84"/>
      <c r="AN1989" s="79"/>
      <c r="AO1989" s="84"/>
      <c r="AP1989" s="79"/>
      <c r="AQ1989" s="84"/>
      <c r="AR1989" s="79"/>
      <c r="AS1989" s="79"/>
      <c r="AT1989" s="79"/>
      <c r="AU1989" s="80"/>
      <c r="AV1989" s="79"/>
      <c r="AW1989" s="38"/>
      <c r="AX1989" s="79"/>
      <c r="AY1989" s="38"/>
      <c r="AZ1989" s="79"/>
      <c r="BA1989" s="80"/>
      <c r="BB1989" s="79"/>
      <c r="BC1989" s="80"/>
      <c r="BD1989" s="79"/>
      <c r="BE1989" s="38"/>
      <c r="BF1989" s="74"/>
    </row>
    <row r="1990">
      <c r="A1990" s="442" t="s">
        <v>9145</v>
      </c>
      <c r="B1990" s="68" t="s">
        <v>944</v>
      </c>
      <c r="C1990" s="68" t="s">
        <v>59</v>
      </c>
      <c r="D1990" s="192" t="s">
        <v>9146</v>
      </c>
      <c r="E1990" s="184" t="s">
        <v>9147</v>
      </c>
      <c r="F1990" s="185" t="s">
        <v>9148</v>
      </c>
      <c r="G1990" s="186"/>
      <c r="H1990" s="186" t="s">
        <v>128</v>
      </c>
      <c r="I1990" s="74" t="s">
        <v>129</v>
      </c>
      <c r="J1990" s="155"/>
      <c r="K1990" s="74" t="s">
        <v>723</v>
      </c>
      <c r="L1990" s="74" t="s">
        <v>723</v>
      </c>
      <c r="M1990" s="25" t="str">
        <f t="shared" si="789"/>
        <v>#VALUE!</v>
      </c>
      <c r="N1990" s="26">
        <f t="shared" si="790"/>
        <v>0</v>
      </c>
      <c r="O1990" s="27" t="str">
        <f t="shared" si="3"/>
        <v>#N/A</v>
      </c>
      <c r="P1990" s="28"/>
      <c r="Q1990" s="28"/>
      <c r="R1990" s="28"/>
      <c r="S1990" s="28"/>
      <c r="T1990" s="28"/>
      <c r="U1990" s="28"/>
      <c r="V1990" s="30">
        <f t="shared" si="425"/>
        <v>0</v>
      </c>
      <c r="W1990" s="30"/>
      <c r="X1990" s="32"/>
      <c r="Y1990" s="33" t="str">
        <f t="shared" si="792"/>
        <v>#DIV/0!</v>
      </c>
      <c r="Z1990" s="692"/>
      <c r="AA1990" s="665"/>
      <c r="AB1990" s="74"/>
      <c r="AC1990" s="74"/>
      <c r="AD1990" s="79"/>
      <c r="AE1990" s="84"/>
      <c r="AF1990" s="338"/>
      <c r="AG1990" s="84"/>
      <c r="AH1990" s="77"/>
      <c r="AI1990" s="78"/>
      <c r="AJ1990" s="79"/>
      <c r="AK1990" s="84"/>
      <c r="AL1990" s="79"/>
      <c r="AM1990" s="84"/>
      <c r="AN1990" s="79"/>
      <c r="AO1990" s="84"/>
      <c r="AP1990" s="79"/>
      <c r="AQ1990" s="84"/>
      <c r="AR1990" s="79"/>
      <c r="AS1990" s="79"/>
      <c r="AT1990" s="79"/>
      <c r="AU1990" s="80"/>
      <c r="AV1990" s="79"/>
      <c r="AW1990" s="38"/>
      <c r="AX1990" s="79"/>
      <c r="AY1990" s="38"/>
      <c r="AZ1990" s="79"/>
      <c r="BA1990" s="80"/>
      <c r="BB1990" s="79"/>
      <c r="BC1990" s="80"/>
      <c r="BD1990" s="79">
        <v>43266.0</v>
      </c>
      <c r="BE1990" s="38"/>
      <c r="BF1990" s="74" t="s">
        <v>5489</v>
      </c>
    </row>
    <row r="1991">
      <c r="A1991" s="1885" t="s">
        <v>9149</v>
      </c>
      <c r="B1991" s="1644"/>
      <c r="C1991" s="1762" t="s">
        <v>132</v>
      </c>
      <c r="D1991" s="1741" t="s">
        <v>4781</v>
      </c>
      <c r="E1991" s="1763" t="s">
        <v>4781</v>
      </c>
      <c r="F1991" s="1742" t="s">
        <v>9150</v>
      </c>
      <c r="G1991" s="1807" t="s">
        <v>9151</v>
      </c>
      <c r="H1991" s="1744" t="s">
        <v>2406</v>
      </c>
      <c r="I1991" s="1739" t="s">
        <v>65</v>
      </c>
      <c r="J1991" s="1808" t="s">
        <v>2407</v>
      </c>
      <c r="K1991" s="1739">
        <v>1.0</v>
      </c>
      <c r="L1991" s="1739">
        <v>2011.0</v>
      </c>
      <c r="M1991" s="25">
        <f t="shared" si="789"/>
        <v>14</v>
      </c>
      <c r="N1991" s="26">
        <f t="shared" si="790"/>
        <v>0</v>
      </c>
      <c r="O1991" s="27" t="str">
        <f t="shared" si="3"/>
        <v>#N/A</v>
      </c>
      <c r="P1991" s="1876"/>
      <c r="Q1991" s="1876"/>
      <c r="R1991" s="1876"/>
      <c r="S1991" s="1876"/>
      <c r="T1991" s="1876"/>
      <c r="U1991" s="1876"/>
      <c r="V1991" s="30">
        <f t="shared" si="425"/>
        <v>0</v>
      </c>
      <c r="W1991" s="30"/>
      <c r="X1991" s="1812"/>
      <c r="Y1991" s="33" t="str">
        <f t="shared" si="792"/>
        <v>#DIV/0!</v>
      </c>
      <c r="Z1991" s="692"/>
      <c r="AA1991" s="665"/>
      <c r="AB1991" s="1738"/>
      <c r="AC1991" s="1738"/>
      <c r="AD1991" s="1747"/>
      <c r="AE1991" s="1748"/>
      <c r="AF1991" s="1749"/>
      <c r="AG1991" s="1748"/>
      <c r="AH1991" s="1738"/>
      <c r="AI1991" s="1750"/>
      <c r="AJ1991" s="1934"/>
      <c r="AK1991" s="1766"/>
      <c r="AL1991" s="1747"/>
      <c r="AM1991" s="1748"/>
      <c r="AN1991" s="1747"/>
      <c r="AO1991" s="1748"/>
      <c r="AP1991" s="1747"/>
      <c r="AQ1991" s="1748"/>
      <c r="AR1991" s="1747"/>
      <c r="AS1991" s="1747"/>
      <c r="AT1991" s="1747"/>
      <c r="AU1991" s="1751"/>
      <c r="AV1991" s="1747"/>
      <c r="AW1991" s="38"/>
      <c r="AX1991" s="1747"/>
      <c r="AY1991" s="38"/>
      <c r="AZ1991" s="1747"/>
      <c r="BA1991" s="1751"/>
      <c r="BB1991" s="1747"/>
      <c r="BC1991" s="1751"/>
      <c r="BD1991" s="1747"/>
      <c r="BE1991" s="38"/>
      <c r="BF1991" s="1738"/>
    </row>
    <row r="1992">
      <c r="A1992" s="931" t="s">
        <v>9152</v>
      </c>
      <c r="B1992" s="68"/>
      <c r="C1992" s="69" t="s">
        <v>132</v>
      </c>
      <c r="D1992" s="192" t="s">
        <v>9153</v>
      </c>
      <c r="E1992" s="192" t="s">
        <v>9154</v>
      </c>
      <c r="F1992" s="118" t="s">
        <v>9155</v>
      </c>
      <c r="G1992" s="71"/>
      <c r="H1992" s="407" t="s">
        <v>328</v>
      </c>
      <c r="I1992" s="26" t="s">
        <v>329</v>
      </c>
      <c r="J1992" s="72"/>
      <c r="K1992" s="74"/>
      <c r="L1992" s="26">
        <v>2016.0</v>
      </c>
      <c r="M1992" s="25">
        <f t="shared" si="789"/>
        <v>9</v>
      </c>
      <c r="N1992" s="26">
        <f t="shared" si="790"/>
        <v>0</v>
      </c>
      <c r="O1992" s="27" t="str">
        <f t="shared" si="3"/>
        <v>#N/A</v>
      </c>
      <c r="P1992" s="273"/>
      <c r="Q1992" s="273"/>
      <c r="R1992" s="273"/>
      <c r="S1992" s="273"/>
      <c r="T1992" s="273"/>
      <c r="U1992" s="273"/>
      <c r="V1992" s="30">
        <f t="shared" si="425"/>
        <v>0</v>
      </c>
      <c r="W1992" s="30"/>
      <c r="X1992" s="32"/>
      <c r="Y1992" s="33" t="str">
        <f t="shared" si="792"/>
        <v>#DIV/0!</v>
      </c>
      <c r="Z1992" s="692"/>
      <c r="AA1992" s="665"/>
      <c r="AB1992" s="74"/>
      <c r="AC1992" s="74"/>
      <c r="AD1992" s="79"/>
      <c r="AE1992" s="84"/>
      <c r="AF1992" s="338"/>
      <c r="AG1992" s="84"/>
      <c r="AH1992" s="74"/>
      <c r="AI1992" s="78"/>
      <c r="AJ1992" s="79"/>
      <c r="AK1992" s="84"/>
      <c r="AL1992" s="79"/>
      <c r="AM1992" s="84"/>
      <c r="AN1992" s="79"/>
      <c r="AO1992" s="84"/>
      <c r="AP1992" s="79"/>
      <c r="AQ1992" s="84"/>
      <c r="AR1992" s="79"/>
      <c r="AS1992" s="79"/>
      <c r="AT1992" s="79"/>
      <c r="AU1992" s="80"/>
      <c r="AV1992" s="79"/>
      <c r="AW1992" s="38"/>
      <c r="AX1992" s="79"/>
      <c r="AY1992" s="38"/>
      <c r="AZ1992" s="79"/>
      <c r="BA1992" s="80"/>
      <c r="BB1992" s="79"/>
      <c r="BC1992" s="80"/>
      <c r="BD1992" s="79"/>
      <c r="BE1992" s="38"/>
      <c r="BF1992" s="74"/>
    </row>
    <row r="1993">
      <c r="A1993" s="21" t="s">
        <v>9156</v>
      </c>
      <c r="B1993" s="68"/>
      <c r="C1993" s="69" t="s">
        <v>59</v>
      </c>
      <c r="D1993" s="337"/>
      <c r="E1993" s="231" t="s">
        <v>9157</v>
      </c>
      <c r="F1993" s="177" t="s">
        <v>9158</v>
      </c>
      <c r="G1993" s="71" t="s">
        <v>9159</v>
      </c>
      <c r="H1993" s="71" t="s">
        <v>6327</v>
      </c>
      <c r="I1993" s="26" t="s">
        <v>188</v>
      </c>
      <c r="J1993" s="72" t="s">
        <v>9160</v>
      </c>
      <c r="K1993" s="74"/>
      <c r="L1993" s="26">
        <v>2017.0</v>
      </c>
      <c r="M1993" s="25">
        <f t="shared" si="789"/>
        <v>8</v>
      </c>
      <c r="N1993" s="26">
        <f t="shared" si="790"/>
        <v>0</v>
      </c>
      <c r="O1993" s="27" t="str">
        <f t="shared" si="3"/>
        <v>#N/A</v>
      </c>
      <c r="P1993" s="273"/>
      <c r="Q1993" s="273"/>
      <c r="R1993" s="273"/>
      <c r="S1993" s="273"/>
      <c r="T1993" s="273"/>
      <c r="U1993" s="273"/>
      <c r="V1993" s="30">
        <f t="shared" si="425"/>
        <v>0</v>
      </c>
      <c r="W1993" s="30"/>
      <c r="X1993" s="32"/>
      <c r="Y1993" s="33" t="str">
        <f t="shared" si="792"/>
        <v>#DIV/0!</v>
      </c>
      <c r="Z1993" s="692"/>
      <c r="AA1993" s="665"/>
      <c r="AB1993" s="74"/>
      <c r="AC1993" s="74"/>
      <c r="AD1993" s="79"/>
      <c r="AE1993" s="84"/>
      <c r="AF1993" s="338"/>
      <c r="AG1993" s="84"/>
      <c r="AH1993" s="74"/>
      <c r="AI1993" s="78"/>
      <c r="AJ1993" s="79"/>
      <c r="AK1993" s="84"/>
      <c r="AL1993" s="79"/>
      <c r="AM1993" s="84"/>
      <c r="AN1993" s="79"/>
      <c r="AO1993" s="84"/>
      <c r="AP1993" s="79"/>
      <c r="AQ1993" s="84"/>
      <c r="AR1993" s="79"/>
      <c r="AS1993" s="79"/>
      <c r="AT1993" s="79"/>
      <c r="AU1993" s="80"/>
      <c r="AV1993" s="79"/>
      <c r="AW1993" s="38"/>
      <c r="AX1993" s="79"/>
      <c r="AY1993" s="38"/>
      <c r="AZ1993" s="79"/>
      <c r="BA1993" s="80"/>
      <c r="BB1993" s="79"/>
      <c r="BC1993" s="80"/>
      <c r="BD1993" s="79"/>
      <c r="BE1993" s="38"/>
      <c r="BF1993" s="74"/>
    </row>
    <row r="1994">
      <c r="A1994" s="21" t="s">
        <v>9161</v>
      </c>
      <c r="B1994" s="68"/>
      <c r="C1994" s="69" t="s">
        <v>132</v>
      </c>
      <c r="D1994" s="200" t="s">
        <v>9162</v>
      </c>
      <c r="E1994" s="138" t="s">
        <v>9163</v>
      </c>
      <c r="F1994" s="173" t="s">
        <v>9164</v>
      </c>
      <c r="G1994" s="71" t="s">
        <v>9165</v>
      </c>
      <c r="H1994" s="71" t="s">
        <v>6043</v>
      </c>
      <c r="I1994" s="26" t="s">
        <v>1088</v>
      </c>
      <c r="J1994" s="72" t="s">
        <v>6724</v>
      </c>
      <c r="K1994" s="74" t="s">
        <v>723</v>
      </c>
      <c r="L1994" s="74" t="s">
        <v>723</v>
      </c>
      <c r="M1994" s="25" t="str">
        <f t="shared" si="789"/>
        <v>#VALUE!</v>
      </c>
      <c r="N1994" s="26">
        <f t="shared" si="790"/>
        <v>0</v>
      </c>
      <c r="O1994" s="27" t="str">
        <f t="shared" si="3"/>
        <v>#N/A</v>
      </c>
      <c r="P1994" s="273"/>
      <c r="Q1994" s="273"/>
      <c r="R1994" s="273"/>
      <c r="S1994" s="273"/>
      <c r="T1994" s="273"/>
      <c r="U1994" s="273"/>
      <c r="V1994" s="30">
        <f t="shared" si="425"/>
        <v>0</v>
      </c>
      <c r="W1994" s="30"/>
      <c r="X1994" s="32"/>
      <c r="Y1994" s="33" t="str">
        <f t="shared" si="792"/>
        <v>#DIV/0!</v>
      </c>
      <c r="Z1994" s="692"/>
      <c r="AA1994" s="665"/>
      <c r="AB1994" s="74"/>
      <c r="AC1994" s="74"/>
      <c r="AD1994" s="79"/>
      <c r="AE1994" s="84"/>
      <c r="AF1994" s="932"/>
      <c r="AG1994" s="84"/>
      <c r="AH1994" s="74"/>
      <c r="AI1994" s="78"/>
      <c r="AJ1994" s="79"/>
      <c r="AK1994" s="84"/>
      <c r="AL1994" s="79"/>
      <c r="AM1994" s="84"/>
      <c r="AN1994" s="79"/>
      <c r="AO1994" s="84"/>
      <c r="AP1994" s="79"/>
      <c r="AQ1994" s="84"/>
      <c r="AR1994" s="79"/>
      <c r="AS1994" s="79"/>
      <c r="AT1994" s="79"/>
      <c r="AU1994" s="80"/>
      <c r="AV1994" s="79"/>
      <c r="AW1994" s="38"/>
      <c r="AX1994" s="79"/>
      <c r="AY1994" s="38"/>
      <c r="AZ1994" s="79"/>
      <c r="BA1994" s="80"/>
      <c r="BB1994" s="79"/>
      <c r="BC1994" s="80"/>
      <c r="BD1994" s="79"/>
      <c r="BE1994" s="38"/>
      <c r="BF1994" s="74"/>
    </row>
    <row r="1995">
      <c r="A1995" s="21" t="s">
        <v>9166</v>
      </c>
      <c r="B1995" s="68"/>
      <c r="C1995" s="69" t="s">
        <v>59</v>
      </c>
      <c r="D1995" s="138" t="s">
        <v>9167</v>
      </c>
      <c r="E1995" s="138" t="s">
        <v>9168</v>
      </c>
      <c r="F1995" s="841" t="s">
        <v>9169</v>
      </c>
      <c r="G1995" s="71" t="s">
        <v>9170</v>
      </c>
      <c r="H1995" s="71" t="s">
        <v>9171</v>
      </c>
      <c r="I1995" s="26" t="s">
        <v>115</v>
      </c>
      <c r="J1995" s="72" t="s">
        <v>9172</v>
      </c>
      <c r="K1995" s="74" t="s">
        <v>723</v>
      </c>
      <c r="L1995" s="26">
        <v>2001.0</v>
      </c>
      <c r="M1995" s="25">
        <f t="shared" si="789"/>
        <v>24</v>
      </c>
      <c r="N1995" s="26">
        <f t="shared" si="790"/>
        <v>0</v>
      </c>
      <c r="O1995" s="27" t="str">
        <f t="shared" si="3"/>
        <v>#N/A</v>
      </c>
      <c r="P1995" s="273"/>
      <c r="Q1995" s="273"/>
      <c r="R1995" s="273"/>
      <c r="S1995" s="273"/>
      <c r="T1995" s="273"/>
      <c r="U1995" s="273"/>
      <c r="V1995" s="30">
        <f t="shared" si="425"/>
        <v>0</v>
      </c>
      <c r="W1995" s="30"/>
      <c r="X1995" s="32"/>
      <c r="Y1995" s="33" t="str">
        <f t="shared" si="792"/>
        <v>#DIV/0!</v>
      </c>
      <c r="Z1995" s="692"/>
      <c r="AA1995" s="665"/>
      <c r="AB1995" s="74"/>
      <c r="AC1995" s="74"/>
      <c r="AD1995" s="79"/>
      <c r="AE1995" s="84"/>
      <c r="AF1995" s="338"/>
      <c r="AG1995" s="84"/>
      <c r="AH1995" s="74"/>
      <c r="AI1995" s="78"/>
      <c r="AJ1995" s="79"/>
      <c r="AK1995" s="84"/>
      <c r="AL1995" s="79"/>
      <c r="AM1995" s="84"/>
      <c r="AN1995" s="79"/>
      <c r="AO1995" s="84"/>
      <c r="AP1995" s="79"/>
      <c r="AQ1995" s="84"/>
      <c r="AR1995" s="79"/>
      <c r="AS1995" s="79"/>
      <c r="AT1995" s="79"/>
      <c r="AU1995" s="80"/>
      <c r="AV1995" s="79"/>
      <c r="AW1995" s="38"/>
      <c r="AX1995" s="79"/>
      <c r="AY1995" s="38"/>
      <c r="AZ1995" s="79"/>
      <c r="BA1995" s="80"/>
      <c r="BB1995" s="79"/>
      <c r="BC1995" s="80"/>
      <c r="BD1995" s="79"/>
      <c r="BE1995" s="38"/>
      <c r="BF1995" s="74"/>
    </row>
    <row r="1996">
      <c r="A1996" s="666" t="s">
        <v>9173</v>
      </c>
      <c r="B1996" s="115" t="s">
        <v>944</v>
      </c>
      <c r="C1996" s="116" t="s">
        <v>123</v>
      </c>
      <c r="D1996" s="667" t="s">
        <v>9174</v>
      </c>
      <c r="E1996" s="667" t="s">
        <v>9175</v>
      </c>
      <c r="F1996" s="118" t="s">
        <v>9176</v>
      </c>
      <c r="G1996" s="286" t="s">
        <v>9177</v>
      </c>
      <c r="H1996" s="286" t="s">
        <v>1541</v>
      </c>
      <c r="I1996" s="123" t="s">
        <v>65</v>
      </c>
      <c r="J1996" s="287" t="s">
        <v>1913</v>
      </c>
      <c r="K1996" s="123">
        <v>1.0</v>
      </c>
      <c r="L1996" s="25">
        <v>1984.0</v>
      </c>
      <c r="M1996" s="25">
        <f t="shared" si="789"/>
        <v>41</v>
      </c>
      <c r="N1996" s="26">
        <f t="shared" si="790"/>
        <v>0</v>
      </c>
      <c r="O1996" s="27" t="str">
        <f t="shared" si="3"/>
        <v>#N/A</v>
      </c>
      <c r="P1996" s="55"/>
      <c r="Q1996" s="55"/>
      <c r="R1996" s="55"/>
      <c r="S1996" s="55"/>
      <c r="T1996" s="55"/>
      <c r="U1996" s="55"/>
      <c r="V1996" s="30">
        <f t="shared" si="425"/>
        <v>0</v>
      </c>
      <c r="W1996" s="30"/>
      <c r="X1996" s="403"/>
      <c r="Y1996" s="33" t="str">
        <f t="shared" si="792"/>
        <v>#DIV/0!</v>
      </c>
      <c r="Z1996" s="692"/>
      <c r="AA1996" s="665"/>
      <c r="AB1996" s="123"/>
      <c r="AC1996" s="123"/>
      <c r="AD1996" s="55"/>
      <c r="AE1996" s="125"/>
      <c r="AF1996" s="166"/>
      <c r="AG1996" s="125"/>
      <c r="AH1996" s="123"/>
      <c r="AI1996" s="128"/>
      <c r="AJ1996" s="124"/>
      <c r="AK1996" s="125"/>
      <c r="AL1996" s="124"/>
      <c r="AM1996" s="125"/>
      <c r="AN1996" s="124"/>
      <c r="AO1996" s="125"/>
      <c r="AP1996" s="124"/>
      <c r="AQ1996" s="125"/>
      <c r="AR1996" s="124"/>
      <c r="AS1996" s="124"/>
      <c r="AT1996" s="124"/>
      <c r="AU1996" s="137"/>
      <c r="AV1996" s="124"/>
      <c r="AW1996" s="38"/>
      <c r="AX1996" s="124"/>
      <c r="AY1996" s="38"/>
      <c r="AZ1996" s="124"/>
      <c r="BA1996" s="137"/>
      <c r="BB1996" s="124"/>
      <c r="BC1996" s="137"/>
      <c r="BD1996" s="124"/>
      <c r="BE1996" s="38"/>
      <c r="BF1996" s="123"/>
    </row>
    <row r="1997">
      <c r="A1997" s="931" t="s">
        <v>9178</v>
      </c>
      <c r="B1997" s="68"/>
      <c r="C1997" s="69" t="s">
        <v>123</v>
      </c>
      <c r="D1997" s="192" t="s">
        <v>9179</v>
      </c>
      <c r="E1997" s="192" t="s">
        <v>9180</v>
      </c>
      <c r="F1997" s="118" t="s">
        <v>9181</v>
      </c>
      <c r="G1997" s="186"/>
      <c r="H1997" s="71" t="s">
        <v>129</v>
      </c>
      <c r="I1997" s="26" t="s">
        <v>129</v>
      </c>
      <c r="J1997" s="237"/>
      <c r="K1997" s="74"/>
      <c r="L1997" s="26">
        <v>2018.0</v>
      </c>
      <c r="M1997" s="25">
        <f t="shared" si="789"/>
        <v>7</v>
      </c>
      <c r="N1997" s="26">
        <f t="shared" si="790"/>
        <v>0</v>
      </c>
      <c r="O1997" s="27" t="str">
        <f t="shared" si="3"/>
        <v>#N/A</v>
      </c>
      <c r="P1997" s="273"/>
      <c r="Q1997" s="273"/>
      <c r="R1997" s="273"/>
      <c r="S1997" s="273"/>
      <c r="T1997" s="273"/>
      <c r="U1997" s="273"/>
      <c r="V1997" s="30">
        <f t="shared" si="425"/>
        <v>0</v>
      </c>
      <c r="W1997" s="30"/>
      <c r="X1997" s="32"/>
      <c r="Y1997" s="33" t="str">
        <f t="shared" si="792"/>
        <v>#DIV/0!</v>
      </c>
      <c r="Z1997" s="692"/>
      <c r="AA1997" s="665"/>
      <c r="AB1997" s="74"/>
      <c r="AC1997" s="74"/>
      <c r="AD1997" s="279"/>
      <c r="AE1997" s="76"/>
      <c r="AF1997" s="338"/>
      <c r="AG1997" s="76"/>
      <c r="AH1997" s="74"/>
      <c r="AI1997" s="78"/>
      <c r="AJ1997" s="79"/>
      <c r="AK1997" s="84"/>
      <c r="AL1997" s="79"/>
      <c r="AM1997" s="84"/>
      <c r="AN1997" s="79"/>
      <c r="AO1997" s="84"/>
      <c r="AP1997" s="79"/>
      <c r="AQ1997" s="84"/>
      <c r="AR1997" s="79"/>
      <c r="AS1997" s="79"/>
      <c r="AT1997" s="79"/>
      <c r="AU1997" s="80"/>
      <c r="AV1997" s="79"/>
      <c r="AW1997" s="38"/>
      <c r="AX1997" s="79"/>
      <c r="AY1997" s="38"/>
      <c r="AZ1997" s="79"/>
      <c r="BA1997" s="80"/>
      <c r="BB1997" s="79"/>
      <c r="BC1997" s="80"/>
      <c r="BD1997" s="79"/>
      <c r="BE1997" s="38"/>
      <c r="BF1997" s="74"/>
    </row>
    <row r="1998">
      <c r="A1998" s="1927" t="s">
        <v>9182</v>
      </c>
      <c r="B1998" s="68"/>
      <c r="C1998" s="69" t="s">
        <v>123</v>
      </c>
      <c r="D1998" s="337"/>
      <c r="E1998" s="236" t="s">
        <v>9183</v>
      </c>
      <c r="F1998" s="803" t="s">
        <v>9184</v>
      </c>
      <c r="G1998" s="140" t="s">
        <v>9185</v>
      </c>
      <c r="H1998" s="140" t="s">
        <v>9186</v>
      </c>
      <c r="I1998" s="1401" t="s">
        <v>9187</v>
      </c>
      <c r="J1998" s="237"/>
      <c r="K1998" s="74"/>
      <c r="L1998" s="26">
        <v>2015.0</v>
      </c>
      <c r="M1998" s="25">
        <f t="shared" si="789"/>
        <v>10</v>
      </c>
      <c r="N1998" s="26">
        <f t="shared" si="790"/>
        <v>0</v>
      </c>
      <c r="O1998" s="27" t="str">
        <f t="shared" si="3"/>
        <v>#N/A</v>
      </c>
      <c r="P1998" s="273"/>
      <c r="Q1998" s="273"/>
      <c r="R1998" s="273"/>
      <c r="S1998" s="273"/>
      <c r="T1998" s="273"/>
      <c r="U1998" s="273"/>
      <c r="V1998" s="30">
        <f t="shared" si="425"/>
        <v>0</v>
      </c>
      <c r="W1998" s="30"/>
      <c r="X1998" s="32"/>
      <c r="Y1998" s="33" t="str">
        <f t="shared" si="792"/>
        <v>#DIV/0!</v>
      </c>
      <c r="Z1998" s="692"/>
      <c r="AA1998" s="665"/>
      <c r="AB1998" s="74"/>
      <c r="AC1998" s="74"/>
      <c r="AD1998" s="279"/>
      <c r="AE1998" s="76"/>
      <c r="AF1998" s="338"/>
      <c r="AG1998" s="76"/>
      <c r="AH1998" s="74"/>
      <c r="AI1998" s="78"/>
      <c r="AJ1998" s="79"/>
      <c r="AK1998" s="84"/>
      <c r="AL1998" s="79"/>
      <c r="AM1998" s="84"/>
      <c r="AN1998" s="79"/>
      <c r="AO1998" s="84"/>
      <c r="AP1998" s="79"/>
      <c r="AQ1998" s="84"/>
      <c r="AR1998" s="79"/>
      <c r="AS1998" s="79"/>
      <c r="AT1998" s="79"/>
      <c r="AU1998" s="80"/>
      <c r="AV1998" s="79"/>
      <c r="AW1998" s="38"/>
      <c r="AX1998" s="79"/>
      <c r="AY1998" s="38"/>
      <c r="AZ1998" s="79"/>
      <c r="BA1998" s="80"/>
      <c r="BB1998" s="79"/>
      <c r="BC1998" s="80"/>
      <c r="BD1998" s="79"/>
      <c r="BE1998" s="38"/>
      <c r="BF1998" s="74"/>
    </row>
    <row r="1999">
      <c r="A1999" s="21" t="s">
        <v>9188</v>
      </c>
      <c r="B1999" s="69" t="s">
        <v>9189</v>
      </c>
      <c r="C1999" s="69" t="s">
        <v>513</v>
      </c>
      <c r="D1999" s="192" t="s">
        <v>9190</v>
      </c>
      <c r="E1999" s="231" t="s">
        <v>9191</v>
      </c>
      <c r="F1999" s="1533" t="s">
        <v>9192</v>
      </c>
      <c r="G1999" s="71" t="s">
        <v>9193</v>
      </c>
      <c r="H1999" s="71" t="s">
        <v>9194</v>
      </c>
      <c r="I1999" s="26" t="s">
        <v>1788</v>
      </c>
      <c r="J1999" s="72" t="s">
        <v>9195</v>
      </c>
      <c r="K1999" s="74"/>
      <c r="L1999" s="26">
        <v>2017.0</v>
      </c>
      <c r="M1999" s="25">
        <f t="shared" si="789"/>
        <v>8</v>
      </c>
      <c r="N1999" s="26">
        <f t="shared" si="790"/>
        <v>0</v>
      </c>
      <c r="O1999" s="27" t="str">
        <f t="shared" si="3"/>
        <v>#N/A</v>
      </c>
      <c r="P1999" s="273"/>
      <c r="Q1999" s="273"/>
      <c r="R1999" s="273"/>
      <c r="S1999" s="273"/>
      <c r="T1999" s="273"/>
      <c r="U1999" s="273"/>
      <c r="V1999" s="30">
        <f t="shared" si="425"/>
        <v>0</v>
      </c>
      <c r="W1999" s="30"/>
      <c r="X1999" s="32"/>
      <c r="Y1999" s="33" t="str">
        <f t="shared" si="792"/>
        <v>#DIV/0!</v>
      </c>
      <c r="Z1999" s="692"/>
      <c r="AA1999" s="665"/>
      <c r="AB1999" s="74"/>
      <c r="AC1999" s="74"/>
      <c r="AD1999" s="79"/>
      <c r="AE1999" s="84"/>
      <c r="AF1999" s="338"/>
      <c r="AG1999" s="84"/>
      <c r="AH1999" s="74"/>
      <c r="AI1999" s="78"/>
      <c r="AJ1999" s="79"/>
      <c r="AK1999" s="84"/>
      <c r="AL1999" s="79"/>
      <c r="AM1999" s="84"/>
      <c r="AN1999" s="79"/>
      <c r="AO1999" s="84"/>
      <c r="AP1999" s="79"/>
      <c r="AQ1999" s="84"/>
      <c r="AR1999" s="79"/>
      <c r="AS1999" s="79"/>
      <c r="AT1999" s="79"/>
      <c r="AU1999" s="80"/>
      <c r="AV1999" s="79"/>
      <c r="AW1999" s="38"/>
      <c r="AX1999" s="79"/>
      <c r="AY1999" s="38"/>
      <c r="AZ1999" s="79"/>
      <c r="BA1999" s="80"/>
      <c r="BB1999" s="79"/>
      <c r="BC1999" s="80"/>
      <c r="BD1999" s="79"/>
      <c r="BE1999" s="38"/>
      <c r="BF1999" s="74"/>
    </row>
    <row r="2000">
      <c r="A2000" s="21" t="s">
        <v>9196</v>
      </c>
      <c r="B2000" s="69"/>
      <c r="C2000" s="69" t="s">
        <v>123</v>
      </c>
      <c r="D2000" s="48"/>
      <c r="E2000" s="192" t="s">
        <v>9197</v>
      </c>
      <c r="F2000" s="659" t="s">
        <v>9198</v>
      </c>
      <c r="G2000" s="54" t="s">
        <v>9199</v>
      </c>
      <c r="H2000" s="71" t="s">
        <v>128</v>
      </c>
      <c r="I2000" s="26" t="s">
        <v>129</v>
      </c>
      <c r="J2000" s="72" t="s">
        <v>9200</v>
      </c>
      <c r="K2000" s="26">
        <v>2.0</v>
      </c>
      <c r="L2000" s="26">
        <v>2018.0</v>
      </c>
      <c r="M2000" s="25">
        <f t="shared" si="789"/>
        <v>7</v>
      </c>
      <c r="N2000" s="26">
        <f t="shared" si="790"/>
        <v>0</v>
      </c>
      <c r="O2000" s="27" t="str">
        <f t="shared" si="3"/>
        <v>#N/A</v>
      </c>
      <c r="P2000" s="273"/>
      <c r="Q2000" s="273"/>
      <c r="R2000" s="273"/>
      <c r="S2000" s="273"/>
      <c r="T2000" s="273"/>
      <c r="U2000" s="273"/>
      <c r="V2000" s="30">
        <f t="shared" si="425"/>
        <v>0</v>
      </c>
      <c r="W2000" s="30"/>
      <c r="X2000" s="73"/>
      <c r="Y2000" s="33" t="str">
        <f t="shared" si="792"/>
        <v>#DIV/0!</v>
      </c>
      <c r="Z2000" s="692"/>
      <c r="AA2000" s="665"/>
      <c r="AB2000" s="74"/>
      <c r="AC2000" s="74"/>
      <c r="AD2000" s="79"/>
      <c r="AE2000" s="84"/>
      <c r="AF2000" s="320"/>
      <c r="AG2000" s="76"/>
      <c r="AH2000" s="74"/>
      <c r="AI2000" s="78"/>
      <c r="AJ2000" s="79"/>
      <c r="AK2000" s="76"/>
      <c r="AL2000" s="279"/>
      <c r="AM2000" s="846"/>
      <c r="AN2000" s="79"/>
      <c r="AO2000" s="76"/>
      <c r="AP2000" s="79"/>
      <c r="AQ2000" s="84"/>
      <c r="AR2000" s="79"/>
      <c r="AS2000" s="79"/>
      <c r="AT2000" s="79"/>
      <c r="AU2000" s="80"/>
      <c r="AV2000" s="79"/>
      <c r="AW2000" s="38"/>
      <c r="AX2000" s="79"/>
      <c r="AY2000" s="38"/>
      <c r="AZ2000" s="79"/>
      <c r="BA2000" s="80"/>
      <c r="BB2000" s="79"/>
      <c r="BC2000" s="80"/>
      <c r="BD2000" s="79"/>
      <c r="BE2000" s="38"/>
      <c r="BF2000" s="74"/>
    </row>
    <row r="2001">
      <c r="A2001" s="21" t="s">
        <v>9201</v>
      </c>
      <c r="B2001" s="69"/>
      <c r="C2001" s="69" t="s">
        <v>123</v>
      </c>
      <c r="D2001" s="48"/>
      <c r="E2001" s="48"/>
      <c r="F2001" s="659" t="s">
        <v>9202</v>
      </c>
      <c r="G2001" s="71"/>
      <c r="H2001" s="71" t="s">
        <v>357</v>
      </c>
      <c r="I2001" s="26" t="s">
        <v>358</v>
      </c>
      <c r="J2001" s="72"/>
      <c r="K2001" s="26"/>
      <c r="L2001" s="26"/>
      <c r="M2001" s="25">
        <f t="shared" si="789"/>
        <v>2025</v>
      </c>
      <c r="N2001" s="26">
        <f t="shared" si="790"/>
        <v>0</v>
      </c>
      <c r="O2001" s="27" t="str">
        <f t="shared" si="3"/>
        <v>#N/A</v>
      </c>
      <c r="P2001" s="273"/>
      <c r="Q2001" s="273"/>
      <c r="R2001" s="273"/>
      <c r="S2001" s="273"/>
      <c r="T2001" s="273"/>
      <c r="U2001" s="273"/>
      <c r="V2001" s="30">
        <f t="shared" si="425"/>
        <v>0</v>
      </c>
      <c r="W2001" s="30"/>
      <c r="X2001" s="73"/>
      <c r="Y2001" s="33" t="str">
        <f t="shared" si="792"/>
        <v>#DIV/0!</v>
      </c>
      <c r="Z2001" s="692"/>
      <c r="AA2001" s="665"/>
      <c r="AB2001" s="74"/>
      <c r="AC2001" s="74"/>
      <c r="AD2001" s="79"/>
      <c r="AE2001" s="84"/>
      <c r="AF2001" s="320"/>
      <c r="AG2001" s="76"/>
      <c r="AH2001" s="74"/>
      <c r="AI2001" s="78"/>
      <c r="AJ2001" s="79"/>
      <c r="AK2001" s="76"/>
      <c r="AL2001" s="279"/>
      <c r="AM2001" s="846"/>
      <c r="AN2001" s="79"/>
      <c r="AO2001" s="76"/>
      <c r="AP2001" s="79"/>
      <c r="AQ2001" s="84"/>
      <c r="AR2001" s="79"/>
      <c r="AS2001" s="79"/>
      <c r="AT2001" s="79"/>
      <c r="AU2001" s="80"/>
      <c r="AV2001" s="79"/>
      <c r="AW2001" s="38"/>
      <c r="AX2001" s="79"/>
      <c r="AY2001" s="38"/>
      <c r="AZ2001" s="79"/>
      <c r="BA2001" s="80"/>
      <c r="BB2001" s="79"/>
      <c r="BC2001" s="80"/>
      <c r="BD2001" s="79"/>
      <c r="BE2001" s="38"/>
      <c r="BF2001" s="74"/>
    </row>
    <row r="2002">
      <c r="A2002" s="47" t="s">
        <v>9203</v>
      </c>
      <c r="B2002" s="16"/>
      <c r="C2002" s="17" t="s">
        <v>9204</v>
      </c>
      <c r="D2002" s="245"/>
      <c r="E2002" s="416" t="s">
        <v>9205</v>
      </c>
      <c r="F2002" s="1039" t="s">
        <v>9206</v>
      </c>
      <c r="G2002" s="810"/>
      <c r="H2002" s="810" t="s">
        <v>9207</v>
      </c>
      <c r="I2002" s="23" t="s">
        <v>358</v>
      </c>
      <c r="J2002" s="24" t="s">
        <v>9208</v>
      </c>
      <c r="K2002" s="23"/>
      <c r="L2002" s="712"/>
      <c r="M2002" s="222"/>
      <c r="N2002" s="23"/>
      <c r="O2002" s="27" t="str">
        <f t="shared" si="3"/>
        <v>#N/A</v>
      </c>
      <c r="P2002" s="464"/>
      <c r="Q2002" s="464"/>
      <c r="R2002" s="464"/>
      <c r="S2002" s="464"/>
      <c r="T2002" s="464"/>
      <c r="U2002" s="464"/>
      <c r="V2002" s="30">
        <f t="shared" si="425"/>
        <v>0</v>
      </c>
      <c r="W2002" s="31"/>
      <c r="X2002" s="33"/>
      <c r="Y2002" s="33"/>
      <c r="Z2002" s="59"/>
      <c r="AA2002" s="157"/>
      <c r="AB2002" s="36"/>
      <c r="AC2002" s="36"/>
      <c r="AD2002" s="37"/>
      <c r="AE2002" s="38"/>
      <c r="AF2002" s="39"/>
      <c r="AG2002" s="38"/>
      <c r="AH2002" s="36"/>
      <c r="AI2002" s="46"/>
      <c r="AJ2002" s="37"/>
      <c r="AK2002" s="38"/>
      <c r="AL2002" s="37"/>
      <c r="AM2002" s="38"/>
      <c r="AN2002" s="44"/>
      <c r="AO2002" s="46"/>
      <c r="AP2002" s="967"/>
      <c r="AQ2002" s="968"/>
      <c r="AR2002" s="967"/>
      <c r="AS2002" s="38"/>
      <c r="AT2002" s="44"/>
      <c r="AU2002" s="45"/>
      <c r="AV2002" s="44"/>
      <c r="AW2002" s="38"/>
      <c r="AX2002" s="44"/>
      <c r="AY2002" s="38"/>
      <c r="AZ2002" s="44"/>
      <c r="BA2002" s="45"/>
      <c r="BB2002" s="44"/>
      <c r="BC2002" s="45"/>
      <c r="BD2002" s="44"/>
      <c r="BE2002" s="38"/>
      <c r="BF2002" s="36"/>
    </row>
    <row r="2003">
      <c r="A2003" s="245" t="s">
        <v>9209</v>
      </c>
      <c r="B2003" s="16"/>
      <c r="C2003" s="17" t="s">
        <v>59</v>
      </c>
      <c r="D2003" s="462"/>
      <c r="E2003" s="192" t="s">
        <v>9210</v>
      </c>
      <c r="F2003" s="20" t="s">
        <v>9211</v>
      </c>
      <c r="G2003" s="317"/>
      <c r="H2003" s="22" t="s">
        <v>128</v>
      </c>
      <c r="I2003" s="23" t="s">
        <v>129</v>
      </c>
      <c r="J2003" s="237"/>
      <c r="K2003" s="23"/>
      <c r="L2003" s="23">
        <v>2018.0</v>
      </c>
      <c r="M2003" s="222"/>
      <c r="N2003" s="23"/>
      <c r="O2003" s="27" t="str">
        <f t="shared" si="3"/>
        <v>#N/A</v>
      </c>
      <c r="P2003" s="28"/>
      <c r="Q2003" s="28"/>
      <c r="R2003" s="28"/>
      <c r="S2003" s="28"/>
      <c r="T2003" s="28"/>
      <c r="U2003" s="28"/>
      <c r="V2003" s="30">
        <f t="shared" si="425"/>
        <v>0</v>
      </c>
      <c r="W2003" s="30"/>
      <c r="X2003" s="33"/>
      <c r="Y2003" s="33"/>
      <c r="Z2003" s="692"/>
      <c r="AA2003" s="665"/>
      <c r="AB2003" s="36"/>
      <c r="AC2003" s="36"/>
      <c r="AD2003" s="44"/>
      <c r="AE2003" s="46"/>
      <c r="AF2003" s="39"/>
      <c r="AG2003" s="38"/>
      <c r="AH2003" s="36"/>
      <c r="AI2003" s="46"/>
      <c r="AJ2003" s="44"/>
      <c r="AK2003" s="38"/>
      <c r="AL2003" s="44"/>
      <c r="AM2003" s="46"/>
      <c r="AN2003" s="37"/>
      <c r="AO2003" s="38"/>
      <c r="AP2003" s="44"/>
      <c r="AQ2003" s="46"/>
      <c r="AR2003" s="44"/>
      <c r="AS2003" s="44"/>
      <c r="AT2003" s="44"/>
      <c r="AU2003" s="45"/>
      <c r="AV2003" s="44"/>
      <c r="AW2003" s="38"/>
      <c r="AX2003" s="44"/>
      <c r="AY2003" s="38"/>
      <c r="AZ2003" s="44"/>
      <c r="BA2003" s="45"/>
      <c r="BB2003" s="44"/>
      <c r="BC2003" s="45"/>
      <c r="BD2003" s="44"/>
      <c r="BE2003" s="38"/>
      <c r="BF2003" s="36"/>
    </row>
    <row r="2004">
      <c r="A2004" s="1406" t="s">
        <v>9212</v>
      </c>
      <c r="B2004" s="534"/>
      <c r="C2004" s="849"/>
      <c r="D2004" s="161"/>
      <c r="E2004" s="161"/>
      <c r="F2004" s="402"/>
      <c r="G2004" s="850"/>
      <c r="H2004" s="54"/>
      <c r="I2004" s="222"/>
      <c r="J2004" s="953"/>
      <c r="K2004" s="222"/>
      <c r="L2004" s="222"/>
      <c r="M2004" s="222"/>
      <c r="N2004" s="222"/>
      <c r="O2004" s="27" t="str">
        <f t="shared" si="3"/>
        <v>#N/A</v>
      </c>
      <c r="P2004" s="356"/>
      <c r="Q2004" s="356"/>
      <c r="R2004" s="356"/>
      <c r="S2004" s="356"/>
      <c r="T2004" s="356"/>
      <c r="U2004" s="356"/>
      <c r="V2004" s="30">
        <f t="shared" si="425"/>
        <v>0</v>
      </c>
      <c r="W2004" s="30"/>
      <c r="X2004" s="852"/>
      <c r="Y2004" s="852"/>
      <c r="Z2004" s="692"/>
      <c r="AA2004" s="665"/>
      <c r="AB2004" s="326"/>
      <c r="AC2004" s="326"/>
      <c r="AD2004" s="1134"/>
      <c r="AE2004" s="325"/>
      <c r="AF2004" s="868"/>
      <c r="AG2004" s="325"/>
      <c r="AH2004" s="1359"/>
      <c r="AI2004" s="325"/>
      <c r="AJ2004" s="1134"/>
      <c r="AK2004" s="325"/>
      <c r="AL2004" s="1134"/>
      <c r="AM2004" s="325"/>
      <c r="AN2004" s="322"/>
      <c r="AO2004" s="323"/>
      <c r="AP2004" s="322"/>
      <c r="AQ2004" s="323"/>
      <c r="AR2004" s="322"/>
      <c r="AS2004" s="322"/>
      <c r="AT2004" s="322"/>
      <c r="AU2004" s="335"/>
      <c r="AV2004" s="322"/>
      <c r="AW2004" s="38"/>
      <c r="AX2004" s="322"/>
      <c r="AY2004" s="38"/>
      <c r="AZ2004" s="322"/>
      <c r="BA2004" s="335"/>
      <c r="BB2004" s="322"/>
      <c r="BC2004" s="335"/>
      <c r="BD2004" s="322"/>
      <c r="BE2004" s="38"/>
      <c r="BF2004" s="326"/>
    </row>
    <row r="2005">
      <c r="A2005" s="48" t="s">
        <v>9213</v>
      </c>
      <c r="B2005" s="16"/>
      <c r="C2005" s="17" t="s">
        <v>132</v>
      </c>
      <c r="D2005" s="48"/>
      <c r="E2005" s="192" t="s">
        <v>9214</v>
      </c>
      <c r="F2005" s="118" t="s">
        <v>9215</v>
      </c>
      <c r="G2005" s="317"/>
      <c r="H2005" s="22" t="s">
        <v>1109</v>
      </c>
      <c r="I2005" s="23" t="s">
        <v>9216</v>
      </c>
      <c r="J2005" s="237"/>
      <c r="K2005" s="23">
        <v>4.0</v>
      </c>
      <c r="L2005" s="23">
        <v>2020.0</v>
      </c>
      <c r="M2005" s="222"/>
      <c r="N2005" s="23"/>
      <c r="O2005" s="27" t="str">
        <f t="shared" si="3"/>
        <v>#N/A</v>
      </c>
      <c r="P2005" s="28"/>
      <c r="Q2005" s="28"/>
      <c r="R2005" s="28"/>
      <c r="S2005" s="28"/>
      <c r="T2005" s="28"/>
      <c r="U2005" s="28"/>
      <c r="V2005" s="30">
        <f t="shared" si="425"/>
        <v>0</v>
      </c>
      <c r="W2005" s="30"/>
      <c r="X2005" s="33"/>
      <c r="Y2005" s="33"/>
      <c r="Z2005" s="692"/>
      <c r="AA2005" s="665"/>
      <c r="AB2005" s="23"/>
      <c r="AC2005" s="36"/>
      <c r="AD2005" s="44"/>
      <c r="AE2005" s="38"/>
      <c r="AF2005" s="320"/>
      <c r="AG2005" s="38"/>
      <c r="AH2005" s="36"/>
      <c r="AI2005" s="159"/>
      <c r="AJ2005" s="44"/>
      <c r="AK2005" s="46"/>
      <c r="AL2005" s="44"/>
      <c r="AM2005" s="46"/>
      <c r="AN2005" s="44"/>
      <c r="AO2005" s="46"/>
      <c r="AP2005" s="44"/>
      <c r="AQ2005" s="46"/>
      <c r="AR2005" s="44"/>
      <c r="AS2005" s="44"/>
      <c r="AT2005" s="44"/>
      <c r="AU2005" s="45"/>
      <c r="AV2005" s="44"/>
      <c r="AW2005" s="38"/>
      <c r="AX2005" s="44"/>
      <c r="AY2005" s="38"/>
      <c r="AZ2005" s="44"/>
      <c r="BA2005" s="45"/>
      <c r="BB2005" s="44"/>
      <c r="BC2005" s="45"/>
      <c r="BD2005" s="44"/>
      <c r="BE2005" s="38"/>
      <c r="BF2005" s="36"/>
    </row>
    <row r="2006">
      <c r="A2006" s="21" t="s">
        <v>9217</v>
      </c>
      <c r="B2006" s="16"/>
      <c r="C2006" s="17" t="s">
        <v>132</v>
      </c>
      <c r="D2006" s="231" t="s">
        <v>9218</v>
      </c>
      <c r="E2006" s="492" t="s">
        <v>9219</v>
      </c>
      <c r="F2006" s="173" t="s">
        <v>9220</v>
      </c>
      <c r="G2006" s="317"/>
      <c r="H2006" s="22" t="s">
        <v>128</v>
      </c>
      <c r="I2006" s="23" t="s">
        <v>129</v>
      </c>
      <c r="J2006" s="237"/>
      <c r="K2006" s="26">
        <v>1.0</v>
      </c>
      <c r="L2006" s="23">
        <v>2017.0</v>
      </c>
      <c r="M2006" s="25"/>
      <c r="N2006" s="26"/>
      <c r="O2006" s="27" t="str">
        <f t="shared" si="3"/>
        <v>#N/A</v>
      </c>
      <c r="P2006" s="28"/>
      <c r="Q2006" s="28"/>
      <c r="R2006" s="28"/>
      <c r="S2006" s="28"/>
      <c r="T2006" s="28"/>
      <c r="U2006" s="28"/>
      <c r="V2006" s="30">
        <f t="shared" si="425"/>
        <v>0</v>
      </c>
      <c r="W2006" s="30"/>
      <c r="X2006" s="73"/>
      <c r="Y2006" s="73"/>
      <c r="Z2006" s="692"/>
      <c r="AA2006" s="665"/>
      <c r="AB2006" s="36"/>
      <c r="AC2006" s="36"/>
      <c r="AD2006" s="37"/>
      <c r="AE2006" s="38"/>
      <c r="AF2006" s="39"/>
      <c r="AG2006" s="46"/>
      <c r="AH2006" s="36"/>
      <c r="AI2006" s="159"/>
      <c r="AJ2006" s="37"/>
      <c r="AK2006" s="38"/>
      <c r="AL2006" s="44"/>
      <c r="AM2006" s="46"/>
      <c r="AN2006" s="44"/>
      <c r="AO2006" s="46"/>
      <c r="AP2006" s="44"/>
      <c r="AQ2006" s="46"/>
      <c r="AR2006" s="44"/>
      <c r="AS2006" s="44"/>
      <c r="AT2006" s="44"/>
      <c r="AU2006" s="45"/>
      <c r="AV2006" s="44"/>
      <c r="AW2006" s="38"/>
      <c r="AX2006" s="44"/>
      <c r="AY2006" s="38"/>
      <c r="AZ2006" s="44"/>
      <c r="BA2006" s="45"/>
      <c r="BB2006" s="44"/>
      <c r="BC2006" s="45"/>
      <c r="BD2006" s="44"/>
      <c r="BE2006" s="38"/>
      <c r="BF2006" s="36"/>
    </row>
    <row r="2007">
      <c r="A2007" s="21" t="s">
        <v>9221</v>
      </c>
      <c r="B2007" s="17" t="s">
        <v>9222</v>
      </c>
      <c r="C2007" s="17" t="s">
        <v>59</v>
      </c>
      <c r="D2007" s="231" t="s">
        <v>9223</v>
      </c>
      <c r="E2007" s="231" t="s">
        <v>9224</v>
      </c>
      <c r="F2007" s="177" t="s">
        <v>9225</v>
      </c>
      <c r="G2007" s="22"/>
      <c r="H2007" s="22" t="s">
        <v>9226</v>
      </c>
      <c r="I2007" s="23" t="s">
        <v>358</v>
      </c>
      <c r="J2007" s="24"/>
      <c r="K2007" s="26">
        <v>1.0</v>
      </c>
      <c r="L2007" s="23">
        <v>2008.0</v>
      </c>
      <c r="M2007" s="25"/>
      <c r="N2007" s="26"/>
      <c r="O2007" s="27" t="str">
        <f t="shared" si="3"/>
        <v>#N/A</v>
      </c>
      <c r="P2007" s="464"/>
      <c r="Q2007" s="464"/>
      <c r="R2007" s="464"/>
      <c r="S2007" s="464"/>
      <c r="T2007" s="464"/>
      <c r="U2007" s="464"/>
      <c r="V2007" s="30">
        <f t="shared" si="425"/>
        <v>0</v>
      </c>
      <c r="W2007" s="30"/>
      <c r="X2007" s="73"/>
      <c r="Y2007" s="73"/>
      <c r="Z2007" s="692"/>
      <c r="AA2007" s="665"/>
      <c r="AB2007" s="36"/>
      <c r="AC2007" s="36"/>
      <c r="AD2007" s="44"/>
      <c r="AE2007" s="46"/>
      <c r="AF2007" s="1502"/>
      <c r="AG2007" s="38"/>
      <c r="AH2007" s="36"/>
      <c r="AI2007" s="159"/>
      <c r="AJ2007" s="37"/>
      <c r="AK2007" s="38"/>
      <c r="AL2007" s="44"/>
      <c r="AM2007" s="46"/>
      <c r="AN2007" s="44"/>
      <c r="AO2007" s="46"/>
      <c r="AP2007" s="44"/>
      <c r="AQ2007" s="46"/>
      <c r="AR2007" s="44"/>
      <c r="AS2007" s="44"/>
      <c r="AT2007" s="44"/>
      <c r="AU2007" s="45"/>
      <c r="AV2007" s="44"/>
      <c r="AW2007" s="38"/>
      <c r="AX2007" s="44"/>
      <c r="AY2007" s="38"/>
      <c r="AZ2007" s="44"/>
      <c r="BA2007" s="45"/>
      <c r="BB2007" s="44"/>
      <c r="BC2007" s="45"/>
      <c r="BD2007" s="44"/>
      <c r="BE2007" s="38"/>
      <c r="BF2007" s="36"/>
    </row>
    <row r="2008">
      <c r="A2008" s="245"/>
      <c r="B2008" s="17"/>
      <c r="C2008" s="17"/>
      <c r="D2008" s="385"/>
      <c r="E2008" s="245"/>
      <c r="F2008" s="810"/>
      <c r="G2008" s="317"/>
      <c r="H2008" s="22"/>
      <c r="I2008" s="23"/>
      <c r="J2008" s="237"/>
      <c r="K2008" s="23"/>
      <c r="L2008" s="23"/>
      <c r="M2008" s="222"/>
      <c r="N2008" s="23"/>
      <c r="O2008" s="27" t="str">
        <f t="shared" si="3"/>
        <v>#N/A</v>
      </c>
      <c r="P2008" s="1177"/>
      <c r="Q2008" s="1177"/>
      <c r="R2008" s="1177"/>
      <c r="S2008" s="1177"/>
      <c r="T2008" s="1177"/>
      <c r="U2008" s="1177"/>
      <c r="V2008" s="30">
        <f t="shared" si="425"/>
        <v>0</v>
      </c>
      <c r="W2008" s="30"/>
      <c r="X2008" s="33"/>
      <c r="Y2008" s="33"/>
      <c r="Z2008" s="692"/>
      <c r="AA2008" s="665"/>
      <c r="AB2008" s="36"/>
      <c r="AC2008" s="36"/>
      <c r="AD2008" s="44"/>
      <c r="AE2008" s="38"/>
      <c r="AF2008" s="39"/>
      <c r="AG2008" s="38"/>
      <c r="AH2008" s="36"/>
      <c r="AI2008" s="159"/>
      <c r="AJ2008" s="44"/>
      <c r="AK2008" s="38"/>
      <c r="AL2008" s="44"/>
      <c r="AM2008" s="38"/>
      <c r="AN2008" s="44"/>
      <c r="AO2008" s="46"/>
      <c r="AP2008" s="37"/>
      <c r="AQ2008" s="38"/>
      <c r="AR2008" s="44"/>
      <c r="AS2008" s="44"/>
      <c r="AT2008" s="44"/>
      <c r="AU2008" s="45"/>
      <c r="AV2008" s="44"/>
      <c r="AW2008" s="38"/>
      <c r="AX2008" s="44"/>
      <c r="AY2008" s="38"/>
      <c r="AZ2008" s="44"/>
      <c r="BA2008" s="45"/>
      <c r="BB2008" s="44"/>
      <c r="BC2008" s="45"/>
      <c r="BD2008" s="44"/>
      <c r="BE2008" s="38"/>
      <c r="BF2008" s="36"/>
    </row>
    <row r="2009">
      <c r="A2009" s="48" t="s">
        <v>9227</v>
      </c>
      <c r="B2009" s="68"/>
      <c r="C2009" s="69" t="s">
        <v>132</v>
      </c>
      <c r="D2009" s="48"/>
      <c r="E2009" s="192" t="s">
        <v>9228</v>
      </c>
      <c r="F2009" s="70" t="s">
        <v>9229</v>
      </c>
      <c r="G2009" s="186"/>
      <c r="H2009" s="71" t="s">
        <v>2545</v>
      </c>
      <c r="I2009" s="26" t="s">
        <v>100</v>
      </c>
      <c r="J2009" s="155"/>
      <c r="K2009" s="26">
        <v>2.0</v>
      </c>
      <c r="L2009" s="26">
        <v>2021.0</v>
      </c>
      <c r="M2009" s="25"/>
      <c r="N2009" s="26"/>
      <c r="O2009" s="27" t="str">
        <f t="shared" si="3"/>
        <v>#N/A</v>
      </c>
      <c r="P2009" s="273"/>
      <c r="Q2009" s="273"/>
      <c r="R2009" s="273"/>
      <c r="S2009" s="273"/>
      <c r="T2009" s="273"/>
      <c r="U2009" s="273"/>
      <c r="V2009" s="30">
        <f t="shared" si="425"/>
        <v>0</v>
      </c>
      <c r="W2009" s="30"/>
      <c r="X2009" s="73"/>
      <c r="Y2009" s="73"/>
      <c r="Z2009" s="692"/>
      <c r="AA2009" s="665"/>
      <c r="AB2009" s="74"/>
      <c r="AC2009" s="74"/>
      <c r="AD2009" s="44"/>
      <c r="AE2009" s="46"/>
      <c r="AF2009" s="39"/>
      <c r="AG2009" s="38"/>
      <c r="AH2009" s="36"/>
      <c r="AI2009" s="159"/>
      <c r="AJ2009" s="44"/>
      <c r="AK2009" s="46"/>
      <c r="AL2009" s="44"/>
      <c r="AM2009" s="38"/>
      <c r="AN2009" s="44"/>
      <c r="AO2009" s="38"/>
      <c r="AP2009" s="44"/>
      <c r="AQ2009" s="46"/>
      <c r="AR2009" s="44"/>
      <c r="AS2009" s="44"/>
      <c r="AT2009" s="44"/>
      <c r="AU2009" s="45"/>
      <c r="AV2009" s="44"/>
      <c r="AW2009" s="38"/>
      <c r="AX2009" s="44"/>
      <c r="AY2009" s="38"/>
      <c r="AZ2009" s="44"/>
      <c r="BA2009" s="45"/>
      <c r="BB2009" s="44"/>
      <c r="BC2009" s="45"/>
      <c r="BD2009" s="44"/>
      <c r="BE2009" s="38"/>
      <c r="BF2009" s="36"/>
    </row>
    <row r="2010">
      <c r="A2010" s="21" t="s">
        <v>9230</v>
      </c>
      <c r="B2010" s="68"/>
      <c r="C2010" s="69" t="s">
        <v>84</v>
      </c>
      <c r="D2010" s="269"/>
      <c r="E2010" s="270" t="s">
        <v>9231</v>
      </c>
      <c r="F2010" s="173" t="s">
        <v>9232</v>
      </c>
      <c r="G2010" s="71"/>
      <c r="H2010" s="71" t="s">
        <v>5888</v>
      </c>
      <c r="I2010" s="26" t="s">
        <v>149</v>
      </c>
      <c r="J2010" s="155"/>
      <c r="K2010" s="26">
        <v>3.0</v>
      </c>
      <c r="L2010" s="26">
        <v>2018.0</v>
      </c>
      <c r="M2010" s="25"/>
      <c r="N2010" s="26"/>
      <c r="O2010" s="27" t="str">
        <f t="shared" si="3"/>
        <v>#N/A</v>
      </c>
      <c r="P2010" s="273"/>
      <c r="Q2010" s="273"/>
      <c r="R2010" s="273"/>
      <c r="S2010" s="273"/>
      <c r="T2010" s="273"/>
      <c r="U2010" s="273"/>
      <c r="V2010" s="30">
        <f t="shared" si="425"/>
        <v>0</v>
      </c>
      <c r="W2010" s="30"/>
      <c r="X2010" s="73"/>
      <c r="Y2010" s="73"/>
      <c r="Z2010" s="692"/>
      <c r="AA2010" s="665"/>
      <c r="AB2010" s="74"/>
      <c r="AC2010" s="74"/>
      <c r="AD2010" s="44"/>
      <c r="AE2010" s="46"/>
      <c r="AF2010" s="39"/>
      <c r="AG2010" s="38"/>
      <c r="AH2010" s="36"/>
      <c r="AI2010" s="159"/>
      <c r="AJ2010" s="37"/>
      <c r="AK2010" s="38"/>
      <c r="AL2010" s="44"/>
      <c r="AM2010" s="38"/>
      <c r="AN2010" s="44"/>
      <c r="AO2010" s="46"/>
      <c r="AP2010" s="44"/>
      <c r="AQ2010" s="46"/>
      <c r="AR2010" s="44"/>
      <c r="AS2010" s="44"/>
      <c r="AT2010" s="44"/>
      <c r="AU2010" s="45"/>
      <c r="AV2010" s="44"/>
      <c r="AW2010" s="38"/>
      <c r="AX2010" s="44"/>
      <c r="AY2010" s="38"/>
      <c r="AZ2010" s="44"/>
      <c r="BA2010" s="45"/>
      <c r="BB2010" s="44"/>
      <c r="BC2010" s="45"/>
      <c r="BD2010" s="44"/>
      <c r="BE2010" s="38"/>
      <c r="BF2010" s="36"/>
    </row>
    <row r="2011">
      <c r="A2011" s="21" t="s">
        <v>9233</v>
      </c>
      <c r="B2011" s="69"/>
      <c r="C2011" s="69" t="s">
        <v>84</v>
      </c>
      <c r="D2011" s="380"/>
      <c r="E2011" s="200" t="s">
        <v>9234</v>
      </c>
      <c r="F2011" s="154" t="s">
        <v>9235</v>
      </c>
      <c r="G2011" s="23"/>
      <c r="H2011" s="71" t="s">
        <v>114</v>
      </c>
      <c r="I2011" s="26" t="s">
        <v>115</v>
      </c>
      <c r="J2011" s="72"/>
      <c r="K2011" s="26">
        <v>2.0</v>
      </c>
      <c r="L2011" s="142">
        <v>2000.0</v>
      </c>
      <c r="M2011" s="25"/>
      <c r="N2011" s="26"/>
      <c r="O2011" s="27" t="str">
        <f t="shared" si="3"/>
        <v>#N/A</v>
      </c>
      <c r="P2011" s="273"/>
      <c r="Q2011" s="273"/>
      <c r="R2011" s="273"/>
      <c r="S2011" s="273"/>
      <c r="T2011" s="273"/>
      <c r="U2011" s="273"/>
      <c r="V2011" s="30">
        <f t="shared" si="425"/>
        <v>0</v>
      </c>
      <c r="W2011" s="30"/>
      <c r="X2011" s="73"/>
      <c r="Y2011" s="73"/>
      <c r="Z2011" s="692"/>
      <c r="AA2011" s="665"/>
      <c r="AB2011" s="74"/>
      <c r="AC2011" s="74"/>
      <c r="AD2011" s="44"/>
      <c r="AE2011" s="46"/>
      <c r="AF2011" s="39"/>
      <c r="AG2011" s="38"/>
      <c r="AH2011" s="36"/>
      <c r="AI2011" s="159"/>
      <c r="AJ2011" s="898"/>
      <c r="AK2011" s="715"/>
      <c r="AL2011" s="44"/>
      <c r="AM2011" s="46"/>
      <c r="AN2011" s="44"/>
      <c r="AO2011" s="46"/>
      <c r="AP2011" s="44"/>
      <c r="AQ2011" s="46"/>
      <c r="AR2011" s="44"/>
      <c r="AS2011" s="44"/>
      <c r="AT2011" s="44"/>
      <c r="AU2011" s="45"/>
      <c r="AV2011" s="44"/>
      <c r="AW2011" s="38"/>
      <c r="AX2011" s="44"/>
      <c r="AY2011" s="38"/>
      <c r="AZ2011" s="44"/>
      <c r="BA2011" s="45"/>
      <c r="BB2011" s="44"/>
      <c r="BC2011" s="45"/>
      <c r="BD2011" s="44"/>
      <c r="BE2011" s="38"/>
      <c r="BF2011" s="36"/>
    </row>
    <row r="2012">
      <c r="A2012" s="21" t="s">
        <v>9236</v>
      </c>
      <c r="B2012" s="69"/>
      <c r="C2012" s="69" t="s">
        <v>84</v>
      </c>
      <c r="D2012" s="535" t="s">
        <v>9237</v>
      </c>
      <c r="E2012" s="1167" t="s">
        <v>9238</v>
      </c>
      <c r="F2012" s="565" t="s">
        <v>9239</v>
      </c>
      <c r="G2012" s="493"/>
      <c r="H2012" s="493" t="s">
        <v>328</v>
      </c>
      <c r="I2012" s="26" t="s">
        <v>329</v>
      </c>
      <c r="J2012" s="494"/>
      <c r="K2012" s="26">
        <v>2.0</v>
      </c>
      <c r="L2012" s="26">
        <v>2021.0</v>
      </c>
      <c r="M2012" s="25"/>
      <c r="N2012" s="26"/>
      <c r="O2012" s="27" t="str">
        <f t="shared" si="3"/>
        <v>#N/A</v>
      </c>
      <c r="P2012" s="28"/>
      <c r="Q2012" s="28"/>
      <c r="R2012" s="28"/>
      <c r="S2012" s="28"/>
      <c r="T2012" s="28"/>
      <c r="U2012" s="28"/>
      <c r="V2012" s="30">
        <f t="shared" si="425"/>
        <v>0</v>
      </c>
      <c r="W2012" s="30"/>
      <c r="X2012" s="73"/>
      <c r="Y2012" s="73"/>
      <c r="Z2012" s="692"/>
      <c r="AA2012" s="665"/>
      <c r="AB2012" s="74"/>
      <c r="AC2012" s="74"/>
      <c r="AD2012" s="44"/>
      <c r="AE2012" s="38"/>
      <c r="AF2012" s="39"/>
      <c r="AG2012" s="38"/>
      <c r="AH2012" s="36"/>
      <c r="AI2012" s="159"/>
      <c r="AJ2012" s="44"/>
      <c r="AK2012" s="46"/>
      <c r="AL2012" s="44"/>
      <c r="AM2012" s="46"/>
      <c r="AN2012" s="44"/>
      <c r="AO2012" s="46"/>
      <c r="AP2012" s="44"/>
      <c r="AQ2012" s="46"/>
      <c r="AR2012" s="44"/>
      <c r="AS2012" s="44"/>
      <c r="AT2012" s="44"/>
      <c r="AU2012" s="45"/>
      <c r="AV2012" s="44"/>
      <c r="AW2012" s="38"/>
      <c r="AX2012" s="44"/>
      <c r="AY2012" s="38"/>
      <c r="AZ2012" s="44"/>
      <c r="BA2012" s="45"/>
      <c r="BB2012" s="44"/>
      <c r="BC2012" s="45"/>
      <c r="BD2012" s="44"/>
      <c r="BE2012" s="38"/>
      <c r="BF2012" s="36"/>
    </row>
    <row r="2013">
      <c r="A2013" s="21" t="s">
        <v>9240</v>
      </c>
      <c r="B2013" s="69"/>
      <c r="C2013" s="69" t="s">
        <v>68</v>
      </c>
      <c r="D2013" s="337"/>
      <c r="E2013" s="416" t="s">
        <v>9241</v>
      </c>
      <c r="F2013" s="173" t="s">
        <v>9242</v>
      </c>
      <c r="G2013" s="1697"/>
      <c r="H2013" s="1697"/>
      <c r="I2013" s="1401"/>
      <c r="J2013" s="72"/>
      <c r="K2013" s="26"/>
      <c r="L2013" s="26">
        <v>2021.0</v>
      </c>
      <c r="M2013" s="25"/>
      <c r="N2013" s="26"/>
      <c r="O2013" s="27" t="str">
        <f t="shared" si="3"/>
        <v>#N/A</v>
      </c>
      <c r="P2013" s="273"/>
      <c r="Q2013" s="273"/>
      <c r="R2013" s="273"/>
      <c r="S2013" s="273"/>
      <c r="T2013" s="273"/>
      <c r="U2013" s="273"/>
      <c r="V2013" s="30">
        <f t="shared" si="425"/>
        <v>0</v>
      </c>
      <c r="W2013" s="30"/>
      <c r="X2013" s="73"/>
      <c r="Y2013" s="73"/>
      <c r="Z2013" s="692"/>
      <c r="AA2013" s="665"/>
      <c r="AB2013" s="74"/>
      <c r="AC2013" s="74"/>
      <c r="AD2013" s="44"/>
      <c r="AE2013" s="46"/>
      <c r="AF2013" s="39"/>
      <c r="AG2013" s="46"/>
      <c r="AH2013" s="36"/>
      <c r="AI2013" s="159"/>
      <c r="AJ2013" s="44"/>
      <c r="AK2013" s="46"/>
      <c r="AL2013" s="44"/>
      <c r="AM2013" s="46"/>
      <c r="AN2013" s="44"/>
      <c r="AO2013" s="46"/>
      <c r="AP2013" s="44"/>
      <c r="AQ2013" s="46"/>
      <c r="AR2013" s="44"/>
      <c r="AS2013" s="44"/>
      <c r="AT2013" s="44"/>
      <c r="AU2013" s="45"/>
      <c r="AV2013" s="44"/>
      <c r="AW2013" s="38"/>
      <c r="AX2013" s="44"/>
      <c r="AY2013" s="38"/>
      <c r="AZ2013" s="44"/>
      <c r="BA2013" s="45"/>
      <c r="BB2013" s="44"/>
      <c r="BC2013" s="45"/>
      <c r="BD2013" s="44"/>
      <c r="BE2013" s="38"/>
      <c r="BF2013" s="36"/>
    </row>
    <row r="2014">
      <c r="A2014" s="21" t="s">
        <v>9243</v>
      </c>
      <c r="B2014" s="69"/>
      <c r="C2014" s="69" t="s">
        <v>68</v>
      </c>
      <c r="D2014" s="796" t="s">
        <v>9244</v>
      </c>
      <c r="E2014" s="200" t="s">
        <v>9245</v>
      </c>
      <c r="F2014" s="425" t="s">
        <v>9246</v>
      </c>
      <c r="G2014" s="71" t="s">
        <v>9247</v>
      </c>
      <c r="H2014" s="71" t="s">
        <v>4055</v>
      </c>
      <c r="I2014" s="26" t="s">
        <v>639</v>
      </c>
      <c r="J2014" s="72" t="s">
        <v>9248</v>
      </c>
      <c r="K2014" s="26">
        <v>2.0</v>
      </c>
      <c r="L2014" s="26">
        <v>2010.0</v>
      </c>
      <c r="M2014" s="25"/>
      <c r="N2014" s="26"/>
      <c r="O2014" s="27" t="str">
        <f t="shared" si="3"/>
        <v>#N/A</v>
      </c>
      <c r="P2014" s="28"/>
      <c r="Q2014" s="28"/>
      <c r="R2014" s="28"/>
      <c r="S2014" s="28"/>
      <c r="T2014" s="28"/>
      <c r="U2014" s="28"/>
      <c r="V2014" s="30">
        <f t="shared" si="425"/>
        <v>0</v>
      </c>
      <c r="W2014" s="30"/>
      <c r="X2014" s="73"/>
      <c r="Y2014" s="73"/>
      <c r="Z2014" s="692"/>
      <c r="AA2014" s="665"/>
      <c r="AB2014" s="74"/>
      <c r="AC2014" s="74"/>
      <c r="AD2014" s="44"/>
      <c r="AE2014" s="46"/>
      <c r="AF2014" s="726">
        <v>41852.0</v>
      </c>
      <c r="AG2014" s="46"/>
      <c r="AH2014" s="36"/>
      <c r="AI2014" s="159"/>
      <c r="AJ2014" s="473"/>
      <c r="AK2014" s="46"/>
      <c r="AL2014" s="37"/>
      <c r="AM2014" s="715"/>
      <c r="AN2014" s="44"/>
      <c r="AO2014" s="46"/>
      <c r="AP2014" s="44"/>
      <c r="AQ2014" s="46"/>
      <c r="AR2014" s="44"/>
      <c r="AS2014" s="44"/>
      <c r="AT2014" s="44"/>
      <c r="AU2014" s="45"/>
      <c r="AV2014" s="44"/>
      <c r="AW2014" s="38"/>
      <c r="AX2014" s="44"/>
      <c r="AY2014" s="38"/>
      <c r="AZ2014" s="44"/>
      <c r="BA2014" s="45"/>
      <c r="BB2014" s="44"/>
      <c r="BC2014" s="45"/>
      <c r="BD2014" s="44"/>
      <c r="BE2014" s="38"/>
      <c r="BF2014" s="36"/>
    </row>
    <row r="2015">
      <c r="A2015" s="21" t="s">
        <v>9249</v>
      </c>
      <c r="B2015" s="69"/>
      <c r="C2015" s="69" t="s">
        <v>190</v>
      </c>
      <c r="D2015" s="231" t="s">
        <v>9250</v>
      </c>
      <c r="E2015" s="270" t="s">
        <v>9251</v>
      </c>
      <c r="F2015" s="154" t="s">
        <v>9252</v>
      </c>
      <c r="G2015" s="71" t="s">
        <v>9253</v>
      </c>
      <c r="H2015" s="71" t="s">
        <v>328</v>
      </c>
      <c r="I2015" s="26" t="s">
        <v>329</v>
      </c>
      <c r="J2015" s="72" t="s">
        <v>9254</v>
      </c>
      <c r="K2015" s="26">
        <v>2.0</v>
      </c>
      <c r="L2015" s="26">
        <v>2019.0</v>
      </c>
      <c r="M2015" s="25"/>
      <c r="N2015" s="26"/>
      <c r="O2015" s="27" t="str">
        <f t="shared" si="3"/>
        <v>#N/A</v>
      </c>
      <c r="P2015" s="28"/>
      <c r="Q2015" s="28"/>
      <c r="R2015" s="28"/>
      <c r="S2015" s="28"/>
      <c r="T2015" s="28"/>
      <c r="U2015" s="28"/>
      <c r="V2015" s="30">
        <f t="shared" si="425"/>
        <v>0</v>
      </c>
      <c r="W2015" s="30"/>
      <c r="X2015" s="73"/>
      <c r="Y2015" s="73"/>
      <c r="Z2015" s="692"/>
      <c r="AA2015" s="665"/>
      <c r="AB2015" s="74"/>
      <c r="AC2015" s="74"/>
      <c r="AD2015" s="79"/>
      <c r="AE2015" s="84"/>
      <c r="AF2015" s="338"/>
      <c r="AG2015" s="76"/>
      <c r="AH2015" s="74"/>
      <c r="AI2015" s="78"/>
      <c r="AJ2015" s="79"/>
      <c r="AK2015" s="84"/>
      <c r="AL2015" s="79"/>
      <c r="AM2015" s="84"/>
      <c r="AN2015" s="79"/>
      <c r="AO2015" s="84"/>
      <c r="AP2015" s="79"/>
      <c r="AQ2015" s="84"/>
      <c r="AR2015" s="79"/>
      <c r="AS2015" s="79"/>
      <c r="AT2015" s="79"/>
      <c r="AU2015" s="80"/>
      <c r="AV2015" s="79"/>
      <c r="AW2015" s="38"/>
      <c r="AX2015" s="79"/>
      <c r="AY2015" s="38"/>
      <c r="AZ2015" s="79"/>
      <c r="BA2015" s="80"/>
      <c r="BB2015" s="79"/>
      <c r="BC2015" s="80"/>
      <c r="BD2015" s="79"/>
      <c r="BE2015" s="38"/>
      <c r="BF2015" s="74"/>
    </row>
    <row r="2016">
      <c r="A2016" s="50" t="s">
        <v>9255</v>
      </c>
      <c r="B2016" s="858"/>
      <c r="C2016" s="69" t="s">
        <v>1599</v>
      </c>
      <c r="D2016" s="50" t="s">
        <v>9256</v>
      </c>
      <c r="E2016" s="50" t="s">
        <v>9257</v>
      </c>
      <c r="F2016" s="1727" t="s">
        <v>9258</v>
      </c>
      <c r="G2016" s="55"/>
      <c r="H2016" s="71" t="s">
        <v>271</v>
      </c>
      <c r="I2016" s="1315" t="s">
        <v>272</v>
      </c>
      <c r="J2016" s="155"/>
      <c r="K2016" s="26">
        <v>2.0</v>
      </c>
      <c r="L2016" s="26">
        <v>2019.0</v>
      </c>
      <c r="M2016" s="25"/>
      <c r="N2016" s="26"/>
      <c r="O2016" s="27" t="str">
        <f t="shared" si="3"/>
        <v>#N/A</v>
      </c>
      <c r="P2016" s="273"/>
      <c r="Q2016" s="273"/>
      <c r="R2016" s="273"/>
      <c r="S2016" s="273"/>
      <c r="T2016" s="273"/>
      <c r="U2016" s="273"/>
      <c r="V2016" s="30">
        <f t="shared" si="425"/>
        <v>0</v>
      </c>
      <c r="W2016" s="30"/>
      <c r="X2016" s="73"/>
      <c r="Y2016" s="73"/>
      <c r="Z2016" s="692"/>
      <c r="AA2016" s="665"/>
      <c r="AB2016" s="74"/>
      <c r="AC2016" s="74"/>
      <c r="AD2016" s="79"/>
      <c r="AE2016" s="84"/>
      <c r="AF2016" s="338"/>
      <c r="AG2016" s="84"/>
      <c r="AH2016" s="74"/>
      <c r="AI2016" s="78"/>
      <c r="AJ2016" s="79"/>
      <c r="AK2016" s="84"/>
      <c r="AL2016" s="279"/>
      <c r="AM2016" s="76"/>
      <c r="AN2016" s="79"/>
      <c r="AO2016" s="84"/>
      <c r="AP2016" s="79"/>
      <c r="AQ2016" s="84"/>
      <c r="AR2016" s="79"/>
      <c r="AS2016" s="79"/>
      <c r="AT2016" s="79"/>
      <c r="AU2016" s="80"/>
      <c r="AV2016" s="79"/>
      <c r="AW2016" s="38"/>
      <c r="AX2016" s="79"/>
      <c r="AY2016" s="38"/>
      <c r="AZ2016" s="79"/>
      <c r="BA2016" s="80"/>
      <c r="BB2016" s="79"/>
      <c r="BC2016" s="80"/>
      <c r="BD2016" s="79"/>
      <c r="BE2016" s="38"/>
      <c r="BF2016" s="74"/>
    </row>
    <row r="2017">
      <c r="A2017" s="21" t="s">
        <v>9259</v>
      </c>
      <c r="B2017" s="68"/>
      <c r="C2017" s="69" t="s">
        <v>9260</v>
      </c>
      <c r="D2017" s="184"/>
      <c r="E2017" s="270" t="s">
        <v>9261</v>
      </c>
      <c r="F2017" s="177" t="s">
        <v>9262</v>
      </c>
      <c r="G2017" s="186"/>
      <c r="H2017" s="71" t="s">
        <v>1446</v>
      </c>
      <c r="I2017" s="26" t="s">
        <v>1447</v>
      </c>
      <c r="J2017" s="155"/>
      <c r="K2017" s="26">
        <v>3.0</v>
      </c>
      <c r="L2017" s="142">
        <v>2020.0</v>
      </c>
      <c r="M2017" s="25"/>
      <c r="N2017" s="26"/>
      <c r="O2017" s="27" t="str">
        <f t="shared" si="3"/>
        <v>#N/A</v>
      </c>
      <c r="P2017" s="28"/>
      <c r="Q2017" s="28"/>
      <c r="R2017" s="28"/>
      <c r="S2017" s="28"/>
      <c r="T2017" s="28"/>
      <c r="U2017" s="28"/>
      <c r="V2017" s="30">
        <f t="shared" si="425"/>
        <v>0</v>
      </c>
      <c r="W2017" s="30"/>
      <c r="X2017" s="73"/>
      <c r="Y2017" s="73"/>
      <c r="Z2017" s="692"/>
      <c r="AA2017" s="665"/>
      <c r="AB2017" s="74"/>
      <c r="AC2017" s="74"/>
      <c r="AD2017" s="79"/>
      <c r="AE2017" s="84"/>
      <c r="AF2017" s="338"/>
      <c r="AG2017" s="84"/>
      <c r="AH2017" s="77"/>
      <c r="AI2017" s="78"/>
      <c r="AJ2017" s="279"/>
      <c r="AK2017" s="76"/>
      <c r="AL2017" s="79"/>
      <c r="AM2017" s="76"/>
      <c r="AN2017" s="79"/>
      <c r="AO2017" s="76"/>
      <c r="AP2017" s="79"/>
      <c r="AQ2017" s="84"/>
      <c r="AR2017" s="79"/>
      <c r="AS2017" s="79"/>
      <c r="AT2017" s="79"/>
      <c r="AU2017" s="80"/>
      <c r="AV2017" s="79"/>
      <c r="AW2017" s="38"/>
      <c r="AX2017" s="79"/>
      <c r="AY2017" s="38"/>
      <c r="AZ2017" s="79"/>
      <c r="BA2017" s="80"/>
      <c r="BB2017" s="79"/>
      <c r="BC2017" s="80"/>
      <c r="BD2017" s="79"/>
      <c r="BE2017" s="38"/>
      <c r="BF2017" s="74"/>
    </row>
    <row r="2018">
      <c r="A2018" s="47" t="s">
        <v>9263</v>
      </c>
      <c r="B2018" s="116"/>
      <c r="C2018" s="116" t="s">
        <v>702</v>
      </c>
      <c r="D2018" s="1935"/>
      <c r="E2018" s="192" t="s">
        <v>9264</v>
      </c>
      <c r="F2018" s="70" t="s">
        <v>9265</v>
      </c>
      <c r="G2018" s="286"/>
      <c r="H2018" s="119" t="s">
        <v>9266</v>
      </c>
      <c r="I2018" s="25" t="s">
        <v>329</v>
      </c>
      <c r="J2018" s="287"/>
      <c r="K2018" s="25"/>
      <c r="L2018" s="25">
        <v>2020.0</v>
      </c>
      <c r="M2018" s="25"/>
      <c r="N2018" s="25"/>
      <c r="O2018" s="27" t="str">
        <f t="shared" si="3"/>
        <v>#N/A</v>
      </c>
      <c r="P2018" s="55"/>
      <c r="Q2018" s="55"/>
      <c r="R2018" s="55"/>
      <c r="S2018" s="55"/>
      <c r="T2018" s="55"/>
      <c r="U2018" s="55"/>
      <c r="V2018" s="30">
        <f t="shared" si="425"/>
        <v>0</v>
      </c>
      <c r="W2018" s="30"/>
      <c r="X2018" s="597"/>
      <c r="Y2018" s="597"/>
      <c r="Z2018" s="692"/>
      <c r="AA2018" s="665"/>
      <c r="AB2018" s="123"/>
      <c r="AC2018" s="123"/>
      <c r="AD2018" s="124"/>
      <c r="AE2018" s="125"/>
      <c r="AF2018" s="1936"/>
      <c r="AG2018" s="127"/>
      <c r="AH2018" s="123"/>
      <c r="AI2018" s="128"/>
      <c r="AJ2018" s="1937"/>
      <c r="AK2018" s="127"/>
      <c r="AL2018" s="124"/>
      <c r="AM2018" s="125"/>
      <c r="AN2018" s="124"/>
      <c r="AO2018" s="125"/>
      <c r="AP2018" s="124"/>
      <c r="AQ2018" s="125"/>
      <c r="AR2018" s="124"/>
      <c r="AS2018" s="124"/>
      <c r="AT2018" s="124"/>
      <c r="AU2018" s="137"/>
      <c r="AV2018" s="124"/>
      <c r="AW2018" s="38"/>
      <c r="AX2018" s="124"/>
      <c r="AY2018" s="38"/>
      <c r="AZ2018" s="124"/>
      <c r="BA2018" s="137"/>
      <c r="BB2018" s="124"/>
      <c r="BC2018" s="137"/>
      <c r="BD2018" s="124"/>
      <c r="BE2018" s="38"/>
      <c r="BF2018" s="123"/>
    </row>
    <row r="2019">
      <c r="A2019" s="400" t="s">
        <v>9267</v>
      </c>
      <c r="B2019" s="115"/>
      <c r="C2019" s="116" t="s">
        <v>9268</v>
      </c>
      <c r="D2019" s="667"/>
      <c r="E2019" s="161" t="s">
        <v>9269</v>
      </c>
      <c r="F2019" s="402" t="s">
        <v>9270</v>
      </c>
      <c r="G2019" s="119"/>
      <c r="H2019" s="119" t="s">
        <v>128</v>
      </c>
      <c r="I2019" s="25" t="s">
        <v>156</v>
      </c>
      <c r="J2019" s="120"/>
      <c r="K2019" s="25"/>
      <c r="L2019" s="25">
        <v>1991.0</v>
      </c>
      <c r="M2019" s="25"/>
      <c r="N2019" s="25"/>
      <c r="O2019" s="27" t="str">
        <f t="shared" si="3"/>
        <v>#N/A</v>
      </c>
      <c r="P2019" s="356"/>
      <c r="Q2019" s="356"/>
      <c r="R2019" s="356"/>
      <c r="S2019" s="356"/>
      <c r="T2019" s="356"/>
      <c r="U2019" s="356"/>
      <c r="V2019" s="30">
        <f t="shared" si="425"/>
        <v>0</v>
      </c>
      <c r="W2019" s="30"/>
      <c r="X2019" s="597"/>
      <c r="Y2019" s="597"/>
      <c r="Z2019" s="692"/>
      <c r="AA2019" s="665"/>
      <c r="AB2019" s="123"/>
      <c r="AC2019" s="123"/>
      <c r="AD2019" s="124"/>
      <c r="AE2019" s="125"/>
      <c r="AF2019" s="721"/>
      <c r="AG2019" s="127"/>
      <c r="AH2019" s="123"/>
      <c r="AI2019" s="128"/>
      <c r="AJ2019" s="1324"/>
      <c r="AK2019" s="127"/>
      <c r="AL2019" s="169"/>
      <c r="AM2019" s="127"/>
      <c r="AN2019" s="124"/>
      <c r="AO2019" s="125"/>
      <c r="AP2019" s="124"/>
      <c r="AQ2019" s="125"/>
      <c r="AR2019" s="124"/>
      <c r="AS2019" s="124"/>
      <c r="AT2019" s="124"/>
      <c r="AU2019" s="137"/>
      <c r="AV2019" s="124"/>
      <c r="AW2019" s="38"/>
      <c r="AX2019" s="124"/>
      <c r="AY2019" s="38"/>
      <c r="AZ2019" s="124"/>
      <c r="BA2019" s="137"/>
      <c r="BB2019" s="124"/>
      <c r="BC2019" s="137"/>
      <c r="BD2019" s="124"/>
      <c r="BE2019" s="38"/>
      <c r="BF2019" s="123"/>
    </row>
    <row r="2020">
      <c r="A2020" s="21" t="s">
        <v>9271</v>
      </c>
      <c r="B2020" s="69"/>
      <c r="C2020" s="69" t="s">
        <v>68</v>
      </c>
      <c r="D2020" s="200" t="s">
        <v>9272</v>
      </c>
      <c r="E2020" s="270" t="s">
        <v>9273</v>
      </c>
      <c r="F2020" s="154" t="s">
        <v>9274</v>
      </c>
      <c r="G2020" s="71"/>
      <c r="H2020" s="71" t="s">
        <v>1472</v>
      </c>
      <c r="I2020" s="26" t="s">
        <v>639</v>
      </c>
      <c r="J2020" s="1307"/>
      <c r="K2020" s="26">
        <v>3.0</v>
      </c>
      <c r="L2020" s="26">
        <v>2019.0</v>
      </c>
      <c r="M2020" s="25"/>
      <c r="N2020" s="26"/>
      <c r="O2020" s="27" t="str">
        <f t="shared" si="3"/>
        <v>#N/A</v>
      </c>
      <c r="P2020" s="273"/>
      <c r="Q2020" s="273"/>
      <c r="R2020" s="273"/>
      <c r="S2020" s="273"/>
      <c r="T2020" s="273"/>
      <c r="U2020" s="273"/>
      <c r="V2020" s="30">
        <f t="shared" si="425"/>
        <v>0</v>
      </c>
      <c r="W2020" s="30"/>
      <c r="X2020" s="73"/>
      <c r="Y2020" s="73"/>
      <c r="Z2020" s="692"/>
      <c r="AA2020" s="665"/>
      <c r="AB2020" s="74"/>
      <c r="AC2020" s="74"/>
      <c r="AD2020" s="79"/>
      <c r="AE2020" s="84"/>
      <c r="AF2020" s="338"/>
      <c r="AG2020" s="76"/>
      <c r="AH2020" s="68"/>
      <c r="AI2020" s="955"/>
      <c r="AJ2020" s="164"/>
      <c r="AK2020" s="928"/>
      <c r="AL2020" s="79"/>
      <c r="AM2020" s="84"/>
      <c r="AN2020" s="79"/>
      <c r="AO2020" s="84"/>
      <c r="AP2020" s="79"/>
      <c r="AQ2020" s="84"/>
      <c r="AR2020" s="79"/>
      <c r="AS2020" s="81"/>
      <c r="AT2020" s="79"/>
      <c r="AU2020" s="80"/>
      <c r="AV2020" s="79"/>
      <c r="AW2020" s="38"/>
      <c r="AX2020" s="79"/>
      <c r="AY2020" s="38"/>
      <c r="AZ2020" s="79"/>
      <c r="BA2020" s="80"/>
      <c r="BB2020" s="79"/>
      <c r="BC2020" s="80"/>
      <c r="BD2020" s="79"/>
      <c r="BE2020" s="38"/>
      <c r="BF2020" s="74"/>
      <c r="BG2020" s="123"/>
      <c r="BH2020" s="717"/>
      <c r="BI2020" s="1938"/>
      <c r="BJ2020" s="1939"/>
      <c r="BK2020" s="1938"/>
      <c r="BL2020" s="406"/>
      <c r="BM2020" s="1940"/>
      <c r="BN2020" s="406"/>
      <c r="BO2020" s="406"/>
      <c r="BP2020" s="406"/>
      <c r="BQ2020" s="1938"/>
      <c r="BR2020" s="406"/>
      <c r="BS2020" s="1938"/>
      <c r="BT2020" s="1941"/>
      <c r="BU2020" s="1938"/>
      <c r="BV2020" s="406"/>
      <c r="BW2020" s="406"/>
      <c r="BX2020" s="406"/>
      <c r="BY2020" s="199"/>
      <c r="BZ2020" s="406"/>
      <c r="CA2020" s="199"/>
      <c r="CB2020" s="406"/>
      <c r="CC2020" s="199"/>
      <c r="CD2020" s="1942"/>
      <c r="CE2020" s="1943"/>
      <c r="CF2020" s="1942"/>
      <c r="CG2020" s="1943"/>
    </row>
    <row r="2021">
      <c r="A2021" s="21" t="s">
        <v>9275</v>
      </c>
      <c r="B2021" s="69" t="s">
        <v>9276</v>
      </c>
      <c r="C2021" s="69" t="s">
        <v>207</v>
      </c>
      <c r="D2021" s="138" t="s">
        <v>9277</v>
      </c>
      <c r="E2021" s="231" t="s">
        <v>9278</v>
      </c>
      <c r="F2021" s="173" t="s">
        <v>9279</v>
      </c>
      <c r="G2021" s="878"/>
      <c r="H2021" s="71" t="s">
        <v>9280</v>
      </c>
      <c r="I2021" s="26" t="s">
        <v>395</v>
      </c>
      <c r="J2021" s="155"/>
      <c r="K2021" s="26">
        <v>2.0</v>
      </c>
      <c r="L2021" s="26">
        <v>2004.0</v>
      </c>
      <c r="M2021" s="25"/>
      <c r="N2021" s="26"/>
      <c r="O2021" s="27" t="str">
        <f t="shared" si="3"/>
        <v>#N/A</v>
      </c>
      <c r="P2021" s="273"/>
      <c r="Q2021" s="273"/>
      <c r="R2021" s="273"/>
      <c r="S2021" s="273"/>
      <c r="T2021" s="273"/>
      <c r="U2021" s="273"/>
      <c r="V2021" s="30">
        <f t="shared" si="425"/>
        <v>0</v>
      </c>
      <c r="W2021" s="30"/>
      <c r="X2021" s="73"/>
      <c r="Y2021" s="73"/>
      <c r="Z2021" s="692"/>
      <c r="AA2021" s="665"/>
      <c r="AB2021" s="74"/>
      <c r="AC2021" s="74"/>
      <c r="AD2021" s="79"/>
      <c r="AE2021" s="84"/>
      <c r="AF2021" s="338"/>
      <c r="AG2021" s="84"/>
      <c r="AH2021" s="74"/>
      <c r="AI2021" s="78"/>
      <c r="AJ2021" s="79"/>
      <c r="AK2021" s="84"/>
      <c r="AL2021" s="79"/>
      <c r="AM2021" s="84"/>
      <c r="AN2021" s="79"/>
      <c r="AO2021" s="84"/>
      <c r="AP2021" s="79"/>
      <c r="AQ2021" s="84"/>
      <c r="AR2021" s="79"/>
      <c r="AS2021" s="79"/>
      <c r="AT2021" s="79"/>
      <c r="AU2021" s="80"/>
      <c r="AV2021" s="79"/>
      <c r="AW2021" s="38"/>
      <c r="AX2021" s="79"/>
      <c r="AY2021" s="38"/>
      <c r="AZ2021" s="79"/>
      <c r="BA2021" s="80"/>
      <c r="BB2021" s="79"/>
      <c r="BC2021" s="80"/>
      <c r="BD2021" s="79"/>
      <c r="BE2021" s="38"/>
      <c r="BF2021" s="74"/>
    </row>
    <row r="2022">
      <c r="A2022" s="47" t="s">
        <v>9281</v>
      </c>
      <c r="B2022" s="68"/>
      <c r="C2022" s="69" t="s">
        <v>132</v>
      </c>
      <c r="D2022" s="192" t="s">
        <v>9282</v>
      </c>
      <c r="E2022" s="139" t="s">
        <v>9283</v>
      </c>
      <c r="F2022" s="118" t="s">
        <v>9284</v>
      </c>
      <c r="G2022" s="140"/>
      <c r="H2022" s="71" t="s">
        <v>673</v>
      </c>
      <c r="I2022" s="26" t="s">
        <v>674</v>
      </c>
      <c r="J2022" s="155"/>
      <c r="K2022" s="26">
        <v>2.0</v>
      </c>
      <c r="L2022" s="26">
        <v>2016.0</v>
      </c>
      <c r="M2022" s="25"/>
      <c r="N2022" s="26"/>
      <c r="O2022" s="27" t="str">
        <f t="shared" si="3"/>
        <v>#N/A</v>
      </c>
      <c r="P2022" s="28"/>
      <c r="Q2022" s="28"/>
      <c r="R2022" s="28"/>
      <c r="S2022" s="28"/>
      <c r="T2022" s="28"/>
      <c r="U2022" s="28"/>
      <c r="V2022" s="30">
        <f t="shared" si="425"/>
        <v>0</v>
      </c>
      <c r="W2022" s="30"/>
      <c r="X2022" s="73"/>
      <c r="Y2022" s="73"/>
      <c r="Z2022" s="692"/>
      <c r="AA2022" s="665"/>
      <c r="AB2022" s="74"/>
      <c r="AC2022" s="74"/>
      <c r="AD2022" s="79"/>
      <c r="AE2022" s="76"/>
      <c r="AF2022" s="320"/>
      <c r="AG2022" s="76"/>
      <c r="AH2022" s="74"/>
      <c r="AI2022" s="78"/>
      <c r="AJ2022" s="79"/>
      <c r="AK2022" s="84"/>
      <c r="AL2022" s="79"/>
      <c r="AM2022" s="84"/>
      <c r="AN2022" s="79"/>
      <c r="AO2022" s="84"/>
      <c r="AP2022" s="79"/>
      <c r="AQ2022" s="84"/>
      <c r="AR2022" s="79"/>
      <c r="AS2022" s="79"/>
      <c r="AT2022" s="79"/>
      <c r="AU2022" s="80"/>
      <c r="AV2022" s="79"/>
      <c r="AW2022" s="38"/>
      <c r="AX2022" s="79"/>
      <c r="AY2022" s="38"/>
      <c r="AZ2022" s="79"/>
      <c r="BA2022" s="80"/>
      <c r="BB2022" s="79"/>
      <c r="BC2022" s="80"/>
      <c r="BD2022" s="79"/>
      <c r="BE2022" s="38"/>
      <c r="BF2022" s="74"/>
    </row>
    <row r="2023">
      <c r="A2023" s="21" t="s">
        <v>9285</v>
      </c>
      <c r="B2023" s="68"/>
      <c r="C2023" s="69" t="s">
        <v>190</v>
      </c>
      <c r="D2023" s="337"/>
      <c r="E2023" s="796" t="s">
        <v>9286</v>
      </c>
      <c r="F2023" s="173" t="s">
        <v>9287</v>
      </c>
      <c r="G2023" s="186"/>
      <c r="H2023" s="71" t="s">
        <v>394</v>
      </c>
      <c r="I2023" s="26" t="s">
        <v>395</v>
      </c>
      <c r="J2023" s="155"/>
      <c r="K2023" s="26">
        <v>2.0</v>
      </c>
      <c r="L2023" s="26">
        <v>2013.0</v>
      </c>
      <c r="M2023" s="25"/>
      <c r="N2023" s="26"/>
      <c r="O2023" s="27" t="str">
        <f t="shared" si="3"/>
        <v>#N/A</v>
      </c>
      <c r="P2023" s="273"/>
      <c r="Q2023" s="273"/>
      <c r="R2023" s="273"/>
      <c r="S2023" s="273"/>
      <c r="T2023" s="273"/>
      <c r="U2023" s="273"/>
      <c r="V2023" s="30">
        <f t="shared" si="425"/>
        <v>0</v>
      </c>
      <c r="W2023" s="30"/>
      <c r="X2023" s="73"/>
      <c r="Y2023" s="73"/>
      <c r="Z2023" s="692"/>
      <c r="AA2023" s="665"/>
      <c r="AB2023" s="74"/>
      <c r="AC2023" s="74"/>
      <c r="AD2023" s="75">
        <v>43305.0</v>
      </c>
      <c r="AE2023" s="84"/>
      <c r="AF2023" s="338"/>
      <c r="AG2023" s="84"/>
      <c r="AH2023" s="74"/>
      <c r="AI2023" s="78"/>
      <c r="AJ2023" s="79"/>
      <c r="AK2023" s="84"/>
      <c r="AL2023" s="79"/>
      <c r="AM2023" s="84"/>
      <c r="AN2023" s="79"/>
      <c r="AO2023" s="84"/>
      <c r="AP2023" s="79"/>
      <c r="AQ2023" s="84"/>
      <c r="AR2023" s="79"/>
      <c r="AS2023" s="79"/>
      <c r="AT2023" s="79"/>
      <c r="AU2023" s="80"/>
      <c r="AV2023" s="79"/>
      <c r="AW2023" s="38"/>
      <c r="AX2023" s="79"/>
      <c r="AY2023" s="38"/>
      <c r="AZ2023" s="79"/>
      <c r="BA2023" s="80"/>
      <c r="BB2023" s="79"/>
      <c r="BC2023" s="80"/>
      <c r="BD2023" s="79"/>
      <c r="BE2023" s="38"/>
      <c r="BF2023" s="74"/>
    </row>
    <row r="2024">
      <c r="A2024" s="1353" t="s">
        <v>9288</v>
      </c>
      <c r="B2024" s="1206"/>
      <c r="C2024" s="1206" t="s">
        <v>9289</v>
      </c>
      <c r="D2024" s="1354"/>
      <c r="E2024" s="1146" t="s">
        <v>9290</v>
      </c>
      <c r="F2024" s="1944" t="s">
        <v>9291</v>
      </c>
      <c r="G2024" s="1149"/>
      <c r="H2024" s="1210" t="s">
        <v>3056</v>
      </c>
      <c r="I2024" s="1211" t="s">
        <v>1384</v>
      </c>
      <c r="J2024" s="1424"/>
      <c r="K2024" s="1211">
        <v>1.0</v>
      </c>
      <c r="L2024" s="1211">
        <v>2017.0</v>
      </c>
      <c r="M2024" s="25"/>
      <c r="N2024" s="1211"/>
      <c r="O2024" s="27" t="str">
        <f t="shared" si="3"/>
        <v>#N/A</v>
      </c>
      <c r="P2024" s="1425"/>
      <c r="Q2024" s="1425"/>
      <c r="R2024" s="1425"/>
      <c r="S2024" s="1425"/>
      <c r="T2024" s="1425"/>
      <c r="U2024" s="1425"/>
      <c r="V2024" s="30">
        <f t="shared" si="425"/>
        <v>0</v>
      </c>
      <c r="W2024" s="30"/>
      <c r="X2024" s="1213"/>
      <c r="Y2024" s="1213"/>
      <c r="Z2024" s="692"/>
      <c r="AA2024" s="665"/>
      <c r="AB2024" s="1214"/>
      <c r="AC2024" s="1214"/>
      <c r="AD2024" s="1215"/>
      <c r="AE2024" s="1216"/>
      <c r="AF2024" s="1846"/>
      <c r="AG2024" s="1218"/>
      <c r="AH2024" s="1428"/>
      <c r="AI2024" s="1429"/>
      <c r="AJ2024" s="1430"/>
      <c r="AK2024" s="1431"/>
      <c r="AL2024" s="1215"/>
      <c r="AM2024" s="1216"/>
      <c r="AN2024" s="1215"/>
      <c r="AO2024" s="1216"/>
      <c r="AP2024" s="1215"/>
      <c r="AQ2024" s="1216"/>
      <c r="AR2024" s="1215"/>
      <c r="AS2024" s="1215"/>
      <c r="AT2024" s="1215"/>
      <c r="AU2024" s="1221"/>
      <c r="AV2024" s="1215"/>
      <c r="AW2024" s="38"/>
      <c r="AX2024" s="1215"/>
      <c r="AY2024" s="38"/>
      <c r="AZ2024" s="1215"/>
      <c r="BA2024" s="1221"/>
      <c r="BB2024" s="1215"/>
      <c r="BC2024" s="1221"/>
      <c r="BD2024" s="1215"/>
      <c r="BE2024" s="38"/>
      <c r="BF2024" s="1214"/>
    </row>
    <row r="2025">
      <c r="A2025" s="47" t="s">
        <v>9292</v>
      </c>
      <c r="B2025" s="115"/>
      <c r="C2025" s="116" t="s">
        <v>84</v>
      </c>
      <c r="D2025" s="192" t="s">
        <v>9293</v>
      </c>
      <c r="E2025" s="388" t="s">
        <v>9294</v>
      </c>
      <c r="F2025" s="389" t="s">
        <v>9295</v>
      </c>
      <c r="G2025" s="286"/>
      <c r="H2025" s="119" t="s">
        <v>9296</v>
      </c>
      <c r="I2025" s="25" t="s">
        <v>257</v>
      </c>
      <c r="J2025" s="287"/>
      <c r="K2025" s="25">
        <v>1.0</v>
      </c>
      <c r="L2025" s="25">
        <v>2010.0</v>
      </c>
      <c r="M2025" s="25"/>
      <c r="N2025" s="25"/>
      <c r="O2025" s="27" t="str">
        <f t="shared" si="3"/>
        <v>#N/A</v>
      </c>
      <c r="P2025" s="55"/>
      <c r="Q2025" s="55"/>
      <c r="R2025" s="55"/>
      <c r="S2025" s="55"/>
      <c r="T2025" s="55"/>
      <c r="U2025" s="55"/>
      <c r="V2025" s="30">
        <f t="shared" si="425"/>
        <v>0</v>
      </c>
      <c r="W2025" s="30"/>
      <c r="X2025" s="597"/>
      <c r="Y2025" s="597"/>
      <c r="Z2025" s="692"/>
      <c r="AA2025" s="665"/>
      <c r="AB2025" s="123"/>
      <c r="AC2025" s="123"/>
      <c r="AD2025" s="124"/>
      <c r="AE2025" s="125"/>
      <c r="AF2025" s="166"/>
      <c r="AG2025" s="125"/>
      <c r="AH2025" s="123"/>
      <c r="AI2025" s="128"/>
      <c r="AJ2025" s="169"/>
      <c r="AK2025" s="127"/>
      <c r="AL2025" s="169"/>
      <c r="AM2025" s="127"/>
      <c r="AN2025" s="124"/>
      <c r="AO2025" s="125"/>
      <c r="AP2025" s="124"/>
      <c r="AQ2025" s="125"/>
      <c r="AR2025" s="124"/>
      <c r="AS2025" s="124"/>
      <c r="AT2025" s="124"/>
      <c r="AU2025" s="137"/>
      <c r="AV2025" s="124"/>
      <c r="AW2025" s="38"/>
      <c r="AX2025" s="124"/>
      <c r="AY2025" s="38"/>
      <c r="AZ2025" s="124"/>
      <c r="BA2025" s="137"/>
      <c r="BB2025" s="124"/>
      <c r="BC2025" s="137"/>
      <c r="BD2025" s="124"/>
      <c r="BE2025" s="38"/>
      <c r="BF2025" s="123"/>
    </row>
    <row r="2026">
      <c r="A2026" s="47" t="s">
        <v>9297</v>
      </c>
      <c r="B2026" s="69"/>
      <c r="C2026" s="69" t="s">
        <v>513</v>
      </c>
      <c r="D2026" s="192" t="s">
        <v>9298</v>
      </c>
      <c r="E2026" s="796" t="s">
        <v>9299</v>
      </c>
      <c r="F2026" s="70" t="s">
        <v>9300</v>
      </c>
      <c r="G2026" s="54"/>
      <c r="H2026" s="71" t="s">
        <v>128</v>
      </c>
      <c r="I2026" s="26" t="s">
        <v>129</v>
      </c>
      <c r="J2026" s="72"/>
      <c r="K2026" s="26">
        <v>1.0</v>
      </c>
      <c r="L2026" s="26">
        <v>2020.0</v>
      </c>
      <c r="M2026" s="25"/>
      <c r="N2026" s="26"/>
      <c r="O2026" s="27" t="str">
        <f t="shared" si="3"/>
        <v>#N/A</v>
      </c>
      <c r="P2026" s="28"/>
      <c r="Q2026" s="28"/>
      <c r="R2026" s="28"/>
      <c r="S2026" s="28"/>
      <c r="T2026" s="28"/>
      <c r="U2026" s="28"/>
      <c r="V2026" s="30">
        <f t="shared" si="425"/>
        <v>0</v>
      </c>
      <c r="W2026" s="30"/>
      <c r="X2026" s="73"/>
      <c r="Y2026" s="73"/>
      <c r="Z2026" s="692"/>
      <c r="AA2026" s="665"/>
      <c r="AB2026" s="74"/>
      <c r="AC2026" s="74"/>
      <c r="AD2026" s="164"/>
      <c r="AE2026" s="973"/>
      <c r="AF2026" s="726">
        <v>44440.0</v>
      </c>
      <c r="AG2026" s="76"/>
      <c r="AH2026" s="1903"/>
      <c r="AI2026" s="435"/>
      <c r="AJ2026" s="164"/>
      <c r="AK2026" s="928"/>
      <c r="AL2026" s="79"/>
      <c r="AM2026" s="84"/>
      <c r="AN2026" s="79"/>
      <c r="AO2026" s="84"/>
      <c r="AP2026" s="79"/>
      <c r="AQ2026" s="84"/>
      <c r="AR2026" s="79"/>
      <c r="AS2026" s="79"/>
      <c r="AT2026" s="79"/>
      <c r="AU2026" s="80"/>
      <c r="AV2026" s="79"/>
      <c r="AW2026" s="38"/>
      <c r="AX2026" s="79"/>
      <c r="AY2026" s="38"/>
      <c r="AZ2026" s="79"/>
      <c r="BA2026" s="80"/>
      <c r="BB2026" s="79"/>
      <c r="BC2026" s="80"/>
      <c r="BD2026" s="79"/>
      <c r="BE2026" s="38"/>
      <c r="BF2026" s="74"/>
    </row>
    <row r="2027">
      <c r="A2027" s="21" t="s">
        <v>9301</v>
      </c>
      <c r="B2027" s="68"/>
      <c r="C2027" s="849" t="s">
        <v>84</v>
      </c>
      <c r="D2027" s="48"/>
      <c r="E2027" s="50" t="s">
        <v>9302</v>
      </c>
      <c r="F2027" s="70" t="s">
        <v>9303</v>
      </c>
      <c r="G2027" s="71"/>
      <c r="H2027" s="71" t="s">
        <v>88</v>
      </c>
      <c r="I2027" s="26" t="s">
        <v>89</v>
      </c>
      <c r="J2027" s="72"/>
      <c r="K2027" s="26"/>
      <c r="L2027" s="26">
        <v>2020.0</v>
      </c>
      <c r="M2027" s="25"/>
      <c r="N2027" s="26"/>
      <c r="O2027" s="27" t="str">
        <f t="shared" si="3"/>
        <v>#N/A</v>
      </c>
      <c r="P2027" s="273"/>
      <c r="Q2027" s="273"/>
      <c r="R2027" s="273"/>
      <c r="S2027" s="273"/>
      <c r="T2027" s="273"/>
      <c r="U2027" s="273"/>
      <c r="V2027" s="30">
        <f t="shared" si="425"/>
        <v>0</v>
      </c>
      <c r="W2027" s="30"/>
      <c r="X2027" s="73"/>
      <c r="Y2027" s="73"/>
      <c r="Z2027" s="692"/>
      <c r="AA2027" s="665"/>
      <c r="AB2027" s="74"/>
      <c r="AC2027" s="74"/>
      <c r="AD2027" s="79"/>
      <c r="AE2027" s="84"/>
      <c r="AF2027" s="338"/>
      <c r="AG2027" s="84"/>
      <c r="AH2027" s="74"/>
      <c r="AI2027" s="78"/>
      <c r="AJ2027" s="1021"/>
      <c r="AK2027" s="971"/>
      <c r="AL2027" s="42"/>
      <c r="AM2027" s="76"/>
      <c r="AN2027" s="79"/>
      <c r="AO2027" s="84"/>
      <c r="AP2027" s="79"/>
      <c r="AQ2027" s="84"/>
      <c r="AR2027" s="79"/>
      <c r="AS2027" s="79"/>
      <c r="AT2027" s="79"/>
      <c r="AU2027" s="80"/>
      <c r="AV2027" s="79"/>
      <c r="AW2027" s="38"/>
      <c r="AX2027" s="79"/>
      <c r="AY2027" s="38"/>
      <c r="AZ2027" s="79"/>
      <c r="BA2027" s="80"/>
      <c r="BB2027" s="79"/>
      <c r="BC2027" s="80"/>
      <c r="BD2027" s="79"/>
      <c r="BE2027" s="38"/>
      <c r="BF2027" s="74"/>
    </row>
    <row r="2028">
      <c r="A2028" s="21" t="s">
        <v>9304</v>
      </c>
      <c r="B2028" s="68"/>
      <c r="C2028" s="69" t="s">
        <v>207</v>
      </c>
      <c r="D2028" s="380"/>
      <c r="E2028" s="200" t="s">
        <v>9305</v>
      </c>
      <c r="F2028" s="154" t="s">
        <v>9306</v>
      </c>
      <c r="G2028" s="71"/>
      <c r="H2028" s="71" t="s">
        <v>128</v>
      </c>
      <c r="I2028" s="26" t="s">
        <v>129</v>
      </c>
      <c r="J2028" s="72"/>
      <c r="K2028" s="26"/>
      <c r="L2028" s="26">
        <v>2018.0</v>
      </c>
      <c r="M2028" s="25"/>
      <c r="N2028" s="26"/>
      <c r="O2028" s="27" t="str">
        <f t="shared" si="3"/>
        <v>#N/A</v>
      </c>
      <c r="P2028" s="28"/>
      <c r="Q2028" s="28"/>
      <c r="R2028" s="28"/>
      <c r="S2028" s="28"/>
      <c r="T2028" s="28"/>
      <c r="U2028" s="28"/>
      <c r="V2028" s="30">
        <f t="shared" si="425"/>
        <v>0</v>
      </c>
      <c r="W2028" s="30"/>
      <c r="X2028" s="73"/>
      <c r="Y2028" s="73"/>
      <c r="Z2028" s="692"/>
      <c r="AA2028" s="665"/>
      <c r="AB2028" s="74"/>
      <c r="AC2028" s="74"/>
      <c r="AD2028" s="79"/>
      <c r="AE2028" s="84"/>
      <c r="AF2028" s="338"/>
      <c r="AG2028" s="84"/>
      <c r="AH2028" s="74"/>
      <c r="AI2028" s="78"/>
      <c r="AJ2028" s="79"/>
      <c r="AK2028" s="123"/>
      <c r="AL2028" s="79"/>
      <c r="AM2028" s="84"/>
      <c r="AN2028" s="79"/>
      <c r="AO2028" s="84"/>
      <c r="AP2028" s="79"/>
      <c r="AQ2028" s="84"/>
      <c r="AR2028" s="79"/>
      <c r="AS2028" s="79"/>
      <c r="AT2028" s="79"/>
      <c r="AU2028" s="80"/>
      <c r="AV2028" s="79"/>
      <c r="AW2028" s="38"/>
      <c r="AX2028" s="79"/>
      <c r="AY2028" s="38"/>
      <c r="AZ2028" s="79"/>
      <c r="BA2028" s="80"/>
      <c r="BB2028" s="79"/>
      <c r="BC2028" s="80"/>
      <c r="BD2028" s="79"/>
      <c r="BE2028" s="38"/>
      <c r="BF2028" s="74"/>
    </row>
    <row r="2029">
      <c r="A2029" s="400" t="s">
        <v>9307</v>
      </c>
      <c r="B2029" s="115"/>
      <c r="C2029" s="115"/>
      <c r="D2029" s="449"/>
      <c r="F2029" s="402" t="s">
        <v>9308</v>
      </c>
      <c r="G2029" s="119" t="s">
        <v>9309</v>
      </c>
      <c r="H2029" s="119" t="s">
        <v>9310</v>
      </c>
      <c r="I2029" s="25" t="s">
        <v>1547</v>
      </c>
      <c r="J2029" s="120" t="s">
        <v>9311</v>
      </c>
      <c r="K2029" s="123"/>
      <c r="L2029" s="123"/>
      <c r="M2029" s="123"/>
      <c r="N2029" s="123"/>
      <c r="O2029" s="27" t="str">
        <f t="shared" si="3"/>
        <v>#N/A</v>
      </c>
      <c r="P2029" s="55"/>
      <c r="Q2029" s="55"/>
      <c r="R2029" s="55"/>
      <c r="S2029" s="55"/>
      <c r="T2029" s="55"/>
      <c r="U2029" s="55"/>
      <c r="V2029" s="30">
        <f t="shared" si="425"/>
        <v>0</v>
      </c>
      <c r="W2029" s="30"/>
      <c r="X2029" s="403"/>
      <c r="Y2029" s="403"/>
      <c r="Z2029" s="692"/>
      <c r="AA2029" s="665"/>
      <c r="AB2029" s="123"/>
      <c r="AC2029" s="123"/>
      <c r="AD2029" s="717"/>
      <c r="AE2029" s="125"/>
      <c r="AF2029" s="453"/>
      <c r="AG2029" s="125"/>
      <c r="AH2029" s="123"/>
      <c r="AI2029" s="128"/>
      <c r="AJ2029" s="123"/>
      <c r="AK2029" s="123"/>
      <c r="AL2029" s="123"/>
      <c r="AM2029" s="125"/>
      <c r="AN2029" s="123"/>
      <c r="AO2029" s="125"/>
      <c r="AP2029" s="881"/>
      <c r="AQ2029" s="125"/>
      <c r="AR2029" s="123"/>
      <c r="AS2029" s="123"/>
      <c r="AT2029" s="123"/>
      <c r="AU2029" s="137"/>
      <c r="AV2029" s="123"/>
      <c r="AW2029" s="38"/>
      <c r="AX2029" s="123"/>
      <c r="AY2029" s="38"/>
      <c r="AZ2029" s="123"/>
      <c r="BA2029" s="137"/>
      <c r="BB2029" s="123"/>
      <c r="BC2029" s="137"/>
      <c r="BD2029" s="123"/>
      <c r="BE2029" s="38"/>
      <c r="BF2029" s="123"/>
    </row>
    <row r="2030">
      <c r="A2030" s="400" t="s">
        <v>9312</v>
      </c>
      <c r="B2030" s="115"/>
      <c r="C2030" s="116" t="s">
        <v>84</v>
      </c>
      <c r="D2030" s="401" t="s">
        <v>9313</v>
      </c>
      <c r="E2030" s="401" t="s">
        <v>9314</v>
      </c>
      <c r="F2030" s="402" t="s">
        <v>9315</v>
      </c>
      <c r="G2030" s="119" t="s">
        <v>9316</v>
      </c>
      <c r="H2030" s="71" t="s">
        <v>99</v>
      </c>
      <c r="I2030" s="26" t="s">
        <v>100</v>
      </c>
      <c r="J2030" s="120" t="s">
        <v>9317</v>
      </c>
      <c r="K2030" s="25">
        <v>3.0</v>
      </c>
      <c r="L2030" s="25">
        <v>2016.0</v>
      </c>
      <c r="M2030" s="123"/>
      <c r="N2030" s="123"/>
      <c r="O2030" s="27" t="str">
        <f t="shared" si="3"/>
        <v>#N/A</v>
      </c>
      <c r="P2030" s="55"/>
      <c r="Q2030" s="55"/>
      <c r="R2030" s="55"/>
      <c r="S2030" s="55"/>
      <c r="T2030" s="55"/>
      <c r="U2030" s="55"/>
      <c r="V2030" s="30">
        <f t="shared" si="425"/>
        <v>0</v>
      </c>
      <c r="W2030" s="31">
        <v>6200000.0</v>
      </c>
      <c r="X2030" s="403"/>
      <c r="Y2030" s="403"/>
      <c r="Z2030" s="692"/>
      <c r="AA2030" s="665"/>
      <c r="AB2030" s="123"/>
      <c r="AC2030" s="123"/>
      <c r="AD2030" s="717"/>
      <c r="AE2030" s="125"/>
      <c r="AF2030" s="453"/>
      <c r="AG2030" s="125"/>
      <c r="AH2030" s="123"/>
      <c r="AI2030" s="128"/>
      <c r="AJ2030" s="123"/>
      <c r="AK2030" s="123"/>
      <c r="AL2030" s="123"/>
      <c r="AM2030" s="125"/>
      <c r="AN2030" s="123"/>
      <c r="AO2030" s="123"/>
      <c r="AP2030" s="881"/>
      <c r="AQ2030" s="123"/>
      <c r="AR2030" s="123"/>
      <c r="AS2030" s="123"/>
      <c r="AT2030" s="123"/>
      <c r="AU2030" s="137"/>
      <c r="AV2030" s="123"/>
      <c r="AW2030" s="38"/>
      <c r="AX2030" s="123"/>
      <c r="AY2030" s="38"/>
      <c r="AZ2030" s="404">
        <v>43369.0</v>
      </c>
      <c r="BA2030" s="137"/>
      <c r="BB2030" s="123"/>
      <c r="BC2030" s="137"/>
      <c r="BD2030" s="123"/>
      <c r="BE2030" s="38"/>
      <c r="BF2030" s="123"/>
    </row>
    <row r="2031">
      <c r="A2031" s="400" t="s">
        <v>9318</v>
      </c>
      <c r="B2031" s="115"/>
      <c r="C2031" s="116" t="s">
        <v>207</v>
      </c>
      <c r="D2031" s="161" t="s">
        <v>9319</v>
      </c>
      <c r="E2031" s="401" t="s">
        <v>9320</v>
      </c>
      <c r="F2031" s="402" t="s">
        <v>9321</v>
      </c>
      <c r="G2031" s="119" t="s">
        <v>9322</v>
      </c>
      <c r="H2031" s="119" t="s">
        <v>64</v>
      </c>
      <c r="I2031" s="25" t="s">
        <v>826</v>
      </c>
      <c r="J2031" s="120" t="s">
        <v>566</v>
      </c>
      <c r="K2031" s="25">
        <v>4.0</v>
      </c>
      <c r="L2031" s="25">
        <v>2018.0</v>
      </c>
      <c r="M2031" s="123"/>
      <c r="N2031" s="123"/>
      <c r="O2031" s="27" t="str">
        <f t="shared" si="3"/>
        <v>#N/A</v>
      </c>
      <c r="P2031" s="55"/>
      <c r="Q2031" s="55"/>
      <c r="R2031" s="55"/>
      <c r="S2031" s="55"/>
      <c r="T2031" s="55"/>
      <c r="U2031" s="55"/>
      <c r="V2031" s="30">
        <f t="shared" si="425"/>
        <v>0</v>
      </c>
      <c r="W2031" s="30"/>
      <c r="X2031" s="403"/>
      <c r="Y2031" s="403"/>
      <c r="Z2031" s="692"/>
      <c r="AA2031" s="665"/>
      <c r="AB2031" s="123"/>
      <c r="AC2031" s="123"/>
      <c r="AD2031" s="452"/>
      <c r="AE2031" s="125"/>
      <c r="AF2031" s="404">
        <v>44235.0</v>
      </c>
      <c r="AG2031" s="125"/>
      <c r="AH2031" s="123"/>
      <c r="AI2031" s="128"/>
      <c r="AJ2031" s="123"/>
      <c r="AK2031" s="123"/>
      <c r="AL2031" s="123"/>
      <c r="AM2031" s="125"/>
      <c r="AN2031" s="123"/>
      <c r="AO2031" s="123"/>
      <c r="AP2031" s="881"/>
      <c r="AQ2031" s="123"/>
      <c r="AR2031" s="123"/>
      <c r="AS2031" s="123"/>
      <c r="AT2031" s="123"/>
      <c r="AU2031" s="137"/>
      <c r="AV2031" s="123"/>
      <c r="AW2031" s="38"/>
      <c r="AX2031" s="123"/>
      <c r="AY2031" s="38"/>
      <c r="AZ2031" s="123"/>
      <c r="BA2031" s="137"/>
      <c r="BB2031" s="123"/>
      <c r="BC2031" s="137"/>
      <c r="BD2031" s="123"/>
      <c r="BE2031" s="38"/>
      <c r="BF2031" s="123"/>
    </row>
    <row r="2032">
      <c r="A2032" s="400" t="s">
        <v>9323</v>
      </c>
      <c r="B2032" s="115"/>
      <c r="C2032" s="116" t="s">
        <v>190</v>
      </c>
      <c r="D2032" s="449"/>
      <c r="E2032" s="401" t="s">
        <v>9324</v>
      </c>
      <c r="F2032" s="402" t="s">
        <v>9325</v>
      </c>
      <c r="G2032" s="119" t="s">
        <v>9326</v>
      </c>
      <c r="H2032" s="119" t="s">
        <v>173</v>
      </c>
      <c r="I2032" s="25" t="s">
        <v>9327</v>
      </c>
      <c r="J2032" s="120" t="s">
        <v>9328</v>
      </c>
      <c r="K2032" s="123"/>
      <c r="L2032" s="123"/>
      <c r="M2032" s="123"/>
      <c r="N2032" s="123"/>
      <c r="O2032" s="27" t="str">
        <f t="shared" si="3"/>
        <v>#N/A</v>
      </c>
      <c r="P2032" s="55"/>
      <c r="Q2032" s="55"/>
      <c r="R2032" s="55"/>
      <c r="S2032" s="55"/>
      <c r="T2032" s="55"/>
      <c r="U2032" s="55"/>
      <c r="V2032" s="30">
        <f t="shared" si="425"/>
        <v>0</v>
      </c>
      <c r="W2032" s="30"/>
      <c r="X2032" s="403"/>
      <c r="Y2032" s="403"/>
      <c r="Z2032" s="692"/>
      <c r="AA2032" s="665"/>
      <c r="AB2032" s="123"/>
      <c r="AC2032" s="123"/>
      <c r="AD2032" s="452"/>
      <c r="AE2032" s="125"/>
      <c r="AF2032" s="453"/>
      <c r="AG2032" s="125"/>
      <c r="AH2032" s="123"/>
      <c r="AI2032" s="128"/>
      <c r="AJ2032" s="123"/>
      <c r="AK2032" s="123"/>
      <c r="AL2032" s="123"/>
      <c r="AM2032" s="125"/>
      <c r="AN2032" s="123"/>
      <c r="AO2032" s="123"/>
      <c r="AP2032" s="881"/>
      <c r="AQ2032" s="123"/>
      <c r="AR2032" s="123"/>
      <c r="AS2032" s="123"/>
      <c r="AT2032" s="123"/>
      <c r="AU2032" s="137"/>
      <c r="AV2032" s="123"/>
      <c r="AW2032" s="38"/>
      <c r="AX2032" s="123"/>
      <c r="AY2032" s="38"/>
      <c r="AZ2032" s="123"/>
      <c r="BA2032" s="137"/>
      <c r="BB2032" s="123"/>
      <c r="BC2032" s="137"/>
      <c r="BD2032" s="123"/>
      <c r="BE2032" s="38"/>
      <c r="BF2032" s="123"/>
    </row>
    <row r="2033">
      <c r="A2033" s="400" t="s">
        <v>9329</v>
      </c>
      <c r="B2033" s="115"/>
      <c r="C2033" s="115"/>
      <c r="D2033" s="449"/>
      <c r="E2033" s="449"/>
      <c r="F2033" s="402" t="s">
        <v>9330</v>
      </c>
      <c r="G2033" s="119" t="s">
        <v>9331</v>
      </c>
      <c r="H2033" s="119" t="s">
        <v>1130</v>
      </c>
      <c r="I2033" s="25" t="s">
        <v>9332</v>
      </c>
      <c r="J2033" s="120" t="s">
        <v>2026</v>
      </c>
      <c r="K2033" s="123"/>
      <c r="L2033" s="123"/>
      <c r="M2033" s="123"/>
      <c r="N2033" s="123"/>
      <c r="O2033" s="27" t="str">
        <f t="shared" si="3"/>
        <v>#N/A</v>
      </c>
      <c r="P2033" s="55"/>
      <c r="Q2033" s="55"/>
      <c r="R2033" s="55"/>
      <c r="S2033" s="55"/>
      <c r="T2033" s="55"/>
      <c r="U2033" s="55"/>
      <c r="V2033" s="30">
        <f t="shared" si="425"/>
        <v>0</v>
      </c>
      <c r="W2033" s="30"/>
      <c r="X2033" s="403"/>
      <c r="Y2033" s="403"/>
      <c r="Z2033" s="692"/>
      <c r="AA2033" s="665"/>
      <c r="AB2033" s="123"/>
      <c r="AC2033" s="123"/>
      <c r="AD2033" s="452"/>
      <c r="AE2033" s="125"/>
      <c r="AF2033" s="453"/>
      <c r="AG2033" s="125"/>
      <c r="AH2033" s="123"/>
      <c r="AI2033" s="128"/>
      <c r="AJ2033" s="123"/>
      <c r="AK2033" s="123"/>
      <c r="AL2033" s="123"/>
      <c r="AM2033" s="125"/>
      <c r="AN2033" s="123"/>
      <c r="AO2033" s="123"/>
      <c r="AP2033" s="881"/>
      <c r="AQ2033" s="123"/>
      <c r="AR2033" s="123"/>
      <c r="AS2033" s="123"/>
      <c r="AT2033" s="123"/>
      <c r="AU2033" s="137"/>
      <c r="AV2033" s="123"/>
      <c r="AW2033" s="38"/>
      <c r="AX2033" s="123"/>
      <c r="AY2033" s="38"/>
      <c r="AZ2033" s="123"/>
      <c r="BA2033" s="137"/>
      <c r="BB2033" s="123"/>
      <c r="BC2033" s="137"/>
      <c r="BD2033" s="123"/>
      <c r="BE2033" s="38"/>
      <c r="BF2033" s="123"/>
    </row>
    <row r="2034">
      <c r="A2034" s="400" t="s">
        <v>9333</v>
      </c>
      <c r="B2034" s="115"/>
      <c r="C2034" s="115"/>
      <c r="D2034" s="449"/>
      <c r="E2034" s="449"/>
      <c r="F2034" s="402" t="s">
        <v>9334</v>
      </c>
      <c r="G2034" s="119" t="s">
        <v>9335</v>
      </c>
      <c r="H2034" s="119" t="s">
        <v>9336</v>
      </c>
      <c r="I2034" s="25" t="s">
        <v>6252</v>
      </c>
      <c r="J2034" s="120" t="s">
        <v>9337</v>
      </c>
      <c r="K2034" s="123"/>
      <c r="L2034" s="123"/>
      <c r="M2034" s="123"/>
      <c r="N2034" s="123"/>
      <c r="O2034" s="27" t="str">
        <f t="shared" si="3"/>
        <v>#N/A</v>
      </c>
      <c r="P2034" s="55"/>
      <c r="Q2034" s="55"/>
      <c r="R2034" s="55"/>
      <c r="S2034" s="55"/>
      <c r="T2034" s="55"/>
      <c r="U2034" s="55"/>
      <c r="V2034" s="30">
        <f t="shared" si="425"/>
        <v>0</v>
      </c>
      <c r="W2034" s="30"/>
      <c r="X2034" s="403"/>
      <c r="Y2034" s="403"/>
      <c r="Z2034" s="692"/>
      <c r="AA2034" s="665"/>
      <c r="AB2034" s="123"/>
      <c r="AC2034" s="123"/>
      <c r="AD2034" s="452"/>
      <c r="AE2034" s="125"/>
      <c r="AF2034" s="453"/>
      <c r="AG2034" s="125"/>
      <c r="AH2034" s="123"/>
      <c r="AI2034" s="128"/>
      <c r="AJ2034" s="123"/>
      <c r="AK2034" s="123"/>
      <c r="AL2034" s="123"/>
      <c r="AM2034" s="123"/>
      <c r="AN2034" s="123"/>
      <c r="AO2034" s="123"/>
      <c r="AP2034" s="881"/>
      <c r="AQ2034" s="123"/>
      <c r="AR2034" s="123"/>
      <c r="AS2034" s="123"/>
      <c r="AT2034" s="123"/>
      <c r="AU2034" s="137"/>
      <c r="AV2034" s="123"/>
      <c r="AW2034" s="38"/>
      <c r="AX2034" s="123"/>
      <c r="AY2034" s="38"/>
      <c r="AZ2034" s="123"/>
      <c r="BA2034" s="137"/>
      <c r="BB2034" s="123"/>
      <c r="BC2034" s="137"/>
      <c r="BD2034" s="123"/>
      <c r="BE2034" s="38"/>
      <c r="BF2034" s="123"/>
    </row>
    <row r="2035">
      <c r="A2035" s="1358" t="s">
        <v>9338</v>
      </c>
      <c r="B2035" s="115"/>
      <c r="C2035" s="115"/>
      <c r="D2035" s="449"/>
      <c r="E2035" s="449"/>
      <c r="F2035" s="402" t="s">
        <v>9339</v>
      </c>
      <c r="G2035" s="119" t="s">
        <v>9340</v>
      </c>
      <c r="H2035" s="119" t="s">
        <v>1935</v>
      </c>
      <c r="I2035" s="25" t="s">
        <v>639</v>
      </c>
      <c r="J2035" s="120" t="s">
        <v>9341</v>
      </c>
      <c r="K2035" s="123"/>
      <c r="L2035" s="123"/>
      <c r="M2035" s="123"/>
      <c r="N2035" s="123"/>
      <c r="O2035" s="27" t="str">
        <f t="shared" si="3"/>
        <v>#N/A</v>
      </c>
      <c r="P2035" s="55"/>
      <c r="Q2035" s="55"/>
      <c r="R2035" s="55"/>
      <c r="S2035" s="55"/>
      <c r="T2035" s="55"/>
      <c r="U2035" s="55"/>
      <c r="V2035" s="30">
        <f t="shared" si="425"/>
        <v>0</v>
      </c>
      <c r="W2035" s="30"/>
      <c r="X2035" s="403"/>
      <c r="Y2035" s="403"/>
      <c r="Z2035" s="692"/>
      <c r="AA2035" s="665"/>
      <c r="AB2035" s="123"/>
      <c r="AC2035" s="123"/>
      <c r="AD2035" s="452"/>
      <c r="AE2035" s="125"/>
      <c r="AF2035" s="453"/>
      <c r="AG2035" s="125"/>
      <c r="AH2035" s="123"/>
      <c r="AI2035" s="128"/>
      <c r="AJ2035" s="123"/>
      <c r="AK2035" s="123"/>
      <c r="AL2035" s="123"/>
      <c r="AM2035" s="123"/>
      <c r="AN2035" s="123"/>
      <c r="AO2035" s="123"/>
      <c r="AP2035" s="881"/>
      <c r="AQ2035" s="123"/>
      <c r="AR2035" s="123"/>
      <c r="AS2035" s="123"/>
      <c r="AT2035" s="123"/>
      <c r="AU2035" s="137"/>
      <c r="AV2035" s="123"/>
      <c r="AW2035" s="38"/>
      <c r="AX2035" s="123"/>
      <c r="AY2035" s="38"/>
      <c r="AZ2035" s="123"/>
      <c r="BA2035" s="137"/>
      <c r="BB2035" s="123"/>
      <c r="BC2035" s="137"/>
      <c r="BD2035" s="123"/>
      <c r="BE2035" s="38"/>
      <c r="BF2035" s="123"/>
    </row>
    <row r="2036">
      <c r="A2036" s="400" t="s">
        <v>9342</v>
      </c>
      <c r="B2036" s="115"/>
      <c r="C2036" s="115"/>
      <c r="D2036" s="449"/>
      <c r="E2036" s="449"/>
      <c r="F2036" s="402" t="s">
        <v>9343</v>
      </c>
      <c r="G2036" s="119" t="s">
        <v>9344</v>
      </c>
      <c r="H2036" s="119" t="s">
        <v>357</v>
      </c>
      <c r="I2036" s="25" t="s">
        <v>518</v>
      </c>
      <c r="J2036" s="120" t="s">
        <v>9345</v>
      </c>
      <c r="K2036" s="123"/>
      <c r="L2036" s="123"/>
      <c r="M2036" s="123"/>
      <c r="N2036" s="123"/>
      <c r="O2036" s="27" t="str">
        <f t="shared" si="3"/>
        <v>#N/A</v>
      </c>
      <c r="P2036" s="55"/>
      <c r="Q2036" s="55"/>
      <c r="R2036" s="55"/>
      <c r="S2036" s="55"/>
      <c r="T2036" s="55"/>
      <c r="U2036" s="55"/>
      <c r="V2036" s="30">
        <f t="shared" si="425"/>
        <v>0</v>
      </c>
      <c r="W2036" s="30"/>
      <c r="X2036" s="403"/>
      <c r="Y2036" s="403"/>
      <c r="Z2036" s="692"/>
      <c r="AA2036" s="665"/>
      <c r="AB2036" s="123"/>
      <c r="AC2036" s="123"/>
      <c r="AD2036" s="452"/>
      <c r="AE2036" s="125"/>
      <c r="AF2036" s="453"/>
      <c r="AG2036" s="125"/>
      <c r="AH2036" s="123"/>
      <c r="AI2036" s="128"/>
      <c r="AJ2036" s="123"/>
      <c r="AK2036" s="123"/>
      <c r="AL2036" s="123"/>
      <c r="AM2036" s="123"/>
      <c r="AN2036" s="123"/>
      <c r="AO2036" s="123"/>
      <c r="AP2036" s="881"/>
      <c r="AQ2036" s="123"/>
      <c r="AR2036" s="123"/>
      <c r="AS2036" s="123"/>
      <c r="AT2036" s="123"/>
      <c r="AU2036" s="137"/>
      <c r="AV2036" s="123"/>
      <c r="AW2036" s="38"/>
      <c r="AX2036" s="123"/>
      <c r="AY2036" s="38"/>
      <c r="AZ2036" s="123"/>
      <c r="BA2036" s="137"/>
      <c r="BB2036" s="123"/>
      <c r="BC2036" s="137"/>
      <c r="BD2036" s="123"/>
      <c r="BE2036" s="38"/>
      <c r="BF2036" s="123"/>
    </row>
    <row r="2037">
      <c r="A2037" s="400" t="s">
        <v>9346</v>
      </c>
      <c r="B2037" s="115"/>
      <c r="C2037" s="115"/>
      <c r="D2037" s="449"/>
      <c r="E2037" s="449"/>
      <c r="F2037" s="402" t="s">
        <v>9347</v>
      </c>
      <c r="G2037" s="119" t="s">
        <v>9348</v>
      </c>
      <c r="H2037" s="119" t="s">
        <v>365</v>
      </c>
      <c r="I2037" s="25" t="s">
        <v>826</v>
      </c>
      <c r="J2037" s="120" t="s">
        <v>9349</v>
      </c>
      <c r="K2037" s="123"/>
      <c r="L2037" s="123"/>
      <c r="M2037" s="123"/>
      <c r="N2037" s="123"/>
      <c r="O2037" s="27" t="str">
        <f t="shared" si="3"/>
        <v>#N/A</v>
      </c>
      <c r="P2037" s="55"/>
      <c r="Q2037" s="55"/>
      <c r="R2037" s="55"/>
      <c r="S2037" s="55"/>
      <c r="T2037" s="55"/>
      <c r="U2037" s="55"/>
      <c r="V2037" s="30">
        <f t="shared" si="425"/>
        <v>0</v>
      </c>
      <c r="W2037" s="30"/>
      <c r="X2037" s="403"/>
      <c r="Y2037" s="403"/>
      <c r="Z2037" s="692"/>
      <c r="AA2037" s="665"/>
      <c r="AB2037" s="123"/>
      <c r="AC2037" s="123"/>
      <c r="AD2037" s="452"/>
      <c r="AE2037" s="125"/>
      <c r="AF2037" s="453"/>
      <c r="AG2037" s="125"/>
      <c r="AH2037" s="123"/>
      <c r="AI2037" s="128"/>
      <c r="AJ2037" s="123"/>
      <c r="AK2037" s="123"/>
      <c r="AL2037" s="123"/>
      <c r="AM2037" s="123"/>
      <c r="AN2037" s="123"/>
      <c r="AO2037" s="123"/>
      <c r="AP2037" s="881"/>
      <c r="AQ2037" s="123"/>
      <c r="AR2037" s="123"/>
      <c r="AS2037" s="123"/>
      <c r="AT2037" s="123"/>
      <c r="AU2037" s="137"/>
      <c r="AV2037" s="123"/>
      <c r="AW2037" s="38"/>
      <c r="AX2037" s="123"/>
      <c r="AY2037" s="38"/>
      <c r="AZ2037" s="123"/>
      <c r="BA2037" s="137"/>
      <c r="BB2037" s="123"/>
      <c r="BC2037" s="137"/>
      <c r="BD2037" s="123"/>
      <c r="BE2037" s="38"/>
      <c r="BF2037" s="123"/>
    </row>
    <row r="2038">
      <c r="A2038" s="1358" t="s">
        <v>9350</v>
      </c>
      <c r="B2038" s="115"/>
      <c r="C2038" s="115"/>
      <c r="D2038" s="449"/>
      <c r="E2038" s="449"/>
      <c r="F2038" s="402" t="s">
        <v>9351</v>
      </c>
      <c r="G2038" s="119" t="s">
        <v>9352</v>
      </c>
      <c r="H2038" s="119" t="s">
        <v>3996</v>
      </c>
      <c r="I2038" s="25" t="s">
        <v>257</v>
      </c>
      <c r="J2038" s="120" t="s">
        <v>7513</v>
      </c>
      <c r="K2038" s="123"/>
      <c r="L2038" s="123"/>
      <c r="M2038" s="123"/>
      <c r="N2038" s="123"/>
      <c r="O2038" s="27" t="str">
        <f t="shared" si="3"/>
        <v>#N/A</v>
      </c>
      <c r="P2038" s="55"/>
      <c r="Q2038" s="55"/>
      <c r="R2038" s="55"/>
      <c r="S2038" s="55"/>
      <c r="T2038" s="55"/>
      <c r="U2038" s="55"/>
      <c r="V2038" s="30">
        <f t="shared" si="425"/>
        <v>0</v>
      </c>
      <c r="W2038" s="30"/>
      <c r="X2038" s="403"/>
      <c r="Y2038" s="403"/>
      <c r="Z2038" s="692"/>
      <c r="AA2038" s="665"/>
      <c r="AB2038" s="123"/>
      <c r="AC2038" s="123"/>
      <c r="AD2038" s="452"/>
      <c r="AE2038" s="125"/>
      <c r="AF2038" s="453"/>
      <c r="AG2038" s="125"/>
      <c r="AH2038" s="123"/>
      <c r="AI2038" s="128"/>
      <c r="AJ2038" s="123"/>
      <c r="AK2038" s="123"/>
      <c r="AL2038" s="123"/>
      <c r="AM2038" s="123"/>
      <c r="AN2038" s="123"/>
      <c r="AO2038" s="123"/>
      <c r="AP2038" s="881"/>
      <c r="AQ2038" s="123"/>
      <c r="AR2038" s="123"/>
      <c r="AS2038" s="123"/>
      <c r="AT2038" s="123"/>
      <c r="AU2038" s="137"/>
      <c r="AV2038" s="123"/>
      <c r="AW2038" s="38"/>
      <c r="AX2038" s="123"/>
      <c r="AY2038" s="38"/>
      <c r="AZ2038" s="123"/>
      <c r="BA2038" s="137"/>
      <c r="BB2038" s="123"/>
      <c r="BC2038" s="137"/>
      <c r="BD2038" s="123"/>
      <c r="BE2038" s="38"/>
      <c r="BF2038" s="123"/>
    </row>
    <row r="2039">
      <c r="A2039" s="400" t="s">
        <v>9353</v>
      </c>
      <c r="B2039" s="115"/>
      <c r="C2039" s="115"/>
      <c r="D2039" s="449"/>
      <c r="E2039" s="449"/>
      <c r="F2039" s="402" t="s">
        <v>9354</v>
      </c>
      <c r="G2039" s="119" t="s">
        <v>9355</v>
      </c>
      <c r="H2039" s="119" t="s">
        <v>80</v>
      </c>
      <c r="I2039" s="25" t="s">
        <v>826</v>
      </c>
      <c r="J2039" s="120" t="s">
        <v>3508</v>
      </c>
      <c r="K2039" s="123"/>
      <c r="L2039" s="123"/>
      <c r="M2039" s="123"/>
      <c r="N2039" s="123"/>
      <c r="O2039" s="27" t="str">
        <f t="shared" si="3"/>
        <v>#N/A</v>
      </c>
      <c r="P2039" s="55"/>
      <c r="Q2039" s="55"/>
      <c r="R2039" s="55"/>
      <c r="S2039" s="55"/>
      <c r="T2039" s="55"/>
      <c r="U2039" s="55"/>
      <c r="V2039" s="30">
        <f t="shared" si="425"/>
        <v>0</v>
      </c>
      <c r="W2039" s="30"/>
      <c r="X2039" s="403"/>
      <c r="Y2039" s="403"/>
      <c r="Z2039" s="692"/>
      <c r="AA2039" s="665"/>
      <c r="AB2039" s="123"/>
      <c r="AC2039" s="123"/>
      <c r="AD2039" s="452"/>
      <c r="AE2039" s="125"/>
      <c r="AF2039" s="453"/>
      <c r="AG2039" s="123"/>
      <c r="AH2039" s="123"/>
      <c r="AI2039" s="128"/>
      <c r="AJ2039" s="123"/>
      <c r="AK2039" s="123"/>
      <c r="AL2039" s="123"/>
      <c r="AM2039" s="123"/>
      <c r="AN2039" s="123"/>
      <c r="AO2039" s="123"/>
      <c r="AP2039" s="881"/>
      <c r="AQ2039" s="123"/>
      <c r="AR2039" s="123"/>
      <c r="AS2039" s="123"/>
      <c r="AT2039" s="123"/>
      <c r="AU2039" s="137"/>
      <c r="AV2039" s="123"/>
      <c r="AW2039" s="38"/>
      <c r="AX2039" s="123"/>
      <c r="AY2039" s="38"/>
      <c r="AZ2039" s="123"/>
      <c r="BA2039" s="137"/>
      <c r="BB2039" s="123"/>
      <c r="BC2039" s="137"/>
      <c r="BD2039" s="123"/>
      <c r="BE2039" s="38"/>
      <c r="BF2039" s="123"/>
    </row>
    <row r="2040">
      <c r="A2040" s="400" t="s">
        <v>9356</v>
      </c>
      <c r="B2040" s="115"/>
      <c r="C2040" s="115"/>
      <c r="D2040" s="449"/>
      <c r="E2040" s="449"/>
      <c r="F2040" s="402" t="s">
        <v>9357</v>
      </c>
      <c r="G2040" s="119" t="s">
        <v>9358</v>
      </c>
      <c r="H2040" s="119" t="s">
        <v>9359</v>
      </c>
      <c r="I2040" s="25" t="s">
        <v>5617</v>
      </c>
      <c r="J2040" s="120" t="s">
        <v>9360</v>
      </c>
      <c r="K2040" s="123"/>
      <c r="L2040" s="123"/>
      <c r="M2040" s="123"/>
      <c r="N2040" s="123"/>
      <c r="O2040" s="27" t="str">
        <f t="shared" si="3"/>
        <v>#N/A</v>
      </c>
      <c r="P2040" s="55"/>
      <c r="Q2040" s="55"/>
      <c r="R2040" s="55"/>
      <c r="S2040" s="55"/>
      <c r="T2040" s="55"/>
      <c r="U2040" s="55"/>
      <c r="V2040" s="30">
        <f t="shared" si="425"/>
        <v>0</v>
      </c>
      <c r="W2040" s="30"/>
      <c r="X2040" s="403"/>
      <c r="Y2040" s="403"/>
      <c r="Z2040" s="692"/>
      <c r="AA2040" s="665"/>
      <c r="AB2040" s="123"/>
      <c r="AC2040" s="123"/>
      <c r="AD2040" s="452"/>
      <c r="AE2040" s="125"/>
      <c r="AF2040" s="453"/>
      <c r="AG2040" s="123"/>
      <c r="AH2040" s="123"/>
      <c r="AI2040" s="128"/>
      <c r="AJ2040" s="123"/>
      <c r="AK2040" s="123"/>
      <c r="AL2040" s="123"/>
      <c r="AM2040" s="123"/>
      <c r="AN2040" s="123"/>
      <c r="AO2040" s="123"/>
      <c r="AP2040" s="881"/>
      <c r="AQ2040" s="123"/>
      <c r="AR2040" s="123"/>
      <c r="AS2040" s="123"/>
      <c r="AT2040" s="123"/>
      <c r="AU2040" s="137"/>
      <c r="AV2040" s="123"/>
      <c r="AW2040" s="38"/>
      <c r="AX2040" s="123"/>
      <c r="AY2040" s="38"/>
      <c r="AZ2040" s="123"/>
      <c r="BA2040" s="137"/>
      <c r="BB2040" s="123"/>
      <c r="BC2040" s="137"/>
      <c r="BD2040" s="123"/>
      <c r="BE2040" s="38"/>
      <c r="BF2040" s="123"/>
    </row>
    <row r="2041">
      <c r="A2041" s="400" t="s">
        <v>9361</v>
      </c>
      <c r="B2041" s="115"/>
      <c r="C2041" s="115"/>
      <c r="D2041" s="449"/>
      <c r="E2041" s="449"/>
      <c r="F2041" s="402" t="s">
        <v>9362</v>
      </c>
      <c r="G2041" s="119" t="s">
        <v>9363</v>
      </c>
      <c r="H2041" s="119" t="s">
        <v>6144</v>
      </c>
      <c r="I2041" s="25" t="s">
        <v>2377</v>
      </c>
      <c r="J2041" s="120" t="s">
        <v>9364</v>
      </c>
      <c r="K2041" s="123"/>
      <c r="L2041" s="123"/>
      <c r="M2041" s="123"/>
      <c r="N2041" s="123"/>
      <c r="O2041" s="27" t="str">
        <f t="shared" si="3"/>
        <v>#N/A</v>
      </c>
      <c r="P2041" s="55"/>
      <c r="Q2041" s="55"/>
      <c r="R2041" s="55"/>
      <c r="S2041" s="55"/>
      <c r="T2041" s="55"/>
      <c r="U2041" s="55"/>
      <c r="V2041" s="30">
        <f t="shared" si="425"/>
        <v>0</v>
      </c>
      <c r="W2041" s="30"/>
      <c r="X2041" s="403"/>
      <c r="Y2041" s="403"/>
      <c r="Z2041" s="692"/>
      <c r="AA2041" s="665"/>
      <c r="AB2041" s="123"/>
      <c r="AC2041" s="123"/>
      <c r="AD2041" s="452"/>
      <c r="AE2041" s="125"/>
      <c r="AF2041" s="453"/>
      <c r="AG2041" s="123"/>
      <c r="AH2041" s="123"/>
      <c r="AI2041" s="128"/>
      <c r="AJ2041" s="123"/>
      <c r="AK2041" s="123"/>
      <c r="AL2041" s="123"/>
      <c r="AM2041" s="123"/>
      <c r="AN2041" s="123"/>
      <c r="AO2041" s="123"/>
      <c r="AP2041" s="123"/>
      <c r="AQ2041" s="123"/>
      <c r="AR2041" s="123"/>
      <c r="AS2041" s="123"/>
      <c r="AT2041" s="123"/>
      <c r="AU2041" s="137"/>
      <c r="AV2041" s="123"/>
      <c r="AW2041" s="38"/>
      <c r="AX2041" s="123"/>
      <c r="AY2041" s="38"/>
      <c r="AZ2041" s="123"/>
      <c r="BA2041" s="137"/>
      <c r="BB2041" s="123"/>
      <c r="BC2041" s="137"/>
      <c r="BD2041" s="123"/>
      <c r="BE2041" s="38"/>
      <c r="BF2041" s="123"/>
    </row>
    <row r="2042">
      <c r="A2042" s="400" t="s">
        <v>9365</v>
      </c>
      <c r="B2042" s="115"/>
      <c r="C2042" s="115"/>
      <c r="D2042" s="449"/>
      <c r="E2042" s="449"/>
      <c r="F2042" s="402" t="s">
        <v>9366</v>
      </c>
      <c r="G2042" s="119" t="s">
        <v>9367</v>
      </c>
      <c r="H2042" s="119" t="s">
        <v>7928</v>
      </c>
      <c r="I2042" s="25" t="s">
        <v>257</v>
      </c>
      <c r="J2042" s="120" t="s">
        <v>7929</v>
      </c>
      <c r="K2042" s="123"/>
      <c r="L2042" s="123"/>
      <c r="M2042" s="123"/>
      <c r="N2042" s="123"/>
      <c r="O2042" s="27" t="str">
        <f t="shared" si="3"/>
        <v>#N/A</v>
      </c>
      <c r="P2042" s="55"/>
      <c r="Q2042" s="55"/>
      <c r="R2042" s="55"/>
      <c r="S2042" s="55"/>
      <c r="T2042" s="55"/>
      <c r="U2042" s="55"/>
      <c r="V2042" s="30">
        <f t="shared" si="425"/>
        <v>0</v>
      </c>
      <c r="W2042" s="30"/>
      <c r="X2042" s="403"/>
      <c r="Y2042" s="403"/>
      <c r="Z2042" s="692"/>
      <c r="AA2042" s="665"/>
      <c r="AB2042" s="123"/>
      <c r="AC2042" s="123"/>
      <c r="AD2042" s="452"/>
      <c r="AE2042" s="125"/>
      <c r="AF2042" s="453"/>
      <c r="AG2042" s="123"/>
      <c r="AH2042" s="123"/>
      <c r="AI2042" s="128"/>
      <c r="AJ2042" s="123"/>
      <c r="AK2042" s="123"/>
      <c r="AL2042" s="123"/>
      <c r="AM2042" s="123"/>
      <c r="AN2042" s="123"/>
      <c r="AO2042" s="123"/>
      <c r="AP2042" s="123"/>
      <c r="AQ2042" s="123"/>
      <c r="AR2042" s="123"/>
      <c r="AS2042" s="123"/>
      <c r="AT2042" s="123"/>
      <c r="AU2042" s="137"/>
      <c r="AV2042" s="123"/>
      <c r="AW2042" s="38"/>
      <c r="AX2042" s="123"/>
      <c r="AY2042" s="38"/>
      <c r="AZ2042" s="123"/>
      <c r="BA2042" s="137"/>
      <c r="BB2042" s="123"/>
      <c r="BC2042" s="137"/>
      <c r="BD2042" s="123"/>
      <c r="BE2042" s="38"/>
      <c r="BF2042" s="123"/>
    </row>
    <row r="2043">
      <c r="A2043" s="400" t="s">
        <v>9368</v>
      </c>
      <c r="B2043" s="115"/>
      <c r="C2043" s="115"/>
      <c r="D2043" s="449"/>
      <c r="E2043" s="449"/>
      <c r="F2043" s="402" t="s">
        <v>9369</v>
      </c>
      <c r="G2043" s="286"/>
      <c r="H2043" s="119" t="s">
        <v>1935</v>
      </c>
      <c r="I2043" s="25" t="s">
        <v>639</v>
      </c>
      <c r="J2043" s="287"/>
      <c r="K2043" s="123"/>
      <c r="L2043" s="123"/>
      <c r="M2043" s="123"/>
      <c r="N2043" s="123"/>
      <c r="O2043" s="27" t="str">
        <f t="shared" si="3"/>
        <v>#N/A</v>
      </c>
      <c r="P2043" s="55"/>
      <c r="Q2043" s="55"/>
      <c r="R2043" s="55"/>
      <c r="S2043" s="55"/>
      <c r="T2043" s="55"/>
      <c r="U2043" s="55"/>
      <c r="V2043" s="30">
        <f t="shared" si="425"/>
        <v>0</v>
      </c>
      <c r="W2043" s="30"/>
      <c r="X2043" s="403"/>
      <c r="Y2043" s="403"/>
      <c r="Z2043" s="692"/>
      <c r="AA2043" s="665"/>
      <c r="AB2043" s="123"/>
      <c r="AC2043" s="123"/>
      <c r="AD2043" s="452"/>
      <c r="AE2043" s="125"/>
      <c r="AF2043" s="453"/>
      <c r="AG2043" s="123"/>
      <c r="AH2043" s="123"/>
      <c r="AI2043" s="128"/>
      <c r="AJ2043" s="123"/>
      <c r="AK2043" s="123"/>
      <c r="AL2043" s="123"/>
      <c r="AM2043" s="123"/>
      <c r="AN2043" s="123"/>
      <c r="AO2043" s="123"/>
      <c r="AP2043" s="123"/>
      <c r="AQ2043" s="123"/>
      <c r="AR2043" s="123"/>
      <c r="AS2043" s="123"/>
      <c r="AT2043" s="123"/>
      <c r="AU2043" s="137"/>
      <c r="AV2043" s="123"/>
      <c r="AW2043" s="38"/>
      <c r="AX2043" s="123"/>
      <c r="AY2043" s="38"/>
      <c r="AZ2043" s="123"/>
      <c r="BA2043" s="137"/>
      <c r="BB2043" s="123"/>
      <c r="BC2043" s="137"/>
      <c r="BD2043" s="123"/>
      <c r="BE2043" s="38"/>
      <c r="BF2043" s="123"/>
    </row>
    <row r="2044">
      <c r="A2044" s="400" t="s">
        <v>9370</v>
      </c>
      <c r="B2044" s="115"/>
      <c r="C2044" s="115"/>
      <c r="D2044" s="449"/>
      <c r="E2044" s="449"/>
      <c r="F2044" s="402" t="s">
        <v>9371</v>
      </c>
      <c r="G2044" s="119" t="s">
        <v>9372</v>
      </c>
      <c r="H2044" s="119" t="s">
        <v>3103</v>
      </c>
      <c r="I2044" s="25" t="s">
        <v>826</v>
      </c>
      <c r="J2044" s="120" t="s">
        <v>3104</v>
      </c>
      <c r="K2044" s="123"/>
      <c r="L2044" s="123"/>
      <c r="M2044" s="123"/>
      <c r="N2044" s="123"/>
      <c r="O2044" s="27" t="str">
        <f t="shared" si="3"/>
        <v>#N/A</v>
      </c>
      <c r="P2044" s="55"/>
      <c r="Q2044" s="55"/>
      <c r="R2044" s="55"/>
      <c r="S2044" s="55"/>
      <c r="T2044" s="55"/>
      <c r="U2044" s="55"/>
      <c r="V2044" s="30">
        <f t="shared" si="425"/>
        <v>0</v>
      </c>
      <c r="W2044" s="30"/>
      <c r="X2044" s="403"/>
      <c r="Y2044" s="403"/>
      <c r="Z2044" s="692"/>
      <c r="AA2044" s="665"/>
      <c r="AB2044" s="123"/>
      <c r="AC2044" s="123"/>
      <c r="AD2044" s="452"/>
      <c r="AE2044" s="125"/>
      <c r="AF2044" s="453"/>
      <c r="AG2044" s="123"/>
      <c r="AH2044" s="123"/>
      <c r="AI2044" s="128"/>
      <c r="AJ2044" s="123"/>
      <c r="AK2044" s="123"/>
      <c r="AL2044" s="123"/>
      <c r="AM2044" s="123"/>
      <c r="AN2044" s="123"/>
      <c r="AO2044" s="123"/>
      <c r="AP2044" s="123"/>
      <c r="AQ2044" s="123"/>
      <c r="AR2044" s="123"/>
      <c r="AS2044" s="123"/>
      <c r="AT2044" s="123"/>
      <c r="AU2044" s="137"/>
      <c r="AV2044" s="123"/>
      <c r="AW2044" s="38"/>
      <c r="AX2044" s="123"/>
      <c r="AY2044" s="38"/>
      <c r="AZ2044" s="123"/>
      <c r="BA2044" s="137"/>
      <c r="BB2044" s="123"/>
      <c r="BC2044" s="137"/>
      <c r="BD2044" s="123"/>
      <c r="BE2044" s="38"/>
      <c r="BF2044" s="123"/>
    </row>
    <row r="2045">
      <c r="A2045" s="400" t="s">
        <v>9373</v>
      </c>
      <c r="B2045" s="115"/>
      <c r="C2045" s="115"/>
      <c r="D2045" s="449"/>
      <c r="E2045" s="449"/>
      <c r="F2045" s="402" t="s">
        <v>9374</v>
      </c>
      <c r="G2045" s="119" t="s">
        <v>9375</v>
      </c>
      <c r="H2045" s="119" t="s">
        <v>4623</v>
      </c>
      <c r="I2045" s="25" t="s">
        <v>4624</v>
      </c>
      <c r="J2045" s="120" t="s">
        <v>9376</v>
      </c>
      <c r="K2045" s="123"/>
      <c r="L2045" s="123"/>
      <c r="M2045" s="123"/>
      <c r="N2045" s="123"/>
      <c r="O2045" s="27" t="str">
        <f t="shared" si="3"/>
        <v>#N/A</v>
      </c>
      <c r="P2045" s="55"/>
      <c r="Q2045" s="55"/>
      <c r="R2045" s="55"/>
      <c r="S2045" s="55"/>
      <c r="T2045" s="55"/>
      <c r="U2045" s="55"/>
      <c r="V2045" s="30">
        <f t="shared" si="425"/>
        <v>0</v>
      </c>
      <c r="W2045" s="30"/>
      <c r="X2045" s="403"/>
      <c r="Y2045" s="403"/>
      <c r="Z2045" s="692"/>
      <c r="AA2045" s="665"/>
      <c r="AB2045" s="123"/>
      <c r="AC2045" s="123"/>
      <c r="AD2045" s="452"/>
      <c r="AE2045" s="125"/>
      <c r="AF2045" s="453"/>
      <c r="AG2045" s="123"/>
      <c r="AH2045" s="123"/>
      <c r="AI2045" s="128"/>
      <c r="AJ2045" s="123"/>
      <c r="AK2045" s="123"/>
      <c r="AL2045" s="123"/>
      <c r="AM2045" s="123"/>
      <c r="AN2045" s="123"/>
      <c r="AO2045" s="123"/>
      <c r="AP2045" s="123"/>
      <c r="AQ2045" s="123"/>
      <c r="AR2045" s="123"/>
      <c r="AS2045" s="123"/>
      <c r="AT2045" s="123"/>
      <c r="AU2045" s="137"/>
      <c r="AV2045" s="123"/>
      <c r="AW2045" s="38"/>
      <c r="AX2045" s="123"/>
      <c r="AY2045" s="38"/>
      <c r="AZ2045" s="123"/>
      <c r="BA2045" s="137"/>
      <c r="BB2045" s="123"/>
      <c r="BC2045" s="137"/>
      <c r="BD2045" s="123"/>
      <c r="BE2045" s="38"/>
      <c r="BF2045" s="123"/>
    </row>
    <row r="2046">
      <c r="A2046" s="400" t="s">
        <v>9377</v>
      </c>
      <c r="B2046" s="115"/>
      <c r="C2046" s="115"/>
      <c r="D2046" s="449"/>
      <c r="E2046" s="449"/>
      <c r="F2046" s="402" t="s">
        <v>9378</v>
      </c>
      <c r="G2046" s="119" t="s">
        <v>9379</v>
      </c>
      <c r="H2046" s="119" t="s">
        <v>4358</v>
      </c>
      <c r="I2046" s="25" t="s">
        <v>163</v>
      </c>
      <c r="J2046" s="120" t="s">
        <v>9380</v>
      </c>
      <c r="K2046" s="123"/>
      <c r="L2046" s="123"/>
      <c r="M2046" s="123"/>
      <c r="N2046" s="123"/>
      <c r="O2046" s="27" t="str">
        <f t="shared" si="3"/>
        <v>#N/A</v>
      </c>
      <c r="P2046" s="55"/>
      <c r="Q2046" s="55"/>
      <c r="R2046" s="55"/>
      <c r="S2046" s="55"/>
      <c r="T2046" s="55"/>
      <c r="U2046" s="55"/>
      <c r="V2046" s="30">
        <f t="shared" si="425"/>
        <v>0</v>
      </c>
      <c r="W2046" s="30"/>
      <c r="X2046" s="403"/>
      <c r="Y2046" s="403"/>
      <c r="Z2046" s="692"/>
      <c r="AA2046" s="665"/>
      <c r="AB2046" s="123"/>
      <c r="AC2046" s="123"/>
      <c r="AD2046" s="452"/>
      <c r="AE2046" s="123"/>
      <c r="AF2046" s="453"/>
      <c r="AG2046" s="123"/>
      <c r="AH2046" s="123"/>
      <c r="AI2046" s="128"/>
      <c r="AJ2046" s="123"/>
      <c r="AK2046" s="123"/>
      <c r="AL2046" s="123"/>
      <c r="AM2046" s="123"/>
      <c r="AN2046" s="123"/>
      <c r="AO2046" s="123"/>
      <c r="AP2046" s="123"/>
      <c r="AQ2046" s="123"/>
      <c r="AR2046" s="123"/>
      <c r="AS2046" s="123"/>
      <c r="AT2046" s="123"/>
      <c r="AU2046" s="137"/>
      <c r="AV2046" s="123"/>
      <c r="AW2046" s="38"/>
      <c r="AX2046" s="123"/>
      <c r="AY2046" s="38"/>
      <c r="AZ2046" s="123"/>
      <c r="BA2046" s="137"/>
      <c r="BB2046" s="123"/>
      <c r="BC2046" s="137"/>
      <c r="BD2046" s="123"/>
      <c r="BE2046" s="38"/>
      <c r="BF2046" s="123"/>
    </row>
    <row r="2047">
      <c r="A2047" s="400" t="s">
        <v>9381</v>
      </c>
      <c r="B2047" s="115"/>
      <c r="C2047" s="115"/>
      <c r="D2047" s="449"/>
      <c r="E2047" s="449"/>
      <c r="F2047" s="402" t="s">
        <v>9382</v>
      </c>
      <c r="G2047" s="119" t="s">
        <v>9383</v>
      </c>
      <c r="H2047" s="119" t="s">
        <v>128</v>
      </c>
      <c r="I2047" s="25" t="s">
        <v>128</v>
      </c>
      <c r="J2047" s="120" t="s">
        <v>498</v>
      </c>
      <c r="K2047" s="123"/>
      <c r="L2047" s="123"/>
      <c r="M2047" s="123"/>
      <c r="N2047" s="123"/>
      <c r="O2047" s="27" t="str">
        <f t="shared" si="3"/>
        <v>#N/A</v>
      </c>
      <c r="P2047" s="55"/>
      <c r="Q2047" s="55"/>
      <c r="R2047" s="55"/>
      <c r="S2047" s="55"/>
      <c r="T2047" s="55"/>
      <c r="U2047" s="55"/>
      <c r="V2047" s="30">
        <f t="shared" si="425"/>
        <v>0</v>
      </c>
      <c r="W2047" s="30"/>
      <c r="X2047" s="403"/>
      <c r="Y2047" s="403"/>
      <c r="Z2047" s="692"/>
      <c r="AA2047" s="665"/>
      <c r="AB2047" s="123"/>
      <c r="AC2047" s="123"/>
      <c r="AD2047" s="452"/>
      <c r="AE2047" s="123"/>
      <c r="AF2047" s="453"/>
      <c r="AG2047" s="123"/>
      <c r="AH2047" s="123"/>
      <c r="AI2047" s="128"/>
      <c r="AJ2047" s="123"/>
      <c r="AK2047" s="123"/>
      <c r="AL2047" s="123"/>
      <c r="AM2047" s="123"/>
      <c r="AN2047" s="123"/>
      <c r="AO2047" s="123"/>
      <c r="AP2047" s="123"/>
      <c r="AQ2047" s="123"/>
      <c r="AR2047" s="123"/>
      <c r="AS2047" s="123"/>
      <c r="AT2047" s="123"/>
      <c r="AU2047" s="137"/>
      <c r="AV2047" s="123"/>
      <c r="AW2047" s="38"/>
      <c r="AX2047" s="123"/>
      <c r="AY2047" s="38"/>
      <c r="AZ2047" s="123"/>
      <c r="BA2047" s="137"/>
      <c r="BB2047" s="123"/>
      <c r="BC2047" s="137"/>
      <c r="BD2047" s="123"/>
      <c r="BE2047" s="38"/>
      <c r="BF2047" s="123"/>
    </row>
    <row r="2048">
      <c r="A2048" s="400" t="s">
        <v>9384</v>
      </c>
      <c r="B2048" s="115"/>
      <c r="C2048" s="115"/>
      <c r="D2048" s="449"/>
      <c r="E2048" s="449"/>
      <c r="F2048" s="402" t="s">
        <v>9385</v>
      </c>
      <c r="G2048" s="119" t="s">
        <v>9386</v>
      </c>
      <c r="H2048" s="119" t="s">
        <v>9387</v>
      </c>
      <c r="I2048" s="25" t="s">
        <v>826</v>
      </c>
      <c r="J2048" s="120" t="s">
        <v>3113</v>
      </c>
      <c r="K2048" s="123"/>
      <c r="L2048" s="123"/>
      <c r="M2048" s="123"/>
      <c r="N2048" s="123"/>
      <c r="O2048" s="27" t="str">
        <f t="shared" si="3"/>
        <v>#N/A</v>
      </c>
      <c r="P2048" s="55"/>
      <c r="Q2048" s="55"/>
      <c r="R2048" s="55"/>
      <c r="S2048" s="55"/>
      <c r="T2048" s="55"/>
      <c r="U2048" s="55"/>
      <c r="V2048" s="30">
        <f t="shared" si="425"/>
        <v>0</v>
      </c>
      <c r="W2048" s="30"/>
      <c r="X2048" s="403"/>
      <c r="Y2048" s="403"/>
      <c r="Z2048" s="692"/>
      <c r="AA2048" s="665"/>
      <c r="AB2048" s="123"/>
      <c r="AC2048" s="123"/>
      <c r="AD2048" s="452"/>
      <c r="AE2048" s="123"/>
      <c r="AF2048" s="453"/>
      <c r="AG2048" s="123"/>
      <c r="AH2048" s="123"/>
      <c r="AI2048" s="128"/>
      <c r="AJ2048" s="123"/>
      <c r="AK2048" s="123"/>
      <c r="AL2048" s="123"/>
      <c r="AM2048" s="123"/>
      <c r="AN2048" s="123"/>
      <c r="AO2048" s="123"/>
      <c r="AP2048" s="123"/>
      <c r="AQ2048" s="123"/>
      <c r="AR2048" s="123"/>
      <c r="AS2048" s="123"/>
      <c r="AT2048" s="123"/>
      <c r="AU2048" s="137"/>
      <c r="AV2048" s="123"/>
      <c r="AW2048" s="38"/>
      <c r="AX2048" s="123"/>
      <c r="AY2048" s="38"/>
      <c r="AZ2048" s="123"/>
      <c r="BA2048" s="137"/>
      <c r="BB2048" s="123"/>
      <c r="BC2048" s="137"/>
      <c r="BD2048" s="123"/>
      <c r="BE2048" s="38"/>
      <c r="BF2048" s="123"/>
    </row>
    <row r="2049">
      <c r="A2049" s="400" t="s">
        <v>9388</v>
      </c>
      <c r="B2049" s="115"/>
      <c r="C2049" s="115"/>
      <c r="D2049" s="449"/>
      <c r="E2049" s="449"/>
      <c r="F2049" s="402" t="s">
        <v>9389</v>
      </c>
      <c r="G2049" s="119" t="s">
        <v>9390</v>
      </c>
      <c r="H2049" s="119" t="s">
        <v>9391</v>
      </c>
      <c r="I2049" s="25" t="s">
        <v>128</v>
      </c>
      <c r="J2049" s="120" t="s">
        <v>9392</v>
      </c>
      <c r="K2049" s="123"/>
      <c r="L2049" s="123"/>
      <c r="M2049" s="123"/>
      <c r="N2049" s="123"/>
      <c r="O2049" s="27" t="str">
        <f t="shared" si="3"/>
        <v>#N/A</v>
      </c>
      <c r="P2049" s="55"/>
      <c r="Q2049" s="55"/>
      <c r="R2049" s="55"/>
      <c r="S2049" s="55"/>
      <c r="T2049" s="55"/>
      <c r="U2049" s="55"/>
      <c r="V2049" s="30">
        <f t="shared" si="425"/>
        <v>0</v>
      </c>
      <c r="W2049" s="30"/>
      <c r="X2049" s="403"/>
      <c r="Y2049" s="403"/>
      <c r="Z2049" s="692"/>
      <c r="AA2049" s="665"/>
      <c r="AB2049" s="123"/>
      <c r="AC2049" s="123"/>
      <c r="AD2049" s="452"/>
      <c r="AE2049" s="123"/>
      <c r="AF2049" s="453"/>
      <c r="AG2049" s="123"/>
      <c r="AH2049" s="123"/>
      <c r="AI2049" s="128"/>
      <c r="AJ2049" s="123"/>
      <c r="AK2049" s="123"/>
      <c r="AL2049" s="123"/>
      <c r="AM2049" s="123"/>
      <c r="AN2049" s="123"/>
      <c r="AO2049" s="123"/>
      <c r="AP2049" s="123"/>
      <c r="AQ2049" s="123"/>
      <c r="AR2049" s="123"/>
      <c r="AS2049" s="123"/>
      <c r="AT2049" s="123"/>
      <c r="AU2049" s="137"/>
      <c r="AV2049" s="123"/>
      <c r="AW2049" s="38"/>
      <c r="AX2049" s="123"/>
      <c r="AY2049" s="38"/>
      <c r="AZ2049" s="123"/>
      <c r="BA2049" s="137"/>
      <c r="BB2049" s="123"/>
      <c r="BC2049" s="137"/>
      <c r="BD2049" s="123"/>
      <c r="BE2049" s="38"/>
      <c r="BF2049" s="123"/>
    </row>
    <row r="2050">
      <c r="A2050" s="400" t="s">
        <v>9393</v>
      </c>
      <c r="B2050" s="115"/>
      <c r="C2050" s="115"/>
      <c r="D2050" s="449"/>
      <c r="E2050" s="449"/>
      <c r="F2050" s="402" t="s">
        <v>9394</v>
      </c>
      <c r="G2050" s="119" t="s">
        <v>9395</v>
      </c>
      <c r="H2050" s="119" t="s">
        <v>1065</v>
      </c>
      <c r="I2050" s="25" t="s">
        <v>639</v>
      </c>
      <c r="J2050" s="120" t="s">
        <v>9396</v>
      </c>
      <c r="K2050" s="123"/>
      <c r="L2050" s="123"/>
      <c r="M2050" s="123"/>
      <c r="N2050" s="123"/>
      <c r="O2050" s="27" t="str">
        <f t="shared" si="3"/>
        <v>#N/A</v>
      </c>
      <c r="P2050" s="55"/>
      <c r="Q2050" s="55"/>
      <c r="R2050" s="55"/>
      <c r="S2050" s="55"/>
      <c r="T2050" s="55"/>
      <c r="U2050" s="55"/>
      <c r="V2050" s="30">
        <f t="shared" si="425"/>
        <v>0</v>
      </c>
      <c r="W2050" s="30"/>
      <c r="X2050" s="403"/>
      <c r="Y2050" s="403"/>
      <c r="Z2050" s="692"/>
      <c r="AA2050" s="665"/>
      <c r="AB2050" s="123"/>
      <c r="AC2050" s="123"/>
      <c r="AD2050" s="452"/>
      <c r="AE2050" s="123"/>
      <c r="AF2050" s="453"/>
      <c r="AG2050" s="123"/>
      <c r="AH2050" s="123"/>
      <c r="AI2050" s="128"/>
      <c r="AJ2050" s="123"/>
      <c r="AK2050" s="123"/>
      <c r="AL2050" s="123"/>
      <c r="AM2050" s="123"/>
      <c r="AN2050" s="123"/>
      <c r="AO2050" s="123"/>
      <c r="AP2050" s="123"/>
      <c r="AQ2050" s="123"/>
      <c r="AR2050" s="123"/>
      <c r="AS2050" s="123"/>
      <c r="AT2050" s="123"/>
      <c r="AU2050" s="137"/>
      <c r="AV2050" s="123"/>
      <c r="AW2050" s="38"/>
      <c r="AX2050" s="123"/>
      <c r="AY2050" s="38"/>
      <c r="AZ2050" s="123"/>
      <c r="BA2050" s="137"/>
      <c r="BB2050" s="123"/>
      <c r="BC2050" s="137"/>
      <c r="BD2050" s="123"/>
      <c r="BE2050" s="38"/>
      <c r="BF2050" s="123"/>
    </row>
    <row r="2051">
      <c r="A2051" s="400" t="s">
        <v>9397</v>
      </c>
      <c r="B2051" s="115"/>
      <c r="C2051" s="115"/>
      <c r="D2051" s="449"/>
      <c r="E2051" s="449"/>
      <c r="F2051" s="402" t="s">
        <v>9398</v>
      </c>
      <c r="G2051" s="119" t="s">
        <v>9399</v>
      </c>
      <c r="H2051" s="119" t="s">
        <v>9400</v>
      </c>
      <c r="I2051" s="25" t="s">
        <v>826</v>
      </c>
      <c r="J2051" s="120" t="s">
        <v>9401</v>
      </c>
      <c r="K2051" s="123"/>
      <c r="L2051" s="123"/>
      <c r="M2051" s="123"/>
      <c r="N2051" s="123"/>
      <c r="O2051" s="27" t="str">
        <f t="shared" si="3"/>
        <v>#N/A</v>
      </c>
      <c r="P2051" s="55"/>
      <c r="Q2051" s="55"/>
      <c r="R2051" s="55"/>
      <c r="S2051" s="55"/>
      <c r="T2051" s="55"/>
      <c r="U2051" s="55"/>
      <c r="V2051" s="30">
        <f t="shared" si="425"/>
        <v>0</v>
      </c>
      <c r="W2051" s="30"/>
      <c r="X2051" s="403"/>
      <c r="Y2051" s="403"/>
      <c r="Z2051" s="692"/>
      <c r="AA2051" s="665"/>
      <c r="AB2051" s="123"/>
      <c r="AC2051" s="123"/>
      <c r="AD2051" s="452"/>
      <c r="AE2051" s="123"/>
      <c r="AF2051" s="453"/>
      <c r="AG2051" s="123"/>
      <c r="AH2051" s="123"/>
      <c r="AI2051" s="128"/>
      <c r="AJ2051" s="123"/>
      <c r="AK2051" s="123"/>
      <c r="AL2051" s="123"/>
      <c r="AM2051" s="123"/>
      <c r="AN2051" s="123"/>
      <c r="AO2051" s="123"/>
      <c r="AP2051" s="123"/>
      <c r="AQ2051" s="123"/>
      <c r="AR2051" s="123"/>
      <c r="AS2051" s="123"/>
      <c r="AT2051" s="123"/>
      <c r="AU2051" s="137"/>
      <c r="AV2051" s="123"/>
      <c r="AW2051" s="38"/>
      <c r="AX2051" s="123"/>
      <c r="AY2051" s="38"/>
      <c r="AZ2051" s="123"/>
      <c r="BA2051" s="137"/>
      <c r="BB2051" s="123"/>
      <c r="BC2051" s="137"/>
      <c r="BD2051" s="123"/>
      <c r="BE2051" s="38"/>
      <c r="BF2051" s="123"/>
    </row>
    <row r="2052">
      <c r="A2052" s="400" t="s">
        <v>9402</v>
      </c>
      <c r="B2052" s="115"/>
      <c r="C2052" s="115"/>
      <c r="D2052" s="449"/>
      <c r="E2052" s="449"/>
      <c r="F2052" s="402" t="s">
        <v>9403</v>
      </c>
      <c r="G2052" s="119" t="s">
        <v>9404</v>
      </c>
      <c r="H2052" s="119" t="s">
        <v>771</v>
      </c>
      <c r="I2052" s="25" t="s">
        <v>1985</v>
      </c>
      <c r="J2052" s="120" t="s">
        <v>9405</v>
      </c>
      <c r="K2052" s="123"/>
      <c r="L2052" s="123"/>
      <c r="M2052" s="123"/>
      <c r="N2052" s="123"/>
      <c r="O2052" s="27" t="str">
        <f t="shared" si="3"/>
        <v>#N/A</v>
      </c>
      <c r="P2052" s="55"/>
      <c r="Q2052" s="55"/>
      <c r="R2052" s="55"/>
      <c r="S2052" s="55"/>
      <c r="T2052" s="55"/>
      <c r="U2052" s="55"/>
      <c r="V2052" s="30">
        <f t="shared" si="425"/>
        <v>0</v>
      </c>
      <c r="W2052" s="30"/>
      <c r="X2052" s="403"/>
      <c r="Y2052" s="403"/>
      <c r="Z2052" s="692"/>
      <c r="AA2052" s="665"/>
      <c r="AB2052" s="123"/>
      <c r="AC2052" s="123"/>
      <c r="AD2052" s="452"/>
      <c r="AE2052" s="123"/>
      <c r="AF2052" s="453"/>
      <c r="AG2052" s="123"/>
      <c r="AH2052" s="123"/>
      <c r="AI2052" s="128"/>
      <c r="AJ2052" s="123"/>
      <c r="AK2052" s="123"/>
      <c r="AL2052" s="123"/>
      <c r="AM2052" s="123"/>
      <c r="AN2052" s="123"/>
      <c r="AO2052" s="123"/>
      <c r="AP2052" s="123"/>
      <c r="AQ2052" s="123"/>
      <c r="AR2052" s="123"/>
      <c r="AS2052" s="123"/>
      <c r="AT2052" s="123"/>
      <c r="AU2052" s="137"/>
      <c r="AV2052" s="123"/>
      <c r="AW2052" s="38"/>
      <c r="AX2052" s="123"/>
      <c r="AY2052" s="38"/>
      <c r="AZ2052" s="123"/>
      <c r="BA2052" s="137"/>
      <c r="BB2052" s="123"/>
      <c r="BC2052" s="137"/>
      <c r="BD2052" s="123"/>
      <c r="BE2052" s="38"/>
      <c r="BF2052" s="123"/>
    </row>
    <row r="2053">
      <c r="A2053" s="400" t="s">
        <v>9406</v>
      </c>
      <c r="B2053" s="115"/>
      <c r="C2053" s="115"/>
      <c r="D2053" s="449"/>
      <c r="E2053" s="449"/>
      <c r="F2053" s="402" t="s">
        <v>9407</v>
      </c>
      <c r="G2053" s="119" t="s">
        <v>9408</v>
      </c>
      <c r="H2053" s="119" t="s">
        <v>128</v>
      </c>
      <c r="I2053" s="25" t="s">
        <v>128</v>
      </c>
      <c r="J2053" s="120" t="s">
        <v>416</v>
      </c>
      <c r="K2053" s="123"/>
      <c r="L2053" s="123"/>
      <c r="M2053" s="123"/>
      <c r="N2053" s="123"/>
      <c r="O2053" s="27" t="str">
        <f t="shared" si="3"/>
        <v>#N/A</v>
      </c>
      <c r="P2053" s="55"/>
      <c r="Q2053" s="55"/>
      <c r="R2053" s="55"/>
      <c r="S2053" s="55"/>
      <c r="T2053" s="55"/>
      <c r="U2053" s="55"/>
      <c r="V2053" s="30">
        <f t="shared" si="425"/>
        <v>0</v>
      </c>
      <c r="W2053" s="30"/>
      <c r="X2053" s="403"/>
      <c r="Y2053" s="403"/>
      <c r="Z2053" s="692"/>
      <c r="AA2053" s="665"/>
      <c r="AB2053" s="123"/>
      <c r="AC2053" s="123"/>
      <c r="AD2053" s="452"/>
      <c r="AE2053" s="123"/>
      <c r="AF2053" s="453"/>
      <c r="AG2053" s="123"/>
      <c r="AH2053" s="123"/>
      <c r="AI2053" s="128"/>
      <c r="AJ2053" s="123"/>
      <c r="AK2053" s="123"/>
      <c r="AL2053" s="123"/>
      <c r="AM2053" s="123"/>
      <c r="AN2053" s="123"/>
      <c r="AO2053" s="123"/>
      <c r="AP2053" s="123"/>
      <c r="AQ2053" s="123"/>
      <c r="AR2053" s="123"/>
      <c r="AS2053" s="123"/>
      <c r="AT2053" s="123"/>
      <c r="AU2053" s="137"/>
      <c r="AV2053" s="123"/>
      <c r="AW2053" s="38"/>
      <c r="AX2053" s="123"/>
      <c r="AY2053" s="38"/>
      <c r="AZ2053" s="123"/>
      <c r="BA2053" s="137"/>
      <c r="BB2053" s="123"/>
      <c r="BC2053" s="137"/>
      <c r="BD2053" s="123"/>
      <c r="BE2053" s="38"/>
      <c r="BF2053" s="123"/>
    </row>
    <row r="2054">
      <c r="A2054" s="400" t="s">
        <v>9409</v>
      </c>
      <c r="B2054" s="115"/>
      <c r="C2054" s="115"/>
      <c r="D2054" s="449"/>
      <c r="E2054" s="449"/>
      <c r="F2054" s="402" t="s">
        <v>9410</v>
      </c>
      <c r="G2054" s="119" t="s">
        <v>9411</v>
      </c>
      <c r="H2054" s="119" t="s">
        <v>365</v>
      </c>
      <c r="I2054" s="25" t="s">
        <v>826</v>
      </c>
      <c r="J2054" s="120" t="s">
        <v>1402</v>
      </c>
      <c r="K2054" s="123"/>
      <c r="L2054" s="123"/>
      <c r="M2054" s="123"/>
      <c r="N2054" s="123"/>
      <c r="O2054" s="27" t="str">
        <f t="shared" si="3"/>
        <v>#N/A</v>
      </c>
      <c r="P2054" s="55"/>
      <c r="Q2054" s="55"/>
      <c r="R2054" s="55"/>
      <c r="S2054" s="55"/>
      <c r="T2054" s="55"/>
      <c r="U2054" s="55"/>
      <c r="V2054" s="30">
        <f t="shared" si="425"/>
        <v>0</v>
      </c>
      <c r="W2054" s="30"/>
      <c r="X2054" s="403"/>
      <c r="Y2054" s="403"/>
      <c r="Z2054" s="692"/>
      <c r="AA2054" s="665"/>
      <c r="AB2054" s="123"/>
      <c r="AC2054" s="123"/>
      <c r="AD2054" s="452"/>
      <c r="AE2054" s="123"/>
      <c r="AF2054" s="453"/>
      <c r="AG2054" s="123"/>
      <c r="AH2054" s="123"/>
      <c r="AI2054" s="128"/>
      <c r="AJ2054" s="123"/>
      <c r="AK2054" s="123"/>
      <c r="AL2054" s="123"/>
      <c r="AM2054" s="123"/>
      <c r="AN2054" s="123"/>
      <c r="AO2054" s="123"/>
      <c r="AP2054" s="123"/>
      <c r="AQ2054" s="123"/>
      <c r="AR2054" s="123"/>
      <c r="AS2054" s="123"/>
      <c r="AT2054" s="123"/>
      <c r="AU2054" s="137"/>
      <c r="AV2054" s="123"/>
      <c r="AW2054" s="38"/>
      <c r="AX2054" s="123"/>
      <c r="AY2054" s="38"/>
      <c r="AZ2054" s="123"/>
      <c r="BA2054" s="137"/>
      <c r="BB2054" s="123"/>
      <c r="BC2054" s="137"/>
      <c r="BD2054" s="123"/>
      <c r="BE2054" s="38"/>
      <c r="BF2054" s="123"/>
    </row>
    <row r="2055">
      <c r="A2055" s="400" t="s">
        <v>9412</v>
      </c>
      <c r="B2055" s="115"/>
      <c r="C2055" s="115"/>
      <c r="D2055" s="449"/>
      <c r="E2055" s="449"/>
      <c r="F2055" s="402" t="s">
        <v>9413</v>
      </c>
      <c r="G2055" s="119" t="s">
        <v>9414</v>
      </c>
      <c r="H2055" s="119" t="s">
        <v>9415</v>
      </c>
      <c r="I2055" s="25" t="s">
        <v>4990</v>
      </c>
      <c r="J2055" s="120" t="s">
        <v>8805</v>
      </c>
      <c r="K2055" s="123"/>
      <c r="L2055" s="123"/>
      <c r="M2055" s="123"/>
      <c r="N2055" s="123"/>
      <c r="O2055" s="27" t="str">
        <f t="shared" si="3"/>
        <v>#N/A</v>
      </c>
      <c r="P2055" s="55"/>
      <c r="Q2055" s="55"/>
      <c r="R2055" s="55"/>
      <c r="S2055" s="55"/>
      <c r="T2055" s="55"/>
      <c r="U2055" s="55"/>
      <c r="V2055" s="30">
        <f t="shared" si="425"/>
        <v>0</v>
      </c>
      <c r="W2055" s="30"/>
      <c r="X2055" s="403"/>
      <c r="Y2055" s="403"/>
      <c r="Z2055" s="692"/>
      <c r="AA2055" s="665"/>
      <c r="AB2055" s="123"/>
      <c r="AC2055" s="123"/>
      <c r="AD2055" s="452"/>
      <c r="AE2055" s="123"/>
      <c r="AF2055" s="453"/>
      <c r="AG2055" s="123"/>
      <c r="AH2055" s="123"/>
      <c r="AI2055" s="128"/>
      <c r="AJ2055" s="123"/>
      <c r="AK2055" s="123"/>
      <c r="AL2055" s="123"/>
      <c r="AM2055" s="123"/>
      <c r="AN2055" s="123"/>
      <c r="AO2055" s="123"/>
      <c r="AP2055" s="123"/>
      <c r="AQ2055" s="123"/>
      <c r="AR2055" s="123"/>
      <c r="AS2055" s="123"/>
      <c r="AT2055" s="123"/>
      <c r="AU2055" s="137"/>
      <c r="AV2055" s="123"/>
      <c r="AW2055" s="38"/>
      <c r="AX2055" s="123"/>
      <c r="AY2055" s="38"/>
      <c r="AZ2055" s="123"/>
      <c r="BA2055" s="137"/>
      <c r="BB2055" s="123"/>
      <c r="BC2055" s="137"/>
      <c r="BD2055" s="123"/>
      <c r="BE2055" s="38"/>
      <c r="BF2055" s="123"/>
    </row>
    <row r="2056">
      <c r="A2056" s="400" t="s">
        <v>9416</v>
      </c>
      <c r="B2056" s="115"/>
      <c r="C2056" s="115"/>
      <c r="D2056" s="449"/>
      <c r="E2056" s="449"/>
      <c r="F2056" s="402" t="s">
        <v>9417</v>
      </c>
      <c r="G2056" s="119" t="s">
        <v>9418</v>
      </c>
      <c r="H2056" s="119" t="s">
        <v>64</v>
      </c>
      <c r="I2056" s="25" t="s">
        <v>826</v>
      </c>
      <c r="J2056" s="287"/>
      <c r="K2056" s="123"/>
      <c r="L2056" s="123"/>
      <c r="M2056" s="123"/>
      <c r="N2056" s="123"/>
      <c r="O2056" s="27" t="str">
        <f t="shared" si="3"/>
        <v>#N/A</v>
      </c>
      <c r="P2056" s="55"/>
      <c r="Q2056" s="55"/>
      <c r="R2056" s="55"/>
      <c r="S2056" s="55"/>
      <c r="T2056" s="55"/>
      <c r="U2056" s="55"/>
      <c r="V2056" s="30">
        <f t="shared" si="425"/>
        <v>0</v>
      </c>
      <c r="W2056" s="30"/>
      <c r="X2056" s="403"/>
      <c r="Y2056" s="403"/>
      <c r="Z2056" s="692"/>
      <c r="AA2056" s="665"/>
      <c r="AB2056" s="123"/>
      <c r="AC2056" s="123"/>
      <c r="AD2056" s="452"/>
      <c r="AE2056" s="123"/>
      <c r="AF2056" s="453"/>
      <c r="AG2056" s="123"/>
      <c r="AH2056" s="123"/>
      <c r="AI2056" s="123"/>
      <c r="AJ2056" s="123"/>
      <c r="AK2056" s="123"/>
      <c r="AL2056" s="123"/>
      <c r="AM2056" s="123"/>
      <c r="AN2056" s="123"/>
      <c r="AO2056" s="123"/>
      <c r="AP2056" s="123"/>
      <c r="AQ2056" s="123"/>
      <c r="AR2056" s="123"/>
      <c r="AS2056" s="123"/>
      <c r="AT2056" s="123"/>
      <c r="AU2056" s="137"/>
      <c r="AV2056" s="123"/>
      <c r="AW2056" s="38"/>
      <c r="AX2056" s="123"/>
      <c r="AY2056" s="38"/>
      <c r="AZ2056" s="123"/>
      <c r="BA2056" s="137"/>
      <c r="BB2056" s="123"/>
      <c r="BC2056" s="137"/>
      <c r="BD2056" s="123"/>
      <c r="BE2056" s="38"/>
      <c r="BF2056" s="123"/>
    </row>
    <row r="2057">
      <c r="A2057" s="400" t="s">
        <v>9419</v>
      </c>
      <c r="B2057" s="115"/>
      <c r="C2057" s="115"/>
      <c r="D2057" s="449"/>
      <c r="E2057" s="449"/>
      <c r="F2057" s="402" t="s">
        <v>9420</v>
      </c>
      <c r="G2057" s="119" t="s">
        <v>9421</v>
      </c>
      <c r="H2057" s="119" t="s">
        <v>128</v>
      </c>
      <c r="I2057" s="25" t="s">
        <v>128</v>
      </c>
      <c r="J2057" s="120" t="s">
        <v>3000</v>
      </c>
      <c r="K2057" s="123"/>
      <c r="L2057" s="123"/>
      <c r="M2057" s="123"/>
      <c r="N2057" s="123"/>
      <c r="O2057" s="27" t="str">
        <f t="shared" si="3"/>
        <v>#N/A</v>
      </c>
      <c r="P2057" s="55"/>
      <c r="Q2057" s="55"/>
      <c r="R2057" s="55"/>
      <c r="S2057" s="55"/>
      <c r="T2057" s="55"/>
      <c r="U2057" s="55"/>
      <c r="V2057" s="30">
        <f t="shared" si="425"/>
        <v>0</v>
      </c>
      <c r="W2057" s="30"/>
      <c r="X2057" s="403"/>
      <c r="Y2057" s="403"/>
      <c r="Z2057" s="692"/>
      <c r="AA2057" s="665"/>
      <c r="AB2057" s="123"/>
      <c r="AC2057" s="123"/>
      <c r="AD2057" s="452"/>
      <c r="AE2057" s="123"/>
      <c r="AF2057" s="453"/>
      <c r="AG2057" s="123"/>
      <c r="AH2057" s="123"/>
      <c r="AI2057" s="123"/>
      <c r="AJ2057" s="123"/>
      <c r="AK2057" s="123"/>
      <c r="AL2057" s="123"/>
      <c r="AM2057" s="123"/>
      <c r="AN2057" s="123"/>
      <c r="AO2057" s="123"/>
      <c r="AP2057" s="123"/>
      <c r="AQ2057" s="123"/>
      <c r="AR2057" s="123"/>
      <c r="AS2057" s="123"/>
      <c r="AT2057" s="123"/>
      <c r="AU2057" s="137"/>
      <c r="AV2057" s="123"/>
      <c r="AW2057" s="38"/>
      <c r="AX2057" s="123"/>
      <c r="AY2057" s="38"/>
      <c r="AZ2057" s="123"/>
      <c r="BA2057" s="137"/>
      <c r="BB2057" s="123"/>
      <c r="BC2057" s="137"/>
      <c r="BD2057" s="123"/>
      <c r="BE2057" s="38"/>
      <c r="BF2057" s="123"/>
    </row>
    <row r="2058">
      <c r="A2058" s="400" t="s">
        <v>9422</v>
      </c>
      <c r="B2058" s="115"/>
      <c r="C2058" s="115"/>
      <c r="D2058" s="449"/>
      <c r="E2058" s="449"/>
      <c r="F2058" s="402" t="s">
        <v>9423</v>
      </c>
      <c r="G2058" s="119" t="s">
        <v>9424</v>
      </c>
      <c r="H2058" s="119" t="s">
        <v>9387</v>
      </c>
      <c r="I2058" s="25" t="s">
        <v>826</v>
      </c>
      <c r="J2058" s="120" t="s">
        <v>1166</v>
      </c>
      <c r="K2058" s="123"/>
      <c r="L2058" s="123"/>
      <c r="M2058" s="123"/>
      <c r="N2058" s="123"/>
      <c r="O2058" s="27" t="str">
        <f t="shared" si="3"/>
        <v>#N/A</v>
      </c>
      <c r="P2058" s="55"/>
      <c r="Q2058" s="55"/>
      <c r="R2058" s="55"/>
      <c r="S2058" s="55"/>
      <c r="T2058" s="55"/>
      <c r="U2058" s="55"/>
      <c r="V2058" s="30">
        <f t="shared" si="425"/>
        <v>0</v>
      </c>
      <c r="W2058" s="30"/>
      <c r="X2058" s="403"/>
      <c r="Y2058" s="403"/>
      <c r="Z2058" s="692"/>
      <c r="AA2058" s="665"/>
      <c r="AB2058" s="123"/>
      <c r="AC2058" s="123"/>
      <c r="AD2058" s="452"/>
      <c r="AE2058" s="123"/>
      <c r="AF2058" s="453"/>
      <c r="AG2058" s="123"/>
      <c r="AH2058" s="123"/>
      <c r="AI2058" s="123"/>
      <c r="AJ2058" s="123"/>
      <c r="AK2058" s="123"/>
      <c r="AL2058" s="123"/>
      <c r="AM2058" s="123"/>
      <c r="AN2058" s="123"/>
      <c r="AO2058" s="123"/>
      <c r="AP2058" s="123"/>
      <c r="AQ2058" s="123"/>
      <c r="AR2058" s="123"/>
      <c r="AS2058" s="123"/>
      <c r="AT2058" s="123"/>
      <c r="AU2058" s="137"/>
      <c r="AV2058" s="123"/>
      <c r="AW2058" s="38"/>
      <c r="AX2058" s="123"/>
      <c r="AY2058" s="38"/>
      <c r="AZ2058" s="123"/>
      <c r="BA2058" s="137"/>
      <c r="BB2058" s="123"/>
      <c r="BC2058" s="137"/>
      <c r="BD2058" s="123"/>
      <c r="BE2058" s="38"/>
      <c r="BF2058" s="123"/>
    </row>
    <row r="2059">
      <c r="A2059" s="400" t="s">
        <v>9425</v>
      </c>
      <c r="B2059" s="115"/>
      <c r="C2059" s="115"/>
      <c r="D2059" s="449"/>
      <c r="E2059" s="449"/>
      <c r="F2059" s="402" t="s">
        <v>9426</v>
      </c>
      <c r="G2059" s="119" t="s">
        <v>9427</v>
      </c>
      <c r="H2059" s="119" t="s">
        <v>450</v>
      </c>
      <c r="I2059" s="25" t="s">
        <v>450</v>
      </c>
      <c r="J2059" s="120" t="s">
        <v>9428</v>
      </c>
      <c r="K2059" s="123"/>
      <c r="L2059" s="123"/>
      <c r="M2059" s="123"/>
      <c r="N2059" s="123"/>
      <c r="O2059" s="27" t="str">
        <f t="shared" si="3"/>
        <v>#N/A</v>
      </c>
      <c r="P2059" s="55"/>
      <c r="Q2059" s="55"/>
      <c r="R2059" s="55"/>
      <c r="S2059" s="55"/>
      <c r="T2059" s="55"/>
      <c r="U2059" s="55"/>
      <c r="V2059" s="30">
        <f t="shared" si="425"/>
        <v>0</v>
      </c>
      <c r="W2059" s="30"/>
      <c r="X2059" s="403"/>
      <c r="Y2059" s="403"/>
      <c r="Z2059" s="692"/>
      <c r="AA2059" s="665"/>
      <c r="AB2059" s="123"/>
      <c r="AC2059" s="123"/>
      <c r="AD2059" s="452"/>
      <c r="AE2059" s="123"/>
      <c r="AF2059" s="453"/>
      <c r="AG2059" s="123"/>
      <c r="AH2059" s="123"/>
      <c r="AI2059" s="123"/>
      <c r="AJ2059" s="123"/>
      <c r="AK2059" s="123"/>
      <c r="AL2059" s="123"/>
      <c r="AM2059" s="123"/>
      <c r="AN2059" s="123"/>
      <c r="AO2059" s="123"/>
      <c r="AP2059" s="123"/>
      <c r="AQ2059" s="123"/>
      <c r="AR2059" s="123"/>
      <c r="AS2059" s="123"/>
      <c r="AT2059" s="123"/>
      <c r="AU2059" s="137"/>
      <c r="AV2059" s="123"/>
      <c r="AW2059" s="38"/>
      <c r="AX2059" s="123"/>
      <c r="AY2059" s="38"/>
      <c r="AZ2059" s="123"/>
      <c r="BA2059" s="137"/>
      <c r="BB2059" s="123"/>
      <c r="BC2059" s="137"/>
      <c r="BD2059" s="123"/>
      <c r="BE2059" s="38"/>
      <c r="BF2059" s="123"/>
    </row>
    <row r="2060">
      <c r="A2060" s="400" t="s">
        <v>9429</v>
      </c>
      <c r="B2060" s="115"/>
      <c r="C2060" s="115"/>
      <c r="D2060" s="449"/>
      <c r="E2060" s="449"/>
      <c r="F2060" s="402" t="s">
        <v>9430</v>
      </c>
      <c r="G2060" s="119" t="s">
        <v>9431</v>
      </c>
      <c r="H2060" s="119" t="s">
        <v>328</v>
      </c>
      <c r="I2060" s="25" t="s">
        <v>2742</v>
      </c>
      <c r="J2060" s="120" t="s">
        <v>9432</v>
      </c>
      <c r="K2060" s="123"/>
      <c r="L2060" s="123"/>
      <c r="M2060" s="123"/>
      <c r="N2060" s="123"/>
      <c r="O2060" s="27" t="str">
        <f t="shared" si="3"/>
        <v>#N/A</v>
      </c>
      <c r="P2060" s="55"/>
      <c r="Q2060" s="55"/>
      <c r="R2060" s="55"/>
      <c r="S2060" s="55"/>
      <c r="T2060" s="55"/>
      <c r="U2060" s="55"/>
      <c r="V2060" s="30">
        <f t="shared" si="425"/>
        <v>0</v>
      </c>
      <c r="W2060" s="30"/>
      <c r="X2060" s="403"/>
      <c r="Y2060" s="403"/>
      <c r="Z2060" s="692"/>
      <c r="AA2060" s="665"/>
      <c r="AB2060" s="123"/>
      <c r="AC2060" s="123"/>
      <c r="AD2060" s="452"/>
      <c r="AE2060" s="123"/>
      <c r="AF2060" s="453"/>
      <c r="AG2060" s="123"/>
      <c r="AH2060" s="123"/>
      <c r="AI2060" s="123"/>
      <c r="AJ2060" s="123"/>
      <c r="AK2060" s="123"/>
      <c r="AL2060" s="123"/>
      <c r="AM2060" s="123"/>
      <c r="AN2060" s="123"/>
      <c r="AO2060" s="123"/>
      <c r="AP2060" s="123"/>
      <c r="AQ2060" s="123"/>
      <c r="AR2060" s="123"/>
      <c r="AS2060" s="123"/>
      <c r="AT2060" s="123"/>
      <c r="AU2060" s="137"/>
      <c r="AV2060" s="123"/>
      <c r="AW2060" s="38"/>
      <c r="AX2060" s="123"/>
      <c r="AY2060" s="38"/>
      <c r="AZ2060" s="123"/>
      <c r="BA2060" s="137"/>
      <c r="BB2060" s="123"/>
      <c r="BC2060" s="137"/>
      <c r="BD2060" s="123"/>
      <c r="BE2060" s="38"/>
      <c r="BF2060" s="123"/>
    </row>
    <row r="2061">
      <c r="A2061" s="400" t="s">
        <v>9433</v>
      </c>
      <c r="B2061" s="115"/>
      <c r="C2061" s="115"/>
      <c r="D2061" s="449"/>
      <c r="E2061" s="449"/>
      <c r="F2061" s="402" t="s">
        <v>9434</v>
      </c>
      <c r="G2061" s="119" t="s">
        <v>9435</v>
      </c>
      <c r="H2061" s="119" t="s">
        <v>128</v>
      </c>
      <c r="I2061" s="25" t="s">
        <v>128</v>
      </c>
      <c r="J2061" s="120" t="s">
        <v>3000</v>
      </c>
      <c r="K2061" s="123"/>
      <c r="L2061" s="123"/>
      <c r="M2061" s="123"/>
      <c r="N2061" s="123"/>
      <c r="O2061" s="27" t="str">
        <f t="shared" si="3"/>
        <v>#N/A</v>
      </c>
      <c r="P2061" s="55"/>
      <c r="Q2061" s="55"/>
      <c r="R2061" s="55"/>
      <c r="S2061" s="55"/>
      <c r="T2061" s="55"/>
      <c r="U2061" s="55"/>
      <c r="V2061" s="30">
        <f t="shared" si="425"/>
        <v>0</v>
      </c>
      <c r="W2061" s="30"/>
      <c r="X2061" s="403"/>
      <c r="Y2061" s="403"/>
      <c r="Z2061" s="692"/>
      <c r="AA2061" s="665"/>
      <c r="AB2061" s="123"/>
      <c r="AC2061" s="123"/>
      <c r="AD2061" s="452"/>
      <c r="AE2061" s="123"/>
      <c r="AF2061" s="453"/>
      <c r="AG2061" s="123"/>
      <c r="AH2061" s="123"/>
      <c r="AI2061" s="123"/>
      <c r="AJ2061" s="123"/>
      <c r="AK2061" s="123"/>
      <c r="AL2061" s="123"/>
      <c r="AM2061" s="123"/>
      <c r="AN2061" s="123"/>
      <c r="AO2061" s="123"/>
      <c r="AP2061" s="123"/>
      <c r="AQ2061" s="123"/>
      <c r="AR2061" s="123"/>
      <c r="AS2061" s="123"/>
      <c r="AT2061" s="123"/>
      <c r="AU2061" s="137"/>
      <c r="AV2061" s="123"/>
      <c r="AW2061" s="38"/>
      <c r="AX2061" s="123"/>
      <c r="AY2061" s="38"/>
      <c r="AZ2061" s="123"/>
      <c r="BA2061" s="137"/>
      <c r="BB2061" s="123"/>
      <c r="BC2061" s="137"/>
      <c r="BD2061" s="123"/>
      <c r="BE2061" s="38"/>
      <c r="BF2061" s="123"/>
    </row>
    <row r="2062">
      <c r="A2062" s="400" t="s">
        <v>9436</v>
      </c>
      <c r="B2062" s="115"/>
      <c r="C2062" s="115"/>
      <c r="D2062" s="449"/>
      <c r="E2062" s="449"/>
      <c r="F2062" s="402" t="s">
        <v>9437</v>
      </c>
      <c r="G2062" s="119" t="s">
        <v>9438</v>
      </c>
      <c r="H2062" s="119" t="s">
        <v>1788</v>
      </c>
      <c r="I2062" s="25" t="s">
        <v>2742</v>
      </c>
      <c r="J2062" s="120" t="s">
        <v>9439</v>
      </c>
      <c r="K2062" s="123"/>
      <c r="L2062" s="123"/>
      <c r="M2062" s="123"/>
      <c r="N2062" s="123"/>
      <c r="O2062" s="27" t="str">
        <f t="shared" si="3"/>
        <v>#N/A</v>
      </c>
      <c r="P2062" s="55"/>
      <c r="Q2062" s="55"/>
      <c r="R2062" s="55"/>
      <c r="S2062" s="55"/>
      <c r="T2062" s="55"/>
      <c r="U2062" s="55"/>
      <c r="V2062" s="30">
        <f t="shared" si="425"/>
        <v>0</v>
      </c>
      <c r="W2062" s="30"/>
      <c r="X2062" s="403"/>
      <c r="Y2062" s="403"/>
      <c r="Z2062" s="692"/>
      <c r="AA2062" s="665"/>
      <c r="AB2062" s="123"/>
      <c r="AC2062" s="123"/>
      <c r="AD2062" s="452"/>
      <c r="AE2062" s="123"/>
      <c r="AF2062" s="453"/>
      <c r="AG2062" s="123"/>
      <c r="AH2062" s="123"/>
      <c r="AI2062" s="123"/>
      <c r="AJ2062" s="123"/>
      <c r="AK2062" s="123"/>
      <c r="AL2062" s="123"/>
      <c r="AM2062" s="123"/>
      <c r="AN2062" s="123"/>
      <c r="AO2062" s="123"/>
      <c r="AP2062" s="123"/>
      <c r="AQ2062" s="123"/>
      <c r="AR2062" s="123"/>
      <c r="AS2062" s="123"/>
      <c r="AT2062" s="123"/>
      <c r="AU2062" s="137"/>
      <c r="AV2062" s="123"/>
      <c r="AW2062" s="38"/>
      <c r="AX2062" s="123"/>
      <c r="AY2062" s="38"/>
      <c r="AZ2062" s="123"/>
      <c r="BA2062" s="137"/>
      <c r="BB2062" s="123"/>
      <c r="BC2062" s="137"/>
      <c r="BD2062" s="123"/>
      <c r="BE2062" s="38"/>
      <c r="BF2062" s="123"/>
    </row>
    <row r="2063">
      <c r="A2063" s="400" t="s">
        <v>9440</v>
      </c>
      <c r="B2063" s="115"/>
      <c r="C2063" s="115"/>
      <c r="D2063" s="449"/>
      <c r="E2063" s="449"/>
      <c r="F2063" s="402" t="s">
        <v>9441</v>
      </c>
      <c r="G2063" s="119" t="s">
        <v>9442</v>
      </c>
      <c r="H2063" s="119" t="s">
        <v>128</v>
      </c>
      <c r="I2063" s="25" t="s">
        <v>128</v>
      </c>
      <c r="J2063" s="120" t="s">
        <v>798</v>
      </c>
      <c r="K2063" s="123"/>
      <c r="L2063" s="123"/>
      <c r="M2063" s="123"/>
      <c r="N2063" s="123"/>
      <c r="O2063" s="27" t="str">
        <f t="shared" si="3"/>
        <v>#N/A</v>
      </c>
      <c r="P2063" s="55"/>
      <c r="Q2063" s="55"/>
      <c r="R2063" s="55"/>
      <c r="S2063" s="55"/>
      <c r="T2063" s="55"/>
      <c r="U2063" s="55"/>
      <c r="V2063" s="30">
        <f t="shared" si="425"/>
        <v>0</v>
      </c>
      <c r="W2063" s="30"/>
      <c r="X2063" s="403"/>
      <c r="Y2063" s="403"/>
      <c r="Z2063" s="692"/>
      <c r="AA2063" s="665"/>
      <c r="AB2063" s="123"/>
      <c r="AC2063" s="123"/>
      <c r="AD2063" s="452"/>
      <c r="AE2063" s="123"/>
      <c r="AF2063" s="453"/>
      <c r="AG2063" s="123"/>
      <c r="AH2063" s="123"/>
      <c r="AI2063" s="123"/>
      <c r="AJ2063" s="123"/>
      <c r="AK2063" s="123"/>
      <c r="AL2063" s="123"/>
      <c r="AM2063" s="123"/>
      <c r="AN2063" s="123"/>
      <c r="AO2063" s="123"/>
      <c r="AP2063" s="123"/>
      <c r="AQ2063" s="123"/>
      <c r="AR2063" s="123"/>
      <c r="AS2063" s="123"/>
      <c r="AT2063" s="123"/>
      <c r="AU2063" s="137"/>
      <c r="AV2063" s="123"/>
      <c r="AW2063" s="38"/>
      <c r="AX2063" s="123"/>
      <c r="AY2063" s="38"/>
      <c r="AZ2063" s="123"/>
      <c r="BA2063" s="137"/>
      <c r="BB2063" s="123"/>
      <c r="BC2063" s="137"/>
      <c r="BD2063" s="123"/>
      <c r="BE2063" s="38"/>
      <c r="BF2063" s="123"/>
    </row>
    <row r="2064">
      <c r="A2064" s="400" t="s">
        <v>9443</v>
      </c>
      <c r="B2064" s="115"/>
      <c r="C2064" s="115"/>
      <c r="D2064" s="449"/>
      <c r="E2064" s="449"/>
      <c r="F2064" s="402" t="s">
        <v>9444</v>
      </c>
      <c r="G2064" s="119" t="s">
        <v>9445</v>
      </c>
      <c r="H2064" s="119" t="s">
        <v>128</v>
      </c>
      <c r="I2064" s="25" t="s">
        <v>128</v>
      </c>
      <c r="J2064" s="120" t="s">
        <v>9446</v>
      </c>
      <c r="K2064" s="123"/>
      <c r="L2064" s="123"/>
      <c r="M2064" s="123"/>
      <c r="N2064" s="123"/>
      <c r="O2064" s="27" t="str">
        <f t="shared" si="3"/>
        <v>#N/A</v>
      </c>
      <c r="P2064" s="55"/>
      <c r="Q2064" s="55"/>
      <c r="R2064" s="55"/>
      <c r="S2064" s="55"/>
      <c r="T2064" s="55"/>
      <c r="U2064" s="55"/>
      <c r="V2064" s="30">
        <f t="shared" si="425"/>
        <v>0</v>
      </c>
      <c r="W2064" s="30"/>
      <c r="X2064" s="403"/>
      <c r="Y2064" s="403"/>
      <c r="Z2064" s="692"/>
      <c r="AA2064" s="665"/>
      <c r="AB2064" s="123"/>
      <c r="AC2064" s="123"/>
      <c r="AD2064" s="452"/>
      <c r="AE2064" s="123"/>
      <c r="AF2064" s="453"/>
      <c r="AG2064" s="123"/>
      <c r="AH2064" s="123"/>
      <c r="AI2064" s="123"/>
      <c r="AJ2064" s="123"/>
      <c r="AK2064" s="123"/>
      <c r="AL2064" s="123"/>
      <c r="AM2064" s="123"/>
      <c r="AN2064" s="123"/>
      <c r="AO2064" s="123"/>
      <c r="AP2064" s="123"/>
      <c r="AQ2064" s="123"/>
      <c r="AR2064" s="123"/>
      <c r="AS2064" s="123"/>
      <c r="AT2064" s="123"/>
      <c r="AU2064" s="137"/>
      <c r="AV2064" s="123"/>
      <c r="AW2064" s="38"/>
      <c r="AX2064" s="123"/>
      <c r="AY2064" s="38"/>
      <c r="AZ2064" s="123"/>
      <c r="BA2064" s="137"/>
      <c r="BB2064" s="123"/>
      <c r="BC2064" s="137"/>
      <c r="BD2064" s="123"/>
      <c r="BE2064" s="38"/>
      <c r="BF2064" s="123"/>
    </row>
    <row r="2065">
      <c r="A2065" s="400" t="s">
        <v>9447</v>
      </c>
      <c r="B2065" s="115"/>
      <c r="C2065" s="115"/>
      <c r="D2065" s="449"/>
      <c r="E2065" s="449"/>
      <c r="F2065" s="402" t="s">
        <v>9448</v>
      </c>
      <c r="G2065" s="119" t="s">
        <v>9449</v>
      </c>
      <c r="H2065" s="119" t="s">
        <v>328</v>
      </c>
      <c r="I2065" s="25" t="s">
        <v>2742</v>
      </c>
      <c r="J2065" s="120" t="s">
        <v>9450</v>
      </c>
      <c r="K2065" s="123"/>
      <c r="L2065" s="123"/>
      <c r="M2065" s="123"/>
      <c r="N2065" s="123"/>
      <c r="O2065" s="27" t="str">
        <f t="shared" si="3"/>
        <v>#N/A</v>
      </c>
      <c r="P2065" s="55"/>
      <c r="Q2065" s="55"/>
      <c r="R2065" s="55"/>
      <c r="S2065" s="55"/>
      <c r="T2065" s="55"/>
      <c r="U2065" s="55"/>
      <c r="V2065" s="30">
        <f t="shared" si="425"/>
        <v>0</v>
      </c>
      <c r="W2065" s="30"/>
      <c r="X2065" s="403"/>
      <c r="Y2065" s="403"/>
      <c r="Z2065" s="692"/>
      <c r="AA2065" s="665"/>
      <c r="AB2065" s="123"/>
      <c r="AC2065" s="123"/>
      <c r="AD2065" s="452"/>
      <c r="AE2065" s="123"/>
      <c r="AF2065" s="453"/>
      <c r="AG2065" s="123"/>
      <c r="AH2065" s="123"/>
      <c r="AI2065" s="123"/>
      <c r="AJ2065" s="123"/>
      <c r="AK2065" s="123"/>
      <c r="AL2065" s="123"/>
      <c r="AM2065" s="123"/>
      <c r="AN2065" s="123"/>
      <c r="AO2065" s="123"/>
      <c r="AP2065" s="123"/>
      <c r="AQ2065" s="123"/>
      <c r="AR2065" s="123"/>
      <c r="AS2065" s="123"/>
      <c r="AT2065" s="123"/>
      <c r="AU2065" s="137"/>
      <c r="AV2065" s="123"/>
      <c r="AW2065" s="38"/>
      <c r="AX2065" s="123"/>
      <c r="AY2065" s="38"/>
      <c r="AZ2065" s="123"/>
      <c r="BA2065" s="137"/>
      <c r="BB2065" s="123"/>
      <c r="BC2065" s="137"/>
      <c r="BD2065" s="123"/>
      <c r="BE2065" s="38"/>
      <c r="BF2065" s="123"/>
    </row>
    <row r="2066">
      <c r="A2066" s="1358" t="s">
        <v>9451</v>
      </c>
      <c r="B2066" s="115"/>
      <c r="C2066" s="115"/>
      <c r="D2066" s="449"/>
      <c r="E2066" s="449"/>
      <c r="F2066" s="402" t="s">
        <v>9452</v>
      </c>
      <c r="G2066" s="119" t="s">
        <v>9453</v>
      </c>
      <c r="H2066" s="286"/>
      <c r="I2066" s="25" t="s">
        <v>65</v>
      </c>
      <c r="J2066" s="120" t="s">
        <v>9454</v>
      </c>
      <c r="K2066" s="25"/>
      <c r="L2066" s="123"/>
      <c r="M2066" s="123"/>
      <c r="N2066" s="123"/>
      <c r="O2066" s="27" t="str">
        <f t="shared" si="3"/>
        <v>#N/A</v>
      </c>
      <c r="P2066" s="55"/>
      <c r="Q2066" s="55"/>
      <c r="R2066" s="55"/>
      <c r="S2066" s="55"/>
      <c r="T2066" s="55"/>
      <c r="U2066" s="55"/>
      <c r="V2066" s="30">
        <f t="shared" si="425"/>
        <v>0</v>
      </c>
      <c r="W2066" s="30"/>
      <c r="X2066" s="403"/>
      <c r="Y2066" s="403"/>
      <c r="Z2066" s="692"/>
      <c r="AA2066" s="665"/>
      <c r="AB2066" s="123"/>
      <c r="AC2066" s="123"/>
      <c r="AD2066" s="452"/>
      <c r="AE2066" s="123"/>
      <c r="AF2066" s="453"/>
      <c r="AG2066" s="123"/>
      <c r="AH2066" s="123"/>
      <c r="AI2066" s="123"/>
      <c r="AJ2066" s="123"/>
      <c r="AK2066" s="123"/>
      <c r="AL2066" s="123"/>
      <c r="AM2066" s="123"/>
      <c r="AN2066" s="123"/>
      <c r="AO2066" s="123"/>
      <c r="AP2066" s="123"/>
      <c r="AQ2066" s="123"/>
      <c r="AR2066" s="123"/>
      <c r="AS2066" s="123"/>
      <c r="AT2066" s="123"/>
      <c r="AU2066" s="137"/>
      <c r="AV2066" s="123"/>
      <c r="AW2066" s="38"/>
      <c r="AX2066" s="123"/>
      <c r="AY2066" s="38"/>
      <c r="AZ2066" s="123"/>
      <c r="BA2066" s="137"/>
      <c r="BB2066" s="123"/>
      <c r="BC2066" s="137"/>
      <c r="BD2066" s="123"/>
      <c r="BE2066" s="38"/>
      <c r="BF2066" s="123"/>
    </row>
    <row r="2067">
      <c r="A2067" s="400" t="s">
        <v>9455</v>
      </c>
      <c r="B2067" s="115"/>
      <c r="C2067" s="115"/>
      <c r="D2067" s="449"/>
      <c r="E2067" s="449"/>
      <c r="F2067" s="402" t="s">
        <v>9456</v>
      </c>
      <c r="G2067" s="119" t="s">
        <v>9457</v>
      </c>
      <c r="H2067" s="286"/>
      <c r="I2067" s="25" t="s">
        <v>129</v>
      </c>
      <c r="J2067" s="120" t="s">
        <v>798</v>
      </c>
      <c r="K2067" s="25"/>
      <c r="L2067" s="123"/>
      <c r="M2067" s="123"/>
      <c r="N2067" s="123"/>
      <c r="O2067" s="27" t="str">
        <f t="shared" si="3"/>
        <v>#N/A</v>
      </c>
      <c r="P2067" s="55"/>
      <c r="Q2067" s="55"/>
      <c r="R2067" s="55"/>
      <c r="S2067" s="55"/>
      <c r="T2067" s="55"/>
      <c r="U2067" s="55"/>
      <c r="V2067" s="30">
        <f t="shared" si="425"/>
        <v>0</v>
      </c>
      <c r="W2067" s="30"/>
      <c r="X2067" s="403"/>
      <c r="Y2067" s="403"/>
      <c r="Z2067" s="692"/>
      <c r="AA2067" s="665"/>
      <c r="AB2067" s="123"/>
      <c r="AC2067" s="123"/>
      <c r="AD2067" s="452"/>
      <c r="AE2067" s="123"/>
      <c r="AF2067" s="453"/>
      <c r="AG2067" s="123"/>
      <c r="AH2067" s="123"/>
      <c r="AI2067" s="123"/>
      <c r="AJ2067" s="123"/>
      <c r="AK2067" s="123"/>
      <c r="AL2067" s="123"/>
      <c r="AM2067" s="123"/>
      <c r="AN2067" s="123"/>
      <c r="AO2067" s="123"/>
      <c r="AP2067" s="123"/>
      <c r="AQ2067" s="123"/>
      <c r="AR2067" s="123"/>
      <c r="AS2067" s="123"/>
      <c r="AT2067" s="123"/>
      <c r="AU2067" s="137"/>
      <c r="AV2067" s="123"/>
      <c r="AW2067" s="38"/>
      <c r="AX2067" s="123"/>
      <c r="AY2067" s="38"/>
      <c r="AZ2067" s="123"/>
      <c r="BA2067" s="137"/>
      <c r="BB2067" s="123"/>
      <c r="BC2067" s="137"/>
      <c r="BD2067" s="123"/>
      <c r="BE2067" s="38"/>
      <c r="BF2067" s="123"/>
    </row>
    <row r="2068">
      <c r="A2068" s="400" t="s">
        <v>9458</v>
      </c>
      <c r="B2068" s="115"/>
      <c r="C2068" s="115"/>
      <c r="D2068" s="449"/>
      <c r="E2068" s="449"/>
      <c r="F2068" s="402" t="s">
        <v>9459</v>
      </c>
      <c r="G2068" s="119" t="s">
        <v>9460</v>
      </c>
      <c r="H2068" s="286"/>
      <c r="I2068" s="25" t="s">
        <v>9461</v>
      </c>
      <c r="J2068" s="120" t="s">
        <v>4554</v>
      </c>
      <c r="K2068" s="25"/>
      <c r="L2068" s="123"/>
      <c r="M2068" s="123"/>
      <c r="N2068" s="123"/>
      <c r="O2068" s="27" t="str">
        <f t="shared" si="3"/>
        <v>#N/A</v>
      </c>
      <c r="P2068" s="55"/>
      <c r="Q2068" s="55"/>
      <c r="R2068" s="55"/>
      <c r="S2068" s="55"/>
      <c r="T2068" s="55"/>
      <c r="U2068" s="55"/>
      <c r="V2068" s="30">
        <f t="shared" si="425"/>
        <v>0</v>
      </c>
      <c r="W2068" s="30"/>
      <c r="X2068" s="403"/>
      <c r="Y2068" s="403"/>
      <c r="Z2068" s="692"/>
      <c r="AA2068" s="665"/>
      <c r="AB2068" s="123"/>
      <c r="AC2068" s="123"/>
      <c r="AD2068" s="452"/>
      <c r="AE2068" s="123"/>
      <c r="AF2068" s="453"/>
      <c r="AG2068" s="123"/>
      <c r="AH2068" s="123"/>
      <c r="AI2068" s="123"/>
      <c r="AJ2068" s="123"/>
      <c r="AK2068" s="123"/>
      <c r="AL2068" s="123"/>
      <c r="AM2068" s="123"/>
      <c r="AN2068" s="123"/>
      <c r="AO2068" s="123"/>
      <c r="AP2068" s="123"/>
      <c r="AQ2068" s="123"/>
      <c r="AR2068" s="123"/>
      <c r="AS2068" s="123"/>
      <c r="AT2068" s="123"/>
      <c r="AU2068" s="137"/>
      <c r="AV2068" s="123"/>
      <c r="AW2068" s="38"/>
      <c r="AX2068" s="123"/>
      <c r="AY2068" s="38"/>
      <c r="AZ2068" s="123"/>
      <c r="BA2068" s="137"/>
      <c r="BB2068" s="123"/>
      <c r="BC2068" s="137"/>
      <c r="BD2068" s="123"/>
      <c r="BE2068" s="38"/>
      <c r="BF2068" s="123"/>
    </row>
    <row r="2069">
      <c r="A2069" s="400" t="s">
        <v>9462</v>
      </c>
      <c r="B2069" s="115"/>
      <c r="C2069" s="115"/>
      <c r="D2069" s="449"/>
      <c r="E2069" s="449"/>
      <c r="F2069" s="402" t="s">
        <v>9463</v>
      </c>
      <c r="G2069" s="119" t="s">
        <v>9464</v>
      </c>
      <c r="H2069" s="286"/>
      <c r="I2069" s="25" t="s">
        <v>358</v>
      </c>
      <c r="J2069" s="120" t="s">
        <v>9465</v>
      </c>
      <c r="K2069" s="25"/>
      <c r="L2069" s="123"/>
      <c r="M2069" s="123"/>
      <c r="N2069" s="123"/>
      <c r="O2069" s="27" t="str">
        <f t="shared" si="3"/>
        <v>#N/A</v>
      </c>
      <c r="P2069" s="55"/>
      <c r="Q2069" s="55"/>
      <c r="R2069" s="55"/>
      <c r="S2069" s="55"/>
      <c r="T2069" s="55"/>
      <c r="U2069" s="55"/>
      <c r="V2069" s="30">
        <f t="shared" si="425"/>
        <v>0</v>
      </c>
      <c r="W2069" s="30"/>
      <c r="X2069" s="403"/>
      <c r="Y2069" s="403"/>
      <c r="Z2069" s="692"/>
      <c r="AA2069" s="665"/>
      <c r="AB2069" s="123"/>
      <c r="AC2069" s="123"/>
      <c r="AD2069" s="452"/>
      <c r="AE2069" s="123"/>
      <c r="AF2069" s="453"/>
      <c r="AG2069" s="123"/>
      <c r="AH2069" s="123"/>
      <c r="AI2069" s="123"/>
      <c r="AJ2069" s="123"/>
      <c r="AK2069" s="123"/>
      <c r="AL2069" s="123"/>
      <c r="AM2069" s="123"/>
      <c r="AN2069" s="123"/>
      <c r="AO2069" s="123"/>
      <c r="AP2069" s="123"/>
      <c r="AQ2069" s="123"/>
      <c r="AR2069" s="123"/>
      <c r="AS2069" s="123"/>
      <c r="AT2069" s="123"/>
      <c r="AU2069" s="137"/>
      <c r="AV2069" s="123"/>
      <c r="AW2069" s="38"/>
      <c r="AX2069" s="123"/>
      <c r="AY2069" s="38"/>
      <c r="AZ2069" s="123"/>
      <c r="BA2069" s="137"/>
      <c r="BB2069" s="123"/>
      <c r="BC2069" s="137"/>
      <c r="BD2069" s="123"/>
      <c r="BE2069" s="38"/>
      <c r="BF2069" s="123"/>
    </row>
    <row r="2070">
      <c r="A2070" s="400" t="s">
        <v>9466</v>
      </c>
      <c r="B2070" s="115"/>
      <c r="C2070" s="115"/>
      <c r="D2070" s="449"/>
      <c r="E2070" s="449"/>
      <c r="F2070" s="402" t="s">
        <v>9467</v>
      </c>
      <c r="G2070" s="119" t="s">
        <v>9468</v>
      </c>
      <c r="H2070" s="286"/>
      <c r="I2070" s="25" t="s">
        <v>129</v>
      </c>
      <c r="J2070" s="120" t="s">
        <v>9469</v>
      </c>
      <c r="K2070" s="25"/>
      <c r="L2070" s="123"/>
      <c r="M2070" s="123"/>
      <c r="N2070" s="123"/>
      <c r="O2070" s="27" t="str">
        <f t="shared" si="3"/>
        <v>#N/A</v>
      </c>
      <c r="P2070" s="55"/>
      <c r="Q2070" s="55"/>
      <c r="R2070" s="55"/>
      <c r="S2070" s="55"/>
      <c r="T2070" s="55"/>
      <c r="U2070" s="55"/>
      <c r="V2070" s="30">
        <f t="shared" si="425"/>
        <v>0</v>
      </c>
      <c r="W2070" s="30"/>
      <c r="X2070" s="403"/>
      <c r="Y2070" s="403"/>
      <c r="Z2070" s="692"/>
      <c r="AA2070" s="665"/>
      <c r="AB2070" s="123"/>
      <c r="AC2070" s="123"/>
      <c r="AD2070" s="452"/>
      <c r="AE2070" s="123"/>
      <c r="AF2070" s="453"/>
      <c r="AG2070" s="123"/>
      <c r="AH2070" s="123"/>
      <c r="AI2070" s="123"/>
      <c r="AJ2070" s="123"/>
      <c r="AK2070" s="123"/>
      <c r="AL2070" s="123"/>
      <c r="AM2070" s="123"/>
      <c r="AN2070" s="123"/>
      <c r="AO2070" s="123"/>
      <c r="AP2070" s="123"/>
      <c r="AQ2070" s="123"/>
      <c r="AR2070" s="123"/>
      <c r="AS2070" s="123"/>
      <c r="AT2070" s="123"/>
      <c r="AU2070" s="137"/>
      <c r="AV2070" s="123"/>
      <c r="AW2070" s="38"/>
      <c r="AX2070" s="123"/>
      <c r="AY2070" s="38"/>
      <c r="AZ2070" s="123"/>
      <c r="BA2070" s="137"/>
      <c r="BB2070" s="123"/>
      <c r="BC2070" s="137"/>
      <c r="BD2070" s="123"/>
      <c r="BE2070" s="38"/>
      <c r="BF2070" s="123"/>
    </row>
    <row r="2071">
      <c r="A2071" s="400" t="s">
        <v>9470</v>
      </c>
      <c r="B2071" s="115"/>
      <c r="C2071" s="115"/>
      <c r="D2071" s="449"/>
      <c r="E2071" s="449"/>
      <c r="F2071" s="402" t="s">
        <v>9471</v>
      </c>
      <c r="G2071" s="119" t="s">
        <v>9472</v>
      </c>
      <c r="H2071" s="286"/>
      <c r="I2071" s="25" t="s">
        <v>65</v>
      </c>
      <c r="J2071" s="120" t="s">
        <v>9473</v>
      </c>
      <c r="K2071" s="25"/>
      <c r="L2071" s="123"/>
      <c r="M2071" s="123"/>
      <c r="N2071" s="123"/>
      <c r="O2071" s="27" t="str">
        <f t="shared" si="3"/>
        <v>#N/A</v>
      </c>
      <c r="P2071" s="55"/>
      <c r="Q2071" s="55"/>
      <c r="R2071" s="55"/>
      <c r="S2071" s="55"/>
      <c r="T2071" s="55"/>
      <c r="U2071" s="55"/>
      <c r="V2071" s="30">
        <f t="shared" si="425"/>
        <v>0</v>
      </c>
      <c r="W2071" s="30"/>
      <c r="X2071" s="403"/>
      <c r="Y2071" s="403"/>
      <c r="Z2071" s="692"/>
      <c r="AA2071" s="665"/>
      <c r="AB2071" s="123"/>
      <c r="AC2071" s="123"/>
      <c r="AD2071" s="452"/>
      <c r="AE2071" s="123"/>
      <c r="AF2071" s="453"/>
      <c r="AG2071" s="123"/>
      <c r="AH2071" s="123"/>
      <c r="AI2071" s="123"/>
      <c r="AJ2071" s="123"/>
      <c r="AK2071" s="123"/>
      <c r="AL2071" s="123"/>
      <c r="AM2071" s="123"/>
      <c r="AN2071" s="123"/>
      <c r="AO2071" s="123"/>
      <c r="AP2071" s="123"/>
      <c r="AQ2071" s="123"/>
      <c r="AR2071" s="123"/>
      <c r="AS2071" s="123"/>
      <c r="AT2071" s="123"/>
      <c r="AU2071" s="137"/>
      <c r="AV2071" s="123"/>
      <c r="AW2071" s="38"/>
      <c r="AX2071" s="123"/>
      <c r="AY2071" s="38"/>
      <c r="AZ2071" s="123"/>
      <c r="BA2071" s="137"/>
      <c r="BB2071" s="123"/>
      <c r="BC2071" s="137"/>
      <c r="BD2071" s="123"/>
      <c r="BE2071" s="38"/>
      <c r="BF2071" s="123"/>
    </row>
    <row r="2072">
      <c r="A2072" s="400" t="s">
        <v>9474</v>
      </c>
      <c r="B2072" s="115"/>
      <c r="C2072" s="115"/>
      <c r="D2072" s="449"/>
      <c r="E2072" s="449"/>
      <c r="F2072" s="402" t="s">
        <v>9475</v>
      </c>
      <c r="G2072" s="119" t="s">
        <v>9476</v>
      </c>
      <c r="H2072" s="286"/>
      <c r="I2072" s="25">
        <v>0.0</v>
      </c>
      <c r="J2072" s="120" t="s">
        <v>4554</v>
      </c>
      <c r="K2072" s="25"/>
      <c r="L2072" s="123"/>
      <c r="M2072" s="123"/>
      <c r="N2072" s="123"/>
      <c r="O2072" s="27" t="str">
        <f t="shared" si="3"/>
        <v>#N/A</v>
      </c>
      <c r="P2072" s="55"/>
      <c r="Q2072" s="55"/>
      <c r="R2072" s="55"/>
      <c r="S2072" s="55"/>
      <c r="T2072" s="55"/>
      <c r="U2072" s="55"/>
      <c r="V2072" s="30">
        <f t="shared" si="425"/>
        <v>0</v>
      </c>
      <c r="W2072" s="30"/>
      <c r="X2072" s="403"/>
      <c r="Y2072" s="403"/>
      <c r="Z2072" s="692"/>
      <c r="AA2072" s="665"/>
      <c r="AB2072" s="123"/>
      <c r="AC2072" s="123"/>
      <c r="AD2072" s="452"/>
      <c r="AE2072" s="123"/>
      <c r="AF2072" s="453"/>
      <c r="AG2072" s="123"/>
      <c r="AH2072" s="123"/>
      <c r="AI2072" s="123"/>
      <c r="AJ2072" s="123"/>
      <c r="AK2072" s="123"/>
      <c r="AL2072" s="123"/>
      <c r="AM2072" s="123"/>
      <c r="AN2072" s="123"/>
      <c r="AO2072" s="123"/>
      <c r="AP2072" s="123"/>
      <c r="AQ2072" s="123"/>
      <c r="AR2072" s="123"/>
      <c r="AS2072" s="123"/>
      <c r="AT2072" s="123"/>
      <c r="AU2072" s="137"/>
      <c r="AV2072" s="123"/>
      <c r="AW2072" s="38"/>
      <c r="AX2072" s="123"/>
      <c r="AY2072" s="38"/>
      <c r="AZ2072" s="123"/>
      <c r="BA2072" s="137"/>
      <c r="BB2072" s="123"/>
      <c r="BC2072" s="137"/>
      <c r="BD2072" s="123"/>
      <c r="BE2072" s="38"/>
      <c r="BF2072" s="123"/>
    </row>
    <row r="2073">
      <c r="A2073" s="400" t="s">
        <v>9477</v>
      </c>
      <c r="B2073" s="115"/>
      <c r="C2073" s="115"/>
      <c r="D2073" s="449"/>
      <c r="E2073" s="449"/>
      <c r="F2073" s="402" t="s">
        <v>9478</v>
      </c>
      <c r="G2073" s="119" t="s">
        <v>9479</v>
      </c>
      <c r="H2073" s="286"/>
      <c r="I2073" s="25" t="s">
        <v>115</v>
      </c>
      <c r="J2073" s="120" t="s">
        <v>9480</v>
      </c>
      <c r="K2073" s="25"/>
      <c r="L2073" s="123"/>
      <c r="M2073" s="123"/>
      <c r="N2073" s="123"/>
      <c r="O2073" s="27" t="str">
        <f t="shared" si="3"/>
        <v>#N/A</v>
      </c>
      <c r="P2073" s="55"/>
      <c r="Q2073" s="55"/>
      <c r="R2073" s="55"/>
      <c r="S2073" s="55"/>
      <c r="T2073" s="55"/>
      <c r="U2073" s="55"/>
      <c r="V2073" s="30">
        <f t="shared" si="425"/>
        <v>0</v>
      </c>
      <c r="W2073" s="30"/>
      <c r="X2073" s="403"/>
      <c r="Y2073" s="403"/>
      <c r="Z2073" s="692"/>
      <c r="AA2073" s="665"/>
      <c r="AB2073" s="123"/>
      <c r="AC2073" s="123"/>
      <c r="AD2073" s="452"/>
      <c r="AE2073" s="123"/>
      <c r="AF2073" s="453"/>
      <c r="AG2073" s="123"/>
      <c r="AH2073" s="123"/>
      <c r="AI2073" s="123"/>
      <c r="AJ2073" s="123"/>
      <c r="AK2073" s="123"/>
      <c r="AL2073" s="123"/>
      <c r="AM2073" s="123"/>
      <c r="AN2073" s="123"/>
      <c r="AO2073" s="123"/>
      <c r="AP2073" s="123"/>
      <c r="AQ2073" s="123"/>
      <c r="AR2073" s="123"/>
      <c r="AS2073" s="123"/>
      <c r="AT2073" s="123"/>
      <c r="AU2073" s="137"/>
      <c r="AV2073" s="123"/>
      <c r="AW2073" s="38"/>
      <c r="AX2073" s="123"/>
      <c r="AY2073" s="38"/>
      <c r="AZ2073" s="123"/>
      <c r="BA2073" s="137"/>
      <c r="BB2073" s="123"/>
      <c r="BC2073" s="137"/>
      <c r="BD2073" s="123"/>
      <c r="BE2073" s="38"/>
      <c r="BF2073" s="123"/>
    </row>
    <row r="2074">
      <c r="A2074" s="400" t="s">
        <v>9481</v>
      </c>
      <c r="B2074" s="115"/>
      <c r="C2074" s="115"/>
      <c r="D2074" s="449"/>
      <c r="E2074" s="449"/>
      <c r="F2074" s="402" t="s">
        <v>9482</v>
      </c>
      <c r="G2074" s="119" t="s">
        <v>9483</v>
      </c>
      <c r="H2074" s="286"/>
      <c r="I2074" s="25" t="s">
        <v>65</v>
      </c>
      <c r="J2074" s="120" t="s">
        <v>5324</v>
      </c>
      <c r="K2074" s="25"/>
      <c r="L2074" s="123"/>
      <c r="M2074" s="123"/>
      <c r="N2074" s="123"/>
      <c r="O2074" s="27" t="str">
        <f t="shared" si="3"/>
        <v>#N/A</v>
      </c>
      <c r="P2074" s="55"/>
      <c r="Q2074" s="55"/>
      <c r="R2074" s="55"/>
      <c r="S2074" s="55"/>
      <c r="T2074" s="55"/>
      <c r="U2074" s="55"/>
      <c r="V2074" s="30">
        <f t="shared" si="425"/>
        <v>0</v>
      </c>
      <c r="W2074" s="30"/>
      <c r="X2074" s="403"/>
      <c r="Y2074" s="403"/>
      <c r="Z2074" s="692"/>
      <c r="AA2074" s="665"/>
      <c r="AB2074" s="123"/>
      <c r="AC2074" s="123"/>
      <c r="AD2074" s="452"/>
      <c r="AE2074" s="123"/>
      <c r="AF2074" s="453"/>
      <c r="AG2074" s="123"/>
      <c r="AH2074" s="123"/>
      <c r="AI2074" s="123"/>
      <c r="AJ2074" s="123"/>
      <c r="AK2074" s="123"/>
      <c r="AL2074" s="123"/>
      <c r="AM2074" s="123"/>
      <c r="AN2074" s="123"/>
      <c r="AO2074" s="123"/>
      <c r="AP2074" s="123"/>
      <c r="AQ2074" s="123"/>
      <c r="AR2074" s="123"/>
      <c r="AS2074" s="123"/>
      <c r="AT2074" s="123"/>
      <c r="AU2074" s="137"/>
      <c r="AV2074" s="123"/>
      <c r="AW2074" s="38"/>
      <c r="AX2074" s="123"/>
      <c r="AY2074" s="38"/>
      <c r="AZ2074" s="123"/>
      <c r="BA2074" s="137"/>
      <c r="BB2074" s="123"/>
      <c r="BC2074" s="137"/>
      <c r="BD2074" s="123"/>
      <c r="BE2074" s="38"/>
      <c r="BF2074" s="123"/>
    </row>
    <row r="2075">
      <c r="A2075" s="400" t="s">
        <v>9484</v>
      </c>
      <c r="B2075" s="115"/>
      <c r="C2075" s="115"/>
      <c r="D2075" s="449"/>
      <c r="E2075" s="449"/>
      <c r="F2075" s="402" t="s">
        <v>9485</v>
      </c>
      <c r="G2075" s="119" t="s">
        <v>9486</v>
      </c>
      <c r="H2075" s="286"/>
      <c r="I2075" s="25" t="s">
        <v>129</v>
      </c>
      <c r="J2075" s="120" t="s">
        <v>498</v>
      </c>
      <c r="K2075" s="25"/>
      <c r="L2075" s="123"/>
      <c r="M2075" s="123"/>
      <c r="N2075" s="123"/>
      <c r="O2075" s="27" t="str">
        <f t="shared" si="3"/>
        <v>#N/A</v>
      </c>
      <c r="P2075" s="55"/>
      <c r="Q2075" s="55"/>
      <c r="R2075" s="55"/>
      <c r="S2075" s="55"/>
      <c r="T2075" s="55"/>
      <c r="U2075" s="55"/>
      <c r="V2075" s="30">
        <f t="shared" si="425"/>
        <v>0</v>
      </c>
      <c r="W2075" s="30"/>
      <c r="X2075" s="403"/>
      <c r="Y2075" s="403"/>
      <c r="Z2075" s="692"/>
      <c r="AA2075" s="665"/>
      <c r="AB2075" s="123"/>
      <c r="AC2075" s="123"/>
      <c r="AD2075" s="452"/>
      <c r="AE2075" s="123"/>
      <c r="AF2075" s="453"/>
      <c r="AG2075" s="123"/>
      <c r="AH2075" s="123"/>
      <c r="AI2075" s="123"/>
      <c r="AJ2075" s="123"/>
      <c r="AK2075" s="123"/>
      <c r="AL2075" s="123"/>
      <c r="AM2075" s="123"/>
      <c r="AN2075" s="123"/>
      <c r="AO2075" s="123"/>
      <c r="AP2075" s="123"/>
      <c r="AQ2075" s="123"/>
      <c r="AR2075" s="123"/>
      <c r="AS2075" s="123"/>
      <c r="AT2075" s="123"/>
      <c r="AU2075" s="137"/>
      <c r="AV2075" s="123"/>
      <c r="AW2075" s="38"/>
      <c r="AX2075" s="123"/>
      <c r="AY2075" s="38"/>
      <c r="AZ2075" s="123"/>
      <c r="BA2075" s="137"/>
      <c r="BB2075" s="123"/>
      <c r="BC2075" s="137"/>
      <c r="BD2075" s="123"/>
      <c r="BE2075" s="38"/>
      <c r="BF2075" s="123"/>
    </row>
    <row r="2076">
      <c r="A2076" s="400" t="s">
        <v>9487</v>
      </c>
      <c r="B2076" s="115"/>
      <c r="C2076" s="115"/>
      <c r="D2076" s="449"/>
      <c r="E2076" s="449"/>
      <c r="F2076" s="402" t="s">
        <v>9488</v>
      </c>
      <c r="G2076" s="119" t="s">
        <v>9489</v>
      </c>
      <c r="H2076" s="286"/>
      <c r="I2076" s="25" t="s">
        <v>129</v>
      </c>
      <c r="J2076" s="120" t="s">
        <v>4554</v>
      </c>
      <c r="K2076" s="25"/>
      <c r="L2076" s="123"/>
      <c r="M2076" s="123"/>
      <c r="N2076" s="123"/>
      <c r="O2076" s="27" t="str">
        <f t="shared" si="3"/>
        <v>#N/A</v>
      </c>
      <c r="P2076" s="55"/>
      <c r="Q2076" s="55"/>
      <c r="R2076" s="55"/>
      <c r="S2076" s="55"/>
      <c r="T2076" s="55"/>
      <c r="U2076" s="55"/>
      <c r="V2076" s="30">
        <f t="shared" si="425"/>
        <v>0</v>
      </c>
      <c r="W2076" s="30"/>
      <c r="X2076" s="403"/>
      <c r="Y2076" s="403"/>
      <c r="Z2076" s="692"/>
      <c r="AA2076" s="665"/>
      <c r="AB2076" s="123"/>
      <c r="AC2076" s="123"/>
      <c r="AD2076" s="452"/>
      <c r="AE2076" s="123"/>
      <c r="AF2076" s="453"/>
      <c r="AG2076" s="123"/>
      <c r="AH2076" s="123"/>
      <c r="AI2076" s="123"/>
      <c r="AJ2076" s="123"/>
      <c r="AK2076" s="123"/>
      <c r="AL2076" s="123"/>
      <c r="AM2076" s="123"/>
      <c r="AN2076" s="123"/>
      <c r="AO2076" s="123"/>
      <c r="AP2076" s="123"/>
      <c r="AQ2076" s="123"/>
      <c r="AR2076" s="123"/>
      <c r="AS2076" s="123"/>
      <c r="AT2076" s="123"/>
      <c r="AU2076" s="137"/>
      <c r="AV2076" s="123"/>
      <c r="AW2076" s="38"/>
      <c r="AX2076" s="123"/>
      <c r="AY2076" s="38"/>
      <c r="AZ2076" s="123"/>
      <c r="BA2076" s="137"/>
      <c r="BB2076" s="123"/>
      <c r="BC2076" s="137"/>
      <c r="BD2076" s="123"/>
      <c r="BE2076" s="38"/>
      <c r="BF2076" s="123"/>
    </row>
    <row r="2077">
      <c r="A2077" s="400" t="s">
        <v>9490</v>
      </c>
      <c r="B2077" s="115"/>
      <c r="C2077" s="115"/>
      <c r="D2077" s="449"/>
      <c r="E2077" s="449"/>
      <c r="F2077" s="402" t="s">
        <v>9491</v>
      </c>
      <c r="G2077" s="119" t="s">
        <v>9492</v>
      </c>
      <c r="H2077" s="286"/>
      <c r="I2077" s="25" t="s">
        <v>5036</v>
      </c>
      <c r="J2077" s="120" t="s">
        <v>9493</v>
      </c>
      <c r="K2077" s="25"/>
      <c r="L2077" s="123"/>
      <c r="M2077" s="123"/>
      <c r="N2077" s="123"/>
      <c r="O2077" s="27" t="str">
        <f t="shared" si="3"/>
        <v>#N/A</v>
      </c>
      <c r="P2077" s="55"/>
      <c r="Q2077" s="55"/>
      <c r="R2077" s="55"/>
      <c r="S2077" s="55"/>
      <c r="T2077" s="55"/>
      <c r="U2077" s="55"/>
      <c r="V2077" s="30">
        <f t="shared" si="425"/>
        <v>0</v>
      </c>
      <c r="W2077" s="30"/>
      <c r="X2077" s="403"/>
      <c r="Y2077" s="403"/>
      <c r="Z2077" s="692"/>
      <c r="AA2077" s="665"/>
      <c r="AB2077" s="123"/>
      <c r="AC2077" s="123"/>
      <c r="AD2077" s="452"/>
      <c r="AE2077" s="123"/>
      <c r="AF2077" s="453"/>
      <c r="AG2077" s="123"/>
      <c r="AH2077" s="123"/>
      <c r="AI2077" s="123"/>
      <c r="AJ2077" s="123"/>
      <c r="AK2077" s="123"/>
      <c r="AL2077" s="123"/>
      <c r="AM2077" s="123"/>
      <c r="AN2077" s="123"/>
      <c r="AO2077" s="123"/>
      <c r="AP2077" s="123"/>
      <c r="AQ2077" s="123"/>
      <c r="AR2077" s="123"/>
      <c r="AS2077" s="123"/>
      <c r="AT2077" s="123"/>
      <c r="AU2077" s="137"/>
      <c r="AV2077" s="123"/>
      <c r="AW2077" s="38"/>
      <c r="AX2077" s="123"/>
      <c r="AY2077" s="38"/>
      <c r="AZ2077" s="123"/>
      <c r="BA2077" s="137"/>
      <c r="BB2077" s="123"/>
      <c r="BC2077" s="137"/>
      <c r="BD2077" s="123"/>
      <c r="BE2077" s="38"/>
      <c r="BF2077" s="123"/>
    </row>
    <row r="2078">
      <c r="A2078" s="400" t="s">
        <v>9494</v>
      </c>
      <c r="B2078" s="115"/>
      <c r="C2078" s="115"/>
      <c r="D2078" s="449"/>
      <c r="E2078" s="449"/>
      <c r="F2078" s="402" t="s">
        <v>9495</v>
      </c>
      <c r="G2078" s="119" t="s">
        <v>9496</v>
      </c>
      <c r="H2078" s="286"/>
      <c r="I2078" s="25" t="s">
        <v>2944</v>
      </c>
      <c r="J2078" s="120" t="s">
        <v>9497</v>
      </c>
      <c r="K2078" s="25"/>
      <c r="L2078" s="123"/>
      <c r="M2078" s="123"/>
      <c r="N2078" s="123"/>
      <c r="O2078" s="27" t="str">
        <f t="shared" si="3"/>
        <v>#N/A</v>
      </c>
      <c r="P2078" s="55"/>
      <c r="Q2078" s="55"/>
      <c r="R2078" s="55"/>
      <c r="S2078" s="55"/>
      <c r="T2078" s="55"/>
      <c r="U2078" s="55"/>
      <c r="V2078" s="30">
        <f t="shared" si="425"/>
        <v>0</v>
      </c>
      <c r="W2078" s="30"/>
      <c r="X2078" s="403"/>
      <c r="Y2078" s="403"/>
      <c r="Z2078" s="692"/>
      <c r="AA2078" s="665"/>
      <c r="AB2078" s="123"/>
      <c r="AC2078" s="123"/>
      <c r="AD2078" s="452"/>
      <c r="AE2078" s="123"/>
      <c r="AF2078" s="453"/>
      <c r="AG2078" s="123"/>
      <c r="AH2078" s="123"/>
      <c r="AI2078" s="123"/>
      <c r="AJ2078" s="123"/>
      <c r="AK2078" s="123"/>
      <c r="AL2078" s="123"/>
      <c r="AM2078" s="123"/>
      <c r="AN2078" s="123"/>
      <c r="AO2078" s="123"/>
      <c r="AP2078" s="123"/>
      <c r="AQ2078" s="123"/>
      <c r="AR2078" s="123"/>
      <c r="AS2078" s="123"/>
      <c r="AT2078" s="123"/>
      <c r="AU2078" s="137"/>
      <c r="AV2078" s="123"/>
      <c r="AW2078" s="38"/>
      <c r="AX2078" s="123"/>
      <c r="AY2078" s="38"/>
      <c r="AZ2078" s="123"/>
      <c r="BA2078" s="137"/>
      <c r="BB2078" s="123"/>
      <c r="BC2078" s="137"/>
      <c r="BD2078" s="123"/>
      <c r="BE2078" s="38"/>
      <c r="BF2078" s="123"/>
    </row>
    <row r="2079">
      <c r="A2079" s="400" t="s">
        <v>9498</v>
      </c>
      <c r="B2079" s="115"/>
      <c r="C2079" s="115"/>
      <c r="D2079" s="449"/>
      <c r="E2079" s="449"/>
      <c r="F2079" s="402" t="s">
        <v>9499</v>
      </c>
      <c r="G2079" s="119" t="s">
        <v>9500</v>
      </c>
      <c r="H2079" s="286"/>
      <c r="I2079" s="25" t="s">
        <v>272</v>
      </c>
      <c r="J2079" s="120" t="s">
        <v>9501</v>
      </c>
      <c r="K2079" s="25"/>
      <c r="L2079" s="123"/>
      <c r="M2079" s="123"/>
      <c r="N2079" s="123"/>
      <c r="O2079" s="27" t="str">
        <f t="shared" si="3"/>
        <v>#N/A</v>
      </c>
      <c r="P2079" s="55"/>
      <c r="Q2079" s="55"/>
      <c r="R2079" s="55"/>
      <c r="S2079" s="55"/>
      <c r="T2079" s="55"/>
      <c r="U2079" s="55"/>
      <c r="V2079" s="30">
        <f t="shared" si="425"/>
        <v>0</v>
      </c>
      <c r="W2079" s="30"/>
      <c r="X2079" s="403"/>
      <c r="Y2079" s="403"/>
      <c r="Z2079" s="692"/>
      <c r="AA2079" s="665"/>
      <c r="AB2079" s="123"/>
      <c r="AC2079" s="123"/>
      <c r="AD2079" s="452"/>
      <c r="AE2079" s="123"/>
      <c r="AF2079" s="453"/>
      <c r="AG2079" s="123"/>
      <c r="AH2079" s="115"/>
      <c r="AI2079" s="123"/>
      <c r="AJ2079" s="123"/>
      <c r="AK2079" s="123"/>
      <c r="AL2079" s="123"/>
      <c r="AM2079" s="123"/>
      <c r="AN2079" s="123"/>
      <c r="AO2079" s="123"/>
      <c r="AP2079" s="123"/>
      <c r="AQ2079" s="123"/>
      <c r="AR2079" s="123"/>
      <c r="AS2079" s="123"/>
      <c r="AT2079" s="123"/>
      <c r="AU2079" s="137"/>
      <c r="AV2079" s="123"/>
      <c r="AW2079" s="38"/>
      <c r="AX2079" s="123"/>
      <c r="AY2079" s="38"/>
      <c r="AZ2079" s="123"/>
      <c r="BA2079" s="137"/>
      <c r="BB2079" s="123"/>
      <c r="BC2079" s="137"/>
      <c r="BD2079" s="123"/>
      <c r="BE2079" s="38"/>
      <c r="BF2079" s="123"/>
    </row>
    <row r="2080">
      <c r="A2080" s="400" t="s">
        <v>9502</v>
      </c>
      <c r="B2080" s="115"/>
      <c r="C2080" s="115"/>
      <c r="D2080" s="449"/>
      <c r="E2080" s="449"/>
      <c r="F2080" s="402" t="s">
        <v>9503</v>
      </c>
      <c r="G2080" s="119" t="s">
        <v>9504</v>
      </c>
      <c r="H2080" s="286"/>
      <c r="I2080" s="25" t="s">
        <v>227</v>
      </c>
      <c r="J2080" s="120" t="s">
        <v>9505</v>
      </c>
      <c r="K2080" s="25"/>
      <c r="L2080" s="123"/>
      <c r="M2080" s="123"/>
      <c r="N2080" s="123"/>
      <c r="O2080" s="27" t="str">
        <f t="shared" si="3"/>
        <v>#N/A</v>
      </c>
      <c r="P2080" s="55"/>
      <c r="Q2080" s="55"/>
      <c r="R2080" s="55"/>
      <c r="S2080" s="55"/>
      <c r="T2080" s="55"/>
      <c r="U2080" s="55"/>
      <c r="V2080" s="30">
        <f t="shared" si="425"/>
        <v>0</v>
      </c>
      <c r="W2080" s="30"/>
      <c r="X2080" s="403"/>
      <c r="Y2080" s="403"/>
      <c r="Z2080" s="692"/>
      <c r="AA2080" s="665"/>
      <c r="AB2080" s="123"/>
      <c r="AC2080" s="123"/>
      <c r="AD2080" s="452"/>
      <c r="AE2080" s="123"/>
      <c r="AF2080" s="453"/>
      <c r="AG2080" s="123"/>
      <c r="AH2080" s="123"/>
      <c r="AI2080" s="123"/>
      <c r="AJ2080" s="123"/>
      <c r="AK2080" s="123"/>
      <c r="AL2080" s="123"/>
      <c r="AM2080" s="123"/>
      <c r="AN2080" s="123"/>
      <c r="AO2080" s="123"/>
      <c r="AP2080" s="123"/>
      <c r="AQ2080" s="123"/>
      <c r="AR2080" s="123"/>
      <c r="AS2080" s="123"/>
      <c r="AT2080" s="123"/>
      <c r="AU2080" s="137"/>
      <c r="AV2080" s="123"/>
      <c r="AW2080" s="38"/>
      <c r="AX2080" s="123"/>
      <c r="AY2080" s="38"/>
      <c r="AZ2080" s="123"/>
      <c r="BA2080" s="137"/>
      <c r="BB2080" s="123"/>
      <c r="BC2080" s="137"/>
      <c r="BD2080" s="123"/>
      <c r="BE2080" s="38"/>
      <c r="BF2080" s="123"/>
    </row>
    <row r="2081">
      <c r="A2081" s="400" t="s">
        <v>9506</v>
      </c>
      <c r="B2081" s="115"/>
      <c r="C2081" s="115"/>
      <c r="D2081" s="449"/>
      <c r="E2081" s="449"/>
      <c r="F2081" s="402" t="s">
        <v>9507</v>
      </c>
      <c r="G2081" s="119" t="s">
        <v>9508</v>
      </c>
      <c r="H2081" s="286"/>
      <c r="I2081" s="25" t="s">
        <v>9296</v>
      </c>
      <c r="J2081" s="120" t="s">
        <v>9509</v>
      </c>
      <c r="K2081" s="25"/>
      <c r="L2081" s="123"/>
      <c r="M2081" s="123"/>
      <c r="N2081" s="123"/>
      <c r="O2081" s="27" t="str">
        <f t="shared" si="3"/>
        <v>#N/A</v>
      </c>
      <c r="P2081" s="55"/>
      <c r="Q2081" s="55"/>
      <c r="R2081" s="55"/>
      <c r="S2081" s="55"/>
      <c r="T2081" s="55"/>
      <c r="U2081" s="55"/>
      <c r="V2081" s="30">
        <f t="shared" si="425"/>
        <v>0</v>
      </c>
      <c r="W2081" s="30"/>
      <c r="X2081" s="403"/>
      <c r="Y2081" s="403"/>
      <c r="Z2081" s="692"/>
      <c r="AA2081" s="665"/>
      <c r="AB2081" s="123"/>
      <c r="AC2081" s="123"/>
      <c r="AD2081" s="452"/>
      <c r="AE2081" s="123"/>
      <c r="AF2081" s="453"/>
      <c r="AG2081" s="123"/>
      <c r="AH2081" s="123"/>
      <c r="AI2081" s="123"/>
      <c r="AJ2081" s="123"/>
      <c r="AK2081" s="123"/>
      <c r="AL2081" s="123"/>
      <c r="AM2081" s="123"/>
      <c r="AN2081" s="123"/>
      <c r="AO2081" s="123"/>
      <c r="AP2081" s="123"/>
      <c r="AQ2081" s="123"/>
      <c r="AR2081" s="123"/>
      <c r="AS2081" s="123"/>
      <c r="AT2081" s="123"/>
      <c r="AU2081" s="137"/>
      <c r="AV2081" s="123"/>
      <c r="AW2081" s="38"/>
      <c r="AX2081" s="123"/>
      <c r="AY2081" s="38"/>
      <c r="AZ2081" s="123"/>
      <c r="BA2081" s="137"/>
      <c r="BB2081" s="123"/>
      <c r="BC2081" s="137"/>
      <c r="BD2081" s="123"/>
      <c r="BE2081" s="38"/>
      <c r="BF2081" s="123"/>
    </row>
    <row r="2082">
      <c r="A2082" s="400" t="s">
        <v>9510</v>
      </c>
      <c r="B2082" s="115"/>
      <c r="C2082" s="115"/>
      <c r="D2082" s="449"/>
      <c r="E2082" s="449"/>
      <c r="F2082" s="402" t="s">
        <v>9511</v>
      </c>
      <c r="G2082" s="119" t="s">
        <v>9512</v>
      </c>
      <c r="H2082" s="286"/>
      <c r="I2082" s="25" t="s">
        <v>1384</v>
      </c>
      <c r="J2082" s="120" t="s">
        <v>9513</v>
      </c>
      <c r="K2082" s="25"/>
      <c r="L2082" s="123"/>
      <c r="M2082" s="123"/>
      <c r="N2082" s="123"/>
      <c r="O2082" s="27" t="str">
        <f t="shared" si="3"/>
        <v>#N/A</v>
      </c>
      <c r="P2082" s="55"/>
      <c r="Q2082" s="55"/>
      <c r="R2082" s="55"/>
      <c r="S2082" s="55"/>
      <c r="T2082" s="55"/>
      <c r="U2082" s="55"/>
      <c r="V2082" s="30">
        <f t="shared" si="425"/>
        <v>0</v>
      </c>
      <c r="W2082" s="30"/>
      <c r="X2082" s="403"/>
      <c r="Y2082" s="403"/>
      <c r="Z2082" s="692"/>
      <c r="AA2082" s="665"/>
      <c r="AB2082" s="123"/>
      <c r="AC2082" s="123"/>
      <c r="AD2082" s="452"/>
      <c r="AE2082" s="123"/>
      <c r="AF2082" s="453"/>
      <c r="AG2082" s="123"/>
      <c r="AH2082" s="123"/>
      <c r="AI2082" s="123"/>
      <c r="AJ2082" s="123"/>
      <c r="AK2082" s="123"/>
      <c r="AL2082" s="123"/>
      <c r="AM2082" s="123"/>
      <c r="AN2082" s="123"/>
      <c r="AO2082" s="123"/>
      <c r="AP2082" s="123"/>
      <c r="AQ2082" s="123"/>
      <c r="AR2082" s="123"/>
      <c r="AS2082" s="123"/>
      <c r="AT2082" s="123"/>
      <c r="AU2082" s="137"/>
      <c r="AV2082" s="123"/>
      <c r="AW2082" s="38"/>
      <c r="AX2082" s="123"/>
      <c r="AY2082" s="38"/>
      <c r="AZ2082" s="123"/>
      <c r="BA2082" s="137"/>
      <c r="BB2082" s="123"/>
      <c r="BC2082" s="137"/>
      <c r="BD2082" s="123"/>
      <c r="BE2082" s="38"/>
      <c r="BF2082" s="123"/>
    </row>
    <row r="2083">
      <c r="A2083" s="400" t="s">
        <v>9514</v>
      </c>
      <c r="B2083" s="115"/>
      <c r="C2083" s="115"/>
      <c r="D2083" s="449"/>
      <c r="E2083" s="449"/>
      <c r="F2083" s="402" t="s">
        <v>9515</v>
      </c>
      <c r="G2083" s="119" t="s">
        <v>9516</v>
      </c>
      <c r="H2083" s="286"/>
      <c r="I2083" s="25" t="s">
        <v>65</v>
      </c>
      <c r="J2083" s="120" t="s">
        <v>4939</v>
      </c>
      <c r="K2083" s="25"/>
      <c r="L2083" s="123"/>
      <c r="M2083" s="123"/>
      <c r="N2083" s="123"/>
      <c r="O2083" s="27" t="str">
        <f t="shared" si="3"/>
        <v>#N/A</v>
      </c>
      <c r="P2083" s="55"/>
      <c r="Q2083" s="55"/>
      <c r="R2083" s="55"/>
      <c r="S2083" s="55"/>
      <c r="T2083" s="55"/>
      <c r="U2083" s="55"/>
      <c r="V2083" s="30">
        <f t="shared" si="425"/>
        <v>0</v>
      </c>
      <c r="W2083" s="30"/>
      <c r="X2083" s="403"/>
      <c r="Y2083" s="403"/>
      <c r="Z2083" s="692"/>
      <c r="AA2083" s="665"/>
      <c r="AB2083" s="123"/>
      <c r="AC2083" s="123"/>
      <c r="AD2083" s="452"/>
      <c r="AE2083" s="123"/>
      <c r="AF2083" s="453"/>
      <c r="AG2083" s="123"/>
      <c r="AH2083" s="123"/>
      <c r="AI2083" s="123"/>
      <c r="AJ2083" s="123"/>
      <c r="AK2083" s="123"/>
      <c r="AL2083" s="123"/>
      <c r="AM2083" s="123"/>
      <c r="AN2083" s="123"/>
      <c r="AO2083" s="123"/>
      <c r="AP2083" s="123"/>
      <c r="AQ2083" s="123"/>
      <c r="AR2083" s="123"/>
      <c r="AS2083" s="123"/>
      <c r="AT2083" s="123"/>
      <c r="AU2083" s="137"/>
      <c r="AV2083" s="123"/>
      <c r="AW2083" s="38"/>
      <c r="AX2083" s="123"/>
      <c r="AY2083" s="38"/>
      <c r="AZ2083" s="123"/>
      <c r="BA2083" s="137"/>
      <c r="BB2083" s="123"/>
      <c r="BC2083" s="137"/>
      <c r="BD2083" s="123"/>
      <c r="BE2083" s="38"/>
      <c r="BF2083" s="123"/>
    </row>
    <row r="2084">
      <c r="A2084" s="400" t="s">
        <v>9517</v>
      </c>
      <c r="B2084" s="115"/>
      <c r="C2084" s="115"/>
      <c r="D2084" s="449"/>
      <c r="E2084" s="449"/>
      <c r="F2084" s="402" t="s">
        <v>9518</v>
      </c>
      <c r="G2084" s="119" t="s">
        <v>9519</v>
      </c>
      <c r="H2084" s="286"/>
      <c r="I2084" s="25" t="s">
        <v>328</v>
      </c>
      <c r="J2084" s="120" t="s">
        <v>4554</v>
      </c>
      <c r="K2084" s="25"/>
      <c r="L2084" s="123"/>
      <c r="M2084" s="123"/>
      <c r="N2084" s="123"/>
      <c r="O2084" s="27" t="str">
        <f t="shared" si="3"/>
        <v>#N/A</v>
      </c>
      <c r="P2084" s="55"/>
      <c r="Q2084" s="55"/>
      <c r="R2084" s="55"/>
      <c r="S2084" s="55"/>
      <c r="T2084" s="55"/>
      <c r="U2084" s="55"/>
      <c r="V2084" s="30">
        <f t="shared" si="425"/>
        <v>0</v>
      </c>
      <c r="W2084" s="30"/>
      <c r="X2084" s="403"/>
      <c r="Y2084" s="403"/>
      <c r="Z2084" s="692"/>
      <c r="AA2084" s="665"/>
      <c r="AB2084" s="123"/>
      <c r="AC2084" s="123"/>
      <c r="AD2084" s="452"/>
      <c r="AE2084" s="123"/>
      <c r="AF2084" s="453"/>
      <c r="AG2084" s="123"/>
      <c r="AH2084" s="123"/>
      <c r="AI2084" s="123"/>
      <c r="AJ2084" s="123"/>
      <c r="AK2084" s="123"/>
      <c r="AL2084" s="123"/>
      <c r="AM2084" s="123"/>
      <c r="AN2084" s="123"/>
      <c r="AO2084" s="123"/>
      <c r="AP2084" s="123"/>
      <c r="AQ2084" s="123"/>
      <c r="AR2084" s="123"/>
      <c r="AS2084" s="123"/>
      <c r="AT2084" s="123"/>
      <c r="AU2084" s="137"/>
      <c r="AV2084" s="123"/>
      <c r="AW2084" s="38"/>
      <c r="AX2084" s="123"/>
      <c r="AY2084" s="38"/>
      <c r="AZ2084" s="123"/>
      <c r="BA2084" s="137"/>
      <c r="BB2084" s="123"/>
      <c r="BC2084" s="137"/>
      <c r="BD2084" s="123"/>
      <c r="BE2084" s="38"/>
      <c r="BF2084" s="123"/>
    </row>
    <row r="2085">
      <c r="A2085" s="400" t="s">
        <v>9520</v>
      </c>
      <c r="B2085" s="115"/>
      <c r="C2085" s="115"/>
      <c r="D2085" s="449"/>
      <c r="E2085" s="449"/>
      <c r="F2085" s="402" t="s">
        <v>9521</v>
      </c>
      <c r="G2085" s="119" t="s">
        <v>9522</v>
      </c>
      <c r="H2085" s="286"/>
      <c r="I2085" s="25" t="s">
        <v>358</v>
      </c>
      <c r="J2085" s="120" t="s">
        <v>9523</v>
      </c>
      <c r="K2085" s="25"/>
      <c r="L2085" s="123"/>
      <c r="M2085" s="123"/>
      <c r="N2085" s="123"/>
      <c r="O2085" s="27" t="str">
        <f t="shared" si="3"/>
        <v>#N/A</v>
      </c>
      <c r="P2085" s="55"/>
      <c r="Q2085" s="55"/>
      <c r="R2085" s="55"/>
      <c r="S2085" s="55"/>
      <c r="T2085" s="55"/>
      <c r="U2085" s="55"/>
      <c r="V2085" s="30">
        <f t="shared" si="425"/>
        <v>0</v>
      </c>
      <c r="W2085" s="30"/>
      <c r="X2085" s="403"/>
      <c r="Y2085" s="403"/>
      <c r="Z2085" s="692"/>
      <c r="AA2085" s="665"/>
      <c r="AB2085" s="123"/>
      <c r="AC2085" s="123"/>
      <c r="AD2085" s="452"/>
      <c r="AE2085" s="123"/>
      <c r="AF2085" s="453"/>
      <c r="AG2085" s="123"/>
      <c r="AH2085" s="123"/>
      <c r="AI2085" s="123"/>
      <c r="AJ2085" s="123"/>
      <c r="AK2085" s="123"/>
      <c r="AL2085" s="123"/>
      <c r="AM2085" s="123"/>
      <c r="AN2085" s="123"/>
      <c r="AO2085" s="123"/>
      <c r="AP2085" s="123"/>
      <c r="AQ2085" s="123"/>
      <c r="AR2085" s="123"/>
      <c r="AS2085" s="123"/>
      <c r="AT2085" s="123"/>
      <c r="AU2085" s="137"/>
      <c r="AV2085" s="123"/>
      <c r="AW2085" s="38"/>
      <c r="AX2085" s="123"/>
      <c r="AY2085" s="38"/>
      <c r="AZ2085" s="123"/>
      <c r="BA2085" s="137"/>
      <c r="BB2085" s="123"/>
      <c r="BC2085" s="137"/>
      <c r="BD2085" s="123"/>
      <c r="BE2085" s="38"/>
      <c r="BF2085" s="123"/>
    </row>
    <row r="2086">
      <c r="A2086" s="400" t="s">
        <v>9524</v>
      </c>
      <c r="B2086" s="115"/>
      <c r="C2086" s="115"/>
      <c r="D2086" s="449"/>
      <c r="E2086" s="449"/>
      <c r="F2086" s="402" t="s">
        <v>9525</v>
      </c>
      <c r="G2086" s="119" t="s">
        <v>9526</v>
      </c>
      <c r="H2086" s="286"/>
      <c r="I2086" s="25" t="s">
        <v>109</v>
      </c>
      <c r="J2086" s="120" t="s">
        <v>9527</v>
      </c>
      <c r="K2086" s="25"/>
      <c r="L2086" s="123"/>
      <c r="M2086" s="123"/>
      <c r="N2086" s="123"/>
      <c r="O2086" s="27" t="str">
        <f t="shared" si="3"/>
        <v>#N/A</v>
      </c>
      <c r="P2086" s="55"/>
      <c r="Q2086" s="55"/>
      <c r="R2086" s="55"/>
      <c r="S2086" s="55"/>
      <c r="T2086" s="55"/>
      <c r="U2086" s="55"/>
      <c r="V2086" s="30">
        <f t="shared" si="425"/>
        <v>0</v>
      </c>
      <c r="W2086" s="30"/>
      <c r="X2086" s="403"/>
      <c r="Y2086" s="403"/>
      <c r="Z2086" s="692"/>
      <c r="AA2086" s="665"/>
      <c r="AB2086" s="123"/>
      <c r="AC2086" s="123"/>
      <c r="AD2086" s="452"/>
      <c r="AE2086" s="123"/>
      <c r="AF2086" s="453"/>
      <c r="AG2086" s="123"/>
      <c r="AH2086" s="123"/>
      <c r="AI2086" s="123"/>
      <c r="AJ2086" s="123"/>
      <c r="AK2086" s="123"/>
      <c r="AL2086" s="123"/>
      <c r="AM2086" s="123"/>
      <c r="AN2086" s="123"/>
      <c r="AO2086" s="123"/>
      <c r="AP2086" s="123"/>
      <c r="AQ2086" s="123"/>
      <c r="AR2086" s="123"/>
      <c r="AS2086" s="123"/>
      <c r="AT2086" s="123"/>
      <c r="AU2086" s="137"/>
      <c r="AV2086" s="123"/>
      <c r="AW2086" s="38"/>
      <c r="AX2086" s="123"/>
      <c r="AY2086" s="38"/>
      <c r="AZ2086" s="123"/>
      <c r="BA2086" s="137"/>
      <c r="BB2086" s="123"/>
      <c r="BC2086" s="137"/>
      <c r="BD2086" s="123"/>
      <c r="BE2086" s="38"/>
      <c r="BF2086" s="123"/>
    </row>
    <row r="2087">
      <c r="A2087" s="400" t="s">
        <v>9528</v>
      </c>
      <c r="B2087" s="115"/>
      <c r="C2087" s="115"/>
      <c r="D2087" s="449"/>
      <c r="E2087" s="449"/>
      <c r="F2087" s="402" t="s">
        <v>9529</v>
      </c>
      <c r="G2087" s="119" t="s">
        <v>9530</v>
      </c>
      <c r="H2087" s="286"/>
      <c r="I2087" s="25" t="s">
        <v>115</v>
      </c>
      <c r="J2087" s="120" t="s">
        <v>9531</v>
      </c>
      <c r="K2087" s="25"/>
      <c r="L2087" s="123"/>
      <c r="M2087" s="123"/>
      <c r="N2087" s="123"/>
      <c r="O2087" s="27" t="str">
        <f t="shared" si="3"/>
        <v>#N/A</v>
      </c>
      <c r="P2087" s="55"/>
      <c r="Q2087" s="55"/>
      <c r="R2087" s="55"/>
      <c r="S2087" s="55"/>
      <c r="T2087" s="55"/>
      <c r="U2087" s="55"/>
      <c r="V2087" s="30">
        <f t="shared" si="425"/>
        <v>0</v>
      </c>
      <c r="W2087" s="30"/>
      <c r="X2087" s="403"/>
      <c r="Y2087" s="403"/>
      <c r="Z2087" s="692"/>
      <c r="AA2087" s="665"/>
      <c r="AB2087" s="123"/>
      <c r="AC2087" s="123"/>
      <c r="AD2087" s="452"/>
      <c r="AE2087" s="123"/>
      <c r="AF2087" s="453"/>
      <c r="AG2087" s="123"/>
      <c r="AH2087" s="123"/>
      <c r="AI2087" s="123"/>
      <c r="AJ2087" s="123"/>
      <c r="AK2087" s="123"/>
      <c r="AL2087" s="123"/>
      <c r="AM2087" s="123"/>
      <c r="AN2087" s="123"/>
      <c r="AO2087" s="123"/>
      <c r="AP2087" s="123"/>
      <c r="AQ2087" s="123"/>
      <c r="AR2087" s="123"/>
      <c r="AS2087" s="123"/>
      <c r="AT2087" s="123"/>
      <c r="AU2087" s="137"/>
      <c r="AV2087" s="123"/>
      <c r="AW2087" s="38"/>
      <c r="AX2087" s="123"/>
      <c r="AY2087" s="38"/>
      <c r="AZ2087" s="123"/>
      <c r="BA2087" s="137"/>
      <c r="BB2087" s="123"/>
      <c r="BC2087" s="137"/>
      <c r="BD2087" s="123"/>
      <c r="BE2087" s="38"/>
      <c r="BF2087" s="123"/>
    </row>
    <row r="2088">
      <c r="A2088" s="400" t="s">
        <v>9532</v>
      </c>
      <c r="B2088" s="115"/>
      <c r="C2088" s="115"/>
      <c r="D2088" s="449"/>
      <c r="E2088" s="449"/>
      <c r="F2088" s="402" t="s">
        <v>9533</v>
      </c>
      <c r="G2088" s="119" t="s">
        <v>9534</v>
      </c>
      <c r="H2088" s="286"/>
      <c r="I2088" s="25" t="s">
        <v>263</v>
      </c>
      <c r="J2088" s="120" t="s">
        <v>9535</v>
      </c>
      <c r="K2088" s="25"/>
      <c r="L2088" s="123"/>
      <c r="M2088" s="123"/>
      <c r="N2088" s="123"/>
      <c r="O2088" s="27" t="str">
        <f t="shared" si="3"/>
        <v>#N/A</v>
      </c>
      <c r="P2088" s="55"/>
      <c r="Q2088" s="55"/>
      <c r="R2088" s="55"/>
      <c r="S2088" s="55"/>
      <c r="T2088" s="55"/>
      <c r="U2088" s="55"/>
      <c r="V2088" s="30">
        <f t="shared" si="425"/>
        <v>0</v>
      </c>
      <c r="W2088" s="30"/>
      <c r="X2088" s="403"/>
      <c r="Y2088" s="403"/>
      <c r="Z2088" s="692"/>
      <c r="AA2088" s="665"/>
      <c r="AB2088" s="123"/>
      <c r="AC2088" s="123"/>
      <c r="AD2088" s="452"/>
      <c r="AE2088" s="123"/>
      <c r="AF2088" s="453"/>
      <c r="AG2088" s="123"/>
      <c r="AH2088" s="123"/>
      <c r="AI2088" s="123"/>
      <c r="AJ2088" s="123"/>
      <c r="AK2088" s="123"/>
      <c r="AL2088" s="123"/>
      <c r="AM2088" s="123"/>
      <c r="AN2088" s="123"/>
      <c r="AO2088" s="123"/>
      <c r="AP2088" s="123"/>
      <c r="AQ2088" s="123"/>
      <c r="AR2088" s="123"/>
      <c r="AS2088" s="123"/>
      <c r="AT2088" s="123"/>
      <c r="AU2088" s="137"/>
      <c r="AV2088" s="123"/>
      <c r="AW2088" s="38"/>
      <c r="AX2088" s="123"/>
      <c r="AY2088" s="38"/>
      <c r="AZ2088" s="123"/>
      <c r="BA2088" s="137"/>
      <c r="BB2088" s="123"/>
      <c r="BC2088" s="137"/>
      <c r="BD2088" s="123"/>
      <c r="BE2088" s="38"/>
      <c r="BF2088" s="123"/>
    </row>
    <row r="2089">
      <c r="A2089" s="400" t="s">
        <v>9536</v>
      </c>
      <c r="B2089" s="115"/>
      <c r="C2089" s="115"/>
      <c r="D2089" s="449"/>
      <c r="E2089" s="449"/>
      <c r="F2089" s="402" t="s">
        <v>9537</v>
      </c>
      <c r="G2089" s="119" t="s">
        <v>9538</v>
      </c>
      <c r="H2089" s="286"/>
      <c r="I2089" s="25" t="s">
        <v>129</v>
      </c>
      <c r="J2089" s="120" t="s">
        <v>9539</v>
      </c>
      <c r="K2089" s="25"/>
      <c r="L2089" s="123"/>
      <c r="M2089" s="123"/>
      <c r="N2089" s="123"/>
      <c r="O2089" s="27" t="str">
        <f t="shared" si="3"/>
        <v>#N/A</v>
      </c>
      <c r="P2089" s="55"/>
      <c r="Q2089" s="55"/>
      <c r="R2089" s="55"/>
      <c r="S2089" s="55"/>
      <c r="T2089" s="55"/>
      <c r="U2089" s="55"/>
      <c r="V2089" s="30">
        <f t="shared" si="425"/>
        <v>0</v>
      </c>
      <c r="W2089" s="30"/>
      <c r="X2089" s="403"/>
      <c r="Y2089" s="403"/>
      <c r="Z2089" s="692"/>
      <c r="AA2089" s="665"/>
      <c r="AB2089" s="123"/>
      <c r="AC2089" s="123"/>
      <c r="AD2089" s="452"/>
      <c r="AE2089" s="123"/>
      <c r="AF2089" s="453"/>
      <c r="AG2089" s="123"/>
      <c r="AH2089" s="123"/>
      <c r="AI2089" s="123"/>
      <c r="AJ2089" s="123"/>
      <c r="AK2089" s="123"/>
      <c r="AL2089" s="123"/>
      <c r="AM2089" s="123"/>
      <c r="AN2089" s="123"/>
      <c r="AO2089" s="123"/>
      <c r="AP2089" s="123"/>
      <c r="AQ2089" s="123"/>
      <c r="AR2089" s="123"/>
      <c r="AS2089" s="123"/>
      <c r="AT2089" s="123"/>
      <c r="AU2089" s="137"/>
      <c r="AV2089" s="123"/>
      <c r="AW2089" s="38"/>
      <c r="AX2089" s="123"/>
      <c r="AY2089" s="38"/>
      <c r="AZ2089" s="123"/>
      <c r="BA2089" s="137"/>
      <c r="BB2089" s="123"/>
      <c r="BC2089" s="137"/>
      <c r="BD2089" s="123"/>
      <c r="BE2089" s="38"/>
      <c r="BF2089" s="123"/>
    </row>
    <row r="2090">
      <c r="A2090" s="400" t="s">
        <v>9540</v>
      </c>
      <c r="B2090" s="115"/>
      <c r="C2090" s="115"/>
      <c r="D2090" s="449"/>
      <c r="E2090" s="449"/>
      <c r="F2090" s="402" t="s">
        <v>9541</v>
      </c>
      <c r="G2090" s="119" t="s">
        <v>9542</v>
      </c>
      <c r="H2090" s="286"/>
      <c r="I2090" s="25" t="s">
        <v>272</v>
      </c>
      <c r="J2090" s="120" t="s">
        <v>9543</v>
      </c>
      <c r="K2090" s="25"/>
      <c r="L2090" s="123"/>
      <c r="M2090" s="123"/>
      <c r="N2090" s="123"/>
      <c r="O2090" s="27" t="str">
        <f t="shared" si="3"/>
        <v>#N/A</v>
      </c>
      <c r="P2090" s="55"/>
      <c r="Q2090" s="55"/>
      <c r="R2090" s="55"/>
      <c r="S2090" s="55"/>
      <c r="T2090" s="55"/>
      <c r="U2090" s="55"/>
      <c r="V2090" s="30">
        <f t="shared" si="425"/>
        <v>0</v>
      </c>
      <c r="W2090" s="30"/>
      <c r="X2090" s="403"/>
      <c r="Y2090" s="403"/>
      <c r="Z2090" s="692"/>
      <c r="AA2090" s="665"/>
      <c r="AB2090" s="123"/>
      <c r="AC2090" s="123"/>
      <c r="AD2090" s="452"/>
      <c r="AE2090" s="123"/>
      <c r="AF2090" s="453"/>
      <c r="AG2090" s="123"/>
      <c r="AH2090" s="123"/>
      <c r="AI2090" s="123"/>
      <c r="AJ2090" s="123"/>
      <c r="AK2090" s="123"/>
      <c r="AL2090" s="123"/>
      <c r="AM2090" s="123"/>
      <c r="AN2090" s="123"/>
      <c r="AO2090" s="123"/>
      <c r="AP2090" s="123"/>
      <c r="AQ2090" s="123"/>
      <c r="AR2090" s="123"/>
      <c r="AS2090" s="123"/>
      <c r="AT2090" s="123"/>
      <c r="AU2090" s="137"/>
      <c r="AV2090" s="123"/>
      <c r="AW2090" s="38"/>
      <c r="AX2090" s="123"/>
      <c r="AY2090" s="38"/>
      <c r="AZ2090" s="123"/>
      <c r="BA2090" s="137"/>
      <c r="BB2090" s="123"/>
      <c r="BC2090" s="137"/>
      <c r="BD2090" s="123"/>
      <c r="BE2090" s="38"/>
      <c r="BF2090" s="123"/>
    </row>
    <row r="2091">
      <c r="A2091" s="400" t="s">
        <v>9544</v>
      </c>
      <c r="B2091" s="115"/>
      <c r="C2091" s="115"/>
      <c r="D2091" s="449"/>
      <c r="E2091" s="449"/>
      <c r="F2091" s="402" t="s">
        <v>9545</v>
      </c>
      <c r="G2091" s="119" t="s">
        <v>9546</v>
      </c>
      <c r="H2091" s="286"/>
      <c r="I2091" s="25" t="s">
        <v>666</v>
      </c>
      <c r="J2091" s="120" t="s">
        <v>9547</v>
      </c>
      <c r="K2091" s="25"/>
      <c r="L2091" s="123"/>
      <c r="M2091" s="123"/>
      <c r="N2091" s="123"/>
      <c r="O2091" s="27" t="str">
        <f t="shared" si="3"/>
        <v>#N/A</v>
      </c>
      <c r="P2091" s="55"/>
      <c r="Q2091" s="55"/>
      <c r="R2091" s="55"/>
      <c r="S2091" s="55"/>
      <c r="T2091" s="55"/>
      <c r="U2091" s="55"/>
      <c r="V2091" s="30">
        <f t="shared" si="425"/>
        <v>0</v>
      </c>
      <c r="W2091" s="30"/>
      <c r="X2091" s="403"/>
      <c r="Y2091" s="403"/>
      <c r="Z2091" s="692"/>
      <c r="AA2091" s="665"/>
      <c r="AB2091" s="123"/>
      <c r="AC2091" s="123"/>
      <c r="AD2091" s="452"/>
      <c r="AE2091" s="123"/>
      <c r="AF2091" s="453"/>
      <c r="AG2091" s="123"/>
      <c r="AH2091" s="123"/>
      <c r="AI2091" s="123"/>
      <c r="AJ2091" s="123"/>
      <c r="AK2091" s="123"/>
      <c r="AL2091" s="123"/>
      <c r="AM2091" s="123"/>
      <c r="AN2091" s="123"/>
      <c r="AO2091" s="123"/>
      <c r="AP2091" s="123"/>
      <c r="AQ2091" s="123"/>
      <c r="AR2091" s="123"/>
      <c r="AS2091" s="123"/>
      <c r="AT2091" s="123"/>
      <c r="AU2091" s="137"/>
      <c r="AV2091" s="123"/>
      <c r="AW2091" s="38"/>
      <c r="AX2091" s="123"/>
      <c r="AY2091" s="38"/>
      <c r="AZ2091" s="123"/>
      <c r="BA2091" s="137"/>
      <c r="BB2091" s="123"/>
      <c r="BC2091" s="137"/>
      <c r="BD2091" s="123"/>
      <c r="BE2091" s="38"/>
      <c r="BF2091" s="123"/>
    </row>
    <row r="2092">
      <c r="A2092" s="400" t="s">
        <v>9548</v>
      </c>
      <c r="B2092" s="115"/>
      <c r="C2092" s="115"/>
      <c r="D2092" s="449"/>
      <c r="E2092" s="449"/>
      <c r="F2092" s="402" t="s">
        <v>9549</v>
      </c>
      <c r="G2092" s="119" t="s">
        <v>9550</v>
      </c>
      <c r="H2092" s="286"/>
      <c r="I2092" s="25" t="s">
        <v>1384</v>
      </c>
      <c r="J2092" s="120" t="s">
        <v>9551</v>
      </c>
      <c r="K2092" s="25"/>
      <c r="L2092" s="123"/>
      <c r="M2092" s="123"/>
      <c r="N2092" s="123"/>
      <c r="O2092" s="27" t="str">
        <f t="shared" si="3"/>
        <v>#N/A</v>
      </c>
      <c r="P2092" s="55"/>
      <c r="Q2092" s="55"/>
      <c r="R2092" s="55"/>
      <c r="S2092" s="55"/>
      <c r="T2092" s="55"/>
      <c r="U2092" s="55"/>
      <c r="V2092" s="30">
        <f t="shared" si="425"/>
        <v>0</v>
      </c>
      <c r="W2092" s="30"/>
      <c r="X2092" s="403"/>
      <c r="Y2092" s="403"/>
      <c r="Z2092" s="692"/>
      <c r="AA2092" s="665"/>
      <c r="AB2092" s="123"/>
      <c r="AC2092" s="123"/>
      <c r="AD2092" s="452"/>
      <c r="AE2092" s="123"/>
      <c r="AF2092" s="453"/>
      <c r="AG2092" s="123"/>
      <c r="AH2092" s="123"/>
      <c r="AI2092" s="123"/>
      <c r="AJ2092" s="123"/>
      <c r="AK2092" s="123"/>
      <c r="AL2092" s="123"/>
      <c r="AM2092" s="123"/>
      <c r="AN2092" s="123"/>
      <c r="AO2092" s="123"/>
      <c r="AP2092" s="123"/>
      <c r="AQ2092" s="123"/>
      <c r="AR2092" s="123"/>
      <c r="AS2092" s="123"/>
      <c r="AT2092" s="123"/>
      <c r="AU2092" s="137"/>
      <c r="AV2092" s="123"/>
      <c r="AW2092" s="38"/>
      <c r="AX2092" s="123"/>
      <c r="AY2092" s="38"/>
      <c r="AZ2092" s="123"/>
      <c r="BA2092" s="137"/>
      <c r="BB2092" s="123"/>
      <c r="BC2092" s="137"/>
      <c r="BD2092" s="123"/>
      <c r="BE2092" s="38"/>
      <c r="BF2092" s="123"/>
    </row>
    <row r="2093">
      <c r="A2093" s="400" t="s">
        <v>9552</v>
      </c>
      <c r="B2093" s="115"/>
      <c r="C2093" s="115"/>
      <c r="D2093" s="449"/>
      <c r="E2093" s="449"/>
      <c r="F2093" s="402" t="s">
        <v>9553</v>
      </c>
      <c r="G2093" s="119" t="s">
        <v>9554</v>
      </c>
      <c r="H2093" s="286"/>
      <c r="I2093" s="25">
        <v>0.0</v>
      </c>
      <c r="J2093" s="120" t="s">
        <v>4554</v>
      </c>
      <c r="K2093" s="25"/>
      <c r="L2093" s="123"/>
      <c r="M2093" s="123"/>
      <c r="N2093" s="123"/>
      <c r="O2093" s="27" t="str">
        <f t="shared" si="3"/>
        <v>#N/A</v>
      </c>
      <c r="P2093" s="55"/>
      <c r="Q2093" s="55"/>
      <c r="R2093" s="55"/>
      <c r="S2093" s="55"/>
      <c r="T2093" s="55"/>
      <c r="U2093" s="55"/>
      <c r="V2093" s="30">
        <f t="shared" si="425"/>
        <v>0</v>
      </c>
      <c r="W2093" s="30"/>
      <c r="X2093" s="403"/>
      <c r="Y2093" s="403"/>
      <c r="Z2093" s="692"/>
      <c r="AA2093" s="665"/>
      <c r="AB2093" s="123"/>
      <c r="AC2093" s="123"/>
      <c r="AD2093" s="452"/>
      <c r="AE2093" s="123"/>
      <c r="AF2093" s="453"/>
      <c r="AG2093" s="123"/>
      <c r="AH2093" s="123"/>
      <c r="AI2093" s="123"/>
      <c r="AJ2093" s="123"/>
      <c r="AK2093" s="123"/>
      <c r="AL2093" s="123"/>
      <c r="AM2093" s="123"/>
      <c r="AN2093" s="123"/>
      <c r="AO2093" s="123"/>
      <c r="AP2093" s="123"/>
      <c r="AQ2093" s="123"/>
      <c r="AR2093" s="123"/>
      <c r="AS2093" s="123"/>
      <c r="AT2093" s="123"/>
      <c r="AU2093" s="137"/>
      <c r="AV2093" s="123"/>
      <c r="AW2093" s="38"/>
      <c r="AX2093" s="123"/>
      <c r="AY2093" s="38"/>
      <c r="AZ2093" s="123"/>
      <c r="BA2093" s="137"/>
      <c r="BB2093" s="123"/>
      <c r="BC2093" s="137"/>
      <c r="BD2093" s="123"/>
      <c r="BE2093" s="38"/>
      <c r="BF2093" s="123"/>
    </row>
    <row r="2094">
      <c r="A2094" s="400" t="s">
        <v>9555</v>
      </c>
      <c r="B2094" s="115"/>
      <c r="C2094" s="115"/>
      <c r="D2094" s="449"/>
      <c r="E2094" s="449"/>
      <c r="F2094" s="402" t="s">
        <v>9556</v>
      </c>
      <c r="G2094" s="119" t="s">
        <v>9489</v>
      </c>
      <c r="H2094" s="286"/>
      <c r="I2094" s="25" t="s">
        <v>129</v>
      </c>
      <c r="J2094" s="120" t="s">
        <v>4554</v>
      </c>
      <c r="K2094" s="25"/>
      <c r="L2094" s="123"/>
      <c r="M2094" s="123"/>
      <c r="N2094" s="123"/>
      <c r="O2094" s="27" t="str">
        <f t="shared" si="3"/>
        <v>#N/A</v>
      </c>
      <c r="P2094" s="55"/>
      <c r="Q2094" s="55"/>
      <c r="R2094" s="55"/>
      <c r="S2094" s="55"/>
      <c r="T2094" s="55"/>
      <c r="U2094" s="55"/>
      <c r="V2094" s="30">
        <f t="shared" si="425"/>
        <v>0</v>
      </c>
      <c r="W2094" s="30"/>
      <c r="X2094" s="403"/>
      <c r="Y2094" s="403"/>
      <c r="Z2094" s="692"/>
      <c r="AA2094" s="665"/>
      <c r="AB2094" s="123"/>
      <c r="AC2094" s="123"/>
      <c r="AD2094" s="452"/>
      <c r="AE2094" s="123"/>
      <c r="AF2094" s="453"/>
      <c r="AG2094" s="123"/>
      <c r="AH2094" s="123"/>
      <c r="AI2094" s="123"/>
      <c r="AJ2094" s="123"/>
      <c r="AK2094" s="123"/>
      <c r="AL2094" s="123"/>
      <c r="AM2094" s="123"/>
      <c r="AN2094" s="123"/>
      <c r="AO2094" s="123"/>
      <c r="AP2094" s="123"/>
      <c r="AQ2094" s="123"/>
      <c r="AR2094" s="123"/>
      <c r="AS2094" s="123"/>
      <c r="AT2094" s="123"/>
      <c r="AU2094" s="137"/>
      <c r="AV2094" s="123"/>
      <c r="AW2094" s="38"/>
      <c r="AX2094" s="123"/>
      <c r="AY2094" s="38"/>
      <c r="AZ2094" s="123"/>
      <c r="BA2094" s="137"/>
      <c r="BB2094" s="123"/>
      <c r="BC2094" s="137"/>
      <c r="BD2094" s="123"/>
      <c r="BE2094" s="38"/>
      <c r="BF2094" s="123"/>
    </row>
    <row r="2095">
      <c r="A2095" s="400" t="s">
        <v>9557</v>
      </c>
      <c r="B2095" s="115"/>
      <c r="C2095" s="115"/>
      <c r="D2095" s="449"/>
      <c r="E2095" s="449"/>
      <c r="F2095" s="161" t="s">
        <v>9558</v>
      </c>
      <c r="G2095" s="119" t="s">
        <v>9559</v>
      </c>
      <c r="H2095" s="286"/>
      <c r="I2095" s="25" t="s">
        <v>129</v>
      </c>
      <c r="J2095" s="120" t="s">
        <v>7359</v>
      </c>
      <c r="K2095" s="25"/>
      <c r="L2095" s="123"/>
      <c r="M2095" s="123"/>
      <c r="N2095" s="123"/>
      <c r="O2095" s="27" t="str">
        <f t="shared" si="3"/>
        <v>#N/A</v>
      </c>
      <c r="P2095" s="55"/>
      <c r="Q2095" s="55"/>
      <c r="R2095" s="55"/>
      <c r="S2095" s="55"/>
      <c r="T2095" s="55"/>
      <c r="U2095" s="55"/>
      <c r="V2095" s="30">
        <f t="shared" si="425"/>
        <v>0</v>
      </c>
      <c r="W2095" s="30"/>
      <c r="X2095" s="403"/>
      <c r="Y2095" s="403"/>
      <c r="Z2095" s="692"/>
      <c r="AA2095" s="665"/>
      <c r="AB2095" s="123"/>
      <c r="AC2095" s="123"/>
      <c r="AD2095" s="452"/>
      <c r="AE2095" s="123"/>
      <c r="AF2095" s="453"/>
      <c r="AG2095" s="123"/>
      <c r="AH2095" s="123"/>
      <c r="AI2095" s="123"/>
      <c r="AJ2095" s="123"/>
      <c r="AK2095" s="123"/>
      <c r="AL2095" s="123"/>
      <c r="AM2095" s="123"/>
      <c r="AN2095" s="123"/>
      <c r="AO2095" s="123"/>
      <c r="AP2095" s="123"/>
      <c r="AQ2095" s="123"/>
      <c r="AR2095" s="123"/>
      <c r="AS2095" s="123"/>
      <c r="AT2095" s="123"/>
      <c r="AU2095" s="137"/>
      <c r="AV2095" s="123"/>
      <c r="AW2095" s="38"/>
      <c r="AX2095" s="123"/>
      <c r="AY2095" s="38"/>
      <c r="AZ2095" s="123"/>
      <c r="BA2095" s="137"/>
      <c r="BB2095" s="123"/>
      <c r="BC2095" s="137"/>
      <c r="BD2095" s="123"/>
      <c r="BE2095" s="38"/>
      <c r="BF2095" s="123"/>
    </row>
    <row r="2096">
      <c r="A2096" s="400" t="s">
        <v>9560</v>
      </c>
      <c r="B2096" s="115"/>
      <c r="C2096" s="115"/>
      <c r="D2096" s="449"/>
      <c r="E2096" s="449"/>
      <c r="F2096" s="402" t="s">
        <v>9561</v>
      </c>
      <c r="G2096" s="119" t="s">
        <v>9562</v>
      </c>
      <c r="H2096" s="286"/>
      <c r="I2096" s="25" t="s">
        <v>65</v>
      </c>
      <c r="J2096" s="120" t="s">
        <v>373</v>
      </c>
      <c r="K2096" s="25"/>
      <c r="L2096" s="123"/>
      <c r="M2096" s="123"/>
      <c r="N2096" s="123"/>
      <c r="O2096" s="27" t="str">
        <f t="shared" si="3"/>
        <v>#N/A</v>
      </c>
      <c r="P2096" s="55"/>
      <c r="Q2096" s="55"/>
      <c r="R2096" s="55"/>
      <c r="S2096" s="55"/>
      <c r="T2096" s="55"/>
      <c r="U2096" s="55"/>
      <c r="V2096" s="30">
        <f t="shared" si="425"/>
        <v>0</v>
      </c>
      <c r="W2096" s="30"/>
      <c r="X2096" s="403"/>
      <c r="Y2096" s="403"/>
      <c r="Z2096" s="692"/>
      <c r="AA2096" s="665"/>
      <c r="AB2096" s="123"/>
      <c r="AC2096" s="123"/>
      <c r="AD2096" s="452"/>
      <c r="AE2096" s="123"/>
      <c r="AF2096" s="453"/>
      <c r="AG2096" s="123"/>
      <c r="AH2096" s="123"/>
      <c r="AI2096" s="123"/>
      <c r="AJ2096" s="123"/>
      <c r="AK2096" s="123"/>
      <c r="AL2096" s="123"/>
      <c r="AM2096" s="123"/>
      <c r="AN2096" s="123"/>
      <c r="AO2096" s="123"/>
      <c r="AP2096" s="123"/>
      <c r="AQ2096" s="123"/>
      <c r="AR2096" s="123"/>
      <c r="AS2096" s="123"/>
      <c r="AT2096" s="123"/>
      <c r="AU2096" s="137"/>
      <c r="AV2096" s="123"/>
      <c r="AW2096" s="38"/>
      <c r="AX2096" s="123"/>
      <c r="AY2096" s="38"/>
      <c r="AZ2096" s="123"/>
      <c r="BA2096" s="137"/>
      <c r="BB2096" s="123"/>
      <c r="BC2096" s="137"/>
      <c r="BD2096" s="123"/>
      <c r="BE2096" s="38"/>
      <c r="BF2096" s="123"/>
    </row>
    <row r="2097">
      <c r="A2097" s="400" t="s">
        <v>9563</v>
      </c>
      <c r="B2097" s="115"/>
      <c r="C2097" s="115"/>
      <c r="D2097" s="449"/>
      <c r="E2097" s="449"/>
      <c r="F2097" s="402" t="s">
        <v>9564</v>
      </c>
      <c r="G2097" s="119" t="s">
        <v>9565</v>
      </c>
      <c r="H2097" s="286"/>
      <c r="I2097" s="25" t="s">
        <v>129</v>
      </c>
      <c r="J2097" s="120" t="s">
        <v>9566</v>
      </c>
      <c r="K2097" s="25"/>
      <c r="L2097" s="123"/>
      <c r="M2097" s="123"/>
      <c r="N2097" s="123"/>
      <c r="O2097" s="27" t="str">
        <f t="shared" si="3"/>
        <v>#N/A</v>
      </c>
      <c r="P2097" s="55"/>
      <c r="Q2097" s="55"/>
      <c r="R2097" s="55"/>
      <c r="S2097" s="55"/>
      <c r="T2097" s="55"/>
      <c r="U2097" s="55"/>
      <c r="V2097" s="30">
        <f t="shared" si="425"/>
        <v>0</v>
      </c>
      <c r="W2097" s="30"/>
      <c r="X2097" s="403"/>
      <c r="Y2097" s="403"/>
      <c r="Z2097" s="692"/>
      <c r="AA2097" s="665"/>
      <c r="AB2097" s="123"/>
      <c r="AC2097" s="123"/>
      <c r="AD2097" s="452"/>
      <c r="AE2097" s="123"/>
      <c r="AF2097" s="453"/>
      <c r="AG2097" s="123"/>
      <c r="AH2097" s="123"/>
      <c r="AI2097" s="123"/>
      <c r="AJ2097" s="123"/>
      <c r="AK2097" s="123"/>
      <c r="AL2097" s="123"/>
      <c r="AM2097" s="123"/>
      <c r="AN2097" s="123"/>
      <c r="AO2097" s="123"/>
      <c r="AP2097" s="123"/>
      <c r="AQ2097" s="123"/>
      <c r="AR2097" s="123"/>
      <c r="AS2097" s="123"/>
      <c r="AT2097" s="123"/>
      <c r="AU2097" s="137"/>
      <c r="AV2097" s="123"/>
      <c r="AW2097" s="38"/>
      <c r="AX2097" s="123"/>
      <c r="AY2097" s="38"/>
      <c r="AZ2097" s="123"/>
      <c r="BA2097" s="137"/>
      <c r="BB2097" s="123"/>
      <c r="BC2097" s="137"/>
      <c r="BD2097" s="123"/>
      <c r="BE2097" s="38"/>
      <c r="BF2097" s="123"/>
    </row>
    <row r="2098">
      <c r="A2098" s="400" t="s">
        <v>9567</v>
      </c>
      <c r="B2098" s="115"/>
      <c r="C2098" s="115"/>
      <c r="D2098" s="449"/>
      <c r="E2098" s="449"/>
      <c r="F2098" s="402" t="s">
        <v>9568</v>
      </c>
      <c r="G2098" s="119" t="s">
        <v>9569</v>
      </c>
      <c r="H2098" s="286"/>
      <c r="I2098" s="25" t="s">
        <v>2016</v>
      </c>
      <c r="J2098" s="120" t="s">
        <v>9570</v>
      </c>
      <c r="K2098" s="25"/>
      <c r="L2098" s="123"/>
      <c r="M2098" s="123"/>
      <c r="N2098" s="123"/>
      <c r="O2098" s="27" t="str">
        <f t="shared" si="3"/>
        <v>#N/A</v>
      </c>
      <c r="P2098" s="55"/>
      <c r="Q2098" s="55"/>
      <c r="R2098" s="55"/>
      <c r="S2098" s="55"/>
      <c r="T2098" s="55"/>
      <c r="U2098" s="55"/>
      <c r="V2098" s="30">
        <f t="shared" si="425"/>
        <v>0</v>
      </c>
      <c r="W2098" s="30"/>
      <c r="X2098" s="403"/>
      <c r="Y2098" s="403"/>
      <c r="Z2098" s="692"/>
      <c r="AA2098" s="665"/>
      <c r="AB2098" s="123"/>
      <c r="AC2098" s="123"/>
      <c r="AD2098" s="452"/>
      <c r="AE2098" s="123"/>
      <c r="AF2098" s="453"/>
      <c r="AG2098" s="123"/>
      <c r="AH2098" s="123"/>
      <c r="AI2098" s="123"/>
      <c r="AJ2098" s="123"/>
      <c r="AK2098" s="123"/>
      <c r="AL2098" s="123"/>
      <c r="AM2098" s="123"/>
      <c r="AN2098" s="123"/>
      <c r="AO2098" s="123"/>
      <c r="AP2098" s="123"/>
      <c r="AQ2098" s="123"/>
      <c r="AR2098" s="123"/>
      <c r="AS2098" s="123"/>
      <c r="AT2098" s="123"/>
      <c r="AU2098" s="137"/>
      <c r="AV2098" s="123"/>
      <c r="AW2098" s="38"/>
      <c r="AX2098" s="123"/>
      <c r="AY2098" s="38"/>
      <c r="AZ2098" s="123"/>
      <c r="BA2098" s="137"/>
      <c r="BB2098" s="123"/>
      <c r="BC2098" s="137"/>
      <c r="BD2098" s="123"/>
      <c r="BE2098" s="38"/>
      <c r="BF2098" s="123"/>
    </row>
    <row r="2099">
      <c r="A2099" s="400" t="s">
        <v>9571</v>
      </c>
      <c r="B2099" s="115"/>
      <c r="C2099" s="115"/>
      <c r="D2099" s="449"/>
      <c r="E2099" s="449"/>
      <c r="F2099" s="402" t="s">
        <v>9572</v>
      </c>
      <c r="G2099" s="119" t="s">
        <v>9573</v>
      </c>
      <c r="H2099" s="286"/>
      <c r="I2099" s="25" t="s">
        <v>666</v>
      </c>
      <c r="J2099" s="120" t="s">
        <v>779</v>
      </c>
      <c r="K2099" s="25"/>
      <c r="L2099" s="123"/>
      <c r="M2099" s="123"/>
      <c r="N2099" s="123"/>
      <c r="O2099" s="27" t="str">
        <f t="shared" si="3"/>
        <v>#N/A</v>
      </c>
      <c r="P2099" s="55"/>
      <c r="Q2099" s="55"/>
      <c r="R2099" s="55"/>
      <c r="S2099" s="55"/>
      <c r="T2099" s="55"/>
      <c r="U2099" s="55"/>
      <c r="V2099" s="30">
        <f t="shared" si="425"/>
        <v>0</v>
      </c>
      <c r="W2099" s="30"/>
      <c r="X2099" s="403"/>
      <c r="Y2099" s="403"/>
      <c r="Z2099" s="692"/>
      <c r="AA2099" s="665"/>
      <c r="AB2099" s="123"/>
      <c r="AC2099" s="123"/>
      <c r="AD2099" s="452"/>
      <c r="AE2099" s="123"/>
      <c r="AF2099" s="453"/>
      <c r="AG2099" s="123"/>
      <c r="AH2099" s="123"/>
      <c r="AI2099" s="123"/>
      <c r="AJ2099" s="123"/>
      <c r="AK2099" s="123"/>
      <c r="AL2099" s="123"/>
      <c r="AM2099" s="123"/>
      <c r="AN2099" s="123"/>
      <c r="AO2099" s="123"/>
      <c r="AP2099" s="123"/>
      <c r="AQ2099" s="123"/>
      <c r="AR2099" s="123"/>
      <c r="AS2099" s="123"/>
      <c r="AT2099" s="123"/>
      <c r="AU2099" s="137"/>
      <c r="AV2099" s="123"/>
      <c r="AW2099" s="38"/>
      <c r="AX2099" s="123"/>
      <c r="AY2099" s="38"/>
      <c r="AZ2099" s="123"/>
      <c r="BA2099" s="137"/>
      <c r="BB2099" s="123"/>
      <c r="BC2099" s="137"/>
      <c r="BD2099" s="123"/>
      <c r="BE2099" s="38"/>
      <c r="BF2099" s="123"/>
    </row>
    <row r="2100">
      <c r="A2100" s="400" t="s">
        <v>9574</v>
      </c>
      <c r="B2100" s="115"/>
      <c r="C2100" s="115"/>
      <c r="D2100" s="449"/>
      <c r="E2100" s="449"/>
      <c r="F2100" s="402" t="s">
        <v>9575</v>
      </c>
      <c r="G2100" s="119" t="s">
        <v>9576</v>
      </c>
      <c r="H2100" s="286"/>
      <c r="I2100" s="25" t="s">
        <v>1088</v>
      </c>
      <c r="J2100" s="120" t="s">
        <v>9577</v>
      </c>
      <c r="K2100" s="25"/>
      <c r="L2100" s="123"/>
      <c r="M2100" s="123"/>
      <c r="N2100" s="123"/>
      <c r="O2100" s="27" t="str">
        <f t="shared" si="3"/>
        <v>#N/A</v>
      </c>
      <c r="P2100" s="55"/>
      <c r="Q2100" s="55"/>
      <c r="R2100" s="55"/>
      <c r="S2100" s="55"/>
      <c r="T2100" s="55"/>
      <c r="U2100" s="55"/>
      <c r="V2100" s="30">
        <f t="shared" si="425"/>
        <v>0</v>
      </c>
      <c r="W2100" s="30"/>
      <c r="X2100" s="403"/>
      <c r="Y2100" s="403"/>
      <c r="Z2100" s="692"/>
      <c r="AA2100" s="665"/>
      <c r="AB2100" s="123"/>
      <c r="AC2100" s="123"/>
      <c r="AD2100" s="452"/>
      <c r="AE2100" s="123"/>
      <c r="AF2100" s="453"/>
      <c r="AG2100" s="123"/>
      <c r="AH2100" s="123"/>
      <c r="AI2100" s="123"/>
      <c r="AJ2100" s="123"/>
      <c r="AK2100" s="123"/>
      <c r="AL2100" s="123"/>
      <c r="AM2100" s="123"/>
      <c r="AN2100" s="123"/>
      <c r="AO2100" s="123"/>
      <c r="AP2100" s="123"/>
      <c r="AQ2100" s="123"/>
      <c r="AR2100" s="123"/>
      <c r="AS2100" s="123"/>
      <c r="AT2100" s="123"/>
      <c r="AU2100" s="137"/>
      <c r="AV2100" s="123"/>
      <c r="AW2100" s="38"/>
      <c r="AX2100" s="123"/>
      <c r="AY2100" s="38"/>
      <c r="AZ2100" s="123"/>
      <c r="BA2100" s="137"/>
      <c r="BB2100" s="123"/>
      <c r="BC2100" s="137"/>
      <c r="BD2100" s="123"/>
      <c r="BE2100" s="38"/>
      <c r="BF2100" s="123"/>
    </row>
    <row r="2101">
      <c r="A2101" s="400" t="s">
        <v>9578</v>
      </c>
      <c r="B2101" s="115"/>
      <c r="C2101" s="115"/>
      <c r="D2101" s="449"/>
      <c r="E2101" s="449"/>
      <c r="F2101" s="402" t="s">
        <v>9579</v>
      </c>
      <c r="G2101" s="119" t="s">
        <v>9580</v>
      </c>
      <c r="H2101" s="286"/>
      <c r="I2101" s="25" t="s">
        <v>129</v>
      </c>
      <c r="J2101" s="120" t="s">
        <v>7589</v>
      </c>
      <c r="K2101" s="25"/>
      <c r="L2101" s="123"/>
      <c r="M2101" s="123"/>
      <c r="N2101" s="123"/>
      <c r="O2101" s="27" t="str">
        <f t="shared" si="3"/>
        <v>#N/A</v>
      </c>
      <c r="P2101" s="55"/>
      <c r="Q2101" s="55"/>
      <c r="R2101" s="55"/>
      <c r="S2101" s="55"/>
      <c r="T2101" s="55"/>
      <c r="U2101" s="55"/>
      <c r="V2101" s="30">
        <f t="shared" si="425"/>
        <v>0</v>
      </c>
      <c r="W2101" s="30"/>
      <c r="X2101" s="403"/>
      <c r="Y2101" s="403"/>
      <c r="Z2101" s="692"/>
      <c r="AA2101" s="665"/>
      <c r="AB2101" s="123"/>
      <c r="AC2101" s="123"/>
      <c r="AD2101" s="452"/>
      <c r="AE2101" s="123"/>
      <c r="AF2101" s="453"/>
      <c r="AG2101" s="123"/>
      <c r="AH2101" s="123"/>
      <c r="AI2101" s="123"/>
      <c r="AJ2101" s="123"/>
      <c r="AK2101" s="123"/>
      <c r="AL2101" s="123"/>
      <c r="AM2101" s="123"/>
      <c r="AN2101" s="123"/>
      <c r="AO2101" s="123"/>
      <c r="AP2101" s="123"/>
      <c r="AQ2101" s="123"/>
      <c r="AR2101" s="123"/>
      <c r="AS2101" s="123"/>
      <c r="AT2101" s="123"/>
      <c r="AU2101" s="137"/>
      <c r="AV2101" s="123"/>
      <c r="AW2101" s="38"/>
      <c r="AX2101" s="123"/>
      <c r="AY2101" s="38"/>
      <c r="AZ2101" s="123"/>
      <c r="BA2101" s="137"/>
      <c r="BB2101" s="123"/>
      <c r="BC2101" s="137"/>
      <c r="BD2101" s="123"/>
      <c r="BE2101" s="38"/>
      <c r="BF2101" s="123"/>
    </row>
    <row r="2102">
      <c r="A2102" s="400" t="s">
        <v>9581</v>
      </c>
      <c r="B2102" s="115"/>
      <c r="C2102" s="115"/>
      <c r="D2102" s="449"/>
      <c r="E2102" s="449"/>
      <c r="F2102" s="402" t="s">
        <v>9582</v>
      </c>
      <c r="G2102" s="119" t="s">
        <v>9583</v>
      </c>
      <c r="H2102" s="286"/>
      <c r="I2102" s="25" t="s">
        <v>65</v>
      </c>
      <c r="J2102" s="120" t="s">
        <v>9584</v>
      </c>
      <c r="K2102" s="25"/>
      <c r="L2102" s="123"/>
      <c r="M2102" s="123"/>
      <c r="N2102" s="123"/>
      <c r="O2102" s="27" t="str">
        <f t="shared" si="3"/>
        <v>#N/A</v>
      </c>
      <c r="P2102" s="55"/>
      <c r="Q2102" s="55"/>
      <c r="R2102" s="55"/>
      <c r="S2102" s="55"/>
      <c r="T2102" s="55"/>
      <c r="U2102" s="55"/>
      <c r="V2102" s="30">
        <f t="shared" si="425"/>
        <v>0</v>
      </c>
      <c r="W2102" s="30"/>
      <c r="X2102" s="403"/>
      <c r="Y2102" s="403"/>
      <c r="Z2102" s="692"/>
      <c r="AA2102" s="665"/>
      <c r="AB2102" s="123"/>
      <c r="AC2102" s="123"/>
      <c r="AD2102" s="452"/>
      <c r="AE2102" s="123"/>
      <c r="AF2102" s="453"/>
      <c r="AG2102" s="123"/>
      <c r="AH2102" s="123"/>
      <c r="AI2102" s="123"/>
      <c r="AJ2102" s="123"/>
      <c r="AK2102" s="123"/>
      <c r="AL2102" s="123"/>
      <c r="AM2102" s="123"/>
      <c r="AN2102" s="123"/>
      <c r="AO2102" s="123"/>
      <c r="AP2102" s="123"/>
      <c r="AQ2102" s="123"/>
      <c r="AR2102" s="123"/>
      <c r="AS2102" s="123"/>
      <c r="AT2102" s="123"/>
      <c r="AU2102" s="137"/>
      <c r="AV2102" s="123"/>
      <c r="AW2102" s="38"/>
      <c r="AX2102" s="123"/>
      <c r="AY2102" s="38"/>
      <c r="AZ2102" s="123"/>
      <c r="BA2102" s="137"/>
      <c r="BB2102" s="123"/>
      <c r="BC2102" s="137"/>
      <c r="BD2102" s="123"/>
      <c r="BE2102" s="38"/>
      <c r="BF2102" s="123"/>
    </row>
    <row r="2103">
      <c r="A2103" s="400" t="s">
        <v>9585</v>
      </c>
      <c r="B2103" s="115"/>
      <c r="C2103" s="115"/>
      <c r="D2103" s="449"/>
      <c r="E2103" s="449"/>
      <c r="F2103" s="161" t="s">
        <v>9586</v>
      </c>
      <c r="G2103" s="119" t="s">
        <v>9587</v>
      </c>
      <c r="H2103" s="286"/>
      <c r="I2103" s="25" t="s">
        <v>65</v>
      </c>
      <c r="J2103" s="120" t="s">
        <v>242</v>
      </c>
      <c r="K2103" s="25"/>
      <c r="L2103" s="123"/>
      <c r="M2103" s="123"/>
      <c r="N2103" s="123"/>
      <c r="O2103" s="27" t="str">
        <f t="shared" si="3"/>
        <v>#N/A</v>
      </c>
      <c r="P2103" s="55"/>
      <c r="Q2103" s="55"/>
      <c r="R2103" s="55"/>
      <c r="S2103" s="55"/>
      <c r="T2103" s="55"/>
      <c r="U2103" s="55"/>
      <c r="V2103" s="30">
        <f t="shared" si="425"/>
        <v>0</v>
      </c>
      <c r="W2103" s="30"/>
      <c r="X2103" s="403"/>
      <c r="Y2103" s="403"/>
      <c r="Z2103" s="692"/>
      <c r="AA2103" s="665"/>
      <c r="AB2103" s="123"/>
      <c r="AC2103" s="123"/>
      <c r="AD2103" s="452"/>
      <c r="AE2103" s="123"/>
      <c r="AF2103" s="453"/>
      <c r="AG2103" s="123"/>
      <c r="AH2103" s="123"/>
      <c r="AI2103" s="123"/>
      <c r="AJ2103" s="123"/>
      <c r="AK2103" s="123"/>
      <c r="AL2103" s="123"/>
      <c r="AM2103" s="123"/>
      <c r="AN2103" s="123"/>
      <c r="AO2103" s="123"/>
      <c r="AP2103" s="123"/>
      <c r="AQ2103" s="123"/>
      <c r="AR2103" s="123"/>
      <c r="AS2103" s="123"/>
      <c r="AT2103" s="123"/>
      <c r="AU2103" s="137"/>
      <c r="AV2103" s="123"/>
      <c r="AW2103" s="38"/>
      <c r="AX2103" s="123"/>
      <c r="AY2103" s="38"/>
      <c r="AZ2103" s="123"/>
      <c r="BA2103" s="137"/>
      <c r="BB2103" s="123"/>
      <c r="BC2103" s="137"/>
      <c r="BD2103" s="123"/>
      <c r="BE2103" s="38"/>
      <c r="BF2103" s="123"/>
    </row>
    <row r="2104">
      <c r="A2104" s="400" t="s">
        <v>9588</v>
      </c>
      <c r="B2104" s="115"/>
      <c r="C2104" s="115"/>
      <c r="D2104" s="449"/>
      <c r="E2104" s="449"/>
      <c r="F2104" s="402" t="s">
        <v>9589</v>
      </c>
      <c r="G2104" s="119" t="s">
        <v>9590</v>
      </c>
      <c r="H2104" s="286"/>
      <c r="I2104" s="25" t="s">
        <v>129</v>
      </c>
      <c r="J2104" s="120" t="s">
        <v>2873</v>
      </c>
      <c r="K2104" s="25"/>
      <c r="L2104" s="123"/>
      <c r="M2104" s="123"/>
      <c r="N2104" s="123"/>
      <c r="O2104" s="27" t="str">
        <f t="shared" si="3"/>
        <v>#N/A</v>
      </c>
      <c r="P2104" s="55"/>
      <c r="Q2104" s="55"/>
      <c r="R2104" s="55"/>
      <c r="S2104" s="55"/>
      <c r="T2104" s="55"/>
      <c r="U2104" s="55"/>
      <c r="V2104" s="30">
        <f t="shared" si="425"/>
        <v>0</v>
      </c>
      <c r="W2104" s="30"/>
      <c r="X2104" s="403"/>
      <c r="Y2104" s="403"/>
      <c r="Z2104" s="692"/>
      <c r="AA2104" s="665"/>
      <c r="AB2104" s="123"/>
      <c r="AC2104" s="123"/>
      <c r="AD2104" s="452"/>
      <c r="AE2104" s="123"/>
      <c r="AF2104" s="453"/>
      <c r="AG2104" s="123"/>
      <c r="AH2104" s="123"/>
      <c r="AI2104" s="123"/>
      <c r="AJ2104" s="123"/>
      <c r="AK2104" s="123"/>
      <c r="AL2104" s="123"/>
      <c r="AM2104" s="123"/>
      <c r="AN2104" s="123"/>
      <c r="AO2104" s="123"/>
      <c r="AP2104" s="123"/>
      <c r="AQ2104" s="123"/>
      <c r="AR2104" s="123"/>
      <c r="AS2104" s="123"/>
      <c r="AT2104" s="123"/>
      <c r="AU2104" s="137"/>
      <c r="AV2104" s="123"/>
      <c r="AW2104" s="38"/>
      <c r="AX2104" s="123"/>
      <c r="AY2104" s="38"/>
      <c r="AZ2104" s="123"/>
      <c r="BA2104" s="137"/>
      <c r="BB2104" s="123"/>
      <c r="BC2104" s="137"/>
      <c r="BD2104" s="123"/>
      <c r="BE2104" s="38"/>
      <c r="BF2104" s="123"/>
    </row>
    <row r="2105">
      <c r="A2105" s="400" t="s">
        <v>9591</v>
      </c>
      <c r="B2105" s="115"/>
      <c r="C2105" s="115"/>
      <c r="D2105" s="449"/>
      <c r="E2105" s="449"/>
      <c r="F2105" s="402" t="s">
        <v>9592</v>
      </c>
      <c r="G2105" s="119" t="s">
        <v>9593</v>
      </c>
      <c r="H2105" s="286"/>
      <c r="I2105" s="25" t="s">
        <v>65</v>
      </c>
      <c r="J2105" s="120" t="s">
        <v>9594</v>
      </c>
      <c r="K2105" s="25"/>
      <c r="L2105" s="123"/>
      <c r="M2105" s="123"/>
      <c r="N2105" s="123"/>
      <c r="O2105" s="27" t="str">
        <f t="shared" si="3"/>
        <v>#N/A</v>
      </c>
      <c r="P2105" s="55"/>
      <c r="Q2105" s="55"/>
      <c r="R2105" s="55"/>
      <c r="S2105" s="55"/>
      <c r="T2105" s="55"/>
      <c r="U2105" s="55"/>
      <c r="V2105" s="30">
        <f t="shared" si="425"/>
        <v>0</v>
      </c>
      <c r="W2105" s="30"/>
      <c r="X2105" s="403"/>
      <c r="Y2105" s="403"/>
      <c r="Z2105" s="692"/>
      <c r="AA2105" s="665"/>
      <c r="AB2105" s="123"/>
      <c r="AC2105" s="123"/>
      <c r="AD2105" s="452"/>
      <c r="AE2105" s="123"/>
      <c r="AF2105" s="453"/>
      <c r="AG2105" s="123"/>
      <c r="AH2105" s="123"/>
      <c r="AI2105" s="123"/>
      <c r="AJ2105" s="123"/>
      <c r="AK2105" s="123"/>
      <c r="AL2105" s="123"/>
      <c r="AM2105" s="123"/>
      <c r="AN2105" s="123"/>
      <c r="AO2105" s="123"/>
      <c r="AP2105" s="123"/>
      <c r="AQ2105" s="123"/>
      <c r="AR2105" s="123"/>
      <c r="AS2105" s="123"/>
      <c r="AT2105" s="123"/>
      <c r="AU2105" s="137"/>
      <c r="AV2105" s="123"/>
      <c r="AW2105" s="38"/>
      <c r="AX2105" s="123"/>
      <c r="AY2105" s="38"/>
      <c r="AZ2105" s="123"/>
      <c r="BA2105" s="137"/>
      <c r="BB2105" s="123"/>
      <c r="BC2105" s="137"/>
      <c r="BD2105" s="123"/>
      <c r="BE2105" s="38"/>
      <c r="BF2105" s="123"/>
    </row>
    <row r="2106">
      <c r="A2106" s="400" t="s">
        <v>9595</v>
      </c>
      <c r="B2106" s="115"/>
      <c r="C2106" s="115"/>
      <c r="D2106" s="449"/>
      <c r="E2106" s="449"/>
      <c r="F2106" s="402" t="s">
        <v>9596</v>
      </c>
      <c r="G2106" s="119" t="s">
        <v>9597</v>
      </c>
      <c r="H2106" s="286"/>
      <c r="I2106" s="25" t="s">
        <v>129</v>
      </c>
      <c r="J2106" s="120" t="s">
        <v>9200</v>
      </c>
      <c r="K2106" s="25"/>
      <c r="L2106" s="123"/>
      <c r="M2106" s="123"/>
      <c r="N2106" s="123"/>
      <c r="O2106" s="27" t="str">
        <f t="shared" si="3"/>
        <v>#N/A</v>
      </c>
      <c r="P2106" s="55"/>
      <c r="Q2106" s="55"/>
      <c r="R2106" s="55"/>
      <c r="S2106" s="55"/>
      <c r="T2106" s="55"/>
      <c r="U2106" s="55"/>
      <c r="V2106" s="30">
        <f t="shared" si="425"/>
        <v>0</v>
      </c>
      <c r="W2106" s="30"/>
      <c r="X2106" s="403"/>
      <c r="Y2106" s="403"/>
      <c r="Z2106" s="692"/>
      <c r="AA2106" s="665"/>
      <c r="AB2106" s="123"/>
      <c r="AC2106" s="123"/>
      <c r="AD2106" s="452"/>
      <c r="AE2106" s="123"/>
      <c r="AF2106" s="453"/>
      <c r="AG2106" s="123"/>
      <c r="AH2106" s="123"/>
      <c r="AI2106" s="123"/>
      <c r="AJ2106" s="123"/>
      <c r="AK2106" s="123"/>
      <c r="AL2106" s="123"/>
      <c r="AM2106" s="123"/>
      <c r="AN2106" s="123"/>
      <c r="AO2106" s="123"/>
      <c r="AP2106" s="123"/>
      <c r="AQ2106" s="123"/>
      <c r="AR2106" s="123"/>
      <c r="AS2106" s="123"/>
      <c r="AT2106" s="123"/>
      <c r="AU2106" s="137"/>
      <c r="AV2106" s="123"/>
      <c r="AW2106" s="38"/>
      <c r="AX2106" s="123"/>
      <c r="AY2106" s="38"/>
      <c r="AZ2106" s="123"/>
      <c r="BA2106" s="137"/>
      <c r="BB2106" s="123"/>
      <c r="BC2106" s="137"/>
      <c r="BD2106" s="123"/>
      <c r="BE2106" s="38"/>
      <c r="BF2106" s="123"/>
    </row>
    <row r="2107">
      <c r="A2107" s="400" t="s">
        <v>9598</v>
      </c>
      <c r="B2107" s="115"/>
      <c r="C2107" s="115"/>
      <c r="D2107" s="449"/>
      <c r="E2107" s="449"/>
      <c r="F2107" s="402" t="s">
        <v>9599</v>
      </c>
      <c r="G2107" s="119" t="s">
        <v>9600</v>
      </c>
      <c r="H2107" s="286"/>
      <c r="I2107" s="25" t="s">
        <v>272</v>
      </c>
      <c r="J2107" s="120" t="s">
        <v>3853</v>
      </c>
      <c r="K2107" s="25"/>
      <c r="L2107" s="123"/>
      <c r="M2107" s="123"/>
      <c r="N2107" s="123"/>
      <c r="O2107" s="27" t="str">
        <f t="shared" si="3"/>
        <v>#N/A</v>
      </c>
      <c r="P2107" s="55"/>
      <c r="Q2107" s="55"/>
      <c r="R2107" s="55"/>
      <c r="S2107" s="55"/>
      <c r="T2107" s="55"/>
      <c r="U2107" s="55"/>
      <c r="V2107" s="30">
        <f t="shared" si="425"/>
        <v>0</v>
      </c>
      <c r="W2107" s="30"/>
      <c r="X2107" s="403"/>
      <c r="Y2107" s="403"/>
      <c r="Z2107" s="692"/>
      <c r="AA2107" s="665"/>
      <c r="AB2107" s="123"/>
      <c r="AC2107" s="123"/>
      <c r="AD2107" s="452"/>
      <c r="AE2107" s="123"/>
      <c r="AF2107" s="453"/>
      <c r="AG2107" s="123"/>
      <c r="AH2107" s="123"/>
      <c r="AI2107" s="123"/>
      <c r="AJ2107" s="123"/>
      <c r="AK2107" s="123"/>
      <c r="AL2107" s="123"/>
      <c r="AM2107" s="123"/>
      <c r="AN2107" s="123"/>
      <c r="AO2107" s="123"/>
      <c r="AP2107" s="123"/>
      <c r="AQ2107" s="123"/>
      <c r="AR2107" s="123"/>
      <c r="AS2107" s="123"/>
      <c r="AT2107" s="123"/>
      <c r="AU2107" s="137"/>
      <c r="AV2107" s="123"/>
      <c r="AW2107" s="38"/>
      <c r="AX2107" s="123"/>
      <c r="AY2107" s="38"/>
      <c r="AZ2107" s="123"/>
      <c r="BA2107" s="137"/>
      <c r="BB2107" s="123"/>
      <c r="BC2107" s="137"/>
      <c r="BD2107" s="123"/>
      <c r="BE2107" s="38"/>
      <c r="BF2107" s="123"/>
    </row>
    <row r="2108">
      <c r="A2108" s="400" t="s">
        <v>9601</v>
      </c>
      <c r="B2108" s="115"/>
      <c r="C2108" s="115"/>
      <c r="D2108" s="449"/>
      <c r="E2108" s="449"/>
      <c r="F2108" s="402" t="s">
        <v>9602</v>
      </c>
      <c r="G2108" s="119" t="s">
        <v>9603</v>
      </c>
      <c r="H2108" s="286"/>
      <c r="I2108" s="25" t="s">
        <v>188</v>
      </c>
      <c r="J2108" s="120" t="s">
        <v>5914</v>
      </c>
      <c r="K2108" s="25"/>
      <c r="L2108" s="123"/>
      <c r="M2108" s="123"/>
      <c r="N2108" s="123"/>
      <c r="O2108" s="27" t="str">
        <f t="shared" si="3"/>
        <v>#N/A</v>
      </c>
      <c r="P2108" s="55"/>
      <c r="Q2108" s="55"/>
      <c r="R2108" s="55"/>
      <c r="S2108" s="55"/>
      <c r="T2108" s="55"/>
      <c r="U2108" s="55"/>
      <c r="V2108" s="30">
        <f t="shared" si="425"/>
        <v>0</v>
      </c>
      <c r="W2108" s="30"/>
      <c r="X2108" s="403"/>
      <c r="Y2108" s="403"/>
      <c r="Z2108" s="692"/>
      <c r="AA2108" s="665"/>
      <c r="AB2108" s="123"/>
      <c r="AC2108" s="123"/>
      <c r="AD2108" s="452"/>
      <c r="AE2108" s="123"/>
      <c r="AF2108" s="453"/>
      <c r="AG2108" s="123"/>
      <c r="AH2108" s="123"/>
      <c r="AI2108" s="123"/>
      <c r="AJ2108" s="123"/>
      <c r="AK2108" s="123"/>
      <c r="AL2108" s="123"/>
      <c r="AM2108" s="123"/>
      <c r="AN2108" s="123"/>
      <c r="AO2108" s="123"/>
      <c r="AP2108" s="123"/>
      <c r="AQ2108" s="123"/>
      <c r="AR2108" s="123"/>
      <c r="AS2108" s="123"/>
      <c r="AT2108" s="123"/>
      <c r="AU2108" s="137"/>
      <c r="AV2108" s="123"/>
      <c r="AW2108" s="38"/>
      <c r="AX2108" s="123"/>
      <c r="AY2108" s="38"/>
      <c r="AZ2108" s="123"/>
      <c r="BA2108" s="137"/>
      <c r="BB2108" s="123"/>
      <c r="BC2108" s="137"/>
      <c r="BD2108" s="123"/>
      <c r="BE2108" s="38"/>
      <c r="BF2108" s="123"/>
    </row>
    <row r="2109">
      <c r="A2109" s="400" t="s">
        <v>9604</v>
      </c>
      <c r="B2109" s="115"/>
      <c r="C2109" s="115"/>
      <c r="D2109" s="449"/>
      <c r="E2109" s="449"/>
      <c r="F2109" s="402" t="s">
        <v>9605</v>
      </c>
      <c r="G2109" s="119" t="s">
        <v>9606</v>
      </c>
      <c r="H2109" s="286"/>
      <c r="I2109" s="25" t="s">
        <v>129</v>
      </c>
      <c r="J2109" s="120" t="s">
        <v>798</v>
      </c>
      <c r="K2109" s="25"/>
      <c r="L2109" s="123"/>
      <c r="M2109" s="123"/>
      <c r="N2109" s="123"/>
      <c r="O2109" s="27" t="str">
        <f t="shared" si="3"/>
        <v>#N/A</v>
      </c>
      <c r="P2109" s="55"/>
      <c r="Q2109" s="55"/>
      <c r="R2109" s="55"/>
      <c r="S2109" s="55"/>
      <c r="T2109" s="55"/>
      <c r="U2109" s="55"/>
      <c r="V2109" s="30">
        <f t="shared" si="425"/>
        <v>0</v>
      </c>
      <c r="W2109" s="30"/>
      <c r="X2109" s="403"/>
      <c r="Y2109" s="403"/>
      <c r="Z2109" s="692"/>
      <c r="AA2109" s="665"/>
      <c r="AB2109" s="123"/>
      <c r="AC2109" s="123"/>
      <c r="AD2109" s="452"/>
      <c r="AE2109" s="123"/>
      <c r="AF2109" s="453"/>
      <c r="AG2109" s="123"/>
      <c r="AH2109" s="123"/>
      <c r="AI2109" s="123"/>
      <c r="AJ2109" s="123"/>
      <c r="AK2109" s="123"/>
      <c r="AL2109" s="123"/>
      <c r="AM2109" s="123"/>
      <c r="AN2109" s="123"/>
      <c r="AO2109" s="123"/>
      <c r="AP2109" s="123"/>
      <c r="AQ2109" s="123"/>
      <c r="AR2109" s="123"/>
      <c r="AS2109" s="123"/>
      <c r="AT2109" s="123"/>
      <c r="AU2109" s="137"/>
      <c r="AV2109" s="123"/>
      <c r="AW2109" s="38"/>
      <c r="AX2109" s="123"/>
      <c r="AY2109" s="38"/>
      <c r="AZ2109" s="123"/>
      <c r="BA2109" s="137"/>
      <c r="BB2109" s="123"/>
      <c r="BC2109" s="137"/>
      <c r="BD2109" s="123"/>
      <c r="BE2109" s="38"/>
      <c r="BF2109" s="123"/>
    </row>
    <row r="2110">
      <c r="A2110" s="400" t="s">
        <v>9607</v>
      </c>
      <c r="B2110" s="115"/>
      <c r="C2110" s="115"/>
      <c r="D2110" s="449"/>
      <c r="E2110" s="449"/>
      <c r="F2110" s="402" t="s">
        <v>9608</v>
      </c>
      <c r="G2110" s="119" t="s">
        <v>9609</v>
      </c>
      <c r="H2110" s="25" t="s">
        <v>99</v>
      </c>
      <c r="I2110" s="54" t="s">
        <v>100</v>
      </c>
      <c r="J2110" s="120" t="s">
        <v>4554</v>
      </c>
      <c r="K2110" s="25"/>
      <c r="L2110" s="123"/>
      <c r="M2110" s="123"/>
      <c r="N2110" s="123"/>
      <c r="O2110" s="27" t="str">
        <f t="shared" si="3"/>
        <v>#N/A</v>
      </c>
      <c r="P2110" s="55"/>
      <c r="Q2110" s="55"/>
      <c r="R2110" s="55"/>
      <c r="S2110" s="55"/>
      <c r="T2110" s="55"/>
      <c r="U2110" s="55"/>
      <c r="V2110" s="30">
        <f t="shared" si="425"/>
        <v>0</v>
      </c>
      <c r="W2110" s="30"/>
      <c r="X2110" s="403"/>
      <c r="Y2110" s="403"/>
      <c r="Z2110" s="692"/>
      <c r="AA2110" s="665"/>
      <c r="AB2110" s="123"/>
      <c r="AC2110" s="123"/>
      <c r="AD2110" s="452"/>
      <c r="AE2110" s="123"/>
      <c r="AF2110" s="453"/>
      <c r="AG2110" s="123"/>
      <c r="AH2110" s="123"/>
      <c r="AI2110" s="123"/>
      <c r="AJ2110" s="123"/>
      <c r="AK2110" s="123"/>
      <c r="AL2110" s="123"/>
      <c r="AM2110" s="123"/>
      <c r="AN2110" s="123"/>
      <c r="AO2110" s="123"/>
      <c r="AP2110" s="123"/>
      <c r="AQ2110" s="123"/>
      <c r="AR2110" s="123"/>
      <c r="AS2110" s="123"/>
      <c r="AT2110" s="123"/>
      <c r="AU2110" s="137"/>
      <c r="AV2110" s="123"/>
      <c r="AW2110" s="38"/>
      <c r="AX2110" s="123"/>
      <c r="AY2110" s="38"/>
      <c r="AZ2110" s="123"/>
      <c r="BA2110" s="137"/>
      <c r="BB2110" s="123"/>
      <c r="BC2110" s="137"/>
      <c r="BD2110" s="123"/>
      <c r="BE2110" s="38"/>
      <c r="BF2110" s="123"/>
    </row>
    <row r="2111">
      <c r="A2111" s="400" t="s">
        <v>9610</v>
      </c>
      <c r="B2111" s="115"/>
      <c r="C2111" s="115"/>
      <c r="D2111" s="449"/>
      <c r="E2111" s="449"/>
      <c r="F2111" s="402" t="s">
        <v>9611</v>
      </c>
      <c r="G2111" s="119" t="s">
        <v>9612</v>
      </c>
      <c r="H2111" s="286"/>
      <c r="I2111" s="25" t="s">
        <v>1029</v>
      </c>
      <c r="J2111" s="120" t="s">
        <v>9613</v>
      </c>
      <c r="K2111" s="25"/>
      <c r="L2111" s="123"/>
      <c r="M2111" s="123"/>
      <c r="N2111" s="123"/>
      <c r="O2111" s="27" t="str">
        <f t="shared" si="3"/>
        <v>#N/A</v>
      </c>
      <c r="P2111" s="55"/>
      <c r="Q2111" s="55"/>
      <c r="R2111" s="55"/>
      <c r="S2111" s="55"/>
      <c r="T2111" s="55"/>
      <c r="U2111" s="55"/>
      <c r="V2111" s="30">
        <f t="shared" si="425"/>
        <v>0</v>
      </c>
      <c r="W2111" s="30"/>
      <c r="X2111" s="403"/>
      <c r="Y2111" s="403"/>
      <c r="Z2111" s="692"/>
      <c r="AA2111" s="665"/>
      <c r="AB2111" s="123"/>
      <c r="AC2111" s="123"/>
      <c r="AD2111" s="452"/>
      <c r="AE2111" s="123"/>
      <c r="AF2111" s="453"/>
      <c r="AG2111" s="123"/>
      <c r="AH2111" s="123"/>
      <c r="AI2111" s="123"/>
      <c r="AJ2111" s="123"/>
      <c r="AK2111" s="123"/>
      <c r="AL2111" s="123"/>
      <c r="AM2111" s="123"/>
      <c r="AN2111" s="123"/>
      <c r="AO2111" s="123"/>
      <c r="AP2111" s="123"/>
      <c r="AQ2111" s="123"/>
      <c r="AR2111" s="123"/>
      <c r="AS2111" s="123"/>
      <c r="AT2111" s="123"/>
      <c r="AU2111" s="137"/>
      <c r="AV2111" s="123"/>
      <c r="AW2111" s="38"/>
      <c r="AX2111" s="123"/>
      <c r="AY2111" s="38"/>
      <c r="AZ2111" s="123"/>
      <c r="BA2111" s="137"/>
      <c r="BB2111" s="123"/>
      <c r="BC2111" s="137"/>
      <c r="BD2111" s="123"/>
      <c r="BE2111" s="38"/>
      <c r="BF2111" s="123"/>
    </row>
    <row r="2112">
      <c r="A2112" s="400" t="s">
        <v>9614</v>
      </c>
      <c r="B2112" s="115"/>
      <c r="C2112" s="116" t="s">
        <v>76</v>
      </c>
      <c r="D2112" s="449"/>
      <c r="E2112" s="161" t="s">
        <v>9615</v>
      </c>
      <c r="F2112" s="708" t="s">
        <v>9616</v>
      </c>
      <c r="G2112" s="286"/>
      <c r="H2112" s="119" t="s">
        <v>9617</v>
      </c>
      <c r="I2112" s="25" t="s">
        <v>100</v>
      </c>
      <c r="J2112" s="287"/>
      <c r="K2112" s="25">
        <v>1.0</v>
      </c>
      <c r="L2112" s="25">
        <v>2010.0</v>
      </c>
      <c r="M2112" s="123"/>
      <c r="N2112" s="123"/>
      <c r="O2112" s="27" t="str">
        <f t="shared" si="3"/>
        <v>#N/A</v>
      </c>
      <c r="P2112" s="55"/>
      <c r="Q2112" s="55"/>
      <c r="R2112" s="55"/>
      <c r="S2112" s="55"/>
      <c r="T2112" s="55"/>
      <c r="U2112" s="55"/>
      <c r="V2112" s="30">
        <f t="shared" si="425"/>
        <v>0</v>
      </c>
      <c r="W2112" s="30"/>
      <c r="X2112" s="403"/>
      <c r="Y2112" s="403"/>
      <c r="Z2112" s="692"/>
      <c r="AA2112" s="665"/>
      <c r="AB2112" s="123"/>
      <c r="AC2112" s="123"/>
      <c r="AD2112" s="452"/>
      <c r="AE2112" s="123"/>
      <c r="AF2112" s="62">
        <v>43435.0</v>
      </c>
      <c r="AG2112" s="123"/>
      <c r="AH2112" s="123"/>
      <c r="AI2112" s="123"/>
      <c r="AJ2112" s="404">
        <v>44860.0</v>
      </c>
      <c r="AK2112" s="123"/>
      <c r="AL2112" s="123"/>
      <c r="AM2112" s="123"/>
      <c r="AN2112" s="123"/>
      <c r="AO2112" s="123"/>
      <c r="AP2112" s="123"/>
      <c r="AQ2112" s="123"/>
      <c r="AR2112" s="123"/>
      <c r="AS2112" s="123"/>
      <c r="AT2112" s="123"/>
      <c r="AU2112" s="137"/>
      <c r="AV2112" s="123"/>
      <c r="AW2112" s="38"/>
      <c r="AX2112" s="123"/>
      <c r="AY2112" s="38"/>
      <c r="AZ2112" s="123"/>
      <c r="BA2112" s="137"/>
      <c r="BB2112" s="123"/>
      <c r="BC2112" s="137"/>
      <c r="BD2112" s="123"/>
      <c r="BE2112" s="38"/>
      <c r="BF2112" s="123"/>
    </row>
    <row r="2113">
      <c r="A2113" s="400" t="s">
        <v>9618</v>
      </c>
      <c r="B2113" s="115"/>
      <c r="C2113" s="116" t="s">
        <v>427</v>
      </c>
      <c r="D2113" s="401" t="s">
        <v>9619</v>
      </c>
      <c r="E2113" s="401" t="s">
        <v>9620</v>
      </c>
      <c r="F2113" s="708" t="s">
        <v>9621</v>
      </c>
      <c r="G2113" s="286"/>
      <c r="H2113" s="119" t="s">
        <v>114</v>
      </c>
      <c r="I2113" s="25" t="s">
        <v>115</v>
      </c>
      <c r="J2113" s="287"/>
      <c r="K2113" s="25">
        <v>1.0</v>
      </c>
      <c r="L2113" s="25">
        <v>2015.0</v>
      </c>
      <c r="M2113" s="123"/>
      <c r="N2113" s="123"/>
      <c r="O2113" s="27" t="str">
        <f t="shared" si="3"/>
        <v>#N/A</v>
      </c>
      <c r="P2113" s="55"/>
      <c r="Q2113" s="55"/>
      <c r="R2113" s="55"/>
      <c r="S2113" s="55"/>
      <c r="T2113" s="55"/>
      <c r="U2113" s="55"/>
      <c r="V2113" s="30">
        <f t="shared" si="425"/>
        <v>0</v>
      </c>
      <c r="W2113" s="30"/>
      <c r="X2113" s="403"/>
      <c r="Y2113" s="403"/>
      <c r="Z2113" s="692"/>
      <c r="AA2113" s="665"/>
      <c r="AB2113" s="123"/>
      <c r="AC2113" s="123"/>
      <c r="AD2113" s="404">
        <v>44121.0</v>
      </c>
      <c r="AE2113" s="123"/>
      <c r="AF2113" s="62">
        <v>44865.0</v>
      </c>
      <c r="AG2113" s="123"/>
      <c r="AH2113" s="123"/>
      <c r="AI2113" s="123"/>
      <c r="AJ2113" s="123"/>
      <c r="AK2113" s="123"/>
      <c r="AL2113" s="123"/>
      <c r="AM2113" s="123"/>
      <c r="AN2113" s="123"/>
      <c r="AO2113" s="123"/>
      <c r="AP2113" s="123"/>
      <c r="AQ2113" s="123"/>
      <c r="AR2113" s="123"/>
      <c r="AS2113" s="123"/>
      <c r="AT2113" s="123"/>
      <c r="AU2113" s="137"/>
      <c r="AV2113" s="123"/>
      <c r="AW2113" s="38"/>
      <c r="AX2113" s="123"/>
      <c r="AY2113" s="38"/>
      <c r="AZ2113" s="123"/>
      <c r="BA2113" s="137"/>
      <c r="BB2113" s="404">
        <v>43656.0</v>
      </c>
      <c r="BC2113" s="137"/>
      <c r="BD2113" s="123"/>
      <c r="BE2113" s="38"/>
      <c r="BF2113" s="123"/>
    </row>
    <row r="2114">
      <c r="A2114" s="400" t="s">
        <v>9622</v>
      </c>
      <c r="B2114" s="115"/>
      <c r="C2114" s="116" t="s">
        <v>84</v>
      </c>
      <c r="D2114" s="401" t="s">
        <v>9623</v>
      </c>
      <c r="E2114" s="161" t="s">
        <v>9624</v>
      </c>
      <c r="F2114" s="402" t="s">
        <v>9625</v>
      </c>
      <c r="G2114" s="286"/>
      <c r="H2114" s="119" t="s">
        <v>3247</v>
      </c>
      <c r="I2114" s="25" t="s">
        <v>792</v>
      </c>
      <c r="J2114" s="287"/>
      <c r="K2114" s="25">
        <v>3.0</v>
      </c>
      <c r="L2114" s="25">
        <v>2017.0</v>
      </c>
      <c r="M2114" s="123"/>
      <c r="N2114" s="123"/>
      <c r="O2114" s="27" t="str">
        <f t="shared" si="3"/>
        <v>#N/A</v>
      </c>
      <c r="P2114" s="55"/>
      <c r="Q2114" s="55"/>
      <c r="R2114" s="55"/>
      <c r="S2114" s="55"/>
      <c r="T2114" s="55"/>
      <c r="U2114" s="55"/>
      <c r="V2114" s="30">
        <f t="shared" si="425"/>
        <v>0</v>
      </c>
      <c r="W2114" s="30"/>
      <c r="X2114" s="403"/>
      <c r="Y2114" s="403"/>
      <c r="Z2114" s="692"/>
      <c r="AA2114" s="665"/>
      <c r="AB2114" s="123"/>
      <c r="AC2114" s="123"/>
      <c r="AD2114" s="355"/>
      <c r="AE2114" s="38"/>
      <c r="AF2114" s="355"/>
      <c r="AG2114" s="38"/>
      <c r="AH2114" s="123"/>
      <c r="AI2114" s="123"/>
      <c r="AJ2114" s="123"/>
      <c r="AK2114" s="38"/>
      <c r="AL2114" s="123"/>
      <c r="AM2114" s="123"/>
      <c r="AN2114" s="123"/>
      <c r="AO2114" s="123"/>
      <c r="AP2114" s="123"/>
      <c r="AQ2114" s="123"/>
      <c r="AR2114" s="123"/>
      <c r="AS2114" s="123"/>
      <c r="AT2114" s="123"/>
      <c r="AU2114" s="137"/>
      <c r="AV2114" s="123"/>
      <c r="AW2114" s="38"/>
      <c r="AX2114" s="123"/>
      <c r="AY2114" s="38"/>
      <c r="AZ2114" s="404">
        <v>44879.0</v>
      </c>
      <c r="BA2114" s="137"/>
      <c r="BB2114" s="123"/>
      <c r="BC2114" s="137"/>
      <c r="BD2114" s="123"/>
      <c r="BE2114" s="38"/>
      <c r="BF2114" s="123"/>
    </row>
    <row r="2115">
      <c r="A2115" s="400" t="s">
        <v>9626</v>
      </c>
      <c r="B2115" s="115"/>
      <c r="C2115" s="116" t="s">
        <v>132</v>
      </c>
      <c r="D2115" s="449"/>
      <c r="E2115" s="401" t="s">
        <v>9627</v>
      </c>
      <c r="F2115" s="708" t="s">
        <v>9628</v>
      </c>
      <c r="G2115" s="286"/>
      <c r="H2115" s="119" t="s">
        <v>114</v>
      </c>
      <c r="I2115" s="25" t="s">
        <v>115</v>
      </c>
      <c r="J2115" s="287"/>
      <c r="K2115" s="123"/>
      <c r="L2115" s="25">
        <v>2020.0</v>
      </c>
      <c r="M2115" s="123"/>
      <c r="N2115" s="123"/>
      <c r="O2115" s="27" t="str">
        <f t="shared" si="3"/>
        <v>#N/A</v>
      </c>
      <c r="P2115" s="55"/>
      <c r="Q2115" s="55"/>
      <c r="R2115" s="55"/>
      <c r="S2115" s="55"/>
      <c r="T2115" s="55"/>
      <c r="U2115" s="55"/>
      <c r="V2115" s="30">
        <f t="shared" si="425"/>
        <v>0</v>
      </c>
      <c r="W2115" s="30"/>
      <c r="X2115" s="403"/>
      <c r="Y2115" s="403"/>
      <c r="Z2115" s="692"/>
      <c r="AA2115" s="665"/>
      <c r="AB2115" s="123"/>
      <c r="AC2115" s="123"/>
      <c r="AD2115" s="355"/>
      <c r="AE2115" s="38"/>
      <c r="AF2115" s="62">
        <v>44882.0</v>
      </c>
      <c r="AG2115" s="38"/>
      <c r="AH2115" s="123"/>
      <c r="AI2115" s="123"/>
      <c r="AJ2115" s="123"/>
      <c r="AK2115" s="123"/>
      <c r="AL2115" s="123"/>
      <c r="AM2115" s="123"/>
      <c r="AN2115" s="123"/>
      <c r="AO2115" s="123"/>
      <c r="AP2115" s="123"/>
      <c r="AQ2115" s="123"/>
      <c r="AR2115" s="123"/>
      <c r="AS2115" s="123"/>
      <c r="AT2115" s="123"/>
      <c r="AU2115" s="137"/>
      <c r="AV2115" s="123"/>
      <c r="AW2115" s="38"/>
      <c r="AX2115" s="123"/>
      <c r="AY2115" s="38"/>
      <c r="AZ2115" s="123"/>
      <c r="BA2115" s="137"/>
      <c r="BB2115" s="123"/>
      <c r="BC2115" s="137"/>
      <c r="BD2115" s="123"/>
      <c r="BE2115" s="38"/>
      <c r="BF2115" s="123"/>
    </row>
    <row r="2116">
      <c r="A2116" s="47" t="s">
        <v>9629</v>
      </c>
      <c r="C2116" s="48" t="s">
        <v>84</v>
      </c>
      <c r="D2116" s="351"/>
      <c r="E2116" s="49" t="s">
        <v>9630</v>
      </c>
      <c r="F2116" s="352" t="s">
        <v>9631</v>
      </c>
      <c r="G2116" s="353"/>
      <c r="H2116" s="53" t="s">
        <v>4529</v>
      </c>
      <c r="I2116" s="54" t="s">
        <v>2111</v>
      </c>
      <c r="J2116" s="55"/>
      <c r="K2116" s="54">
        <v>2.0</v>
      </c>
      <c r="L2116" s="56">
        <v>2012.0</v>
      </c>
      <c r="M2116" s="55"/>
      <c r="N2116" s="55"/>
      <c r="O2116" s="27" t="str">
        <f t="shared" si="3"/>
        <v>#N/A</v>
      </c>
      <c r="P2116" s="55"/>
      <c r="Q2116" s="55"/>
      <c r="R2116" s="55"/>
      <c r="S2116" s="55"/>
      <c r="T2116" s="55"/>
      <c r="U2116" s="55"/>
      <c r="V2116" s="30">
        <f t="shared" si="425"/>
        <v>0</v>
      </c>
      <c r="W2116" s="30"/>
      <c r="X2116" s="58"/>
      <c r="Y2116" s="58"/>
      <c r="Z2116" s="692"/>
      <c r="AA2116" s="665"/>
      <c r="AB2116" s="55"/>
      <c r="AC2116" s="55"/>
      <c r="AD2116" s="355"/>
      <c r="AE2116" s="55"/>
      <c r="AF2116" s="355"/>
      <c r="AG2116" s="38"/>
      <c r="AH2116" s="55"/>
      <c r="AI2116" s="55"/>
      <c r="AJ2116" s="55"/>
      <c r="AK2116" s="55"/>
      <c r="AL2116" s="55"/>
      <c r="AM2116" s="55"/>
      <c r="AN2116" s="55"/>
      <c r="AO2116" s="55"/>
      <c r="AP2116" s="356"/>
      <c r="AQ2116" s="356"/>
      <c r="AR2116" s="55"/>
      <c r="AS2116" s="55"/>
      <c r="AT2116" s="55"/>
      <c r="AU2116" s="722"/>
      <c r="AV2116" s="55"/>
      <c r="AW2116" s="38"/>
      <c r="AX2116" s="55"/>
      <c r="AY2116" s="38"/>
      <c r="AZ2116" s="62">
        <v>44903.0</v>
      </c>
      <c r="BA2116" s="722"/>
      <c r="BB2116" s="55"/>
      <c r="BC2116" s="722"/>
      <c r="BD2116" s="55"/>
      <c r="BE2116" s="38"/>
      <c r="BF2116" s="55"/>
    </row>
    <row r="2117">
      <c r="A2117" s="47" t="s">
        <v>9632</v>
      </c>
      <c r="C2117" s="48" t="s">
        <v>76</v>
      </c>
      <c r="D2117" s="351"/>
      <c r="E2117" s="49" t="s">
        <v>9633</v>
      </c>
      <c r="F2117" s="749" t="s">
        <v>9634</v>
      </c>
      <c r="G2117" s="353"/>
      <c r="H2117" s="53" t="s">
        <v>2674</v>
      </c>
      <c r="I2117" s="54" t="s">
        <v>772</v>
      </c>
      <c r="J2117" s="55"/>
      <c r="K2117" s="55"/>
      <c r="L2117" s="56">
        <v>2022.0</v>
      </c>
      <c r="M2117" s="55"/>
      <c r="N2117" s="55"/>
      <c r="O2117" s="27" t="str">
        <f t="shared" si="3"/>
        <v>#N/A</v>
      </c>
      <c r="P2117" s="55"/>
      <c r="Q2117" s="55"/>
      <c r="R2117" s="55"/>
      <c r="S2117" s="55"/>
      <c r="T2117" s="55"/>
      <c r="U2117" s="55"/>
      <c r="V2117" s="30">
        <f t="shared" si="425"/>
        <v>0</v>
      </c>
      <c r="W2117" s="30"/>
      <c r="X2117" s="58"/>
      <c r="Y2117" s="58"/>
      <c r="Z2117" s="692"/>
      <c r="AA2117" s="665"/>
      <c r="AB2117" s="55"/>
      <c r="AC2117" s="55"/>
      <c r="AD2117" s="453"/>
      <c r="AE2117" s="38"/>
      <c r="AF2117" s="355"/>
      <c r="AG2117" s="38"/>
      <c r="AH2117" s="55"/>
      <c r="AI2117" s="38"/>
      <c r="AJ2117" s="62">
        <v>44959.0</v>
      </c>
      <c r="AK2117" s="38"/>
      <c r="AL2117" s="55"/>
      <c r="AM2117" s="38"/>
      <c r="AN2117" s="55"/>
      <c r="AO2117" s="38"/>
      <c r="AP2117" s="356"/>
      <c r="AQ2117" s="38"/>
      <c r="AR2117" s="55"/>
      <c r="AS2117" s="38"/>
      <c r="AT2117" s="55"/>
      <c r="AU2117" s="38"/>
      <c r="AV2117" s="55"/>
      <c r="AW2117" s="38"/>
      <c r="AX2117" s="55"/>
      <c r="AY2117" s="38"/>
      <c r="AZ2117" s="55"/>
      <c r="BA2117" s="38"/>
      <c r="BB2117" s="55"/>
      <c r="BC2117" s="38"/>
      <c r="BD2117" s="55"/>
      <c r="BE2117" s="38"/>
      <c r="BF2117" s="55"/>
    </row>
    <row r="2118">
      <c r="A2118" s="47" t="s">
        <v>9635</v>
      </c>
      <c r="D2118" s="351"/>
      <c r="E2118" s="49" t="s">
        <v>9636</v>
      </c>
      <c r="F2118" s="352" t="s">
        <v>9637</v>
      </c>
      <c r="G2118" s="353"/>
      <c r="H2118" s="53" t="s">
        <v>6201</v>
      </c>
      <c r="I2118" s="48" t="s">
        <v>65</v>
      </c>
      <c r="J2118" s="55"/>
      <c r="K2118" s="55"/>
      <c r="L2118" s="961"/>
      <c r="M2118" s="55"/>
      <c r="N2118" s="55"/>
      <c r="O2118" s="27" t="str">
        <f t="shared" si="3"/>
        <v>#N/A</v>
      </c>
      <c r="P2118" s="55"/>
      <c r="Q2118" s="55"/>
      <c r="R2118" s="55"/>
      <c r="S2118" s="55"/>
      <c r="T2118" s="55"/>
      <c r="U2118" s="55"/>
      <c r="V2118" s="30">
        <f t="shared" si="425"/>
        <v>0</v>
      </c>
      <c r="W2118" s="30"/>
      <c r="X2118" s="58"/>
      <c r="Y2118" s="58"/>
      <c r="Z2118" s="692"/>
      <c r="AA2118" s="665"/>
      <c r="AB2118" s="55"/>
      <c r="AC2118" s="55"/>
      <c r="AD2118" s="453"/>
      <c r="AE2118" s="38"/>
      <c r="AF2118" s="355"/>
      <c r="AG2118" s="38"/>
      <c r="AH2118" s="55"/>
      <c r="AI2118" s="38"/>
      <c r="AJ2118" s="55"/>
      <c r="AK2118" s="38"/>
      <c r="AL2118" s="55"/>
      <c r="AM2118" s="38"/>
      <c r="AN2118" s="55"/>
      <c r="AO2118" s="38"/>
      <c r="AP2118" s="356"/>
      <c r="AQ2118" s="38"/>
      <c r="AR2118" s="55"/>
      <c r="AS2118" s="38"/>
      <c r="AT2118" s="55"/>
      <c r="AU2118" s="38"/>
      <c r="AV2118" s="55"/>
      <c r="AW2118" s="38"/>
      <c r="AX2118" s="55"/>
      <c r="AY2118" s="38"/>
      <c r="AZ2118" s="55"/>
      <c r="BA2118" s="38"/>
      <c r="BB2118" s="55"/>
      <c r="BC2118" s="38"/>
      <c r="BD2118" s="55"/>
      <c r="BE2118" s="38"/>
      <c r="BF2118" s="55"/>
    </row>
    <row r="2119">
      <c r="A2119" s="47" t="s">
        <v>9638</v>
      </c>
      <c r="C2119" s="48" t="s">
        <v>76</v>
      </c>
      <c r="D2119" s="351"/>
      <c r="E2119" s="617" t="s">
        <v>9639</v>
      </c>
      <c r="F2119" s="352" t="s">
        <v>9640</v>
      </c>
      <c r="G2119" s="353"/>
      <c r="H2119" s="53" t="s">
        <v>64</v>
      </c>
      <c r="I2119" s="54" t="s">
        <v>65</v>
      </c>
      <c r="J2119" s="55"/>
      <c r="K2119" s="55"/>
      <c r="L2119" s="961"/>
      <c r="M2119" s="55"/>
      <c r="N2119" s="55"/>
      <c r="O2119" s="27" t="str">
        <f t="shared" si="3"/>
        <v>#N/A</v>
      </c>
      <c r="P2119" s="55"/>
      <c r="Q2119" s="55"/>
      <c r="R2119" s="55"/>
      <c r="S2119" s="55"/>
      <c r="T2119" s="55"/>
      <c r="U2119" s="55"/>
      <c r="V2119" s="30">
        <f t="shared" si="425"/>
        <v>0</v>
      </c>
      <c r="W2119" s="30"/>
      <c r="X2119" s="58"/>
      <c r="Y2119" s="58"/>
      <c r="Z2119" s="692"/>
      <c r="AA2119" s="665"/>
      <c r="AB2119" s="55"/>
      <c r="AC2119" s="55"/>
      <c r="AD2119" s="355"/>
      <c r="AE2119" s="38"/>
      <c r="AF2119" s="62">
        <v>44964.0</v>
      </c>
      <c r="AG2119" s="38"/>
      <c r="AH2119" s="55"/>
      <c r="AI2119" s="38"/>
      <c r="AJ2119" s="55"/>
      <c r="AK2119" s="38"/>
      <c r="AL2119" s="55"/>
      <c r="AM2119" s="38"/>
      <c r="AN2119" s="55"/>
      <c r="AO2119" s="38"/>
      <c r="AP2119" s="356"/>
      <c r="AQ2119" s="38"/>
      <c r="AR2119" s="55"/>
      <c r="AS2119" s="38"/>
      <c r="AT2119" s="55"/>
      <c r="AU2119" s="38"/>
      <c r="AV2119" s="55"/>
      <c r="AW2119" s="38"/>
      <c r="AX2119" s="55"/>
      <c r="AY2119" s="38"/>
      <c r="AZ2119" s="55"/>
      <c r="BA2119" s="38"/>
      <c r="BB2119" s="55"/>
      <c r="BC2119" s="38"/>
      <c r="BD2119" s="55"/>
      <c r="BE2119" s="38"/>
      <c r="BF2119" s="55"/>
    </row>
    <row r="2120">
      <c r="A2120" s="47" t="s">
        <v>9641</v>
      </c>
      <c r="C2120" s="48" t="s">
        <v>68</v>
      </c>
      <c r="D2120" s="351"/>
      <c r="E2120" s="617" t="s">
        <v>9642</v>
      </c>
      <c r="F2120" s="749" t="s">
        <v>9643</v>
      </c>
      <c r="G2120" s="353"/>
      <c r="H2120" s="53" t="s">
        <v>9644</v>
      </c>
      <c r="I2120" s="54" t="s">
        <v>2010</v>
      </c>
      <c r="J2120" s="55"/>
      <c r="K2120" s="54">
        <v>3.0</v>
      </c>
      <c r="L2120" s="56">
        <v>2021.0</v>
      </c>
      <c r="M2120" s="55"/>
      <c r="N2120" s="55"/>
      <c r="O2120" s="27" t="str">
        <f t="shared" si="3"/>
        <v>#N/A</v>
      </c>
      <c r="P2120" s="55"/>
      <c r="Q2120" s="55"/>
      <c r="R2120" s="55"/>
      <c r="S2120" s="55"/>
      <c r="T2120" s="55"/>
      <c r="U2120" s="55"/>
      <c r="V2120" s="30">
        <f t="shared" si="425"/>
        <v>0</v>
      </c>
      <c r="W2120" s="30"/>
      <c r="X2120" s="58"/>
      <c r="Y2120" s="58"/>
      <c r="Z2120" s="692"/>
      <c r="AA2120" s="665"/>
      <c r="AB2120" s="55"/>
      <c r="AC2120" s="55"/>
      <c r="AD2120" s="355"/>
      <c r="AE2120" s="38"/>
      <c r="AF2120" s="355"/>
      <c r="AG2120" s="38"/>
      <c r="AH2120" s="55"/>
      <c r="AI2120" s="38"/>
      <c r="AJ2120" s="55"/>
      <c r="AK2120" s="38"/>
      <c r="AL2120" s="55"/>
      <c r="AM2120" s="38"/>
      <c r="AN2120" s="55"/>
      <c r="AO2120" s="38"/>
      <c r="AP2120" s="356"/>
      <c r="AQ2120" s="38"/>
      <c r="AR2120" s="55"/>
      <c r="AS2120" s="38"/>
      <c r="AT2120" s="55"/>
      <c r="AU2120" s="38"/>
      <c r="AV2120" s="55"/>
      <c r="AW2120" s="38"/>
      <c r="AX2120" s="55"/>
      <c r="AY2120" s="38"/>
      <c r="AZ2120" s="62">
        <v>44999.0</v>
      </c>
      <c r="BA2120" s="38"/>
      <c r="BB2120" s="55"/>
      <c r="BC2120" s="38"/>
      <c r="BD2120" s="55"/>
      <c r="BE2120" s="38"/>
      <c r="BF2120" s="55"/>
    </row>
    <row r="2121">
      <c r="A2121" s="47" t="s">
        <v>9645</v>
      </c>
      <c r="C2121" s="48" t="s">
        <v>76</v>
      </c>
      <c r="D2121" s="351"/>
      <c r="E2121" s="49" t="s">
        <v>9646</v>
      </c>
      <c r="F2121" s="352" t="s">
        <v>9647</v>
      </c>
      <c r="G2121" s="353"/>
      <c r="H2121" s="53" t="s">
        <v>9648</v>
      </c>
      <c r="I2121" s="54" t="s">
        <v>639</v>
      </c>
      <c r="J2121" s="55"/>
      <c r="K2121" s="54">
        <v>2.0</v>
      </c>
      <c r="L2121" s="56">
        <v>2017.0</v>
      </c>
      <c r="M2121" s="55"/>
      <c r="N2121" s="55"/>
      <c r="O2121" s="27" t="str">
        <f t="shared" si="3"/>
        <v>#N/A</v>
      </c>
      <c r="P2121" s="55"/>
      <c r="Q2121" s="55"/>
      <c r="R2121" s="55"/>
      <c r="S2121" s="55"/>
      <c r="T2121" s="55"/>
      <c r="U2121" s="55"/>
      <c r="V2121" s="30">
        <f t="shared" si="425"/>
        <v>0</v>
      </c>
      <c r="W2121" s="30"/>
      <c r="X2121" s="58"/>
      <c r="Y2121" s="58"/>
      <c r="Z2121" s="692"/>
      <c r="AA2121" s="665"/>
      <c r="AB2121" s="55"/>
      <c r="AC2121" s="55"/>
      <c r="AD2121" s="355"/>
      <c r="AE2121" s="38"/>
      <c r="AF2121" s="355"/>
      <c r="AG2121" s="38"/>
      <c r="AH2121" s="55"/>
      <c r="AI2121" s="38"/>
      <c r="AJ2121" s="55"/>
      <c r="AK2121" s="38"/>
      <c r="AL2121" s="55"/>
      <c r="AM2121" s="38"/>
      <c r="AN2121" s="55"/>
      <c r="AO2121" s="38"/>
      <c r="AP2121" s="356"/>
      <c r="AQ2121" s="38"/>
      <c r="AR2121" s="55"/>
      <c r="AS2121" s="38"/>
      <c r="AT2121" s="55"/>
      <c r="AU2121" s="38"/>
      <c r="AV2121" s="55"/>
      <c r="AW2121" s="38"/>
      <c r="AX2121" s="55"/>
      <c r="AY2121" s="38"/>
      <c r="AZ2121" s="62">
        <v>45005.0</v>
      </c>
      <c r="BA2121" s="38"/>
      <c r="BB2121" s="55"/>
      <c r="BC2121" s="38"/>
      <c r="BD2121" s="55"/>
      <c r="BE2121" s="38"/>
      <c r="BF2121" s="55"/>
    </row>
    <row r="2122">
      <c r="A2122" s="47" t="s">
        <v>9649</v>
      </c>
      <c r="C2122" s="48" t="s">
        <v>1007</v>
      </c>
      <c r="D2122" s="351"/>
      <c r="E2122" s="617" t="s">
        <v>9650</v>
      </c>
      <c r="F2122" s="352" t="s">
        <v>9651</v>
      </c>
      <c r="G2122" s="353"/>
      <c r="H2122" s="53" t="s">
        <v>271</v>
      </c>
      <c r="I2122" s="54" t="s">
        <v>272</v>
      </c>
      <c r="J2122" s="55"/>
      <c r="K2122" s="54">
        <v>2.0</v>
      </c>
      <c r="L2122" s="56">
        <v>2017.0</v>
      </c>
      <c r="M2122" s="55"/>
      <c r="N2122" s="55"/>
      <c r="O2122" s="27" t="str">
        <f t="shared" si="3"/>
        <v>#N/A</v>
      </c>
      <c r="P2122" s="55"/>
      <c r="Q2122" s="55"/>
      <c r="R2122" s="55"/>
      <c r="S2122" s="55"/>
      <c r="T2122" s="55"/>
      <c r="U2122" s="55"/>
      <c r="V2122" s="30">
        <f t="shared" si="425"/>
        <v>0</v>
      </c>
      <c r="W2122" s="30"/>
      <c r="X2122" s="58"/>
      <c r="Y2122" s="58"/>
      <c r="Z2122" s="692"/>
      <c r="AA2122" s="665"/>
      <c r="AB2122" s="55"/>
      <c r="AC2122" s="55"/>
      <c r="AD2122" s="355"/>
      <c r="AE2122" s="38"/>
      <c r="AF2122" s="355"/>
      <c r="AG2122" s="38"/>
      <c r="AH2122" s="55"/>
      <c r="AI2122" s="38"/>
      <c r="AJ2122" s="55"/>
      <c r="AK2122" s="38"/>
      <c r="AL2122" s="55"/>
      <c r="AM2122" s="38"/>
      <c r="AN2122" s="55"/>
      <c r="AO2122" s="38"/>
      <c r="AP2122" s="356"/>
      <c r="AQ2122" s="38"/>
      <c r="AR2122" s="55"/>
      <c r="AS2122" s="38"/>
      <c r="AT2122" s="55"/>
      <c r="AU2122" s="38"/>
      <c r="AV2122" s="55"/>
      <c r="AW2122" s="38"/>
      <c r="AX2122" s="55"/>
      <c r="AY2122" s="38"/>
      <c r="AZ2122" s="62">
        <v>45013.0</v>
      </c>
      <c r="BA2122" s="38"/>
      <c r="BB2122" s="55"/>
      <c r="BC2122" s="38"/>
      <c r="BD2122" s="55"/>
      <c r="BE2122" s="38"/>
      <c r="BF2122" s="55"/>
    </row>
    <row r="2123">
      <c r="A2123" s="47" t="s">
        <v>9652</v>
      </c>
      <c r="C2123" s="48" t="s">
        <v>84</v>
      </c>
      <c r="D2123" s="351"/>
      <c r="E2123" s="49" t="s">
        <v>9653</v>
      </c>
      <c r="F2123" s="352" t="s">
        <v>9654</v>
      </c>
      <c r="G2123" s="353"/>
      <c r="H2123" s="53" t="s">
        <v>9655</v>
      </c>
      <c r="I2123" s="54" t="s">
        <v>753</v>
      </c>
      <c r="J2123" s="55"/>
      <c r="K2123" s="55"/>
      <c r="L2123" s="56">
        <v>2018.0</v>
      </c>
      <c r="M2123" s="55"/>
      <c r="N2123" s="55"/>
      <c r="O2123" s="27" t="str">
        <f t="shared" si="3"/>
        <v>#N/A</v>
      </c>
      <c r="P2123" s="55"/>
      <c r="Q2123" s="55"/>
      <c r="R2123" s="55"/>
      <c r="S2123" s="55"/>
      <c r="T2123" s="55"/>
      <c r="U2123" s="55"/>
      <c r="V2123" s="30">
        <f t="shared" si="425"/>
        <v>16400000</v>
      </c>
      <c r="W2123" s="30"/>
      <c r="X2123" s="58"/>
      <c r="Y2123" s="58"/>
      <c r="Z2123" s="692"/>
      <c r="AA2123" s="665"/>
      <c r="AB2123" s="55"/>
      <c r="AC2123" s="55"/>
      <c r="AD2123" s="355"/>
      <c r="AE2123" s="38"/>
      <c r="AF2123" s="62">
        <v>43992.0</v>
      </c>
      <c r="AG2123" s="38"/>
      <c r="AH2123" s="55"/>
      <c r="AI2123" s="38"/>
      <c r="AJ2123" s="62">
        <v>45020.0</v>
      </c>
      <c r="AK2123" s="38">
        <v>1.64E7</v>
      </c>
      <c r="AL2123" s="55"/>
      <c r="AM2123" s="38"/>
      <c r="AN2123" s="55"/>
      <c r="AO2123" s="38"/>
      <c r="AP2123" s="356"/>
      <c r="AQ2123" s="38"/>
      <c r="AR2123" s="55"/>
      <c r="AS2123" s="38"/>
      <c r="AT2123" s="55"/>
      <c r="AU2123" s="38"/>
      <c r="AV2123" s="55"/>
      <c r="AW2123" s="38"/>
      <c r="AX2123" s="55"/>
      <c r="AY2123" s="38"/>
      <c r="AZ2123" s="55"/>
      <c r="BA2123" s="38"/>
      <c r="BB2123" s="55"/>
      <c r="BC2123" s="38"/>
      <c r="BD2123" s="55"/>
      <c r="BE2123" s="38"/>
      <c r="BF2123" s="55"/>
    </row>
    <row r="2124">
      <c r="A2124" s="47" t="s">
        <v>9656</v>
      </c>
      <c r="C2124" s="48" t="s">
        <v>84</v>
      </c>
      <c r="D2124" s="617" t="s">
        <v>9657</v>
      </c>
      <c r="E2124" s="49" t="s">
        <v>9658</v>
      </c>
      <c r="F2124" s="352" t="s">
        <v>9659</v>
      </c>
      <c r="G2124" s="353"/>
      <c r="H2124" s="53" t="s">
        <v>328</v>
      </c>
      <c r="I2124" s="54" t="s">
        <v>329</v>
      </c>
      <c r="J2124" s="55"/>
      <c r="K2124" s="54">
        <v>1.0</v>
      </c>
      <c r="L2124" s="56">
        <v>2018.0</v>
      </c>
      <c r="M2124" s="55"/>
      <c r="N2124" s="55"/>
      <c r="O2124" s="27" t="str">
        <f t="shared" si="3"/>
        <v>#N/A</v>
      </c>
      <c r="P2124" s="55"/>
      <c r="Q2124" s="55"/>
      <c r="R2124" s="55"/>
      <c r="S2124" s="55"/>
      <c r="T2124" s="55"/>
      <c r="U2124" s="55"/>
      <c r="V2124" s="30">
        <f t="shared" si="425"/>
        <v>14600000</v>
      </c>
      <c r="W2124" s="30"/>
      <c r="X2124" s="58"/>
      <c r="Y2124" s="58"/>
      <c r="Z2124" s="692"/>
      <c r="AA2124" s="665"/>
      <c r="AB2124" s="55"/>
      <c r="AC2124" s="55"/>
      <c r="AD2124" s="355"/>
      <c r="AE2124" s="38"/>
      <c r="AF2124" s="62">
        <v>45019.0</v>
      </c>
      <c r="AG2124" s="38">
        <v>1.46E7</v>
      </c>
      <c r="AH2124" s="55"/>
      <c r="AI2124" s="38"/>
      <c r="AJ2124" s="55"/>
      <c r="AK2124" s="38"/>
      <c r="AL2124" s="55"/>
      <c r="AM2124" s="38"/>
      <c r="AN2124" s="55"/>
      <c r="AO2124" s="38"/>
      <c r="AP2124" s="356"/>
      <c r="AQ2124" s="38"/>
      <c r="AR2124" s="55"/>
      <c r="AS2124" s="38"/>
      <c r="AT2124" s="55"/>
      <c r="AU2124" s="38"/>
      <c r="AV2124" s="55"/>
      <c r="AW2124" s="38"/>
      <c r="AX2124" s="55"/>
      <c r="AY2124" s="38"/>
      <c r="AZ2124" s="55"/>
      <c r="BA2124" s="38"/>
      <c r="BB2124" s="55"/>
      <c r="BC2124" s="38"/>
      <c r="BD2124" s="55"/>
      <c r="BE2124" s="38"/>
      <c r="BF2124" s="55"/>
    </row>
    <row r="2125">
      <c r="A2125" s="47" t="s">
        <v>9660</v>
      </c>
      <c r="C2125" s="48" t="s">
        <v>132</v>
      </c>
      <c r="D2125" s="351"/>
      <c r="E2125" s="617" t="s">
        <v>9661</v>
      </c>
      <c r="F2125" s="352" t="s">
        <v>9662</v>
      </c>
      <c r="G2125" s="353"/>
      <c r="H2125" s="53" t="s">
        <v>99</v>
      </c>
      <c r="I2125" s="54" t="s">
        <v>100</v>
      </c>
      <c r="J2125" s="55"/>
      <c r="K2125" s="54">
        <v>1.0</v>
      </c>
      <c r="L2125" s="56">
        <v>2016.0</v>
      </c>
      <c r="M2125" s="55"/>
      <c r="N2125" s="55"/>
      <c r="O2125" s="27" t="str">
        <f t="shared" si="3"/>
        <v>#N/A</v>
      </c>
      <c r="P2125" s="55"/>
      <c r="Q2125" s="55"/>
      <c r="R2125" s="55"/>
      <c r="S2125" s="55"/>
      <c r="T2125" s="55"/>
      <c r="U2125" s="55"/>
      <c r="V2125" s="30">
        <f t="shared" si="425"/>
        <v>6500000</v>
      </c>
      <c r="W2125" s="30"/>
      <c r="X2125" s="58"/>
      <c r="Y2125" s="58"/>
      <c r="Z2125" s="692"/>
      <c r="AA2125" s="665"/>
      <c r="AB2125" s="55"/>
      <c r="AC2125" s="55"/>
      <c r="AD2125" s="355"/>
      <c r="AE2125" s="38"/>
      <c r="AF2125" s="62">
        <v>43374.0</v>
      </c>
      <c r="AG2125" s="38"/>
      <c r="AH2125" s="55"/>
      <c r="AI2125" s="38"/>
      <c r="AJ2125" s="62">
        <v>45019.0</v>
      </c>
      <c r="AK2125" s="38">
        <v>6500000.0</v>
      </c>
      <c r="AL2125" s="55"/>
      <c r="AM2125" s="38"/>
      <c r="AN2125" s="55"/>
      <c r="AO2125" s="38"/>
      <c r="AP2125" s="356"/>
      <c r="AQ2125" s="38"/>
      <c r="AR2125" s="55"/>
      <c r="AS2125" s="38"/>
      <c r="AT2125" s="55"/>
      <c r="AU2125" s="38"/>
      <c r="AV2125" s="55"/>
      <c r="AW2125" s="38"/>
      <c r="AX2125" s="55"/>
      <c r="AY2125" s="38"/>
      <c r="AZ2125" s="55"/>
      <c r="BA2125" s="38"/>
      <c r="BB2125" s="55"/>
      <c r="BC2125" s="38"/>
      <c r="BD2125" s="55"/>
      <c r="BE2125" s="38"/>
      <c r="BF2125" s="55"/>
    </row>
    <row r="2126">
      <c r="A2126" s="47" t="s">
        <v>9663</v>
      </c>
      <c r="C2126" s="48" t="s">
        <v>68</v>
      </c>
      <c r="D2126" s="49" t="s">
        <v>9664</v>
      </c>
      <c r="E2126" s="49" t="s">
        <v>9665</v>
      </c>
      <c r="F2126" s="352" t="s">
        <v>9666</v>
      </c>
      <c r="G2126" s="353"/>
      <c r="H2126" s="53" t="s">
        <v>2860</v>
      </c>
      <c r="I2126" s="54" t="s">
        <v>65</v>
      </c>
      <c r="J2126" s="55"/>
      <c r="K2126" s="55"/>
      <c r="L2126" s="56">
        <v>2022.0</v>
      </c>
      <c r="M2126" s="55"/>
      <c r="N2126" s="55"/>
      <c r="O2126" s="27" t="str">
        <f t="shared" si="3"/>
        <v>#N/A</v>
      </c>
      <c r="P2126" s="55"/>
      <c r="Q2126" s="55"/>
      <c r="R2126" s="55"/>
      <c r="S2126" s="55"/>
      <c r="T2126" s="55"/>
      <c r="U2126" s="55"/>
      <c r="V2126" s="30">
        <f t="shared" si="425"/>
        <v>4700000</v>
      </c>
      <c r="W2126" s="30"/>
      <c r="X2126" s="58"/>
      <c r="Y2126" s="58"/>
      <c r="Z2126" s="692"/>
      <c r="AA2126" s="665"/>
      <c r="AB2126" s="55"/>
      <c r="AC2126" s="55"/>
      <c r="AD2126" s="355"/>
      <c r="AE2126" s="38"/>
      <c r="AF2126" s="62">
        <v>45022.0</v>
      </c>
      <c r="AG2126" s="38">
        <v>4700000.0</v>
      </c>
      <c r="AH2126" s="55"/>
      <c r="AI2126" s="38"/>
      <c r="AJ2126" s="55"/>
      <c r="AK2126" s="38"/>
      <c r="AL2126" s="55"/>
      <c r="AM2126" s="38"/>
      <c r="AN2126" s="55"/>
      <c r="AO2126" s="38"/>
      <c r="AP2126" s="356"/>
      <c r="AQ2126" s="38"/>
      <c r="AR2126" s="55"/>
      <c r="AS2126" s="38"/>
      <c r="AT2126" s="55"/>
      <c r="AU2126" s="38"/>
      <c r="AV2126" s="55"/>
      <c r="AW2126" s="38"/>
      <c r="AX2126" s="55"/>
      <c r="AY2126" s="38"/>
      <c r="AZ2126" s="55"/>
      <c r="BA2126" s="38"/>
      <c r="BB2126" s="55"/>
      <c r="BC2126" s="38"/>
      <c r="BD2126" s="55"/>
      <c r="BE2126" s="38"/>
      <c r="BF2126" s="55"/>
    </row>
    <row r="2127">
      <c r="A2127" s="47" t="s">
        <v>9667</v>
      </c>
      <c r="C2127" s="48" t="s">
        <v>132</v>
      </c>
      <c r="D2127" s="617" t="s">
        <v>9668</v>
      </c>
      <c r="E2127" s="617" t="s">
        <v>9669</v>
      </c>
      <c r="F2127" s="749" t="s">
        <v>9670</v>
      </c>
      <c r="G2127" s="353"/>
      <c r="H2127" s="53" t="s">
        <v>1065</v>
      </c>
      <c r="I2127" s="54" t="s">
        <v>639</v>
      </c>
      <c r="J2127" s="55"/>
      <c r="K2127" s="54">
        <v>3.0</v>
      </c>
      <c r="L2127" s="56">
        <v>2019.0</v>
      </c>
      <c r="M2127" s="55"/>
      <c r="N2127" s="55"/>
      <c r="O2127" s="27" t="str">
        <f t="shared" si="3"/>
        <v>#N/A</v>
      </c>
      <c r="P2127" s="55"/>
      <c r="Q2127" s="55"/>
      <c r="R2127" s="55"/>
      <c r="S2127" s="55"/>
      <c r="T2127" s="55"/>
      <c r="U2127" s="55"/>
      <c r="V2127" s="30">
        <f t="shared" si="425"/>
        <v>3200000</v>
      </c>
      <c r="W2127" s="30"/>
      <c r="X2127" s="58"/>
      <c r="Y2127" s="58"/>
      <c r="Z2127" s="692"/>
      <c r="AA2127" s="665"/>
      <c r="AB2127" s="55"/>
      <c r="AC2127" s="55"/>
      <c r="AD2127" s="62">
        <v>45016.0</v>
      </c>
      <c r="AE2127" s="38">
        <v>3200000.0</v>
      </c>
      <c r="AF2127" s="355"/>
      <c r="AG2127" s="38"/>
      <c r="AH2127" s="55"/>
      <c r="AI2127" s="38"/>
      <c r="AJ2127" s="55"/>
      <c r="AK2127" s="38"/>
      <c r="AL2127" s="55"/>
      <c r="AM2127" s="38"/>
      <c r="AN2127" s="55"/>
      <c r="AO2127" s="38"/>
      <c r="AP2127" s="356"/>
      <c r="AQ2127" s="38"/>
      <c r="AR2127" s="55"/>
      <c r="AS2127" s="38"/>
      <c r="AT2127" s="55"/>
      <c r="AU2127" s="38"/>
      <c r="AV2127" s="55"/>
      <c r="AW2127" s="38"/>
      <c r="AX2127" s="55"/>
      <c r="AY2127" s="38"/>
      <c r="AZ2127" s="55"/>
      <c r="BA2127" s="38"/>
      <c r="BB2127" s="55"/>
      <c r="BC2127" s="38"/>
      <c r="BD2127" s="55"/>
      <c r="BE2127" s="38"/>
      <c r="BF2127" s="55"/>
    </row>
    <row r="2128">
      <c r="A2128" s="47" t="s">
        <v>9671</v>
      </c>
      <c r="C2128" s="48" t="s">
        <v>84</v>
      </c>
      <c r="D2128" s="49" t="s">
        <v>9672</v>
      </c>
      <c r="E2128" s="49" t="s">
        <v>9673</v>
      </c>
      <c r="F2128" s="352" t="s">
        <v>9674</v>
      </c>
      <c r="G2128" s="353"/>
      <c r="H2128" s="53" t="s">
        <v>328</v>
      </c>
      <c r="I2128" s="54" t="s">
        <v>329</v>
      </c>
      <c r="J2128" s="55"/>
      <c r="K2128" s="54">
        <v>1.0</v>
      </c>
      <c r="L2128" s="56">
        <v>2016.0</v>
      </c>
      <c r="M2128" s="55"/>
      <c r="N2128" s="55"/>
      <c r="O2128" s="27" t="str">
        <f t="shared" si="3"/>
        <v>#N/A</v>
      </c>
      <c r="P2128" s="55"/>
      <c r="Q2128" s="55"/>
      <c r="R2128" s="55"/>
      <c r="S2128" s="55"/>
      <c r="T2128" s="55"/>
      <c r="U2128" s="55"/>
      <c r="V2128" s="30">
        <f t="shared" si="425"/>
        <v>81921400</v>
      </c>
      <c r="W2128" s="30"/>
      <c r="X2128" s="58"/>
      <c r="Y2128" s="58"/>
      <c r="Z2128" s="692"/>
      <c r="AA2128" s="665"/>
      <c r="AB2128" s="55"/>
      <c r="AC2128" s="55"/>
      <c r="AD2128" s="62">
        <v>42583.0</v>
      </c>
      <c r="AE2128" s="38">
        <v>461400.0</v>
      </c>
      <c r="AF2128" s="62">
        <v>42904.0</v>
      </c>
      <c r="AG2128" s="38">
        <v>2500000.0</v>
      </c>
      <c r="AH2128" s="62">
        <v>43109.0</v>
      </c>
      <c r="AI2128" s="38">
        <f>1.4*2900000</f>
        <v>4060000</v>
      </c>
      <c r="AJ2128" s="62">
        <v>44378.0</v>
      </c>
      <c r="AK2128" s="38">
        <v>2.89E7</v>
      </c>
      <c r="AL2128" s="62">
        <v>44925.0</v>
      </c>
      <c r="AM2128" s="38">
        <v>4.6E7</v>
      </c>
      <c r="AN2128" s="55"/>
      <c r="AO2128" s="38"/>
      <c r="AP2128" s="356"/>
      <c r="AQ2128" s="38"/>
      <c r="AR2128" s="55"/>
      <c r="AS2128" s="38"/>
      <c r="AT2128" s="55"/>
      <c r="AU2128" s="38"/>
      <c r="AV2128" s="55"/>
      <c r="AW2128" s="38"/>
      <c r="AX2128" s="55"/>
      <c r="AY2128" s="38"/>
      <c r="AZ2128" s="55"/>
      <c r="BA2128" s="38"/>
      <c r="BB2128" s="55"/>
      <c r="BC2128" s="38"/>
      <c r="BD2128" s="55"/>
      <c r="BE2128" s="38"/>
      <c r="BF2128" s="55"/>
    </row>
    <row r="2129">
      <c r="A2129" s="47" t="s">
        <v>9675</v>
      </c>
      <c r="C2129" s="48" t="s">
        <v>84</v>
      </c>
      <c r="D2129" s="351"/>
      <c r="E2129" s="617" t="s">
        <v>9676</v>
      </c>
      <c r="F2129" s="749" t="s">
        <v>9677</v>
      </c>
      <c r="G2129" s="353"/>
      <c r="H2129" s="53" t="s">
        <v>9678</v>
      </c>
      <c r="I2129" s="54" t="s">
        <v>329</v>
      </c>
      <c r="J2129" s="55"/>
      <c r="K2129" s="54">
        <v>2.0</v>
      </c>
      <c r="L2129" s="56">
        <v>2016.0</v>
      </c>
      <c r="M2129" s="55"/>
      <c r="N2129" s="55"/>
      <c r="O2129" s="27" t="str">
        <f t="shared" si="3"/>
        <v>#N/A</v>
      </c>
      <c r="P2129" s="55"/>
      <c r="Q2129" s="55"/>
      <c r="R2129" s="55"/>
      <c r="S2129" s="55"/>
      <c r="T2129" s="55"/>
      <c r="U2129" s="55"/>
      <c r="V2129" s="30">
        <f t="shared" si="425"/>
        <v>37500000</v>
      </c>
      <c r="W2129" s="30"/>
      <c r="X2129" s="58"/>
      <c r="Y2129" s="58"/>
      <c r="Z2129" s="692"/>
      <c r="AA2129" s="665"/>
      <c r="AB2129" s="55"/>
      <c r="AC2129" s="55"/>
      <c r="AD2129" s="355"/>
      <c r="AE2129" s="38"/>
      <c r="AF2129" s="355"/>
      <c r="AG2129" s="38"/>
      <c r="AH2129" s="55"/>
      <c r="AI2129" s="38"/>
      <c r="AJ2129" s="55"/>
      <c r="AK2129" s="38"/>
      <c r="AL2129" s="55"/>
      <c r="AM2129" s="38"/>
      <c r="AN2129" s="55"/>
      <c r="AO2129" s="38"/>
      <c r="AP2129" s="356"/>
      <c r="AQ2129" s="38"/>
      <c r="AR2129" s="55"/>
      <c r="AS2129" s="38"/>
      <c r="AT2129" s="55"/>
      <c r="AU2129" s="38"/>
      <c r="AV2129" s="55"/>
      <c r="AW2129" s="38"/>
      <c r="AX2129" s="55"/>
      <c r="AY2129" s="38"/>
      <c r="AZ2129" s="55"/>
      <c r="BA2129" s="38"/>
      <c r="BB2129" s="62">
        <v>45028.0</v>
      </c>
      <c r="BC2129" s="38">
        <f>1.25*30000000</f>
        <v>37500000</v>
      </c>
      <c r="BD2129" s="55"/>
      <c r="BE2129" s="38"/>
      <c r="BF2129" s="55"/>
    </row>
    <row r="2130">
      <c r="A2130" s="47" t="s">
        <v>9679</v>
      </c>
      <c r="C2130" s="48" t="s">
        <v>190</v>
      </c>
      <c r="D2130" s="351"/>
      <c r="E2130" s="617" t="s">
        <v>9680</v>
      </c>
      <c r="F2130" s="749" t="s">
        <v>9681</v>
      </c>
      <c r="G2130" s="353"/>
      <c r="H2130" s="53" t="s">
        <v>633</v>
      </c>
      <c r="I2130" s="54" t="s">
        <v>634</v>
      </c>
      <c r="J2130" s="55"/>
      <c r="K2130" s="54">
        <v>2.0</v>
      </c>
      <c r="L2130" s="56">
        <v>2019.0</v>
      </c>
      <c r="M2130" s="55"/>
      <c r="N2130" s="55"/>
      <c r="O2130" s="27" t="str">
        <f t="shared" si="3"/>
        <v>#N/A</v>
      </c>
      <c r="P2130" s="55"/>
      <c r="Q2130" s="55"/>
      <c r="R2130" s="55"/>
      <c r="S2130" s="55"/>
      <c r="T2130" s="55"/>
      <c r="U2130" s="55"/>
      <c r="V2130" s="30">
        <f t="shared" si="425"/>
        <v>15200000</v>
      </c>
      <c r="W2130" s="30"/>
      <c r="X2130" s="58"/>
      <c r="Y2130" s="58"/>
      <c r="Z2130" s="692"/>
      <c r="AA2130" s="665"/>
      <c r="AB2130" s="55"/>
      <c r="AC2130" s="55"/>
      <c r="AD2130" s="355"/>
      <c r="AE2130" s="38"/>
      <c r="AF2130" s="62">
        <v>44659.0</v>
      </c>
      <c r="AG2130" s="38">
        <v>2200000.0</v>
      </c>
      <c r="AH2130" s="55"/>
      <c r="AI2130" s="38"/>
      <c r="AJ2130" s="62">
        <v>45029.0</v>
      </c>
      <c r="AK2130" s="38">
        <v>1.3E7</v>
      </c>
      <c r="AL2130" s="55"/>
      <c r="AM2130" s="38"/>
      <c r="AN2130" s="55"/>
      <c r="AO2130" s="38"/>
      <c r="AP2130" s="356"/>
      <c r="AQ2130" s="38"/>
      <c r="AR2130" s="55"/>
      <c r="AS2130" s="38"/>
      <c r="AT2130" s="55"/>
      <c r="AU2130" s="38"/>
      <c r="AV2130" s="55"/>
      <c r="AW2130" s="38"/>
      <c r="AX2130" s="55"/>
      <c r="AY2130" s="38"/>
      <c r="AZ2130" s="55"/>
      <c r="BA2130" s="38"/>
      <c r="BB2130" s="55"/>
      <c r="BC2130" s="38"/>
      <c r="BD2130" s="55"/>
      <c r="BE2130" s="38"/>
      <c r="BF2130" s="55"/>
    </row>
    <row r="2131">
      <c r="A2131" s="47" t="s">
        <v>9682</v>
      </c>
      <c r="C2131" s="48" t="s">
        <v>68</v>
      </c>
      <c r="D2131" s="351"/>
      <c r="E2131" s="49" t="s">
        <v>9683</v>
      </c>
      <c r="F2131" s="352" t="s">
        <v>9684</v>
      </c>
      <c r="G2131" s="353"/>
      <c r="H2131" s="53" t="s">
        <v>673</v>
      </c>
      <c r="I2131" s="54" t="s">
        <v>674</v>
      </c>
      <c r="J2131" s="55"/>
      <c r="K2131" s="54">
        <v>3.0</v>
      </c>
      <c r="L2131" s="56">
        <v>2020.0</v>
      </c>
      <c r="M2131" s="55"/>
      <c r="N2131" s="55"/>
      <c r="O2131" s="27" t="str">
        <f t="shared" si="3"/>
        <v>#N/A</v>
      </c>
      <c r="P2131" s="55"/>
      <c r="Q2131" s="55"/>
      <c r="R2131" s="55"/>
      <c r="S2131" s="55"/>
      <c r="T2131" s="55"/>
      <c r="U2131" s="55"/>
      <c r="V2131" s="30">
        <f t="shared" si="425"/>
        <v>11500000</v>
      </c>
      <c r="W2131" s="30"/>
      <c r="X2131" s="58"/>
      <c r="Y2131" s="58"/>
      <c r="Z2131" s="692"/>
      <c r="AA2131" s="665"/>
      <c r="AB2131" s="55"/>
      <c r="AC2131" s="55"/>
      <c r="AD2131" s="355"/>
      <c r="AE2131" s="38"/>
      <c r="AF2131" s="62">
        <v>44477.0</v>
      </c>
      <c r="AG2131" s="38">
        <v>2800000.0</v>
      </c>
      <c r="AH2131" s="55"/>
      <c r="AI2131" s="38"/>
      <c r="AJ2131" s="62">
        <v>45027.0</v>
      </c>
      <c r="AK2131" s="38">
        <v>8700000.0</v>
      </c>
      <c r="AL2131" s="55"/>
      <c r="AM2131" s="38"/>
      <c r="AN2131" s="55"/>
      <c r="AO2131" s="38"/>
      <c r="AP2131" s="356"/>
      <c r="AQ2131" s="38"/>
      <c r="AR2131" s="55"/>
      <c r="AS2131" s="38"/>
      <c r="AT2131" s="55"/>
      <c r="AU2131" s="38"/>
      <c r="AV2131" s="55"/>
      <c r="AW2131" s="38"/>
      <c r="AX2131" s="55"/>
      <c r="AY2131" s="38"/>
      <c r="AZ2131" s="55"/>
      <c r="BA2131" s="38"/>
      <c r="BB2131" s="55"/>
      <c r="BC2131" s="38"/>
      <c r="BD2131" s="55"/>
      <c r="BE2131" s="38"/>
      <c r="BF2131" s="55"/>
    </row>
    <row r="2132">
      <c r="A2132" s="47" t="s">
        <v>9685</v>
      </c>
      <c r="C2132" s="48" t="s">
        <v>132</v>
      </c>
      <c r="D2132" s="49" t="s">
        <v>9686</v>
      </c>
      <c r="E2132" s="617" t="s">
        <v>9687</v>
      </c>
      <c r="F2132" s="352" t="s">
        <v>9688</v>
      </c>
      <c r="G2132" s="353"/>
      <c r="H2132" s="53" t="s">
        <v>128</v>
      </c>
      <c r="I2132" s="54" t="s">
        <v>129</v>
      </c>
      <c r="J2132" s="55"/>
      <c r="K2132" s="54">
        <v>2.0</v>
      </c>
      <c r="L2132" s="56">
        <v>2021.0</v>
      </c>
      <c r="M2132" s="55"/>
      <c r="N2132" s="55"/>
      <c r="O2132" s="27" t="str">
        <f t="shared" si="3"/>
        <v>#N/A</v>
      </c>
      <c r="P2132" s="55"/>
      <c r="Q2132" s="55"/>
      <c r="R2132" s="55"/>
      <c r="S2132" s="55"/>
      <c r="T2132" s="55"/>
      <c r="U2132" s="55"/>
      <c r="V2132" s="30">
        <f t="shared" si="425"/>
        <v>16400000</v>
      </c>
      <c r="W2132" s="30"/>
      <c r="X2132" s="58"/>
      <c r="Y2132" s="58"/>
      <c r="Z2132" s="692"/>
      <c r="AA2132" s="665"/>
      <c r="AB2132" s="55"/>
      <c r="AC2132" s="55"/>
      <c r="AD2132" s="62">
        <v>44228.0</v>
      </c>
      <c r="AE2132" s="38">
        <v>3200000.0</v>
      </c>
      <c r="AF2132" s="62">
        <v>45027.0</v>
      </c>
      <c r="AG2132" s="38">
        <v>1.32E7</v>
      </c>
      <c r="AH2132" s="55"/>
      <c r="AI2132" s="38"/>
      <c r="AJ2132" s="55"/>
      <c r="AK2132" s="38"/>
      <c r="AL2132" s="55"/>
      <c r="AM2132" s="38"/>
      <c r="AN2132" s="55"/>
      <c r="AO2132" s="38"/>
      <c r="AP2132" s="356"/>
      <c r="AQ2132" s="38"/>
      <c r="AR2132" s="55"/>
      <c r="AS2132" s="38"/>
      <c r="AT2132" s="55"/>
      <c r="AU2132" s="38"/>
      <c r="AV2132" s="55"/>
      <c r="AW2132" s="38"/>
      <c r="AX2132" s="55"/>
      <c r="AY2132" s="38"/>
      <c r="AZ2132" s="55"/>
      <c r="BA2132" s="38"/>
      <c r="BB2132" s="55"/>
      <c r="BC2132" s="38"/>
      <c r="BD2132" s="55"/>
      <c r="BE2132" s="38"/>
      <c r="BF2132" s="55"/>
    </row>
    <row r="2133">
      <c r="A2133" s="47" t="s">
        <v>9689</v>
      </c>
      <c r="C2133" s="48" t="s">
        <v>9690</v>
      </c>
      <c r="D2133" s="351"/>
      <c r="E2133" s="49" t="s">
        <v>9691</v>
      </c>
      <c r="F2133" s="749" t="s">
        <v>9692</v>
      </c>
      <c r="G2133" s="353"/>
      <c r="H2133" s="53" t="s">
        <v>1918</v>
      </c>
      <c r="I2133" s="54" t="s">
        <v>1384</v>
      </c>
      <c r="J2133" s="55"/>
      <c r="K2133" s="54">
        <v>4.0</v>
      </c>
      <c r="L2133" s="56">
        <v>2022.0</v>
      </c>
      <c r="M2133" s="55"/>
      <c r="N2133" s="55"/>
      <c r="O2133" s="27" t="str">
        <f t="shared" si="3"/>
        <v>#N/A</v>
      </c>
      <c r="P2133" s="55"/>
      <c r="Q2133" s="55"/>
      <c r="R2133" s="55"/>
      <c r="S2133" s="55"/>
      <c r="T2133" s="55"/>
      <c r="U2133" s="55"/>
      <c r="V2133" s="30">
        <f t="shared" si="425"/>
        <v>4700000</v>
      </c>
      <c r="W2133" s="30"/>
      <c r="X2133" s="58"/>
      <c r="Y2133" s="58"/>
      <c r="Z2133" s="692"/>
      <c r="AA2133" s="665"/>
      <c r="AB2133" s="55"/>
      <c r="AC2133" s="55"/>
      <c r="AD2133" s="62">
        <v>45026.0</v>
      </c>
      <c r="AE2133" s="38">
        <v>4700000.0</v>
      </c>
      <c r="AF2133" s="355"/>
      <c r="AG2133" s="38"/>
      <c r="AH2133" s="55"/>
      <c r="AI2133" s="38"/>
      <c r="AJ2133" s="55"/>
      <c r="AK2133" s="38"/>
      <c r="AL2133" s="55"/>
      <c r="AM2133" s="38"/>
      <c r="AN2133" s="55"/>
      <c r="AO2133" s="38"/>
      <c r="AP2133" s="356"/>
      <c r="AQ2133" s="38"/>
      <c r="AR2133" s="55"/>
      <c r="AS2133" s="38"/>
      <c r="AT2133" s="55"/>
      <c r="AU2133" s="38"/>
      <c r="AV2133" s="55"/>
      <c r="AW2133" s="38"/>
      <c r="AX2133" s="55"/>
      <c r="AY2133" s="38"/>
      <c r="AZ2133" s="55"/>
      <c r="BA2133" s="38"/>
      <c r="BB2133" s="55"/>
      <c r="BC2133" s="38"/>
      <c r="BD2133" s="55"/>
      <c r="BE2133" s="38"/>
      <c r="BF2133" s="55"/>
    </row>
    <row r="2134">
      <c r="A2134" s="47" t="s">
        <v>9693</v>
      </c>
      <c r="C2134" s="48" t="s">
        <v>84</v>
      </c>
      <c r="D2134" s="351"/>
      <c r="E2134" s="617" t="s">
        <v>9694</v>
      </c>
      <c r="F2134" s="352" t="s">
        <v>9695</v>
      </c>
      <c r="G2134" s="353"/>
      <c r="H2134" s="53" t="s">
        <v>365</v>
      </c>
      <c r="I2134" s="54" t="s">
        <v>65</v>
      </c>
      <c r="J2134" s="55"/>
      <c r="K2134" s="55"/>
      <c r="L2134" s="961"/>
      <c r="M2134" s="55"/>
      <c r="N2134" s="55"/>
      <c r="O2134" s="27" t="str">
        <f t="shared" si="3"/>
        <v>#N/A</v>
      </c>
      <c r="P2134" s="55"/>
      <c r="Q2134" s="55"/>
      <c r="R2134" s="55"/>
      <c r="S2134" s="55"/>
      <c r="T2134" s="55"/>
      <c r="U2134" s="55"/>
      <c r="V2134" s="30">
        <f t="shared" si="425"/>
        <v>4200000</v>
      </c>
      <c r="W2134" s="30"/>
      <c r="X2134" s="58"/>
      <c r="Y2134" s="58"/>
      <c r="Z2134" s="692"/>
      <c r="AA2134" s="665"/>
      <c r="AB2134" s="55"/>
      <c r="AC2134" s="55"/>
      <c r="AD2134" s="355"/>
      <c r="AE2134" s="38"/>
      <c r="AF2134" s="62">
        <v>45027.0</v>
      </c>
      <c r="AG2134" s="38">
        <v>4200000.0</v>
      </c>
      <c r="AH2134" s="55"/>
      <c r="AI2134" s="38"/>
      <c r="AJ2134" s="55"/>
      <c r="AK2134" s="38"/>
      <c r="AL2134" s="55"/>
      <c r="AM2134" s="38"/>
      <c r="AN2134" s="55"/>
      <c r="AO2134" s="38"/>
      <c r="AP2134" s="356"/>
      <c r="AQ2134" s="38"/>
      <c r="AR2134" s="55"/>
      <c r="AS2134" s="38"/>
      <c r="AT2134" s="55"/>
      <c r="AU2134" s="38"/>
      <c r="AV2134" s="55"/>
      <c r="AW2134" s="38"/>
      <c r="AX2134" s="55"/>
      <c r="AY2134" s="38"/>
      <c r="AZ2134" s="55"/>
      <c r="BA2134" s="38"/>
      <c r="BB2134" s="55"/>
      <c r="BC2134" s="38"/>
      <c r="BD2134" s="55"/>
      <c r="BE2134" s="38"/>
      <c r="BF2134" s="55"/>
    </row>
    <row r="2135">
      <c r="A2135" s="47" t="s">
        <v>9696</v>
      </c>
      <c r="C2135" s="48" t="s">
        <v>76</v>
      </c>
      <c r="D2135" s="351"/>
      <c r="E2135" s="49" t="s">
        <v>9697</v>
      </c>
      <c r="F2135" s="352" t="s">
        <v>9698</v>
      </c>
      <c r="G2135" s="353"/>
      <c r="H2135" s="53" t="s">
        <v>450</v>
      </c>
      <c r="I2135" s="54" t="s">
        <v>450</v>
      </c>
      <c r="J2135" s="55"/>
      <c r="K2135" s="54">
        <v>2.0</v>
      </c>
      <c r="L2135" s="56">
        <v>2019.0</v>
      </c>
      <c r="M2135" s="55"/>
      <c r="N2135" s="55"/>
      <c r="O2135" s="27" t="str">
        <f t="shared" si="3"/>
        <v>#N/A</v>
      </c>
      <c r="P2135" s="55"/>
      <c r="Q2135" s="55"/>
      <c r="R2135" s="55"/>
      <c r="S2135" s="55"/>
      <c r="T2135" s="55"/>
      <c r="U2135" s="55"/>
      <c r="V2135" s="30">
        <f t="shared" si="425"/>
        <v>2220000</v>
      </c>
      <c r="W2135" s="30"/>
      <c r="X2135" s="58"/>
      <c r="Y2135" s="58"/>
      <c r="Z2135" s="692"/>
      <c r="AA2135" s="665"/>
      <c r="AB2135" s="55"/>
      <c r="AC2135" s="55"/>
      <c r="AD2135" s="355"/>
      <c r="AE2135" s="38"/>
      <c r="AF2135" s="62">
        <v>45026.0</v>
      </c>
      <c r="AG2135" s="38">
        <f>0.74*3000000</f>
        <v>2220000</v>
      </c>
      <c r="AH2135" s="55"/>
      <c r="AI2135" s="38"/>
      <c r="AJ2135" s="55"/>
      <c r="AK2135" s="38"/>
      <c r="AL2135" s="55"/>
      <c r="AM2135" s="38"/>
      <c r="AN2135" s="55"/>
      <c r="AO2135" s="38"/>
      <c r="AP2135" s="356"/>
      <c r="AQ2135" s="38"/>
      <c r="AR2135" s="55"/>
      <c r="AS2135" s="38"/>
      <c r="AT2135" s="55"/>
      <c r="AU2135" s="38"/>
      <c r="AV2135" s="55"/>
      <c r="AW2135" s="38"/>
      <c r="AX2135" s="55"/>
      <c r="AY2135" s="38"/>
      <c r="AZ2135" s="55"/>
      <c r="BA2135" s="38"/>
      <c r="BB2135" s="55"/>
      <c r="BC2135" s="38"/>
      <c r="BD2135" s="55"/>
      <c r="BE2135" s="38"/>
      <c r="BF2135" s="55"/>
    </row>
    <row r="2136">
      <c r="A2136" s="47" t="s">
        <v>9699</v>
      </c>
      <c r="C2136" s="48" t="s">
        <v>76</v>
      </c>
      <c r="D2136" s="49" t="s">
        <v>9700</v>
      </c>
      <c r="E2136" s="49" t="s">
        <v>9701</v>
      </c>
      <c r="F2136" s="352" t="s">
        <v>9702</v>
      </c>
      <c r="G2136" s="353"/>
      <c r="H2136" s="53" t="s">
        <v>4599</v>
      </c>
      <c r="I2136" s="54" t="s">
        <v>753</v>
      </c>
      <c r="J2136" s="55"/>
      <c r="K2136" s="54">
        <v>3.0</v>
      </c>
      <c r="L2136" s="56">
        <v>2018.0</v>
      </c>
      <c r="M2136" s="55"/>
      <c r="N2136" s="55"/>
      <c r="O2136" s="27" t="str">
        <f t="shared" si="3"/>
        <v>#N/A</v>
      </c>
      <c r="P2136" s="55"/>
      <c r="Q2136" s="55"/>
      <c r="R2136" s="55"/>
      <c r="S2136" s="55"/>
      <c r="T2136" s="55"/>
      <c r="U2136" s="55"/>
      <c r="V2136" s="30">
        <f t="shared" si="425"/>
        <v>750000</v>
      </c>
      <c r="W2136" s="30"/>
      <c r="X2136" s="58"/>
      <c r="Y2136" s="58"/>
      <c r="Z2136" s="692"/>
      <c r="AA2136" s="665"/>
      <c r="AB2136" s="55"/>
      <c r="AC2136" s="55"/>
      <c r="AD2136" s="355"/>
      <c r="AE2136" s="38"/>
      <c r="AF2136" s="62">
        <v>45020.0</v>
      </c>
      <c r="AG2136" s="38">
        <f>1.25*600000</f>
        <v>750000</v>
      </c>
      <c r="AH2136" s="55"/>
      <c r="AI2136" s="38"/>
      <c r="AJ2136" s="55"/>
      <c r="AK2136" s="38"/>
      <c r="AL2136" s="55"/>
      <c r="AM2136" s="38"/>
      <c r="AN2136" s="55"/>
      <c r="AO2136" s="38"/>
      <c r="AP2136" s="356"/>
      <c r="AQ2136" s="38"/>
      <c r="AR2136" s="55"/>
      <c r="AS2136" s="38"/>
      <c r="AT2136" s="55"/>
      <c r="AU2136" s="38"/>
      <c r="AV2136" s="55"/>
      <c r="AW2136" s="38"/>
      <c r="AX2136" s="55"/>
      <c r="AY2136" s="38"/>
      <c r="AZ2136" s="55"/>
      <c r="BA2136" s="38"/>
      <c r="BB2136" s="55"/>
      <c r="BC2136" s="38"/>
      <c r="BD2136" s="55"/>
      <c r="BE2136" s="38"/>
      <c r="BF2136" s="55"/>
    </row>
    <row r="2137">
      <c r="A2137" s="47" t="s">
        <v>9703</v>
      </c>
      <c r="C2137" s="48" t="s">
        <v>190</v>
      </c>
      <c r="D2137" s="351"/>
      <c r="E2137" s="49" t="s">
        <v>9704</v>
      </c>
      <c r="F2137" s="352" t="s">
        <v>9705</v>
      </c>
      <c r="G2137" s="353"/>
      <c r="H2137" s="53" t="s">
        <v>1039</v>
      </c>
      <c r="I2137" s="54" t="s">
        <v>1040</v>
      </c>
      <c r="J2137" s="55"/>
      <c r="K2137" s="54">
        <v>3.0</v>
      </c>
      <c r="L2137" s="56">
        <v>2015.0</v>
      </c>
      <c r="M2137" s="55"/>
      <c r="N2137" s="55"/>
      <c r="O2137" s="27" t="str">
        <f t="shared" si="3"/>
        <v>#N/A</v>
      </c>
      <c r="P2137" s="55"/>
      <c r="Q2137" s="55"/>
      <c r="R2137" s="55"/>
      <c r="S2137" s="55"/>
      <c r="T2137" s="55"/>
      <c r="U2137" s="55"/>
      <c r="V2137" s="30">
        <f t="shared" si="425"/>
        <v>24000000</v>
      </c>
      <c r="W2137" s="30"/>
      <c r="X2137" s="58"/>
      <c r="Y2137" s="58"/>
      <c r="Z2137" s="692"/>
      <c r="AA2137" s="665"/>
      <c r="AB2137" s="55"/>
      <c r="AC2137" s="55"/>
      <c r="AD2137" s="62">
        <v>42005.0</v>
      </c>
      <c r="AE2137" s="38"/>
      <c r="AF2137" s="62">
        <v>42611.0</v>
      </c>
      <c r="AG2137" s="38">
        <v>2000000.0</v>
      </c>
      <c r="AH2137" s="55"/>
      <c r="AI2137" s="38"/>
      <c r="AJ2137" s="63">
        <v>43228.0</v>
      </c>
      <c r="AK2137" s="38">
        <v>4000000.0</v>
      </c>
      <c r="AL2137" s="62">
        <v>43783.0</v>
      </c>
      <c r="AM2137" s="38">
        <v>1.8E7</v>
      </c>
      <c r="AN2137" s="62">
        <v>45026.0</v>
      </c>
      <c r="AO2137" s="38"/>
      <c r="AP2137" s="356"/>
      <c r="AQ2137" s="38"/>
      <c r="AR2137" s="55"/>
      <c r="AS2137" s="38"/>
      <c r="AT2137" s="55"/>
      <c r="AU2137" s="38"/>
      <c r="AV2137" s="55"/>
      <c r="AW2137" s="38"/>
      <c r="AX2137" s="55"/>
      <c r="AY2137" s="38"/>
      <c r="AZ2137" s="62">
        <v>44873.0</v>
      </c>
      <c r="BA2137" s="38"/>
      <c r="BB2137" s="55"/>
      <c r="BC2137" s="38"/>
      <c r="BD2137" s="55"/>
      <c r="BE2137" s="38"/>
      <c r="BF2137" s="55"/>
    </row>
    <row r="2138">
      <c r="A2138" s="47" t="s">
        <v>9706</v>
      </c>
      <c r="C2138" s="48" t="s">
        <v>190</v>
      </c>
      <c r="D2138" s="351"/>
      <c r="E2138" s="617" t="s">
        <v>9707</v>
      </c>
      <c r="F2138" s="749" t="s">
        <v>9708</v>
      </c>
      <c r="G2138" s="353"/>
      <c r="H2138" s="53" t="s">
        <v>5090</v>
      </c>
      <c r="I2138" s="54" t="s">
        <v>4837</v>
      </c>
      <c r="J2138" s="55"/>
      <c r="K2138" s="54">
        <v>1.0</v>
      </c>
      <c r="L2138" s="56">
        <v>2018.0</v>
      </c>
      <c r="M2138" s="55"/>
      <c r="N2138" s="55"/>
      <c r="O2138" s="27" t="str">
        <f t="shared" si="3"/>
        <v>#N/A</v>
      </c>
      <c r="P2138" s="55"/>
      <c r="Q2138" s="55"/>
      <c r="R2138" s="55"/>
      <c r="S2138" s="55"/>
      <c r="T2138" s="55"/>
      <c r="U2138" s="55"/>
      <c r="V2138" s="30">
        <f t="shared" si="425"/>
        <v>1100000</v>
      </c>
      <c r="W2138" s="30"/>
      <c r="X2138" s="58"/>
      <c r="Y2138" s="58"/>
      <c r="Z2138" s="692"/>
      <c r="AA2138" s="665"/>
      <c r="AB2138" s="55"/>
      <c r="AC2138" s="55"/>
      <c r="AD2138" s="62">
        <v>43922.0</v>
      </c>
      <c r="AE2138" s="38"/>
      <c r="AF2138" s="62">
        <v>45026.0</v>
      </c>
      <c r="AG2138" s="38">
        <v>1100000.0</v>
      </c>
      <c r="AH2138" s="55"/>
      <c r="AI2138" s="38"/>
      <c r="AJ2138" s="55"/>
      <c r="AK2138" s="38"/>
      <c r="AL2138" s="55"/>
      <c r="AM2138" s="38"/>
      <c r="AN2138" s="55"/>
      <c r="AO2138" s="38"/>
      <c r="AP2138" s="356"/>
      <c r="AQ2138" s="38"/>
      <c r="AR2138" s="55"/>
      <c r="AS2138" s="38"/>
      <c r="AT2138" s="55"/>
      <c r="AU2138" s="38"/>
      <c r="AV2138" s="55"/>
      <c r="AW2138" s="38"/>
      <c r="AX2138" s="55"/>
      <c r="AY2138" s="38"/>
      <c r="AZ2138" s="55"/>
      <c r="BA2138" s="38"/>
      <c r="BB2138" s="55"/>
      <c r="BC2138" s="38"/>
      <c r="BD2138" s="55"/>
      <c r="BE2138" s="38"/>
      <c r="BF2138" s="55"/>
    </row>
    <row r="2139">
      <c r="A2139" s="47" t="s">
        <v>9709</v>
      </c>
      <c r="C2139" s="48" t="s">
        <v>68</v>
      </c>
      <c r="D2139" s="351"/>
      <c r="E2139" s="617" t="s">
        <v>9710</v>
      </c>
      <c r="F2139" s="749" t="s">
        <v>9711</v>
      </c>
      <c r="G2139" s="353"/>
      <c r="H2139" s="53" t="s">
        <v>4599</v>
      </c>
      <c r="I2139" s="54" t="s">
        <v>753</v>
      </c>
      <c r="J2139" s="55"/>
      <c r="K2139" s="55"/>
      <c r="L2139" s="56">
        <v>2021.0</v>
      </c>
      <c r="M2139" s="55"/>
      <c r="N2139" s="55"/>
      <c r="O2139" s="27" t="str">
        <f t="shared" si="3"/>
        <v>#N/A</v>
      </c>
      <c r="P2139" s="55"/>
      <c r="Q2139" s="55"/>
      <c r="R2139" s="55"/>
      <c r="S2139" s="55"/>
      <c r="T2139" s="55"/>
      <c r="U2139" s="55"/>
      <c r="V2139" s="30">
        <f t="shared" si="425"/>
        <v>0</v>
      </c>
      <c r="W2139" s="30"/>
      <c r="X2139" s="58"/>
      <c r="Y2139" s="58"/>
      <c r="Z2139" s="692"/>
      <c r="AA2139" s="665"/>
      <c r="AB2139" s="55"/>
      <c r="AC2139" s="55"/>
      <c r="AD2139" s="355"/>
      <c r="AE2139" s="38"/>
      <c r="AF2139" s="62">
        <v>45030.0</v>
      </c>
      <c r="AG2139" s="38"/>
      <c r="AH2139" s="55"/>
      <c r="AI2139" s="38"/>
      <c r="AJ2139" s="55"/>
      <c r="AK2139" s="38"/>
      <c r="AL2139" s="55"/>
      <c r="AM2139" s="38"/>
      <c r="AN2139" s="55"/>
      <c r="AO2139" s="38"/>
      <c r="AP2139" s="356"/>
      <c r="AQ2139" s="38"/>
      <c r="AR2139" s="55"/>
      <c r="AS2139" s="38"/>
      <c r="AT2139" s="55"/>
      <c r="AU2139" s="38"/>
      <c r="AV2139" s="55"/>
      <c r="AW2139" s="38"/>
      <c r="AX2139" s="55"/>
      <c r="AY2139" s="38"/>
      <c r="AZ2139" s="55"/>
      <c r="BA2139" s="38"/>
      <c r="BB2139" s="55"/>
      <c r="BC2139" s="38"/>
      <c r="BD2139" s="55"/>
      <c r="BE2139" s="38"/>
      <c r="BF2139" s="55"/>
    </row>
    <row r="2140">
      <c r="A2140" s="47" t="s">
        <v>9712</v>
      </c>
      <c r="C2140" s="48" t="s">
        <v>84</v>
      </c>
      <c r="D2140" s="351"/>
      <c r="E2140" s="49" t="s">
        <v>9713</v>
      </c>
      <c r="F2140" s="352" t="s">
        <v>9714</v>
      </c>
      <c r="G2140" s="353"/>
      <c r="H2140" s="53" t="s">
        <v>2545</v>
      </c>
      <c r="I2140" s="54" t="s">
        <v>100</v>
      </c>
      <c r="J2140" s="55"/>
      <c r="K2140" s="54">
        <v>3.0</v>
      </c>
      <c r="L2140" s="56">
        <v>2020.0</v>
      </c>
      <c r="M2140" s="55"/>
      <c r="N2140" s="55"/>
      <c r="O2140" s="27" t="str">
        <f t="shared" si="3"/>
        <v>#N/A</v>
      </c>
      <c r="P2140" s="55"/>
      <c r="Q2140" s="55"/>
      <c r="R2140" s="55"/>
      <c r="S2140" s="55"/>
      <c r="T2140" s="55"/>
      <c r="U2140" s="55"/>
      <c r="V2140" s="30">
        <f t="shared" si="425"/>
        <v>42090600</v>
      </c>
      <c r="W2140" s="30"/>
      <c r="X2140" s="58"/>
      <c r="Y2140" s="58"/>
      <c r="Z2140" s="692"/>
      <c r="AA2140" s="665"/>
      <c r="AB2140" s="55"/>
      <c r="AC2140" s="55"/>
      <c r="AD2140" s="355"/>
      <c r="AE2140" s="38"/>
      <c r="AF2140" s="62">
        <v>44222.0</v>
      </c>
      <c r="AG2140" s="38">
        <v>590600.0</v>
      </c>
      <c r="AH2140" s="62">
        <v>44419.0</v>
      </c>
      <c r="AI2140" s="38">
        <v>3500000.0</v>
      </c>
      <c r="AJ2140" s="62">
        <v>44624.0</v>
      </c>
      <c r="AK2140" s="38">
        <v>1.09E7</v>
      </c>
      <c r="AL2140" s="1945">
        <v>45034.0</v>
      </c>
      <c r="AM2140" s="38">
        <v>1.32E7</v>
      </c>
      <c r="AN2140" s="55"/>
      <c r="AO2140" s="38"/>
      <c r="AP2140" s="356"/>
      <c r="AQ2140" s="38"/>
      <c r="AR2140" s="55"/>
      <c r="AS2140" s="38"/>
      <c r="AT2140" s="55"/>
      <c r="AU2140" s="38"/>
      <c r="AV2140" s="55"/>
      <c r="AW2140" s="38"/>
      <c r="AX2140" s="55"/>
      <c r="AY2140" s="38"/>
      <c r="AZ2140" s="55"/>
      <c r="BA2140" s="38"/>
      <c r="BB2140" s="62">
        <v>45034.0</v>
      </c>
      <c r="BC2140" s="38">
        <v>1.39E7</v>
      </c>
      <c r="BD2140" s="55"/>
      <c r="BE2140" s="38"/>
      <c r="BF2140" s="55"/>
    </row>
    <row r="2141">
      <c r="A2141" s="47" t="s">
        <v>9715</v>
      </c>
      <c r="C2141" s="48" t="s">
        <v>84</v>
      </c>
      <c r="D2141" s="351"/>
      <c r="E2141" s="49" t="s">
        <v>9716</v>
      </c>
      <c r="F2141" s="749" t="s">
        <v>9717</v>
      </c>
      <c r="G2141" s="353"/>
      <c r="H2141" s="53" t="s">
        <v>99</v>
      </c>
      <c r="I2141" s="54" t="s">
        <v>100</v>
      </c>
      <c r="J2141" s="55"/>
      <c r="K2141" s="54">
        <v>3.0</v>
      </c>
      <c r="L2141" s="56">
        <v>2020.0</v>
      </c>
      <c r="M2141" s="55"/>
      <c r="N2141" s="55"/>
      <c r="O2141" s="27" t="str">
        <f t="shared" si="3"/>
        <v>#N/A</v>
      </c>
      <c r="P2141" s="55"/>
      <c r="Q2141" s="55"/>
      <c r="R2141" s="55"/>
      <c r="S2141" s="55"/>
      <c r="T2141" s="55"/>
      <c r="U2141" s="55"/>
      <c r="V2141" s="30">
        <f t="shared" si="425"/>
        <v>21000000</v>
      </c>
      <c r="W2141" s="30"/>
      <c r="X2141" s="58"/>
      <c r="Y2141" s="58"/>
      <c r="Z2141" s="692"/>
      <c r="AA2141" s="665"/>
      <c r="AB2141" s="55"/>
      <c r="AC2141" s="55"/>
      <c r="AD2141" s="355"/>
      <c r="AE2141" s="38"/>
      <c r="AF2141" s="62">
        <v>44777.0</v>
      </c>
      <c r="AG2141" s="38">
        <v>6000000.0</v>
      </c>
      <c r="AH2141" s="55"/>
      <c r="AI2141" s="38"/>
      <c r="AJ2141" s="62">
        <v>45037.0</v>
      </c>
      <c r="AK2141" s="38">
        <v>1.5E7</v>
      </c>
      <c r="AL2141" s="55"/>
      <c r="AM2141" s="38"/>
      <c r="AN2141" s="55"/>
      <c r="AO2141" s="38"/>
      <c r="AP2141" s="356"/>
      <c r="AQ2141" s="38"/>
      <c r="AR2141" s="55"/>
      <c r="AS2141" s="38"/>
      <c r="AT2141" s="55"/>
      <c r="AU2141" s="38"/>
      <c r="AV2141" s="55"/>
      <c r="AW2141" s="38"/>
      <c r="AX2141" s="55"/>
      <c r="AY2141" s="38"/>
      <c r="AZ2141" s="55"/>
      <c r="BA2141" s="38"/>
      <c r="BB2141" s="55"/>
      <c r="BC2141" s="38"/>
      <c r="BD2141" s="55"/>
      <c r="BE2141" s="38"/>
      <c r="BF2141" s="55"/>
    </row>
    <row r="2142">
      <c r="A2142" s="47" t="s">
        <v>9718</v>
      </c>
      <c r="B2142" s="48" t="s">
        <v>528</v>
      </c>
      <c r="C2142" s="48" t="s">
        <v>84</v>
      </c>
      <c r="D2142" s="351"/>
      <c r="E2142" s="617" t="s">
        <v>9719</v>
      </c>
      <c r="F2142" s="749" t="s">
        <v>9720</v>
      </c>
      <c r="G2142" s="353"/>
      <c r="H2142" s="53" t="s">
        <v>9721</v>
      </c>
      <c r="I2142" s="54" t="s">
        <v>329</v>
      </c>
      <c r="J2142" s="55"/>
      <c r="K2142" s="54">
        <v>3.0</v>
      </c>
      <c r="L2142" s="56">
        <v>2013.0</v>
      </c>
      <c r="M2142" s="55"/>
      <c r="N2142" s="55"/>
      <c r="O2142" s="27" t="str">
        <f t="shared" si="3"/>
        <v>#N/A</v>
      </c>
      <c r="P2142" s="55"/>
      <c r="Q2142" s="55"/>
      <c r="R2142" s="55"/>
      <c r="S2142" s="55"/>
      <c r="T2142" s="55"/>
      <c r="U2142" s="55"/>
      <c r="V2142" s="30">
        <f t="shared" si="425"/>
        <v>24488500</v>
      </c>
      <c r="W2142" s="30"/>
      <c r="X2142" s="58"/>
      <c r="Y2142" s="58"/>
      <c r="Z2142" s="692"/>
      <c r="AA2142" s="665"/>
      <c r="AB2142" s="55"/>
      <c r="AC2142" s="55"/>
      <c r="AD2142" s="355"/>
      <c r="AE2142" s="38"/>
      <c r="AF2142" s="62">
        <v>41717.0</v>
      </c>
      <c r="AG2142" s="38">
        <v>188500.0</v>
      </c>
      <c r="AH2142" s="55"/>
      <c r="AI2142" s="38"/>
      <c r="AJ2142" s="55"/>
      <c r="AK2142" s="38"/>
      <c r="AL2142" s="55"/>
      <c r="AM2142" s="38"/>
      <c r="AN2142" s="55"/>
      <c r="AO2142" s="38"/>
      <c r="AP2142" s="356"/>
      <c r="AQ2142" s="38"/>
      <c r="AR2142" s="55"/>
      <c r="AS2142" s="38"/>
      <c r="AT2142" s="55"/>
      <c r="AU2142" s="38"/>
      <c r="AV2142" s="55"/>
      <c r="AW2142" s="38"/>
      <c r="AX2142" s="55"/>
      <c r="AY2142" s="38"/>
      <c r="AZ2142" s="62">
        <v>45022.0</v>
      </c>
      <c r="BA2142" s="38">
        <v>5700000.0</v>
      </c>
      <c r="BB2142" s="62">
        <v>45034.0</v>
      </c>
      <c r="BC2142" s="38">
        <v>1.86E7</v>
      </c>
      <c r="BD2142" s="55"/>
      <c r="BE2142" s="38"/>
      <c r="BF2142" s="55"/>
    </row>
    <row r="2143">
      <c r="A2143" s="47" t="s">
        <v>9722</v>
      </c>
      <c r="C2143" s="48" t="s">
        <v>68</v>
      </c>
      <c r="D2143" s="351"/>
      <c r="E2143" s="49" t="s">
        <v>9723</v>
      </c>
      <c r="F2143" s="352" t="s">
        <v>9724</v>
      </c>
      <c r="G2143" s="353"/>
      <c r="H2143" s="53" t="s">
        <v>9725</v>
      </c>
      <c r="I2143" s="54" t="s">
        <v>372</v>
      </c>
      <c r="J2143" s="55"/>
      <c r="K2143" s="54">
        <v>1.0</v>
      </c>
      <c r="L2143" s="56">
        <v>2009.0</v>
      </c>
      <c r="M2143" s="55"/>
      <c r="N2143" s="55"/>
      <c r="O2143" s="27" t="str">
        <f t="shared" si="3"/>
        <v>#N/A</v>
      </c>
      <c r="P2143" s="55"/>
      <c r="Q2143" s="55"/>
      <c r="R2143" s="55"/>
      <c r="S2143" s="55"/>
      <c r="T2143" s="55"/>
      <c r="U2143" s="55"/>
      <c r="V2143" s="30">
        <f t="shared" si="425"/>
        <v>8000000</v>
      </c>
      <c r="W2143" s="30"/>
      <c r="X2143" s="58"/>
      <c r="Y2143" s="58"/>
      <c r="Z2143" s="692"/>
      <c r="AA2143" s="665"/>
      <c r="AB2143" s="55"/>
      <c r="AC2143" s="55"/>
      <c r="AD2143" s="355"/>
      <c r="AE2143" s="38"/>
      <c r="AF2143" s="355"/>
      <c r="AG2143" s="38"/>
      <c r="AH2143" s="55"/>
      <c r="AI2143" s="38"/>
      <c r="AJ2143" s="62">
        <v>45033.0</v>
      </c>
      <c r="AK2143" s="38">
        <v>8000000.0</v>
      </c>
      <c r="AL2143" s="55"/>
      <c r="AM2143" s="38"/>
      <c r="AN2143" s="55"/>
      <c r="AO2143" s="38"/>
      <c r="AP2143" s="356"/>
      <c r="AQ2143" s="38"/>
      <c r="AR2143" s="55"/>
      <c r="AS2143" s="38"/>
      <c r="AT2143" s="55"/>
      <c r="AU2143" s="38"/>
      <c r="AV2143" s="55"/>
      <c r="AW2143" s="38"/>
      <c r="AX2143" s="55"/>
      <c r="AY2143" s="38"/>
      <c r="AZ2143" s="55"/>
      <c r="BA2143" s="38"/>
      <c r="BB2143" s="55"/>
      <c r="BC2143" s="38"/>
      <c r="BD2143" s="55"/>
      <c r="BE2143" s="38"/>
      <c r="BF2143" s="55"/>
    </row>
    <row r="2144">
      <c r="A2144" s="47" t="s">
        <v>9726</v>
      </c>
      <c r="C2144" s="48" t="s">
        <v>132</v>
      </c>
      <c r="D2144" s="351"/>
      <c r="E2144" s="49" t="s">
        <v>9727</v>
      </c>
      <c r="F2144" s="749" t="s">
        <v>9728</v>
      </c>
      <c r="G2144" s="353"/>
      <c r="H2144" s="53" t="s">
        <v>128</v>
      </c>
      <c r="I2144" s="54" t="s">
        <v>129</v>
      </c>
      <c r="J2144" s="55"/>
      <c r="K2144" s="54">
        <v>2.0</v>
      </c>
      <c r="L2144" s="56">
        <v>2021.0</v>
      </c>
      <c r="M2144" s="55"/>
      <c r="N2144" s="55"/>
      <c r="O2144" s="27" t="str">
        <f t="shared" si="3"/>
        <v>#N/A</v>
      </c>
      <c r="P2144" s="55"/>
      <c r="Q2144" s="55"/>
      <c r="R2144" s="55"/>
      <c r="S2144" s="55"/>
      <c r="T2144" s="55"/>
      <c r="U2144" s="55"/>
      <c r="V2144" s="30">
        <f t="shared" si="425"/>
        <v>5300000</v>
      </c>
      <c r="W2144" s="30"/>
      <c r="X2144" s="58"/>
      <c r="Y2144" s="58"/>
      <c r="Z2144" s="692"/>
      <c r="AA2144" s="665"/>
      <c r="AB2144" s="55"/>
      <c r="AC2144" s="55"/>
      <c r="AD2144" s="355"/>
      <c r="AE2144" s="38"/>
      <c r="AF2144" s="62">
        <v>45035.0</v>
      </c>
      <c r="AG2144" s="38">
        <v>5300000.0</v>
      </c>
      <c r="AH2144" s="55"/>
      <c r="AI2144" s="38"/>
      <c r="AJ2144" s="55"/>
      <c r="AK2144" s="38"/>
      <c r="AL2144" s="55"/>
      <c r="AM2144" s="38"/>
      <c r="AN2144" s="55"/>
      <c r="AO2144" s="38"/>
      <c r="AP2144" s="356"/>
      <c r="AQ2144" s="38"/>
      <c r="AR2144" s="55"/>
      <c r="AS2144" s="38"/>
      <c r="AT2144" s="55"/>
      <c r="AU2144" s="38"/>
      <c r="AV2144" s="55"/>
      <c r="AW2144" s="38"/>
      <c r="AX2144" s="55"/>
      <c r="AY2144" s="38"/>
      <c r="AZ2144" s="55"/>
      <c r="BA2144" s="38"/>
      <c r="BB2144" s="55"/>
      <c r="BC2144" s="38"/>
      <c r="BD2144" s="55"/>
      <c r="BE2144" s="38"/>
      <c r="BF2144" s="55"/>
    </row>
    <row r="2145">
      <c r="A2145" s="47" t="s">
        <v>9729</v>
      </c>
      <c r="C2145" s="48" t="s">
        <v>513</v>
      </c>
      <c r="D2145" s="351"/>
      <c r="E2145" s="49" t="s">
        <v>9730</v>
      </c>
      <c r="F2145" s="352" t="s">
        <v>9731</v>
      </c>
      <c r="G2145" s="353"/>
      <c r="H2145" s="53" t="s">
        <v>9732</v>
      </c>
      <c r="I2145" s="54" t="s">
        <v>1088</v>
      </c>
      <c r="J2145" s="55"/>
      <c r="K2145" s="54">
        <v>2.0</v>
      </c>
      <c r="L2145" s="56">
        <v>2022.0</v>
      </c>
      <c r="M2145" s="55"/>
      <c r="N2145" s="55"/>
      <c r="O2145" s="27" t="str">
        <f t="shared" si="3"/>
        <v>#N/A</v>
      </c>
      <c r="P2145" s="55"/>
      <c r="Q2145" s="55"/>
      <c r="R2145" s="55"/>
      <c r="S2145" s="55"/>
      <c r="T2145" s="55"/>
      <c r="U2145" s="55"/>
      <c r="V2145" s="30">
        <f t="shared" si="425"/>
        <v>1000000</v>
      </c>
      <c r="W2145" s="30"/>
      <c r="X2145" s="58"/>
      <c r="Y2145" s="58"/>
      <c r="Z2145" s="692"/>
      <c r="AA2145" s="665"/>
      <c r="AB2145" s="55"/>
      <c r="AC2145" s="55"/>
      <c r="AD2145" s="355"/>
      <c r="AE2145" s="38"/>
      <c r="AF2145" s="355"/>
      <c r="AG2145" s="38"/>
      <c r="AH2145" s="55"/>
      <c r="AI2145" s="38"/>
      <c r="AJ2145" s="55"/>
      <c r="AK2145" s="38"/>
      <c r="AL2145" s="55"/>
      <c r="AM2145" s="38"/>
      <c r="AN2145" s="55"/>
      <c r="AO2145" s="38"/>
      <c r="AP2145" s="356"/>
      <c r="AQ2145" s="38"/>
      <c r="AR2145" s="55"/>
      <c r="AS2145" s="38"/>
      <c r="AT2145" s="55"/>
      <c r="AU2145" s="38"/>
      <c r="AV2145" s="55"/>
      <c r="AW2145" s="38"/>
      <c r="AX2145" s="55"/>
      <c r="AY2145" s="38"/>
      <c r="AZ2145" s="55"/>
      <c r="BA2145" s="38"/>
      <c r="BB2145" s="62">
        <v>45035.0</v>
      </c>
      <c r="BC2145" s="38">
        <v>1000000.0</v>
      </c>
      <c r="BD2145" s="55"/>
      <c r="BE2145" s="38"/>
      <c r="BF2145" s="55"/>
    </row>
    <row r="2146">
      <c r="A2146" s="400" t="s">
        <v>9733</v>
      </c>
      <c r="B2146" s="115"/>
      <c r="C2146" s="116" t="s">
        <v>68</v>
      </c>
      <c r="D2146" s="449"/>
      <c r="E2146" s="1946" t="s">
        <v>9734</v>
      </c>
      <c r="F2146" s="1947" t="s">
        <v>9735</v>
      </c>
      <c r="G2146" s="286"/>
      <c r="H2146" s="119" t="s">
        <v>256</v>
      </c>
      <c r="I2146" s="25" t="s">
        <v>257</v>
      </c>
      <c r="J2146" s="287"/>
      <c r="K2146" s="54">
        <v>2.0</v>
      </c>
      <c r="L2146" s="56">
        <v>2020.0</v>
      </c>
      <c r="M2146" s="123"/>
      <c r="N2146" s="123"/>
      <c r="O2146" s="27"/>
      <c r="P2146" s="28"/>
      <c r="Q2146" s="28"/>
      <c r="R2146" s="55"/>
      <c r="S2146" s="55"/>
      <c r="T2146" s="55"/>
      <c r="U2146" s="55"/>
      <c r="V2146" s="30">
        <f t="shared" si="425"/>
        <v>487000</v>
      </c>
      <c r="W2146" s="31"/>
      <c r="X2146" s="403"/>
      <c r="Y2146" s="403"/>
      <c r="Z2146" s="59"/>
      <c r="AA2146" s="157"/>
      <c r="AB2146" s="123"/>
      <c r="AC2146" s="123"/>
      <c r="AD2146" s="62">
        <v>44661.0</v>
      </c>
      <c r="AE2146" s="38"/>
      <c r="AF2146" s="62">
        <v>45036.0</v>
      </c>
      <c r="AG2146" s="38">
        <v>487000.0</v>
      </c>
      <c r="AH2146" s="123"/>
      <c r="AI2146" s="38"/>
      <c r="AJ2146" s="452"/>
      <c r="AK2146" s="38"/>
      <c r="AL2146" s="452"/>
      <c r="AM2146" s="170"/>
      <c r="AN2146" s="452"/>
      <c r="AO2146" s="170"/>
      <c r="AP2146" s="452"/>
      <c r="AQ2146" s="170"/>
      <c r="AR2146" s="452"/>
      <c r="AS2146" s="170"/>
      <c r="AT2146" s="452"/>
      <c r="AU2146" s="170"/>
      <c r="AV2146" s="452"/>
      <c r="AW2146" s="38"/>
      <c r="AX2146" s="452"/>
      <c r="AY2146" s="38"/>
      <c r="AZ2146" s="452"/>
      <c r="BA2146" s="170"/>
      <c r="BB2146" s="452"/>
      <c r="BC2146" s="137"/>
      <c r="BD2146" s="452"/>
      <c r="BE2146" s="38"/>
      <c r="BF2146" s="123"/>
    </row>
    <row r="2147">
      <c r="A2147" s="47" t="s">
        <v>9736</v>
      </c>
      <c r="C2147" s="48" t="s">
        <v>84</v>
      </c>
      <c r="D2147" s="351"/>
      <c r="E2147" s="49" t="s">
        <v>9737</v>
      </c>
      <c r="F2147" s="352" t="s">
        <v>9738</v>
      </c>
      <c r="G2147" s="353"/>
      <c r="H2147" s="53" t="s">
        <v>328</v>
      </c>
      <c r="I2147" s="54" t="s">
        <v>329</v>
      </c>
      <c r="J2147" s="55"/>
      <c r="K2147" s="54">
        <v>2.0</v>
      </c>
      <c r="L2147" s="56">
        <v>2016.0</v>
      </c>
      <c r="M2147" s="55"/>
      <c r="N2147" s="55"/>
      <c r="O2147" s="27" t="str">
        <f t="shared" ref="O2147:O2497" si="793">RANK(Z2147,$Z$2:$Z$333)</f>
        <v>#N/A</v>
      </c>
      <c r="P2147" s="55"/>
      <c r="Q2147" s="55"/>
      <c r="R2147" s="55"/>
      <c r="S2147" s="55"/>
      <c r="T2147" s="55"/>
      <c r="U2147" s="55"/>
      <c r="V2147" s="30">
        <f t="shared" si="425"/>
        <v>122700000</v>
      </c>
      <c r="W2147" s="30"/>
      <c r="X2147" s="58"/>
      <c r="Y2147" s="58"/>
      <c r="Z2147" s="692"/>
      <c r="AA2147" s="665"/>
      <c r="AB2147" s="55"/>
      <c r="AC2147" s="55"/>
      <c r="AD2147" s="355"/>
      <c r="AE2147" s="38"/>
      <c r="AF2147" s="355"/>
      <c r="AG2147" s="38"/>
      <c r="AH2147" s="55"/>
      <c r="AI2147" s="38"/>
      <c r="AJ2147" s="55"/>
      <c r="AK2147" s="38"/>
      <c r="AL2147" s="55"/>
      <c r="AM2147" s="38"/>
      <c r="AN2147" s="55"/>
      <c r="AO2147" s="38"/>
      <c r="AP2147" s="356"/>
      <c r="AQ2147" s="38"/>
      <c r="AR2147" s="55"/>
      <c r="AS2147" s="38"/>
      <c r="AT2147" s="55"/>
      <c r="AU2147" s="38"/>
      <c r="AV2147" s="55"/>
      <c r="AW2147" s="38"/>
      <c r="AX2147" s="55"/>
      <c r="AY2147" s="38"/>
      <c r="AZ2147" s="62">
        <v>45041.0</v>
      </c>
      <c r="BA2147" s="38">
        <v>1.227E8</v>
      </c>
      <c r="BB2147" s="55"/>
      <c r="BC2147" s="38"/>
      <c r="BD2147" s="55"/>
      <c r="BE2147" s="38"/>
      <c r="BF2147" s="55"/>
    </row>
    <row r="2148">
      <c r="A2148" s="47" t="s">
        <v>9739</v>
      </c>
      <c r="C2148" s="48" t="s">
        <v>68</v>
      </c>
      <c r="D2148" s="351"/>
      <c r="E2148" s="49" t="s">
        <v>9740</v>
      </c>
      <c r="F2148" s="352" t="s">
        <v>9741</v>
      </c>
      <c r="G2148" s="353"/>
      <c r="H2148" s="53" t="s">
        <v>673</v>
      </c>
      <c r="I2148" s="54" t="s">
        <v>674</v>
      </c>
      <c r="J2148" s="55"/>
      <c r="K2148" s="54">
        <v>1.0</v>
      </c>
      <c r="L2148" s="56">
        <v>2017.0</v>
      </c>
      <c r="M2148" s="55"/>
      <c r="N2148" s="55"/>
      <c r="O2148" s="27" t="str">
        <f t="shared" si="793"/>
        <v>#N/A</v>
      </c>
      <c r="P2148" s="55"/>
      <c r="Q2148" s="55"/>
      <c r="R2148" s="55"/>
      <c r="S2148" s="55"/>
      <c r="T2148" s="55"/>
      <c r="U2148" s="55"/>
      <c r="V2148" s="30">
        <f t="shared" si="425"/>
        <v>35400000</v>
      </c>
      <c r="W2148" s="30"/>
      <c r="X2148" s="58"/>
      <c r="Y2148" s="58"/>
      <c r="Z2148" s="692"/>
      <c r="AA2148" s="665"/>
      <c r="AB2148" s="55"/>
      <c r="AC2148" s="55"/>
      <c r="AD2148" s="355"/>
      <c r="AE2148" s="38"/>
      <c r="AF2148" s="355"/>
      <c r="AG2148" s="38"/>
      <c r="AH2148" s="55"/>
      <c r="AI2148" s="38"/>
      <c r="AJ2148" s="55"/>
      <c r="AK2148" s="38"/>
      <c r="AL2148" s="55"/>
      <c r="AM2148" s="38"/>
      <c r="AN2148" s="55"/>
      <c r="AO2148" s="38"/>
      <c r="AP2148" s="356"/>
      <c r="AQ2148" s="38"/>
      <c r="AR2148" s="55"/>
      <c r="AS2148" s="38"/>
      <c r="AT2148" s="55"/>
      <c r="AU2148" s="38"/>
      <c r="AV2148" s="55"/>
      <c r="AW2148" s="38"/>
      <c r="AX2148" s="55"/>
      <c r="AY2148" s="38"/>
      <c r="AZ2148" s="62">
        <v>45039.0</v>
      </c>
      <c r="BA2148" s="38">
        <v>3.1E7</v>
      </c>
      <c r="BB2148" s="62">
        <v>44111.0</v>
      </c>
      <c r="BC2148" s="38">
        <v>4400000.0</v>
      </c>
      <c r="BD2148" s="55"/>
      <c r="BE2148" s="38"/>
      <c r="BF2148" s="55"/>
    </row>
    <row r="2149">
      <c r="A2149" s="47" t="s">
        <v>9742</v>
      </c>
      <c r="C2149" s="48" t="s">
        <v>76</v>
      </c>
      <c r="D2149" s="351"/>
      <c r="E2149" s="49" t="s">
        <v>9743</v>
      </c>
      <c r="F2149" s="749" t="s">
        <v>9744</v>
      </c>
      <c r="G2149" s="353"/>
      <c r="H2149" s="53" t="s">
        <v>5696</v>
      </c>
      <c r="I2149" s="54" t="s">
        <v>2010</v>
      </c>
      <c r="J2149" s="55"/>
      <c r="K2149" s="54">
        <v>3.0</v>
      </c>
      <c r="L2149" s="56">
        <v>2012.0</v>
      </c>
      <c r="M2149" s="55"/>
      <c r="N2149" s="55"/>
      <c r="O2149" s="27" t="str">
        <f t="shared" si="793"/>
        <v>#N/A</v>
      </c>
      <c r="P2149" s="55"/>
      <c r="Q2149" s="55"/>
      <c r="R2149" s="55"/>
      <c r="S2149" s="55"/>
      <c r="T2149" s="55"/>
      <c r="U2149" s="55"/>
      <c r="V2149" s="30">
        <f t="shared" si="425"/>
        <v>46900000</v>
      </c>
      <c r="W2149" s="30"/>
      <c r="X2149" s="58"/>
      <c r="Y2149" s="58"/>
      <c r="Z2149" s="692"/>
      <c r="AA2149" s="665"/>
      <c r="AB2149" s="55"/>
      <c r="AC2149" s="55"/>
      <c r="AD2149" s="355"/>
      <c r="AE2149" s="38"/>
      <c r="AF2149" s="355"/>
      <c r="AG2149" s="38"/>
      <c r="AH2149" s="55"/>
      <c r="AI2149" s="38"/>
      <c r="AJ2149" s="55"/>
      <c r="AK2149" s="38"/>
      <c r="AL2149" s="55"/>
      <c r="AM2149" s="38"/>
      <c r="AN2149" s="55"/>
      <c r="AO2149" s="38"/>
      <c r="AP2149" s="356"/>
      <c r="AQ2149" s="38"/>
      <c r="AR2149" s="55"/>
      <c r="AS2149" s="38"/>
      <c r="AT2149" s="55"/>
      <c r="AU2149" s="38"/>
      <c r="AV2149" s="55"/>
      <c r="AW2149" s="38"/>
      <c r="AX2149" s="55"/>
      <c r="AY2149" s="38"/>
      <c r="AZ2149" s="62">
        <v>45040.0</v>
      </c>
      <c r="BA2149" s="38">
        <v>4.69E7</v>
      </c>
      <c r="BB2149" s="55"/>
      <c r="BC2149" s="38"/>
      <c r="BD2149" s="55"/>
      <c r="BE2149" s="38"/>
      <c r="BF2149" s="55"/>
    </row>
    <row r="2150">
      <c r="A2150" s="47" t="s">
        <v>9745</v>
      </c>
      <c r="C2150" s="48" t="s">
        <v>68</v>
      </c>
      <c r="D2150" s="351"/>
      <c r="E2150" s="49" t="s">
        <v>9746</v>
      </c>
      <c r="F2150" s="749" t="s">
        <v>9747</v>
      </c>
      <c r="G2150" s="353"/>
      <c r="H2150" s="53" t="s">
        <v>2811</v>
      </c>
      <c r="I2150" s="54" t="s">
        <v>2501</v>
      </c>
      <c r="J2150" s="55"/>
      <c r="K2150" s="55"/>
      <c r="L2150" s="56">
        <v>2018.0</v>
      </c>
      <c r="M2150" s="55"/>
      <c r="N2150" s="55"/>
      <c r="O2150" s="27" t="str">
        <f t="shared" si="793"/>
        <v>#N/A</v>
      </c>
      <c r="P2150" s="55"/>
      <c r="Q2150" s="55"/>
      <c r="R2150" s="55"/>
      <c r="S2150" s="55"/>
      <c r="T2150" s="55"/>
      <c r="U2150" s="55"/>
      <c r="V2150" s="30">
        <f t="shared" si="425"/>
        <v>14586900</v>
      </c>
      <c r="W2150" s="30"/>
      <c r="X2150" s="58"/>
      <c r="Y2150" s="58"/>
      <c r="Z2150" s="692"/>
      <c r="AA2150" s="665"/>
      <c r="AB2150" s="55"/>
      <c r="AC2150" s="55"/>
      <c r="AD2150" s="355"/>
      <c r="AE2150" s="38"/>
      <c r="AF2150" s="62">
        <v>44127.0</v>
      </c>
      <c r="AG2150" s="38">
        <v>186900.0</v>
      </c>
      <c r="AH2150" s="55"/>
      <c r="AI2150" s="38"/>
      <c r="AJ2150" s="62">
        <v>45043.0</v>
      </c>
      <c r="AK2150" s="38">
        <v>1.44E7</v>
      </c>
      <c r="AL2150" s="55"/>
      <c r="AM2150" s="38"/>
      <c r="AN2150" s="55"/>
      <c r="AO2150" s="38"/>
      <c r="AP2150" s="356"/>
      <c r="AQ2150" s="38"/>
      <c r="AR2150" s="55"/>
      <c r="AS2150" s="38"/>
      <c r="AT2150" s="55"/>
      <c r="AU2150" s="38"/>
      <c r="AV2150" s="55"/>
      <c r="AW2150" s="38"/>
      <c r="AX2150" s="55"/>
      <c r="AY2150" s="38"/>
      <c r="AZ2150" s="55"/>
      <c r="BA2150" s="38"/>
      <c r="BB2150" s="55"/>
      <c r="BC2150" s="38"/>
      <c r="BD2150" s="55"/>
      <c r="BE2150" s="38"/>
      <c r="BF2150" s="55"/>
    </row>
    <row r="2151">
      <c r="A2151" s="47" t="s">
        <v>9748</v>
      </c>
      <c r="C2151" s="48" t="s">
        <v>132</v>
      </c>
      <c r="D2151" s="49" t="s">
        <v>9749</v>
      </c>
      <c r="E2151" s="49" t="s">
        <v>9750</v>
      </c>
      <c r="F2151" s="749" t="s">
        <v>9751</v>
      </c>
      <c r="G2151" s="353"/>
      <c r="H2151" s="53" t="s">
        <v>328</v>
      </c>
      <c r="I2151" s="54" t="s">
        <v>329</v>
      </c>
      <c r="J2151" s="55"/>
      <c r="K2151" s="54">
        <v>3.0</v>
      </c>
      <c r="L2151" s="56">
        <v>2018.0</v>
      </c>
      <c r="M2151" s="55"/>
      <c r="N2151" s="55"/>
      <c r="O2151" s="27" t="str">
        <f t="shared" si="793"/>
        <v>#N/A</v>
      </c>
      <c r="P2151" s="55"/>
      <c r="Q2151" s="55"/>
      <c r="R2151" s="55"/>
      <c r="S2151" s="55"/>
      <c r="T2151" s="55"/>
      <c r="U2151" s="55"/>
      <c r="V2151" s="30">
        <f t="shared" si="425"/>
        <v>4500000</v>
      </c>
      <c r="W2151" s="30"/>
      <c r="X2151" s="58"/>
      <c r="Y2151" s="58"/>
      <c r="Z2151" s="692"/>
      <c r="AA2151" s="665"/>
      <c r="AB2151" s="55"/>
      <c r="AC2151" s="55"/>
      <c r="AD2151" s="355"/>
      <c r="AE2151" s="38"/>
      <c r="AF2151" s="62">
        <v>44537.0</v>
      </c>
      <c r="AG2151" s="38">
        <v>4500000.0</v>
      </c>
      <c r="AH2151" s="55"/>
      <c r="AI2151" s="38"/>
      <c r="AJ2151" s="55"/>
      <c r="AK2151" s="38"/>
      <c r="AL2151" s="55"/>
      <c r="AM2151" s="38"/>
      <c r="AN2151" s="55"/>
      <c r="AO2151" s="38"/>
      <c r="AP2151" s="356"/>
      <c r="AQ2151" s="38"/>
      <c r="AR2151" s="55"/>
      <c r="AS2151" s="38"/>
      <c r="AT2151" s="55"/>
      <c r="AU2151" s="38"/>
      <c r="AV2151" s="55"/>
      <c r="AW2151" s="38"/>
      <c r="AX2151" s="55"/>
      <c r="AY2151" s="38"/>
      <c r="AZ2151" s="55"/>
      <c r="BA2151" s="38"/>
      <c r="BB2151" s="55"/>
      <c r="BC2151" s="38"/>
      <c r="BD2151" s="55"/>
      <c r="BE2151" s="38"/>
      <c r="BF2151" s="55"/>
    </row>
    <row r="2152">
      <c r="A2152" s="47" t="s">
        <v>9752</v>
      </c>
      <c r="C2152" s="48" t="s">
        <v>68</v>
      </c>
      <c r="D2152" s="351"/>
      <c r="E2152" s="49" t="s">
        <v>9753</v>
      </c>
      <c r="F2152" s="749" t="s">
        <v>9754</v>
      </c>
      <c r="G2152" s="353"/>
      <c r="H2152" s="53" t="s">
        <v>5627</v>
      </c>
      <c r="I2152" s="54" t="s">
        <v>4096</v>
      </c>
      <c r="J2152" s="55"/>
      <c r="K2152" s="55"/>
      <c r="L2152" s="56">
        <v>2021.0</v>
      </c>
      <c r="M2152" s="55"/>
      <c r="N2152" s="55"/>
      <c r="O2152" s="27" t="str">
        <f t="shared" si="793"/>
        <v>#N/A</v>
      </c>
      <c r="P2152" s="55"/>
      <c r="Q2152" s="55"/>
      <c r="R2152" s="55"/>
      <c r="S2152" s="55"/>
      <c r="T2152" s="55"/>
      <c r="U2152" s="55"/>
      <c r="V2152" s="30">
        <f t="shared" si="425"/>
        <v>6400000</v>
      </c>
      <c r="W2152" s="30"/>
      <c r="X2152" s="58"/>
      <c r="Y2152" s="58"/>
      <c r="Z2152" s="692"/>
      <c r="AA2152" s="665"/>
      <c r="AB2152" s="55"/>
      <c r="AC2152" s="55"/>
      <c r="AD2152" s="355"/>
      <c r="AE2152" s="38"/>
      <c r="AF2152" s="355"/>
      <c r="AG2152" s="38"/>
      <c r="AH2152" s="55"/>
      <c r="AI2152" s="38"/>
      <c r="AJ2152" s="62">
        <v>45040.0</v>
      </c>
      <c r="AK2152" s="38">
        <v>6400000.0</v>
      </c>
      <c r="AL2152" s="55"/>
      <c r="AM2152" s="38"/>
      <c r="AN2152" s="55"/>
      <c r="AO2152" s="38"/>
      <c r="AP2152" s="356"/>
      <c r="AQ2152" s="38"/>
      <c r="AR2152" s="55"/>
      <c r="AS2152" s="38"/>
      <c r="AT2152" s="55"/>
      <c r="AU2152" s="38"/>
      <c r="AV2152" s="55"/>
      <c r="AW2152" s="38"/>
      <c r="AX2152" s="55"/>
      <c r="AY2152" s="38"/>
      <c r="AZ2152" s="1948"/>
      <c r="BA2152" s="38"/>
      <c r="BB2152" s="55"/>
      <c r="BC2152" s="38"/>
      <c r="BD2152" s="55"/>
      <c r="BE2152" s="38"/>
      <c r="BF2152" s="55"/>
    </row>
    <row r="2153">
      <c r="A2153" s="47" t="s">
        <v>9755</v>
      </c>
      <c r="C2153" s="48" t="s">
        <v>84</v>
      </c>
      <c r="D2153" s="351"/>
      <c r="E2153" s="49" t="s">
        <v>9756</v>
      </c>
      <c r="F2153" s="352" t="s">
        <v>9757</v>
      </c>
      <c r="G2153" s="353"/>
      <c r="H2153" s="53" t="s">
        <v>328</v>
      </c>
      <c r="I2153" s="54" t="s">
        <v>329</v>
      </c>
      <c r="J2153" s="55"/>
      <c r="K2153" s="54">
        <v>3.0</v>
      </c>
      <c r="L2153" s="56">
        <v>2020.0</v>
      </c>
      <c r="M2153" s="55"/>
      <c r="N2153" s="55"/>
      <c r="O2153" s="27" t="str">
        <f t="shared" si="793"/>
        <v>#N/A</v>
      </c>
      <c r="P2153" s="55"/>
      <c r="Q2153" s="55"/>
      <c r="R2153" s="55"/>
      <c r="S2153" s="55"/>
      <c r="T2153" s="55"/>
      <c r="U2153" s="55"/>
      <c r="V2153" s="30">
        <f t="shared" si="425"/>
        <v>9700000</v>
      </c>
      <c r="W2153" s="30"/>
      <c r="X2153" s="58"/>
      <c r="Y2153" s="58"/>
      <c r="Z2153" s="692"/>
      <c r="AA2153" s="665"/>
      <c r="AB2153" s="55"/>
      <c r="AC2153" s="55"/>
      <c r="AD2153" s="355"/>
      <c r="AE2153" s="38"/>
      <c r="AF2153" s="62">
        <v>44413.0</v>
      </c>
      <c r="AG2153" s="38">
        <v>3500000.0</v>
      </c>
      <c r="AH2153" s="55"/>
      <c r="AI2153" s="38"/>
      <c r="AJ2153" s="62">
        <v>45043.0</v>
      </c>
      <c r="AK2153" s="38">
        <v>6200000.0</v>
      </c>
      <c r="AL2153" s="55"/>
      <c r="AM2153" s="38"/>
      <c r="AN2153" s="55"/>
      <c r="AO2153" s="38"/>
      <c r="AP2153" s="356"/>
      <c r="AQ2153" s="38"/>
      <c r="AR2153" s="55"/>
      <c r="AS2153" s="38"/>
      <c r="AT2153" s="55"/>
      <c r="AU2153" s="38"/>
      <c r="AV2153" s="55"/>
      <c r="AW2153" s="38"/>
      <c r="AX2153" s="55"/>
      <c r="AY2153" s="38"/>
      <c r="AZ2153" s="55"/>
      <c r="BA2153" s="38"/>
      <c r="BB2153" s="55"/>
      <c r="BC2153" s="38"/>
      <c r="BD2153" s="55"/>
      <c r="BE2153" s="38"/>
      <c r="BF2153" s="55"/>
    </row>
    <row r="2154">
      <c r="A2154" s="47" t="s">
        <v>9758</v>
      </c>
      <c r="C2154" s="48" t="s">
        <v>132</v>
      </c>
      <c r="D2154" s="49" t="s">
        <v>9759</v>
      </c>
      <c r="E2154" s="49" t="s">
        <v>9760</v>
      </c>
      <c r="F2154" s="352" t="s">
        <v>9761</v>
      </c>
      <c r="G2154" s="353"/>
      <c r="H2154" s="53" t="s">
        <v>328</v>
      </c>
      <c r="I2154" s="54" t="s">
        <v>329</v>
      </c>
      <c r="J2154" s="55"/>
      <c r="K2154" s="54">
        <v>2.0</v>
      </c>
      <c r="L2154" s="56">
        <v>2019.0</v>
      </c>
      <c r="M2154" s="55"/>
      <c r="N2154" s="55"/>
      <c r="O2154" s="27" t="str">
        <f t="shared" si="793"/>
        <v>#N/A</v>
      </c>
      <c r="P2154" s="55"/>
      <c r="Q2154" s="55"/>
      <c r="R2154" s="55"/>
      <c r="S2154" s="55"/>
      <c r="T2154" s="55"/>
      <c r="U2154" s="55"/>
      <c r="V2154" s="30">
        <f t="shared" si="425"/>
        <v>11000000</v>
      </c>
      <c r="W2154" s="30"/>
      <c r="X2154" s="58"/>
      <c r="Y2154" s="58"/>
      <c r="Z2154" s="692"/>
      <c r="AA2154" s="665"/>
      <c r="AB2154" s="55"/>
      <c r="AC2154" s="55"/>
      <c r="AD2154" s="355"/>
      <c r="AE2154" s="38"/>
      <c r="AF2154" s="62">
        <v>44697.0</v>
      </c>
      <c r="AG2154" s="38">
        <v>6000000.0</v>
      </c>
      <c r="AH2154" s="55"/>
      <c r="AI2154" s="38"/>
      <c r="AJ2154" s="62">
        <v>45040.0</v>
      </c>
      <c r="AK2154" s="38">
        <v>5000000.0</v>
      </c>
      <c r="AL2154" s="55"/>
      <c r="AM2154" s="38"/>
      <c r="AN2154" s="55"/>
      <c r="AO2154" s="38"/>
      <c r="AP2154" s="356"/>
      <c r="AQ2154" s="38"/>
      <c r="AR2154" s="55"/>
      <c r="AS2154" s="38"/>
      <c r="AT2154" s="55"/>
      <c r="AU2154" s="38"/>
      <c r="AV2154" s="55"/>
      <c r="AW2154" s="38"/>
      <c r="AX2154" s="55"/>
      <c r="AY2154" s="38"/>
      <c r="AZ2154" s="55"/>
      <c r="BA2154" s="38"/>
      <c r="BB2154" s="55"/>
      <c r="BC2154" s="38"/>
      <c r="BD2154" s="55"/>
      <c r="BE2154" s="38"/>
      <c r="BF2154" s="55"/>
    </row>
    <row r="2155">
      <c r="A2155" s="47" t="s">
        <v>9762</v>
      </c>
      <c r="C2155" s="48" t="s">
        <v>84</v>
      </c>
      <c r="D2155" s="351"/>
      <c r="E2155" s="49" t="s">
        <v>9763</v>
      </c>
      <c r="F2155" s="352" t="s">
        <v>9764</v>
      </c>
      <c r="G2155" s="353"/>
      <c r="H2155" s="53" t="s">
        <v>673</v>
      </c>
      <c r="I2155" s="54" t="s">
        <v>674</v>
      </c>
      <c r="J2155" s="55"/>
      <c r="K2155" s="55"/>
      <c r="L2155" s="56">
        <v>2023.0</v>
      </c>
      <c r="M2155" s="55"/>
      <c r="N2155" s="55"/>
      <c r="O2155" s="27" t="str">
        <f t="shared" si="793"/>
        <v>#N/A</v>
      </c>
      <c r="P2155" s="55"/>
      <c r="Q2155" s="55"/>
      <c r="R2155" s="55"/>
      <c r="S2155" s="55"/>
      <c r="T2155" s="55"/>
      <c r="U2155" s="55"/>
      <c r="V2155" s="30">
        <f t="shared" si="425"/>
        <v>4400000</v>
      </c>
      <c r="W2155" s="30"/>
      <c r="X2155" s="58"/>
      <c r="Y2155" s="58"/>
      <c r="Z2155" s="692"/>
      <c r="AA2155" s="665"/>
      <c r="AB2155" s="55"/>
      <c r="AC2155" s="55"/>
      <c r="AD2155" s="355"/>
      <c r="AE2155" s="38"/>
      <c r="AF2155" s="62">
        <v>45036.0</v>
      </c>
      <c r="AG2155" s="38">
        <f>1.1*4000000</f>
        <v>4400000</v>
      </c>
      <c r="AH2155" s="55"/>
      <c r="AI2155" s="38"/>
      <c r="AJ2155" s="55"/>
      <c r="AK2155" s="38"/>
      <c r="AL2155" s="55"/>
      <c r="AM2155" s="38"/>
      <c r="AN2155" s="55"/>
      <c r="AO2155" s="38"/>
      <c r="AP2155" s="356"/>
      <c r="AQ2155" s="38"/>
      <c r="AR2155" s="55"/>
      <c r="AS2155" s="38"/>
      <c r="AT2155" s="55"/>
      <c r="AU2155" s="38"/>
      <c r="AV2155" s="55"/>
      <c r="AW2155" s="38"/>
      <c r="AX2155" s="55"/>
      <c r="AY2155" s="38"/>
      <c r="AZ2155" s="55"/>
      <c r="BA2155" s="38"/>
      <c r="BB2155" s="55"/>
      <c r="BC2155" s="38"/>
      <c r="BD2155" s="55"/>
      <c r="BE2155" s="38"/>
      <c r="BF2155" s="55"/>
    </row>
    <row r="2156">
      <c r="A2156" s="47" t="s">
        <v>9765</v>
      </c>
      <c r="B2156" s="48" t="s">
        <v>719</v>
      </c>
      <c r="C2156" s="48" t="s">
        <v>207</v>
      </c>
      <c r="D2156" s="617" t="s">
        <v>9766</v>
      </c>
      <c r="E2156" s="617" t="s">
        <v>9767</v>
      </c>
      <c r="F2156" s="749" t="s">
        <v>9768</v>
      </c>
      <c r="G2156" s="353"/>
      <c r="H2156" s="53" t="s">
        <v>6210</v>
      </c>
      <c r="I2156" s="54" t="s">
        <v>257</v>
      </c>
      <c r="J2156" s="55"/>
      <c r="K2156" s="54">
        <v>3.0</v>
      </c>
      <c r="L2156" s="56">
        <v>2020.0</v>
      </c>
      <c r="M2156" s="55"/>
      <c r="N2156" s="55"/>
      <c r="O2156" s="27" t="str">
        <f t="shared" si="793"/>
        <v>#N/A</v>
      </c>
      <c r="P2156" s="55"/>
      <c r="Q2156" s="55"/>
      <c r="R2156" s="55"/>
      <c r="S2156" s="55"/>
      <c r="T2156" s="55"/>
      <c r="U2156" s="55"/>
      <c r="V2156" s="30">
        <f t="shared" si="425"/>
        <v>4000000</v>
      </c>
      <c r="W2156" s="30"/>
      <c r="X2156" s="58"/>
      <c r="Y2156" s="58"/>
      <c r="Z2156" s="692"/>
      <c r="AA2156" s="665"/>
      <c r="AB2156" s="55"/>
      <c r="AC2156" s="55"/>
      <c r="AD2156" s="355"/>
      <c r="AE2156" s="38"/>
      <c r="AF2156" s="62">
        <v>43617.0</v>
      </c>
      <c r="AG2156" s="38">
        <v>1000000.0</v>
      </c>
      <c r="AH2156" s="55"/>
      <c r="AI2156" s="38"/>
      <c r="AJ2156" s="62">
        <v>45040.0</v>
      </c>
      <c r="AK2156" s="38">
        <v>3000000.0</v>
      </c>
      <c r="AL2156" s="55"/>
      <c r="AM2156" s="38"/>
      <c r="AN2156" s="55"/>
      <c r="AO2156" s="38"/>
      <c r="AP2156" s="356"/>
      <c r="AQ2156" s="38"/>
      <c r="AR2156" s="55"/>
      <c r="AS2156" s="38"/>
      <c r="AT2156" s="55"/>
      <c r="AU2156" s="38"/>
      <c r="AV2156" s="55"/>
      <c r="AW2156" s="38"/>
      <c r="AX2156" s="55"/>
      <c r="AY2156" s="38"/>
      <c r="AZ2156" s="55"/>
      <c r="BA2156" s="38"/>
      <c r="BB2156" s="55"/>
      <c r="BC2156" s="38"/>
      <c r="BD2156" s="55"/>
      <c r="BE2156" s="38"/>
      <c r="BF2156" s="55"/>
    </row>
    <row r="2157">
      <c r="A2157" s="47" t="s">
        <v>9769</v>
      </c>
      <c r="B2157" s="48" t="s">
        <v>719</v>
      </c>
      <c r="C2157" s="48" t="s">
        <v>207</v>
      </c>
      <c r="D2157" s="351"/>
      <c r="E2157" s="617" t="s">
        <v>9770</v>
      </c>
      <c r="F2157" s="749" t="s">
        <v>9771</v>
      </c>
      <c r="G2157" s="353"/>
      <c r="H2157" s="53" t="s">
        <v>5671</v>
      </c>
      <c r="I2157" s="54" t="s">
        <v>263</v>
      </c>
      <c r="J2157" s="55"/>
      <c r="K2157" s="55"/>
      <c r="L2157" s="56">
        <v>2022.0</v>
      </c>
      <c r="M2157" s="55"/>
      <c r="N2157" s="55"/>
      <c r="O2157" s="27" t="str">
        <f t="shared" si="793"/>
        <v>#N/A</v>
      </c>
      <c r="P2157" s="55"/>
      <c r="Q2157" s="55"/>
      <c r="R2157" s="55"/>
      <c r="S2157" s="55"/>
      <c r="T2157" s="55"/>
      <c r="U2157" s="55"/>
      <c r="V2157" s="30">
        <f t="shared" si="425"/>
        <v>1500000</v>
      </c>
      <c r="W2157" s="30"/>
      <c r="X2157" s="58"/>
      <c r="Y2157" s="58"/>
      <c r="Z2157" s="692"/>
      <c r="AA2157" s="665"/>
      <c r="AB2157" s="55"/>
      <c r="AC2157" s="55"/>
      <c r="AD2157" s="355"/>
      <c r="AE2157" s="38"/>
      <c r="AF2157" s="62">
        <v>45043.0</v>
      </c>
      <c r="AG2157" s="38">
        <v>1500000.0</v>
      </c>
      <c r="AH2157" s="55"/>
      <c r="AI2157" s="38"/>
      <c r="AJ2157" s="55"/>
      <c r="AK2157" s="38"/>
      <c r="AL2157" s="55"/>
      <c r="AM2157" s="38"/>
      <c r="AN2157" s="55"/>
      <c r="AO2157" s="38"/>
      <c r="AP2157" s="356"/>
      <c r="AQ2157" s="38"/>
      <c r="AR2157" s="55"/>
      <c r="AS2157" s="38"/>
      <c r="AT2157" s="55"/>
      <c r="AU2157" s="38"/>
      <c r="AV2157" s="55"/>
      <c r="AW2157" s="38"/>
      <c r="AX2157" s="55"/>
      <c r="AY2157" s="38"/>
      <c r="AZ2157" s="55"/>
      <c r="BA2157" s="38"/>
      <c r="BB2157" s="55"/>
      <c r="BC2157" s="38"/>
      <c r="BD2157" s="55"/>
      <c r="BE2157" s="38"/>
      <c r="BF2157" s="55"/>
    </row>
    <row r="2158">
      <c r="A2158" s="47" t="s">
        <v>9772</v>
      </c>
      <c r="C2158" s="48" t="s">
        <v>123</v>
      </c>
      <c r="D2158" s="351"/>
      <c r="E2158" s="617" t="s">
        <v>9773</v>
      </c>
      <c r="F2158" s="749" t="s">
        <v>9774</v>
      </c>
      <c r="G2158" s="353"/>
      <c r="H2158" s="53" t="s">
        <v>9775</v>
      </c>
      <c r="I2158" s="54" t="s">
        <v>329</v>
      </c>
      <c r="J2158" s="55"/>
      <c r="K2158" s="54">
        <v>2.0</v>
      </c>
      <c r="L2158" s="56">
        <v>2015.0</v>
      </c>
      <c r="M2158" s="55"/>
      <c r="N2158" s="55"/>
      <c r="O2158" s="27" t="str">
        <f t="shared" si="793"/>
        <v>#N/A</v>
      </c>
      <c r="P2158" s="55"/>
      <c r="Q2158" s="55"/>
      <c r="R2158" s="55"/>
      <c r="S2158" s="55"/>
      <c r="T2158" s="55"/>
      <c r="U2158" s="55"/>
      <c r="V2158" s="30">
        <f t="shared" si="425"/>
        <v>0</v>
      </c>
      <c r="W2158" s="30"/>
      <c r="X2158" s="58"/>
      <c r="Y2158" s="58"/>
      <c r="Z2158" s="692"/>
      <c r="AA2158" s="665"/>
      <c r="AB2158" s="55"/>
      <c r="AC2158" s="55"/>
      <c r="AD2158" s="355"/>
      <c r="AE2158" s="38"/>
      <c r="AF2158" s="355"/>
      <c r="AG2158" s="38"/>
      <c r="AH2158" s="55"/>
      <c r="AI2158" s="38"/>
      <c r="AJ2158" s="55"/>
      <c r="AK2158" s="38"/>
      <c r="AL2158" s="55"/>
      <c r="AM2158" s="38"/>
      <c r="AN2158" s="55"/>
      <c r="AO2158" s="38"/>
      <c r="AP2158" s="356"/>
      <c r="AQ2158" s="38"/>
      <c r="AR2158" s="55"/>
      <c r="AS2158" s="38"/>
      <c r="AT2158" s="55"/>
      <c r="AU2158" s="38"/>
      <c r="AV2158" s="55"/>
      <c r="AW2158" s="38"/>
      <c r="AX2158" s="55"/>
      <c r="AY2158" s="38"/>
      <c r="AZ2158" s="62">
        <v>45042.0</v>
      </c>
      <c r="BA2158" s="38"/>
      <c r="BB2158" s="55"/>
      <c r="BC2158" s="38"/>
      <c r="BD2158" s="55"/>
      <c r="BE2158" s="38"/>
      <c r="BF2158" s="55"/>
    </row>
    <row r="2159">
      <c r="A2159" s="47" t="s">
        <v>9776</v>
      </c>
      <c r="C2159" s="48" t="s">
        <v>76</v>
      </c>
      <c r="D2159" s="351"/>
      <c r="E2159" s="49" t="s">
        <v>9777</v>
      </c>
      <c r="F2159" s="749" t="s">
        <v>9778</v>
      </c>
      <c r="G2159" s="353"/>
      <c r="H2159" s="53" t="s">
        <v>1065</v>
      </c>
      <c r="I2159" s="54" t="s">
        <v>639</v>
      </c>
      <c r="J2159" s="55"/>
      <c r="K2159" s="55"/>
      <c r="L2159" s="961"/>
      <c r="M2159" s="55"/>
      <c r="N2159" s="55"/>
      <c r="O2159" s="27" t="str">
        <f t="shared" si="793"/>
        <v>#N/A</v>
      </c>
      <c r="P2159" s="55"/>
      <c r="Q2159" s="55"/>
      <c r="R2159" s="55"/>
      <c r="S2159" s="55"/>
      <c r="T2159" s="55"/>
      <c r="U2159" s="55"/>
      <c r="V2159" s="30">
        <f t="shared" si="425"/>
        <v>135196000</v>
      </c>
      <c r="W2159" s="30"/>
      <c r="X2159" s="58"/>
      <c r="Y2159" s="58"/>
      <c r="Z2159" s="692"/>
      <c r="AA2159" s="665"/>
      <c r="AB2159" s="55"/>
      <c r="AC2159" s="55"/>
      <c r="AD2159" s="355"/>
      <c r="AE2159" s="38"/>
      <c r="AF2159" s="355"/>
      <c r="AG2159" s="38"/>
      <c r="AH2159" s="55"/>
      <c r="AI2159" s="38"/>
      <c r="AJ2159" s="55"/>
      <c r="AK2159" s="38"/>
      <c r="AL2159" s="55"/>
      <c r="AM2159" s="38"/>
      <c r="AN2159" s="55"/>
      <c r="AO2159" s="38"/>
      <c r="AP2159" s="356"/>
      <c r="AQ2159" s="38"/>
      <c r="AR2159" s="55"/>
      <c r="AS2159" s="38"/>
      <c r="AT2159" s="55"/>
      <c r="AU2159" s="38"/>
      <c r="AV2159" s="55"/>
      <c r="AW2159" s="38"/>
      <c r="AX2159" s="55"/>
      <c r="AY2159" s="38"/>
      <c r="AZ2159" s="62">
        <v>45037.0</v>
      </c>
      <c r="BA2159" s="38">
        <f>66000000*0.73</f>
        <v>48180000</v>
      </c>
      <c r="BB2159" s="62">
        <v>45037.0</v>
      </c>
      <c r="BC2159" s="38">
        <f>119200000*0.73</f>
        <v>87016000</v>
      </c>
      <c r="BD2159" s="55"/>
      <c r="BE2159" s="38"/>
      <c r="BF2159" s="55"/>
    </row>
    <row r="2160">
      <c r="A2160" s="47" t="s">
        <v>9779</v>
      </c>
      <c r="C2160" s="48" t="s">
        <v>68</v>
      </c>
      <c r="D2160" s="351"/>
      <c r="E2160" s="49" t="s">
        <v>9780</v>
      </c>
      <c r="F2160" s="352" t="s">
        <v>9781</v>
      </c>
      <c r="G2160" s="353"/>
      <c r="H2160" s="53" t="s">
        <v>9782</v>
      </c>
      <c r="I2160" s="54" t="s">
        <v>9783</v>
      </c>
      <c r="J2160" s="55"/>
      <c r="K2160" s="55"/>
      <c r="L2160" s="56">
        <v>2021.0</v>
      </c>
      <c r="M2160" s="55"/>
      <c r="N2160" s="55"/>
      <c r="O2160" s="27" t="str">
        <f t="shared" si="793"/>
        <v>#N/A</v>
      </c>
      <c r="P2160" s="55"/>
      <c r="Q2160" s="55"/>
      <c r="R2160" s="55"/>
      <c r="S2160" s="55"/>
      <c r="T2160" s="55"/>
      <c r="U2160" s="55"/>
      <c r="V2160" s="30">
        <f t="shared" si="425"/>
        <v>12000000</v>
      </c>
      <c r="W2160" s="30"/>
      <c r="X2160" s="58"/>
      <c r="Y2160" s="58"/>
      <c r="Z2160" s="692"/>
      <c r="AA2160" s="665"/>
      <c r="AB2160" s="55"/>
      <c r="AC2160" s="55"/>
      <c r="AD2160" s="62">
        <v>45055.0</v>
      </c>
      <c r="AE2160" s="38">
        <v>1.2E7</v>
      </c>
      <c r="AF2160" s="355"/>
      <c r="AG2160" s="38"/>
      <c r="AH2160" s="55"/>
      <c r="AI2160" s="38"/>
      <c r="AJ2160" s="55"/>
      <c r="AK2160" s="38"/>
      <c r="AL2160" s="55"/>
      <c r="AM2160" s="38"/>
      <c r="AN2160" s="55"/>
      <c r="AO2160" s="38"/>
      <c r="AP2160" s="356"/>
      <c r="AQ2160" s="38"/>
      <c r="AR2160" s="55"/>
      <c r="AS2160" s="38"/>
      <c r="AT2160" s="55"/>
      <c r="AU2160" s="38"/>
      <c r="AV2160" s="55"/>
      <c r="AW2160" s="38"/>
      <c r="AX2160" s="55"/>
      <c r="AY2160" s="38"/>
      <c r="AZ2160" s="55"/>
      <c r="BA2160" s="38"/>
      <c r="BB2160" s="55"/>
      <c r="BC2160" s="38"/>
      <c r="BD2160" s="55"/>
      <c r="BE2160" s="38"/>
      <c r="BF2160" s="55"/>
    </row>
    <row r="2161">
      <c r="A2161" s="47" t="s">
        <v>9784</v>
      </c>
      <c r="C2161" s="48" t="s">
        <v>190</v>
      </c>
      <c r="D2161" s="351"/>
      <c r="E2161" s="49" t="s">
        <v>9785</v>
      </c>
      <c r="F2161" s="352" t="s">
        <v>9786</v>
      </c>
      <c r="G2161" s="353"/>
      <c r="H2161" s="53" t="s">
        <v>9787</v>
      </c>
      <c r="I2161" s="54" t="s">
        <v>1547</v>
      </c>
      <c r="J2161" s="55"/>
      <c r="K2161" s="54">
        <v>2.0</v>
      </c>
      <c r="L2161" s="56">
        <v>2015.0</v>
      </c>
      <c r="M2161" s="55"/>
      <c r="N2161" s="55"/>
      <c r="O2161" s="27" t="str">
        <f t="shared" si="793"/>
        <v>#N/A</v>
      </c>
      <c r="P2161" s="55"/>
      <c r="Q2161" s="55"/>
      <c r="R2161" s="55"/>
      <c r="S2161" s="55"/>
      <c r="T2161" s="55"/>
      <c r="U2161" s="55"/>
      <c r="V2161" s="30">
        <f t="shared" si="425"/>
        <v>11938000</v>
      </c>
      <c r="W2161" s="30"/>
      <c r="X2161" s="58"/>
      <c r="Y2161" s="58"/>
      <c r="Z2161" s="692"/>
      <c r="AA2161" s="665"/>
      <c r="AB2161" s="55"/>
      <c r="AC2161" s="55"/>
      <c r="AD2161" s="355"/>
      <c r="AE2161" s="38"/>
      <c r="AF2161" s="355"/>
      <c r="AG2161" s="38"/>
      <c r="AH2161" s="55"/>
      <c r="AI2161" s="38"/>
      <c r="AJ2161" s="55"/>
      <c r="AK2161" s="38"/>
      <c r="AL2161" s="55"/>
      <c r="AM2161" s="38"/>
      <c r="AN2161" s="55"/>
      <c r="AO2161" s="38"/>
      <c r="AP2161" s="356"/>
      <c r="AQ2161" s="38"/>
      <c r="AR2161" s="55"/>
      <c r="AS2161" s="38"/>
      <c r="AT2161" s="55"/>
      <c r="AU2161" s="38"/>
      <c r="AV2161" s="55"/>
      <c r="AW2161" s="38"/>
      <c r="AX2161" s="55"/>
      <c r="AY2161" s="38"/>
      <c r="AZ2161" s="63">
        <v>45050.0</v>
      </c>
      <c r="BA2161" s="38">
        <f>0.67*10000000+0.78*1100000+0.73*6000000</f>
        <v>11938000</v>
      </c>
      <c r="BB2161" s="63">
        <v>45050.0</v>
      </c>
      <c r="BC2161" s="38"/>
      <c r="BD2161" s="55"/>
      <c r="BE2161" s="38"/>
      <c r="BF2161" s="55"/>
    </row>
    <row r="2162">
      <c r="A2162" s="47" t="s">
        <v>9788</v>
      </c>
      <c r="C2162" s="48" t="s">
        <v>84</v>
      </c>
      <c r="D2162" s="351"/>
      <c r="E2162" s="617" t="s">
        <v>9789</v>
      </c>
      <c r="F2162" s="352" t="s">
        <v>9790</v>
      </c>
      <c r="G2162" s="353"/>
      <c r="H2162" s="53" t="s">
        <v>9791</v>
      </c>
      <c r="I2162" s="54" t="s">
        <v>65</v>
      </c>
      <c r="J2162" s="55"/>
      <c r="K2162" s="54">
        <v>1.0</v>
      </c>
      <c r="L2162" s="56">
        <v>2012.0</v>
      </c>
      <c r="M2162" s="55"/>
      <c r="N2162" s="55"/>
      <c r="O2162" s="27" t="str">
        <f t="shared" si="793"/>
        <v>#N/A</v>
      </c>
      <c r="P2162" s="55"/>
      <c r="Q2162" s="55"/>
      <c r="R2162" s="55"/>
      <c r="S2162" s="55"/>
      <c r="T2162" s="55"/>
      <c r="U2162" s="55"/>
      <c r="V2162" s="30">
        <f t="shared" si="425"/>
        <v>6400000</v>
      </c>
      <c r="W2162" s="30"/>
      <c r="X2162" s="58"/>
      <c r="Y2162" s="58"/>
      <c r="Z2162" s="692"/>
      <c r="AA2162" s="665"/>
      <c r="AB2162" s="55"/>
      <c r="AC2162" s="55"/>
      <c r="AD2162" s="355"/>
      <c r="AE2162" s="38"/>
      <c r="AF2162" s="62">
        <v>45047.0</v>
      </c>
      <c r="AG2162" s="38">
        <v>6400000.0</v>
      </c>
      <c r="AH2162" s="55"/>
      <c r="AI2162" s="38"/>
      <c r="AJ2162" s="55"/>
      <c r="AK2162" s="38"/>
      <c r="AL2162" s="55"/>
      <c r="AM2162" s="38"/>
      <c r="AN2162" s="55"/>
      <c r="AO2162" s="38"/>
      <c r="AP2162" s="356"/>
      <c r="AQ2162" s="38"/>
      <c r="AR2162" s="55"/>
      <c r="AS2162" s="38"/>
      <c r="AT2162" s="55"/>
      <c r="AU2162" s="38"/>
      <c r="AV2162" s="55"/>
      <c r="AW2162" s="38"/>
      <c r="AX2162" s="55"/>
      <c r="AY2162" s="38"/>
      <c r="AZ2162" s="55"/>
      <c r="BA2162" s="38"/>
      <c r="BB2162" s="55"/>
      <c r="BC2162" s="38"/>
      <c r="BD2162" s="55"/>
      <c r="BE2162" s="38"/>
      <c r="BF2162" s="55"/>
    </row>
    <row r="2163">
      <c r="A2163" s="47" t="s">
        <v>9792</v>
      </c>
      <c r="C2163" s="48" t="s">
        <v>68</v>
      </c>
      <c r="D2163" s="49" t="s">
        <v>9793</v>
      </c>
      <c r="E2163" s="49" t="s">
        <v>9794</v>
      </c>
      <c r="F2163" s="749" t="s">
        <v>9795</v>
      </c>
      <c r="G2163" s="353"/>
      <c r="H2163" s="53" t="s">
        <v>401</v>
      </c>
      <c r="I2163" s="54" t="s">
        <v>65</v>
      </c>
      <c r="J2163" s="55"/>
      <c r="K2163" s="54">
        <v>2.0</v>
      </c>
      <c r="L2163" s="56">
        <v>2008.0</v>
      </c>
      <c r="M2163" s="55"/>
      <c r="N2163" s="55"/>
      <c r="O2163" s="27" t="str">
        <f t="shared" si="793"/>
        <v>#N/A</v>
      </c>
      <c r="P2163" s="55"/>
      <c r="Q2163" s="55"/>
      <c r="R2163" s="55"/>
      <c r="S2163" s="55"/>
      <c r="T2163" s="55"/>
      <c r="U2163" s="55"/>
      <c r="V2163" s="30">
        <f t="shared" si="425"/>
        <v>22000000</v>
      </c>
      <c r="W2163" s="30"/>
      <c r="X2163" s="58"/>
      <c r="Y2163" s="58"/>
      <c r="Z2163" s="692"/>
      <c r="AA2163" s="665"/>
      <c r="AB2163" s="55"/>
      <c r="AC2163" s="55"/>
      <c r="AE2163" s="38"/>
      <c r="AF2163" s="62">
        <v>42036.0</v>
      </c>
      <c r="AG2163" s="38"/>
      <c r="AH2163" s="55"/>
      <c r="AI2163" s="38"/>
      <c r="AJ2163" s="63">
        <v>43236.0</v>
      </c>
      <c r="AK2163" s="38">
        <v>8000000.0</v>
      </c>
      <c r="AL2163" s="63">
        <v>43614.0</v>
      </c>
      <c r="AM2163" s="38">
        <v>1.2E7</v>
      </c>
      <c r="AN2163" s="55"/>
      <c r="AO2163" s="38"/>
      <c r="AP2163" s="356"/>
      <c r="AQ2163" s="38"/>
      <c r="AR2163" s="55"/>
      <c r="AS2163" s="38"/>
      <c r="AT2163" s="55"/>
      <c r="AU2163" s="38"/>
      <c r="AV2163" s="55"/>
      <c r="AW2163" s="38"/>
      <c r="AX2163" s="55"/>
      <c r="AY2163" s="38"/>
      <c r="AZ2163" s="63">
        <v>45069.0</v>
      </c>
      <c r="BA2163" s="38">
        <v>2000000.0</v>
      </c>
      <c r="BB2163" s="63">
        <v>45047.0</v>
      </c>
      <c r="BC2163" s="38"/>
      <c r="BD2163" s="55"/>
      <c r="BE2163" s="38"/>
      <c r="BF2163" s="55"/>
    </row>
    <row r="2164">
      <c r="A2164" s="47" t="s">
        <v>9796</v>
      </c>
      <c r="C2164" s="48" t="s">
        <v>207</v>
      </c>
      <c r="D2164" s="351"/>
      <c r="E2164" s="617" t="s">
        <v>9797</v>
      </c>
      <c r="F2164" s="352" t="s">
        <v>9798</v>
      </c>
      <c r="G2164" s="353"/>
      <c r="H2164" s="53" t="s">
        <v>9799</v>
      </c>
      <c r="I2164" s="54" t="s">
        <v>4096</v>
      </c>
      <c r="J2164" s="55"/>
      <c r="K2164" s="54">
        <v>2.0</v>
      </c>
      <c r="L2164" s="56">
        <v>2020.0</v>
      </c>
      <c r="M2164" s="55"/>
      <c r="N2164" s="55"/>
      <c r="O2164" s="27" t="str">
        <f t="shared" si="793"/>
        <v>#N/A</v>
      </c>
      <c r="P2164" s="55"/>
      <c r="Q2164" s="55"/>
      <c r="R2164" s="55"/>
      <c r="S2164" s="55"/>
      <c r="T2164" s="55"/>
      <c r="U2164" s="55"/>
      <c r="V2164" s="30">
        <f t="shared" si="425"/>
        <v>2000000</v>
      </c>
      <c r="W2164" s="30"/>
      <c r="X2164" s="58"/>
      <c r="Y2164" s="58"/>
      <c r="Z2164" s="692"/>
      <c r="AA2164" s="665"/>
      <c r="AB2164" s="55"/>
      <c r="AC2164" s="55"/>
      <c r="AD2164" s="355"/>
      <c r="AE2164" s="38"/>
      <c r="AF2164" s="62">
        <v>45049.0</v>
      </c>
      <c r="AG2164" s="38">
        <v>2000000.0</v>
      </c>
      <c r="AH2164" s="55"/>
      <c r="AI2164" s="38"/>
      <c r="AJ2164" s="55"/>
      <c r="AK2164" s="38"/>
      <c r="AL2164" s="55"/>
      <c r="AM2164" s="38"/>
      <c r="AN2164" s="55"/>
      <c r="AO2164" s="38"/>
      <c r="AP2164" s="356"/>
      <c r="AQ2164" s="38"/>
      <c r="AR2164" s="55"/>
      <c r="AS2164" s="38"/>
      <c r="AT2164" s="55"/>
      <c r="AU2164" s="38"/>
      <c r="AV2164" s="55"/>
      <c r="AW2164" s="38"/>
      <c r="AX2164" s="55"/>
      <c r="AY2164" s="38"/>
      <c r="AZ2164" s="55"/>
      <c r="BA2164" s="38"/>
      <c r="BB2164" s="55"/>
      <c r="BC2164" s="38"/>
      <c r="BD2164" s="55"/>
      <c r="BE2164" s="38"/>
      <c r="BF2164" s="55"/>
    </row>
    <row r="2165">
      <c r="A2165" s="47" t="s">
        <v>9800</v>
      </c>
      <c r="C2165" s="48" t="s">
        <v>84</v>
      </c>
      <c r="D2165" s="351"/>
      <c r="E2165" s="617" t="s">
        <v>9801</v>
      </c>
      <c r="F2165" s="749" t="s">
        <v>9802</v>
      </c>
      <c r="G2165" s="353"/>
      <c r="H2165" s="53" t="s">
        <v>9803</v>
      </c>
      <c r="I2165" s="54" t="s">
        <v>1384</v>
      </c>
      <c r="J2165" s="55"/>
      <c r="K2165" s="54">
        <v>1.0</v>
      </c>
      <c r="L2165" s="56">
        <v>2009.0</v>
      </c>
      <c r="M2165" s="55"/>
      <c r="N2165" s="55"/>
      <c r="O2165" s="27" t="str">
        <f t="shared" si="793"/>
        <v>#N/A</v>
      </c>
      <c r="P2165" s="55"/>
      <c r="Q2165" s="55"/>
      <c r="R2165" s="55"/>
      <c r="S2165" s="55"/>
      <c r="T2165" s="55"/>
      <c r="U2165" s="55"/>
      <c r="V2165" s="30">
        <f t="shared" si="425"/>
        <v>2700000</v>
      </c>
      <c r="W2165" s="30"/>
      <c r="X2165" s="58"/>
      <c r="Y2165" s="58"/>
      <c r="Z2165" s="692"/>
      <c r="AA2165" s="665"/>
      <c r="AB2165" s="55"/>
      <c r="AC2165" s="55"/>
      <c r="AD2165" s="355"/>
      <c r="AE2165" s="38"/>
      <c r="AF2165" s="355"/>
      <c r="AG2165" s="38"/>
      <c r="AH2165" s="55"/>
      <c r="AI2165" s="38"/>
      <c r="AJ2165" s="55"/>
      <c r="AK2165" s="38"/>
      <c r="AL2165" s="55"/>
      <c r="AM2165" s="38"/>
      <c r="AN2165" s="55"/>
      <c r="AO2165" s="38"/>
      <c r="AP2165" s="356"/>
      <c r="AQ2165" s="38"/>
      <c r="AR2165" s="55"/>
      <c r="AS2165" s="38"/>
      <c r="AT2165" s="55"/>
      <c r="AU2165" s="38"/>
      <c r="AV2165" s="55"/>
      <c r="AW2165" s="38"/>
      <c r="AX2165" s="55"/>
      <c r="AY2165" s="38"/>
      <c r="AZ2165" s="62">
        <v>45044.0</v>
      </c>
      <c r="BA2165" s="38">
        <v>2700000.0</v>
      </c>
      <c r="BB2165" s="55"/>
      <c r="BC2165" s="38"/>
      <c r="BD2165" s="55"/>
      <c r="BE2165" s="38"/>
      <c r="BF2165" s="55"/>
    </row>
    <row r="2166">
      <c r="A2166" s="47" t="s">
        <v>9804</v>
      </c>
      <c r="C2166" s="48" t="s">
        <v>84</v>
      </c>
      <c r="D2166" s="49" t="s">
        <v>9805</v>
      </c>
      <c r="E2166" s="49" t="s">
        <v>9806</v>
      </c>
      <c r="F2166" s="749" t="s">
        <v>9807</v>
      </c>
      <c r="G2166" s="353"/>
      <c r="H2166" s="53" t="s">
        <v>114</v>
      </c>
      <c r="I2166" s="54" t="s">
        <v>115</v>
      </c>
      <c r="J2166" s="55"/>
      <c r="K2166" s="54">
        <v>3.0</v>
      </c>
      <c r="L2166" s="56">
        <v>2021.0</v>
      </c>
      <c r="M2166" s="55"/>
      <c r="N2166" s="55"/>
      <c r="O2166" s="27" t="str">
        <f t="shared" si="793"/>
        <v>#N/A</v>
      </c>
      <c r="P2166" s="55"/>
      <c r="Q2166" s="55"/>
      <c r="R2166" s="55"/>
      <c r="S2166" s="55"/>
      <c r="T2166" s="55"/>
      <c r="U2166" s="55"/>
      <c r="V2166" s="30">
        <f t="shared" si="425"/>
        <v>370000</v>
      </c>
      <c r="W2166" s="30"/>
      <c r="X2166" s="58"/>
      <c r="Y2166" s="58"/>
      <c r="Z2166" s="692"/>
      <c r="AA2166" s="665"/>
      <c r="AB2166" s="55"/>
      <c r="AC2166" s="55"/>
      <c r="AD2166" s="355"/>
      <c r="AE2166" s="38"/>
      <c r="AF2166" s="62">
        <v>45049.0</v>
      </c>
      <c r="AG2166" s="38">
        <f>500000*0.74</f>
        <v>370000</v>
      </c>
      <c r="AH2166" s="55"/>
      <c r="AI2166" s="38"/>
      <c r="AJ2166" s="55"/>
      <c r="AK2166" s="38"/>
      <c r="AL2166" s="55"/>
      <c r="AM2166" s="38"/>
      <c r="AN2166" s="55"/>
      <c r="AO2166" s="38"/>
      <c r="AP2166" s="356"/>
      <c r="AQ2166" s="38"/>
      <c r="AR2166" s="55"/>
      <c r="AS2166" s="38"/>
      <c r="AT2166" s="55"/>
      <c r="AU2166" s="38"/>
      <c r="AV2166" s="55"/>
      <c r="AW2166" s="38"/>
      <c r="AX2166" s="55"/>
      <c r="AY2166" s="38"/>
      <c r="AZ2166" s="55"/>
      <c r="BA2166" s="38"/>
      <c r="BB2166" s="55"/>
      <c r="BC2166" s="38"/>
      <c r="BD2166" s="55"/>
      <c r="BE2166" s="38"/>
      <c r="BF2166" s="55"/>
    </row>
    <row r="2167">
      <c r="A2167" s="47" t="s">
        <v>9808</v>
      </c>
      <c r="C2167" s="48" t="s">
        <v>84</v>
      </c>
      <c r="D2167" s="351"/>
      <c r="E2167" s="49" t="s">
        <v>9809</v>
      </c>
      <c r="F2167" s="749" t="s">
        <v>9810</v>
      </c>
      <c r="G2167" s="353"/>
      <c r="H2167" s="53" t="s">
        <v>114</v>
      </c>
      <c r="I2167" s="54" t="s">
        <v>115</v>
      </c>
      <c r="J2167" s="55"/>
      <c r="K2167" s="54">
        <v>3.0</v>
      </c>
      <c r="L2167" s="56">
        <v>2020.0</v>
      </c>
      <c r="M2167" s="55"/>
      <c r="N2167" s="55"/>
      <c r="O2167" s="27" t="str">
        <f t="shared" si="793"/>
        <v>#N/A</v>
      </c>
      <c r="P2167" s="55"/>
      <c r="Q2167" s="55"/>
      <c r="R2167" s="55"/>
      <c r="S2167" s="55"/>
      <c r="T2167" s="55"/>
      <c r="U2167" s="55"/>
      <c r="V2167" s="30">
        <f t="shared" si="425"/>
        <v>0</v>
      </c>
      <c r="W2167" s="30"/>
      <c r="X2167" s="58"/>
      <c r="Y2167" s="58"/>
      <c r="Z2167" s="692"/>
      <c r="AA2167" s="665"/>
      <c r="AB2167" s="55"/>
      <c r="AC2167" s="55"/>
      <c r="AD2167" s="355"/>
      <c r="AE2167" s="38"/>
      <c r="AF2167" s="355"/>
      <c r="AG2167" s="38"/>
      <c r="AH2167" s="55"/>
      <c r="AI2167" s="38"/>
      <c r="AJ2167" s="55"/>
      <c r="AK2167" s="38"/>
      <c r="AL2167" s="55"/>
      <c r="AM2167" s="38"/>
      <c r="AN2167" s="55"/>
      <c r="AO2167" s="38"/>
      <c r="AP2167" s="356"/>
      <c r="AQ2167" s="38"/>
      <c r="AR2167" s="55"/>
      <c r="AS2167" s="38"/>
      <c r="AT2167" s="55"/>
      <c r="AU2167" s="38"/>
      <c r="AV2167" s="55"/>
      <c r="AW2167" s="38"/>
      <c r="AX2167" s="55"/>
      <c r="AY2167" s="38"/>
      <c r="AZ2167" s="63">
        <v>45049.0</v>
      </c>
      <c r="BA2167" s="38"/>
      <c r="BB2167" s="55"/>
      <c r="BC2167" s="38"/>
      <c r="BD2167" s="55"/>
      <c r="BE2167" s="38"/>
      <c r="BF2167" s="55"/>
    </row>
    <row r="2168">
      <c r="A2168" s="47" t="s">
        <v>9811</v>
      </c>
      <c r="C2168" s="48" t="s">
        <v>84</v>
      </c>
      <c r="D2168" s="49" t="s">
        <v>9812</v>
      </c>
      <c r="E2168" s="49" t="s">
        <v>9813</v>
      </c>
      <c r="F2168" s="352" t="s">
        <v>9814</v>
      </c>
      <c r="G2168" s="353"/>
      <c r="H2168" s="53" t="s">
        <v>2927</v>
      </c>
      <c r="I2168" s="54" t="s">
        <v>257</v>
      </c>
      <c r="J2168" s="55"/>
      <c r="K2168" s="55"/>
      <c r="L2168" s="56">
        <v>2020.0</v>
      </c>
      <c r="M2168" s="55"/>
      <c r="N2168" s="55"/>
      <c r="O2168" s="27" t="str">
        <f t="shared" si="793"/>
        <v>#N/A</v>
      </c>
      <c r="P2168" s="55"/>
      <c r="Q2168" s="55"/>
      <c r="R2168" s="55"/>
      <c r="S2168" s="55"/>
      <c r="T2168" s="55"/>
      <c r="U2168" s="55"/>
      <c r="V2168" s="30">
        <f t="shared" si="425"/>
        <v>2000000</v>
      </c>
      <c r="W2168" s="30"/>
      <c r="X2168" s="58"/>
      <c r="Y2168" s="58"/>
      <c r="Z2168" s="692"/>
      <c r="AA2168" s="665"/>
      <c r="AB2168" s="55"/>
      <c r="AC2168" s="55"/>
      <c r="AD2168" s="355"/>
      <c r="AE2168" s="38"/>
      <c r="AF2168" s="62">
        <v>45051.0</v>
      </c>
      <c r="AG2168" s="38">
        <v>2000000.0</v>
      </c>
      <c r="AH2168" s="55"/>
      <c r="AI2168" s="38"/>
      <c r="AJ2168" s="55"/>
      <c r="AK2168" s="38"/>
      <c r="AL2168" s="55"/>
      <c r="AM2168" s="38"/>
      <c r="AN2168" s="55"/>
      <c r="AO2168" s="38"/>
      <c r="AP2168" s="356"/>
      <c r="AQ2168" s="38"/>
      <c r="AR2168" s="55"/>
      <c r="AS2168" s="38"/>
      <c r="AT2168" s="55"/>
      <c r="AU2168" s="38"/>
      <c r="AV2168" s="55"/>
      <c r="AW2168" s="38"/>
      <c r="AX2168" s="55"/>
      <c r="AY2168" s="38"/>
      <c r="AZ2168" s="55"/>
      <c r="BA2168" s="38"/>
      <c r="BB2168" s="55"/>
      <c r="BC2168" s="38"/>
      <c r="BD2168" s="55"/>
      <c r="BE2168" s="38"/>
      <c r="BF2168" s="55"/>
    </row>
    <row r="2169">
      <c r="A2169" s="52"/>
      <c r="D2169" s="351"/>
      <c r="E2169" s="351"/>
      <c r="F2169" s="1949"/>
      <c r="G2169" s="353"/>
      <c r="H2169" s="353"/>
      <c r="I2169" s="55"/>
      <c r="J2169" s="55"/>
      <c r="K2169" s="55"/>
      <c r="L2169" s="961"/>
      <c r="M2169" s="55"/>
      <c r="N2169" s="55"/>
      <c r="O2169" s="27" t="str">
        <f t="shared" si="793"/>
        <v>#N/A</v>
      </c>
      <c r="P2169" s="55"/>
      <c r="Q2169" s="55"/>
      <c r="R2169" s="55"/>
      <c r="S2169" s="55"/>
      <c r="T2169" s="55"/>
      <c r="U2169" s="55"/>
      <c r="V2169" s="30">
        <f t="shared" si="425"/>
        <v>0</v>
      </c>
      <c r="W2169" s="30"/>
      <c r="X2169" s="58"/>
      <c r="Y2169" s="58"/>
      <c r="Z2169" s="692"/>
      <c r="AA2169" s="665"/>
      <c r="AB2169" s="55"/>
      <c r="AC2169" s="55"/>
      <c r="AD2169" s="355"/>
      <c r="AE2169" s="38"/>
      <c r="AF2169" s="355"/>
      <c r="AG2169" s="38"/>
      <c r="AH2169" s="55"/>
      <c r="AI2169" s="38"/>
      <c r="AJ2169" s="55"/>
      <c r="AK2169" s="38"/>
      <c r="AL2169" s="55"/>
      <c r="AM2169" s="38"/>
      <c r="AN2169" s="55"/>
      <c r="AO2169" s="38"/>
      <c r="AP2169" s="356"/>
      <c r="AQ2169" s="38"/>
      <c r="AR2169" s="55"/>
      <c r="AS2169" s="38"/>
      <c r="AT2169" s="55"/>
      <c r="AU2169" s="38"/>
      <c r="AV2169" s="55"/>
      <c r="AW2169" s="38"/>
      <c r="AX2169" s="55"/>
      <c r="AY2169" s="38"/>
      <c r="AZ2169" s="55"/>
      <c r="BA2169" s="38"/>
      <c r="BB2169" s="55"/>
      <c r="BC2169" s="38"/>
      <c r="BD2169" s="55"/>
      <c r="BE2169" s="38"/>
      <c r="BF2169" s="55"/>
    </row>
    <row r="2170">
      <c r="A2170" s="52"/>
      <c r="D2170" s="351"/>
      <c r="E2170" s="351"/>
      <c r="F2170" s="1949"/>
      <c r="G2170" s="353"/>
      <c r="H2170" s="353"/>
      <c r="I2170" s="55"/>
      <c r="J2170" s="55"/>
      <c r="K2170" s="55"/>
      <c r="L2170" s="961"/>
      <c r="M2170" s="55"/>
      <c r="N2170" s="55"/>
      <c r="O2170" s="27" t="str">
        <f t="shared" si="793"/>
        <v>#N/A</v>
      </c>
      <c r="P2170" s="55"/>
      <c r="Q2170" s="55"/>
      <c r="R2170" s="55"/>
      <c r="S2170" s="55"/>
      <c r="T2170" s="55"/>
      <c r="U2170" s="55"/>
      <c r="V2170" s="30">
        <f t="shared" si="425"/>
        <v>0</v>
      </c>
      <c r="W2170" s="30"/>
      <c r="X2170" s="58"/>
      <c r="Y2170" s="58"/>
      <c r="Z2170" s="692"/>
      <c r="AA2170" s="665"/>
      <c r="AB2170" s="55"/>
      <c r="AC2170" s="55"/>
      <c r="AD2170" s="355"/>
      <c r="AE2170" s="38"/>
      <c r="AF2170" s="355"/>
      <c r="AG2170" s="38"/>
      <c r="AH2170" s="55"/>
      <c r="AI2170" s="38"/>
      <c r="AJ2170" s="55"/>
      <c r="AK2170" s="38"/>
      <c r="AL2170" s="55"/>
      <c r="AM2170" s="38"/>
      <c r="AN2170" s="55"/>
      <c r="AO2170" s="38"/>
      <c r="AP2170" s="356"/>
      <c r="AQ2170" s="38"/>
      <c r="AR2170" s="55"/>
      <c r="AS2170" s="38"/>
      <c r="AT2170" s="55"/>
      <c r="AU2170" s="38"/>
      <c r="AV2170" s="55"/>
      <c r="AW2170" s="38"/>
      <c r="AX2170" s="55"/>
      <c r="AY2170" s="38"/>
      <c r="AZ2170" s="55"/>
      <c r="BA2170" s="38"/>
      <c r="BB2170" s="55"/>
      <c r="BC2170" s="38"/>
      <c r="BD2170" s="55"/>
      <c r="BE2170" s="38"/>
      <c r="BF2170" s="55"/>
    </row>
    <row r="2171">
      <c r="A2171" s="52"/>
      <c r="D2171" s="351"/>
      <c r="E2171" s="351"/>
      <c r="F2171" s="1949"/>
      <c r="G2171" s="353"/>
      <c r="H2171" s="353"/>
      <c r="I2171" s="55"/>
      <c r="J2171" s="55"/>
      <c r="K2171" s="55"/>
      <c r="L2171" s="961"/>
      <c r="M2171" s="55"/>
      <c r="N2171" s="55"/>
      <c r="O2171" s="27" t="str">
        <f t="shared" si="793"/>
        <v>#N/A</v>
      </c>
      <c r="P2171" s="55"/>
      <c r="Q2171" s="55"/>
      <c r="R2171" s="55"/>
      <c r="S2171" s="55"/>
      <c r="T2171" s="55"/>
      <c r="U2171" s="55"/>
      <c r="V2171" s="30">
        <f t="shared" si="425"/>
        <v>0</v>
      </c>
      <c r="W2171" s="30"/>
      <c r="X2171" s="58"/>
      <c r="Y2171" s="58"/>
      <c r="Z2171" s="692"/>
      <c r="AA2171" s="665"/>
      <c r="AB2171" s="55"/>
      <c r="AC2171" s="55"/>
      <c r="AD2171" s="355"/>
      <c r="AE2171" s="38"/>
      <c r="AF2171" s="355"/>
      <c r="AG2171" s="38"/>
      <c r="AH2171" s="55"/>
      <c r="AI2171" s="38"/>
      <c r="AJ2171" s="55"/>
      <c r="AK2171" s="38"/>
      <c r="AL2171" s="55"/>
      <c r="AM2171" s="38"/>
      <c r="AN2171" s="55"/>
      <c r="AO2171" s="38"/>
      <c r="AP2171" s="356"/>
      <c r="AQ2171" s="38"/>
      <c r="AR2171" s="55"/>
      <c r="AS2171" s="38"/>
      <c r="AT2171" s="55"/>
      <c r="AU2171" s="38"/>
      <c r="AV2171" s="55"/>
      <c r="AW2171" s="38"/>
      <c r="AX2171" s="55"/>
      <c r="AY2171" s="38"/>
      <c r="AZ2171" s="55"/>
      <c r="BA2171" s="38"/>
      <c r="BB2171" s="55"/>
      <c r="BC2171" s="38"/>
      <c r="BD2171" s="55"/>
      <c r="BE2171" s="38"/>
      <c r="BF2171" s="55"/>
    </row>
    <row r="2172">
      <c r="A2172" s="52"/>
      <c r="D2172" s="351"/>
      <c r="E2172" s="351"/>
      <c r="F2172" s="1949"/>
      <c r="G2172" s="353"/>
      <c r="H2172" s="353"/>
      <c r="I2172" s="55"/>
      <c r="J2172" s="55"/>
      <c r="K2172" s="55"/>
      <c r="L2172" s="961"/>
      <c r="M2172" s="55"/>
      <c r="N2172" s="55"/>
      <c r="O2172" s="27" t="str">
        <f t="shared" si="793"/>
        <v>#N/A</v>
      </c>
      <c r="P2172" s="55"/>
      <c r="Q2172" s="55"/>
      <c r="R2172" s="55"/>
      <c r="S2172" s="55"/>
      <c r="T2172" s="55"/>
      <c r="U2172" s="55"/>
      <c r="V2172" s="30">
        <f t="shared" si="425"/>
        <v>0</v>
      </c>
      <c r="W2172" s="30"/>
      <c r="X2172" s="58"/>
      <c r="Y2172" s="58"/>
      <c r="Z2172" s="692"/>
      <c r="AA2172" s="665"/>
      <c r="AB2172" s="55"/>
      <c r="AC2172" s="55"/>
      <c r="AD2172" s="355"/>
      <c r="AE2172" s="38"/>
      <c r="AF2172" s="355"/>
      <c r="AG2172" s="38"/>
      <c r="AH2172" s="55"/>
      <c r="AI2172" s="38"/>
      <c r="AJ2172" s="55"/>
      <c r="AK2172" s="38"/>
      <c r="AL2172" s="55"/>
      <c r="AM2172" s="38"/>
      <c r="AN2172" s="55"/>
      <c r="AO2172" s="38"/>
      <c r="AP2172" s="356"/>
      <c r="AQ2172" s="38"/>
      <c r="AR2172" s="55"/>
      <c r="AS2172" s="38"/>
      <c r="AT2172" s="55"/>
      <c r="AU2172" s="38"/>
      <c r="AV2172" s="55"/>
      <c r="AW2172" s="38"/>
      <c r="AX2172" s="55"/>
      <c r="AY2172" s="38"/>
      <c r="AZ2172" s="55"/>
      <c r="BA2172" s="38"/>
      <c r="BB2172" s="55"/>
      <c r="BC2172" s="38"/>
      <c r="BD2172" s="55"/>
      <c r="BE2172" s="38"/>
      <c r="BF2172" s="55"/>
    </row>
    <row r="2173">
      <c r="A2173" s="52"/>
      <c r="D2173" s="351"/>
      <c r="E2173" s="351"/>
      <c r="F2173" s="1949"/>
      <c r="G2173" s="353"/>
      <c r="H2173" s="353"/>
      <c r="I2173" s="55"/>
      <c r="J2173" s="55"/>
      <c r="K2173" s="55"/>
      <c r="L2173" s="961"/>
      <c r="M2173" s="55"/>
      <c r="N2173" s="55"/>
      <c r="O2173" s="27" t="str">
        <f t="shared" si="793"/>
        <v>#N/A</v>
      </c>
      <c r="P2173" s="55"/>
      <c r="Q2173" s="55"/>
      <c r="R2173" s="55"/>
      <c r="S2173" s="55"/>
      <c r="T2173" s="55"/>
      <c r="U2173" s="55"/>
      <c r="V2173" s="30">
        <f t="shared" si="425"/>
        <v>0</v>
      </c>
      <c r="W2173" s="30"/>
      <c r="X2173" s="58"/>
      <c r="Y2173" s="58"/>
      <c r="Z2173" s="692"/>
      <c r="AA2173" s="665"/>
      <c r="AB2173" s="55"/>
      <c r="AC2173" s="55"/>
      <c r="AD2173" s="355"/>
      <c r="AE2173" s="38"/>
      <c r="AF2173" s="355"/>
      <c r="AG2173" s="38"/>
      <c r="AH2173" s="55"/>
      <c r="AI2173" s="38"/>
      <c r="AJ2173" s="55"/>
      <c r="AK2173" s="38"/>
      <c r="AL2173" s="55"/>
      <c r="AM2173" s="38"/>
      <c r="AN2173" s="55"/>
      <c r="AO2173" s="38"/>
      <c r="AP2173" s="356"/>
      <c r="AQ2173" s="38"/>
      <c r="AR2173" s="55"/>
      <c r="AS2173" s="38"/>
      <c r="AT2173" s="55"/>
      <c r="AU2173" s="38"/>
      <c r="AV2173" s="55"/>
      <c r="AW2173" s="38"/>
      <c r="AX2173" s="55"/>
      <c r="AY2173" s="38"/>
      <c r="AZ2173" s="55"/>
      <c r="BA2173" s="38"/>
      <c r="BB2173" s="55"/>
      <c r="BC2173" s="38"/>
      <c r="BD2173" s="55"/>
      <c r="BE2173" s="38"/>
      <c r="BF2173" s="55"/>
    </row>
    <row r="2174">
      <c r="A2174" s="52"/>
      <c r="D2174" s="351"/>
      <c r="E2174" s="351"/>
      <c r="F2174" s="1949"/>
      <c r="G2174" s="353"/>
      <c r="H2174" s="353"/>
      <c r="I2174" s="55"/>
      <c r="J2174" s="55"/>
      <c r="K2174" s="55"/>
      <c r="L2174" s="961"/>
      <c r="M2174" s="55"/>
      <c r="N2174" s="55"/>
      <c r="O2174" s="27" t="str">
        <f t="shared" si="793"/>
        <v>#N/A</v>
      </c>
      <c r="P2174" s="55"/>
      <c r="Q2174" s="55"/>
      <c r="R2174" s="55"/>
      <c r="S2174" s="55"/>
      <c r="T2174" s="55"/>
      <c r="U2174" s="55"/>
      <c r="V2174" s="30">
        <f t="shared" si="425"/>
        <v>0</v>
      </c>
      <c r="W2174" s="30"/>
      <c r="X2174" s="58"/>
      <c r="Y2174" s="58"/>
      <c r="Z2174" s="692"/>
      <c r="AA2174" s="665"/>
      <c r="AB2174" s="55"/>
      <c r="AC2174" s="55"/>
      <c r="AD2174" s="355"/>
      <c r="AE2174" s="38"/>
      <c r="AF2174" s="355"/>
      <c r="AG2174" s="38"/>
      <c r="AH2174" s="55"/>
      <c r="AI2174" s="38"/>
      <c r="AJ2174" s="55"/>
      <c r="AK2174" s="38"/>
      <c r="AL2174" s="55"/>
      <c r="AM2174" s="38"/>
      <c r="AN2174" s="55"/>
      <c r="AO2174" s="38"/>
      <c r="AP2174" s="356"/>
      <c r="AQ2174" s="38"/>
      <c r="AR2174" s="55"/>
      <c r="AS2174" s="38"/>
      <c r="AT2174" s="55"/>
      <c r="AU2174" s="38"/>
      <c r="AV2174" s="55"/>
      <c r="AW2174" s="38"/>
      <c r="AX2174" s="55"/>
      <c r="AY2174" s="38"/>
      <c r="AZ2174" s="55"/>
      <c r="BA2174" s="38"/>
      <c r="BB2174" s="55"/>
      <c r="BC2174" s="38"/>
      <c r="BD2174" s="55"/>
      <c r="BE2174" s="38"/>
      <c r="BF2174" s="55"/>
    </row>
    <row r="2175">
      <c r="A2175" s="52"/>
      <c r="D2175" s="351"/>
      <c r="E2175" s="351"/>
      <c r="F2175" s="1949"/>
      <c r="G2175" s="353"/>
      <c r="H2175" s="353"/>
      <c r="I2175" s="55"/>
      <c r="J2175" s="55"/>
      <c r="K2175" s="55"/>
      <c r="L2175" s="961"/>
      <c r="M2175" s="55"/>
      <c r="N2175" s="55"/>
      <c r="O2175" s="27" t="str">
        <f t="shared" si="793"/>
        <v>#N/A</v>
      </c>
      <c r="P2175" s="55"/>
      <c r="Q2175" s="55"/>
      <c r="R2175" s="55"/>
      <c r="S2175" s="55"/>
      <c r="T2175" s="55"/>
      <c r="U2175" s="55"/>
      <c r="V2175" s="30">
        <f t="shared" si="425"/>
        <v>0</v>
      </c>
      <c r="W2175" s="30"/>
      <c r="X2175" s="58"/>
      <c r="Y2175" s="58"/>
      <c r="Z2175" s="692"/>
      <c r="AA2175" s="665"/>
      <c r="AB2175" s="55"/>
      <c r="AC2175" s="55"/>
      <c r="AD2175" s="355"/>
      <c r="AE2175" s="38"/>
      <c r="AF2175" s="355"/>
      <c r="AG2175" s="38"/>
      <c r="AH2175" s="55"/>
      <c r="AI2175" s="38"/>
      <c r="AJ2175" s="55"/>
      <c r="AK2175" s="38"/>
      <c r="AL2175" s="55"/>
      <c r="AM2175" s="38"/>
      <c r="AN2175" s="55"/>
      <c r="AO2175" s="38"/>
      <c r="AP2175" s="356"/>
      <c r="AQ2175" s="38"/>
      <c r="AR2175" s="55"/>
      <c r="AS2175" s="38"/>
      <c r="AT2175" s="55"/>
      <c r="AU2175" s="38"/>
      <c r="AV2175" s="55"/>
      <c r="AW2175" s="38"/>
      <c r="AX2175" s="55"/>
      <c r="AY2175" s="38"/>
      <c r="AZ2175" s="55"/>
      <c r="BA2175" s="38"/>
      <c r="BB2175" s="55"/>
      <c r="BC2175" s="38"/>
      <c r="BD2175" s="55"/>
      <c r="BE2175" s="38"/>
      <c r="BF2175" s="55"/>
    </row>
    <row r="2176">
      <c r="A2176" s="52"/>
      <c r="D2176" s="351"/>
      <c r="E2176" s="351"/>
      <c r="F2176" s="1949"/>
      <c r="G2176" s="353"/>
      <c r="H2176" s="353"/>
      <c r="I2176" s="55"/>
      <c r="J2176" s="55"/>
      <c r="K2176" s="55"/>
      <c r="L2176" s="961"/>
      <c r="M2176" s="55"/>
      <c r="N2176" s="55"/>
      <c r="O2176" s="27" t="str">
        <f t="shared" si="793"/>
        <v>#N/A</v>
      </c>
      <c r="P2176" s="55"/>
      <c r="Q2176" s="55"/>
      <c r="R2176" s="55"/>
      <c r="S2176" s="55"/>
      <c r="T2176" s="55"/>
      <c r="U2176" s="55"/>
      <c r="V2176" s="30">
        <f t="shared" si="425"/>
        <v>0</v>
      </c>
      <c r="W2176" s="30"/>
      <c r="X2176" s="58"/>
      <c r="Y2176" s="58"/>
      <c r="Z2176" s="692"/>
      <c r="AA2176" s="665"/>
      <c r="AB2176" s="55"/>
      <c r="AC2176" s="55"/>
      <c r="AD2176" s="355"/>
      <c r="AE2176" s="38"/>
      <c r="AF2176" s="355"/>
      <c r="AG2176" s="38"/>
      <c r="AH2176" s="55"/>
      <c r="AI2176" s="38"/>
      <c r="AJ2176" s="55"/>
      <c r="AK2176" s="38"/>
      <c r="AL2176" s="55"/>
      <c r="AM2176" s="38"/>
      <c r="AN2176" s="55"/>
      <c r="AO2176" s="38"/>
      <c r="AP2176" s="356"/>
      <c r="AQ2176" s="38"/>
      <c r="AR2176" s="55"/>
      <c r="AS2176" s="38"/>
      <c r="AT2176" s="55"/>
      <c r="AU2176" s="38"/>
      <c r="AV2176" s="55"/>
      <c r="AW2176" s="38"/>
      <c r="AX2176" s="55"/>
      <c r="AY2176" s="38"/>
      <c r="AZ2176" s="55"/>
      <c r="BA2176" s="38"/>
      <c r="BB2176" s="55"/>
      <c r="BC2176" s="38"/>
      <c r="BD2176" s="55"/>
      <c r="BE2176" s="38"/>
      <c r="BF2176" s="55"/>
    </row>
    <row r="2177">
      <c r="A2177" s="52"/>
      <c r="D2177" s="351"/>
      <c r="E2177" s="351"/>
      <c r="F2177" s="1949"/>
      <c r="G2177" s="353"/>
      <c r="H2177" s="353"/>
      <c r="I2177" s="55"/>
      <c r="J2177" s="55"/>
      <c r="K2177" s="55"/>
      <c r="L2177" s="961"/>
      <c r="M2177" s="55"/>
      <c r="N2177" s="55"/>
      <c r="O2177" s="27" t="str">
        <f t="shared" si="793"/>
        <v>#N/A</v>
      </c>
      <c r="P2177" s="55"/>
      <c r="Q2177" s="55"/>
      <c r="R2177" s="55"/>
      <c r="S2177" s="55"/>
      <c r="T2177" s="55"/>
      <c r="U2177" s="55"/>
      <c r="V2177" s="30">
        <f t="shared" si="425"/>
        <v>0</v>
      </c>
      <c r="W2177" s="30"/>
      <c r="X2177" s="58"/>
      <c r="Y2177" s="58"/>
      <c r="Z2177" s="692"/>
      <c r="AA2177" s="665"/>
      <c r="AB2177" s="55"/>
      <c r="AC2177" s="55"/>
      <c r="AD2177" s="355"/>
      <c r="AE2177" s="38"/>
      <c r="AF2177" s="355"/>
      <c r="AG2177" s="38"/>
      <c r="AH2177" s="55"/>
      <c r="AI2177" s="38"/>
      <c r="AJ2177" s="55"/>
      <c r="AK2177" s="38"/>
      <c r="AL2177" s="55"/>
      <c r="AM2177" s="38"/>
      <c r="AN2177" s="55"/>
      <c r="AO2177" s="38"/>
      <c r="AP2177" s="356"/>
      <c r="AQ2177" s="38"/>
      <c r="AR2177" s="55"/>
      <c r="AS2177" s="38"/>
      <c r="AT2177" s="55"/>
      <c r="AU2177" s="38"/>
      <c r="AV2177" s="55"/>
      <c r="AW2177" s="38"/>
      <c r="AX2177" s="55"/>
      <c r="AY2177" s="38"/>
      <c r="AZ2177" s="55"/>
      <c r="BA2177" s="38"/>
      <c r="BB2177" s="55"/>
      <c r="BC2177" s="38"/>
      <c r="BD2177" s="55"/>
      <c r="BE2177" s="38"/>
      <c r="BF2177" s="55"/>
    </row>
    <row r="2178">
      <c r="A2178" s="52"/>
      <c r="D2178" s="351"/>
      <c r="E2178" s="351"/>
      <c r="F2178" s="1949"/>
      <c r="G2178" s="353"/>
      <c r="H2178" s="353"/>
      <c r="I2178" s="55"/>
      <c r="J2178" s="55"/>
      <c r="K2178" s="55"/>
      <c r="L2178" s="961"/>
      <c r="M2178" s="55"/>
      <c r="N2178" s="55"/>
      <c r="O2178" s="27" t="str">
        <f t="shared" si="793"/>
        <v>#N/A</v>
      </c>
      <c r="P2178" s="55"/>
      <c r="Q2178" s="55"/>
      <c r="R2178" s="55"/>
      <c r="S2178" s="55"/>
      <c r="T2178" s="55"/>
      <c r="U2178" s="55"/>
      <c r="V2178" s="30">
        <f t="shared" si="425"/>
        <v>0</v>
      </c>
      <c r="W2178" s="30"/>
      <c r="X2178" s="58"/>
      <c r="Y2178" s="58"/>
      <c r="Z2178" s="692"/>
      <c r="AA2178" s="665"/>
      <c r="AB2178" s="55"/>
      <c r="AC2178" s="55"/>
      <c r="AD2178" s="355"/>
      <c r="AE2178" s="38"/>
      <c r="AF2178" s="355"/>
      <c r="AG2178" s="38"/>
      <c r="AH2178" s="55"/>
      <c r="AI2178" s="38"/>
      <c r="AJ2178" s="55"/>
      <c r="AK2178" s="38"/>
      <c r="AL2178" s="55"/>
      <c r="AM2178" s="38"/>
      <c r="AN2178" s="55"/>
      <c r="AO2178" s="38"/>
      <c r="AP2178" s="356"/>
      <c r="AQ2178" s="38"/>
      <c r="AR2178" s="55"/>
      <c r="AS2178" s="38"/>
      <c r="AT2178" s="55"/>
      <c r="AU2178" s="38"/>
      <c r="AV2178" s="55"/>
      <c r="AW2178" s="38"/>
      <c r="AX2178" s="55"/>
      <c r="AY2178" s="38"/>
      <c r="AZ2178" s="55"/>
      <c r="BA2178" s="38"/>
      <c r="BB2178" s="55"/>
      <c r="BC2178" s="38"/>
      <c r="BD2178" s="55"/>
      <c r="BE2178" s="38"/>
      <c r="BF2178" s="55"/>
    </row>
    <row r="2179">
      <c r="A2179" s="52"/>
      <c r="D2179" s="351"/>
      <c r="E2179" s="351"/>
      <c r="F2179" s="1949"/>
      <c r="G2179" s="353"/>
      <c r="H2179" s="353"/>
      <c r="I2179" s="55"/>
      <c r="J2179" s="55"/>
      <c r="K2179" s="55"/>
      <c r="L2179" s="961"/>
      <c r="M2179" s="55"/>
      <c r="N2179" s="55"/>
      <c r="O2179" s="27" t="str">
        <f t="shared" si="793"/>
        <v>#N/A</v>
      </c>
      <c r="P2179" s="55"/>
      <c r="Q2179" s="55"/>
      <c r="R2179" s="55"/>
      <c r="S2179" s="55"/>
      <c r="T2179" s="55"/>
      <c r="U2179" s="55"/>
      <c r="V2179" s="30">
        <f t="shared" si="425"/>
        <v>0</v>
      </c>
      <c r="W2179" s="30"/>
      <c r="X2179" s="58"/>
      <c r="Y2179" s="58"/>
      <c r="Z2179" s="692"/>
      <c r="AA2179" s="665"/>
      <c r="AB2179" s="55"/>
      <c r="AC2179" s="55"/>
      <c r="AD2179" s="355"/>
      <c r="AE2179" s="38"/>
      <c r="AF2179" s="355"/>
      <c r="AG2179" s="38"/>
      <c r="AH2179" s="55"/>
      <c r="AI2179" s="38"/>
      <c r="AJ2179" s="55"/>
      <c r="AK2179" s="38"/>
      <c r="AL2179" s="55"/>
      <c r="AM2179" s="38"/>
      <c r="AN2179" s="55"/>
      <c r="AO2179" s="38"/>
      <c r="AP2179" s="356"/>
      <c r="AQ2179" s="38"/>
      <c r="AR2179" s="55"/>
      <c r="AS2179" s="38"/>
      <c r="AT2179" s="55"/>
      <c r="AU2179" s="38"/>
      <c r="AV2179" s="55"/>
      <c r="AW2179" s="38"/>
      <c r="AX2179" s="55"/>
      <c r="AY2179" s="38"/>
      <c r="AZ2179" s="55"/>
      <c r="BA2179" s="38"/>
      <c r="BB2179" s="55"/>
      <c r="BC2179" s="38"/>
      <c r="BD2179" s="55"/>
      <c r="BE2179" s="38"/>
      <c r="BF2179" s="55"/>
    </row>
    <row r="2180">
      <c r="A2180" s="52"/>
      <c r="D2180" s="351"/>
      <c r="E2180" s="351"/>
      <c r="F2180" s="1949"/>
      <c r="G2180" s="353"/>
      <c r="H2180" s="353"/>
      <c r="I2180" s="55"/>
      <c r="J2180" s="55"/>
      <c r="K2180" s="55"/>
      <c r="L2180" s="961"/>
      <c r="M2180" s="55"/>
      <c r="N2180" s="55"/>
      <c r="O2180" s="27" t="str">
        <f t="shared" si="793"/>
        <v>#N/A</v>
      </c>
      <c r="P2180" s="55"/>
      <c r="Q2180" s="55"/>
      <c r="R2180" s="55"/>
      <c r="S2180" s="55"/>
      <c r="T2180" s="55"/>
      <c r="U2180" s="55"/>
      <c r="V2180" s="30">
        <f t="shared" si="425"/>
        <v>0</v>
      </c>
      <c r="W2180" s="30"/>
      <c r="X2180" s="58"/>
      <c r="Y2180" s="58"/>
      <c r="Z2180" s="692"/>
      <c r="AA2180" s="665"/>
      <c r="AB2180" s="55"/>
      <c r="AC2180" s="55"/>
      <c r="AD2180" s="355"/>
      <c r="AE2180" s="38"/>
      <c r="AF2180" s="355"/>
      <c r="AG2180" s="38"/>
      <c r="AH2180" s="55"/>
      <c r="AI2180" s="38"/>
      <c r="AJ2180" s="55"/>
      <c r="AK2180" s="38"/>
      <c r="AL2180" s="55"/>
      <c r="AM2180" s="38"/>
      <c r="AN2180" s="55"/>
      <c r="AO2180" s="38"/>
      <c r="AP2180" s="356"/>
      <c r="AQ2180" s="38"/>
      <c r="AR2180" s="55"/>
      <c r="AS2180" s="38"/>
      <c r="AT2180" s="55"/>
      <c r="AU2180" s="38"/>
      <c r="AV2180" s="55"/>
      <c r="AW2180" s="38"/>
      <c r="AX2180" s="55"/>
      <c r="AY2180" s="38"/>
      <c r="AZ2180" s="55"/>
      <c r="BA2180" s="38"/>
      <c r="BB2180" s="55"/>
      <c r="BC2180" s="38"/>
      <c r="BD2180" s="55"/>
      <c r="BE2180" s="38"/>
      <c r="BF2180" s="55"/>
    </row>
    <row r="2181">
      <c r="A2181" s="52"/>
      <c r="D2181" s="351"/>
      <c r="E2181" s="351"/>
      <c r="F2181" s="1949"/>
      <c r="G2181" s="353"/>
      <c r="H2181" s="353"/>
      <c r="I2181" s="55"/>
      <c r="J2181" s="55"/>
      <c r="K2181" s="55"/>
      <c r="L2181" s="961"/>
      <c r="M2181" s="55"/>
      <c r="N2181" s="55"/>
      <c r="O2181" s="27" t="str">
        <f t="shared" si="793"/>
        <v>#N/A</v>
      </c>
      <c r="P2181" s="55"/>
      <c r="Q2181" s="55"/>
      <c r="R2181" s="55"/>
      <c r="S2181" s="55"/>
      <c r="T2181" s="55"/>
      <c r="U2181" s="55"/>
      <c r="V2181" s="30">
        <f t="shared" si="425"/>
        <v>0</v>
      </c>
      <c r="W2181" s="30"/>
      <c r="X2181" s="58"/>
      <c r="Y2181" s="58"/>
      <c r="Z2181" s="692"/>
      <c r="AA2181" s="665"/>
      <c r="AB2181" s="55"/>
      <c r="AC2181" s="55"/>
      <c r="AD2181" s="355"/>
      <c r="AE2181" s="38"/>
      <c r="AF2181" s="355"/>
      <c r="AG2181" s="38"/>
      <c r="AH2181" s="55"/>
      <c r="AI2181" s="38"/>
      <c r="AJ2181" s="55"/>
      <c r="AK2181" s="38"/>
      <c r="AL2181" s="55"/>
      <c r="AM2181" s="38"/>
      <c r="AN2181" s="55"/>
      <c r="AO2181" s="38"/>
      <c r="AP2181" s="356"/>
      <c r="AQ2181" s="38"/>
      <c r="AR2181" s="55"/>
      <c r="AS2181" s="38"/>
      <c r="AT2181" s="55"/>
      <c r="AU2181" s="38"/>
      <c r="AV2181" s="55"/>
      <c r="AW2181" s="38"/>
      <c r="AX2181" s="55"/>
      <c r="AY2181" s="38"/>
      <c r="AZ2181" s="55"/>
      <c r="BA2181" s="38"/>
      <c r="BB2181" s="55"/>
      <c r="BC2181" s="38"/>
      <c r="BD2181" s="55"/>
      <c r="BE2181" s="38"/>
      <c r="BF2181" s="55"/>
    </row>
    <row r="2182">
      <c r="A2182" s="52"/>
      <c r="D2182" s="351"/>
      <c r="E2182" s="351"/>
      <c r="F2182" s="1949"/>
      <c r="G2182" s="353"/>
      <c r="H2182" s="353"/>
      <c r="I2182" s="55"/>
      <c r="J2182" s="55"/>
      <c r="K2182" s="55"/>
      <c r="L2182" s="961"/>
      <c r="M2182" s="55"/>
      <c r="N2182" s="55"/>
      <c r="O2182" s="27" t="str">
        <f t="shared" si="793"/>
        <v>#N/A</v>
      </c>
      <c r="P2182" s="55"/>
      <c r="Q2182" s="55"/>
      <c r="R2182" s="55"/>
      <c r="S2182" s="55"/>
      <c r="T2182" s="55"/>
      <c r="U2182" s="55"/>
      <c r="V2182" s="30">
        <f t="shared" si="425"/>
        <v>0</v>
      </c>
      <c r="W2182" s="30"/>
      <c r="X2182" s="58"/>
      <c r="Y2182" s="58"/>
      <c r="Z2182" s="692"/>
      <c r="AA2182" s="665"/>
      <c r="AB2182" s="55"/>
      <c r="AC2182" s="55"/>
      <c r="AD2182" s="355"/>
      <c r="AE2182" s="38"/>
      <c r="AF2182" s="355"/>
      <c r="AG2182" s="38"/>
      <c r="AH2182" s="55"/>
      <c r="AI2182" s="38"/>
      <c r="AJ2182" s="55"/>
      <c r="AK2182" s="38"/>
      <c r="AL2182" s="55"/>
      <c r="AM2182" s="38"/>
      <c r="AN2182" s="55"/>
      <c r="AO2182" s="38"/>
      <c r="AP2182" s="356"/>
      <c r="AQ2182" s="38"/>
      <c r="AR2182" s="55"/>
      <c r="AS2182" s="38"/>
      <c r="AT2182" s="55"/>
      <c r="AU2182" s="38"/>
      <c r="AV2182" s="55"/>
      <c r="AW2182" s="38"/>
      <c r="AX2182" s="55"/>
      <c r="AY2182" s="38"/>
      <c r="AZ2182" s="55"/>
      <c r="BA2182" s="38"/>
      <c r="BB2182" s="55"/>
      <c r="BC2182" s="38"/>
      <c r="BD2182" s="55"/>
      <c r="BE2182" s="38"/>
      <c r="BF2182" s="55"/>
    </row>
    <row r="2183">
      <c r="A2183" s="52"/>
      <c r="D2183" s="351"/>
      <c r="E2183" s="351"/>
      <c r="F2183" s="1949"/>
      <c r="G2183" s="353"/>
      <c r="H2183" s="353"/>
      <c r="I2183" s="55"/>
      <c r="J2183" s="55"/>
      <c r="K2183" s="55"/>
      <c r="L2183" s="961"/>
      <c r="M2183" s="55"/>
      <c r="N2183" s="55"/>
      <c r="O2183" s="27" t="str">
        <f t="shared" si="793"/>
        <v>#N/A</v>
      </c>
      <c r="P2183" s="55"/>
      <c r="Q2183" s="55"/>
      <c r="R2183" s="55"/>
      <c r="S2183" s="55"/>
      <c r="T2183" s="55"/>
      <c r="U2183" s="55"/>
      <c r="V2183" s="30">
        <f t="shared" si="425"/>
        <v>0</v>
      </c>
      <c r="W2183" s="30"/>
      <c r="X2183" s="58"/>
      <c r="Y2183" s="58"/>
      <c r="Z2183" s="692"/>
      <c r="AA2183" s="665"/>
      <c r="AB2183" s="55"/>
      <c r="AC2183" s="55"/>
      <c r="AD2183" s="355"/>
      <c r="AE2183" s="38"/>
      <c r="AF2183" s="355"/>
      <c r="AG2183" s="38"/>
      <c r="AH2183" s="55"/>
      <c r="AI2183" s="38"/>
      <c r="AJ2183" s="55"/>
      <c r="AK2183" s="38"/>
      <c r="AL2183" s="55"/>
      <c r="AM2183" s="38"/>
      <c r="AN2183" s="55"/>
      <c r="AO2183" s="38"/>
      <c r="AP2183" s="356"/>
      <c r="AQ2183" s="38"/>
      <c r="AR2183" s="55"/>
      <c r="AS2183" s="38"/>
      <c r="AT2183" s="55"/>
      <c r="AU2183" s="38"/>
      <c r="AV2183" s="55"/>
      <c r="AW2183" s="38"/>
      <c r="AX2183" s="55"/>
      <c r="AY2183" s="38"/>
      <c r="AZ2183" s="55"/>
      <c r="BA2183" s="38"/>
      <c r="BB2183" s="55"/>
      <c r="BC2183" s="38"/>
      <c r="BD2183" s="55"/>
      <c r="BE2183" s="38"/>
      <c r="BF2183" s="55"/>
    </row>
    <row r="2184">
      <c r="A2184" s="52"/>
      <c r="D2184" s="351"/>
      <c r="E2184" s="351"/>
      <c r="F2184" s="1949"/>
      <c r="G2184" s="353"/>
      <c r="H2184" s="353"/>
      <c r="I2184" s="55"/>
      <c r="J2184" s="55"/>
      <c r="K2184" s="55"/>
      <c r="L2184" s="961"/>
      <c r="M2184" s="55"/>
      <c r="N2184" s="55"/>
      <c r="O2184" s="27" t="str">
        <f t="shared" si="793"/>
        <v>#N/A</v>
      </c>
      <c r="P2184" s="55"/>
      <c r="Q2184" s="55"/>
      <c r="R2184" s="55"/>
      <c r="S2184" s="55"/>
      <c r="T2184" s="55"/>
      <c r="U2184" s="55"/>
      <c r="V2184" s="30">
        <f t="shared" si="425"/>
        <v>0</v>
      </c>
      <c r="W2184" s="30"/>
      <c r="X2184" s="58"/>
      <c r="Y2184" s="58"/>
      <c r="Z2184" s="692"/>
      <c r="AA2184" s="665"/>
      <c r="AB2184" s="55"/>
      <c r="AC2184" s="55"/>
      <c r="AD2184" s="355"/>
      <c r="AE2184" s="38"/>
      <c r="AF2184" s="355"/>
      <c r="AG2184" s="38"/>
      <c r="AH2184" s="55"/>
      <c r="AI2184" s="38"/>
      <c r="AJ2184" s="55"/>
      <c r="AK2184" s="38"/>
      <c r="AL2184" s="55"/>
      <c r="AM2184" s="38"/>
      <c r="AN2184" s="55"/>
      <c r="AO2184" s="38"/>
      <c r="AP2184" s="356"/>
      <c r="AQ2184" s="38"/>
      <c r="AR2184" s="55"/>
      <c r="AS2184" s="38"/>
      <c r="AT2184" s="55"/>
      <c r="AU2184" s="38"/>
      <c r="AV2184" s="55"/>
      <c r="AW2184" s="38"/>
      <c r="AX2184" s="55"/>
      <c r="AY2184" s="38"/>
      <c r="AZ2184" s="55"/>
      <c r="BA2184" s="38"/>
      <c r="BB2184" s="55"/>
      <c r="BC2184" s="38"/>
      <c r="BD2184" s="55"/>
      <c r="BE2184" s="38"/>
      <c r="BF2184" s="55"/>
    </row>
    <row r="2185">
      <c r="A2185" s="52"/>
      <c r="D2185" s="351"/>
      <c r="E2185" s="351"/>
      <c r="F2185" s="1949"/>
      <c r="G2185" s="353"/>
      <c r="H2185" s="353"/>
      <c r="I2185" s="55"/>
      <c r="J2185" s="55"/>
      <c r="K2185" s="55"/>
      <c r="L2185" s="961"/>
      <c r="M2185" s="55"/>
      <c r="N2185" s="55"/>
      <c r="O2185" s="27" t="str">
        <f t="shared" si="793"/>
        <v>#N/A</v>
      </c>
      <c r="P2185" s="55"/>
      <c r="Q2185" s="55"/>
      <c r="R2185" s="55"/>
      <c r="S2185" s="55"/>
      <c r="T2185" s="55"/>
      <c r="U2185" s="55"/>
      <c r="V2185" s="30">
        <f t="shared" si="425"/>
        <v>0</v>
      </c>
      <c r="W2185" s="30"/>
      <c r="X2185" s="58"/>
      <c r="Y2185" s="58"/>
      <c r="Z2185" s="692"/>
      <c r="AA2185" s="665"/>
      <c r="AB2185" s="55"/>
      <c r="AC2185" s="55"/>
      <c r="AD2185" s="355"/>
      <c r="AE2185" s="38"/>
      <c r="AF2185" s="355"/>
      <c r="AG2185" s="38"/>
      <c r="AH2185" s="55"/>
      <c r="AI2185" s="38"/>
      <c r="AJ2185" s="55"/>
      <c r="AK2185" s="38"/>
      <c r="AL2185" s="55"/>
      <c r="AM2185" s="38"/>
      <c r="AN2185" s="55"/>
      <c r="AO2185" s="38"/>
      <c r="AP2185" s="356"/>
      <c r="AQ2185" s="38"/>
      <c r="AR2185" s="55"/>
      <c r="AS2185" s="38"/>
      <c r="AT2185" s="55"/>
      <c r="AU2185" s="38"/>
      <c r="AV2185" s="55"/>
      <c r="AW2185" s="38"/>
      <c r="AX2185" s="55"/>
      <c r="AY2185" s="38"/>
      <c r="AZ2185" s="55"/>
      <c r="BA2185" s="38"/>
      <c r="BB2185" s="55"/>
      <c r="BC2185" s="38"/>
      <c r="BD2185" s="55"/>
      <c r="BE2185" s="38"/>
      <c r="BF2185" s="55"/>
    </row>
    <row r="2186">
      <c r="A2186" s="52"/>
      <c r="D2186" s="351"/>
      <c r="E2186" s="351"/>
      <c r="F2186" s="1949"/>
      <c r="G2186" s="353"/>
      <c r="H2186" s="353"/>
      <c r="I2186" s="55"/>
      <c r="J2186" s="55"/>
      <c r="K2186" s="55"/>
      <c r="L2186" s="961"/>
      <c r="M2186" s="55"/>
      <c r="N2186" s="55"/>
      <c r="O2186" s="27" t="str">
        <f t="shared" si="793"/>
        <v>#N/A</v>
      </c>
      <c r="P2186" s="55"/>
      <c r="Q2186" s="55"/>
      <c r="R2186" s="55"/>
      <c r="S2186" s="55"/>
      <c r="T2186" s="55"/>
      <c r="U2186" s="55"/>
      <c r="V2186" s="30">
        <f t="shared" si="425"/>
        <v>0</v>
      </c>
      <c r="W2186" s="30"/>
      <c r="X2186" s="58"/>
      <c r="Y2186" s="58"/>
      <c r="Z2186" s="692"/>
      <c r="AA2186" s="665"/>
      <c r="AB2186" s="55"/>
      <c r="AC2186" s="55"/>
      <c r="AD2186" s="355"/>
      <c r="AE2186" s="38"/>
      <c r="AF2186" s="355"/>
      <c r="AG2186" s="38"/>
      <c r="AH2186" s="55"/>
      <c r="AI2186" s="38"/>
      <c r="AJ2186" s="55"/>
      <c r="AK2186" s="38"/>
      <c r="AL2186" s="55"/>
      <c r="AM2186" s="38"/>
      <c r="AN2186" s="55"/>
      <c r="AO2186" s="38"/>
      <c r="AP2186" s="356"/>
      <c r="AQ2186" s="38"/>
      <c r="AR2186" s="55"/>
      <c r="AS2186" s="38"/>
      <c r="AT2186" s="55"/>
      <c r="AU2186" s="38"/>
      <c r="AV2186" s="55"/>
      <c r="AW2186" s="38"/>
      <c r="AX2186" s="55"/>
      <c r="AY2186" s="38"/>
      <c r="AZ2186" s="55"/>
      <c r="BA2186" s="38"/>
      <c r="BB2186" s="55"/>
      <c r="BC2186" s="38"/>
      <c r="BD2186" s="55"/>
      <c r="BE2186" s="38"/>
      <c r="BF2186" s="55"/>
    </row>
    <row r="2187">
      <c r="A2187" s="52"/>
      <c r="D2187" s="351"/>
      <c r="E2187" s="351"/>
      <c r="F2187" s="1949"/>
      <c r="G2187" s="353"/>
      <c r="H2187" s="353"/>
      <c r="I2187" s="55"/>
      <c r="J2187" s="55"/>
      <c r="K2187" s="55"/>
      <c r="L2187" s="961"/>
      <c r="M2187" s="55"/>
      <c r="N2187" s="55"/>
      <c r="O2187" s="27" t="str">
        <f t="shared" si="793"/>
        <v>#N/A</v>
      </c>
      <c r="P2187" s="55"/>
      <c r="Q2187" s="55"/>
      <c r="R2187" s="55"/>
      <c r="S2187" s="55"/>
      <c r="T2187" s="55"/>
      <c r="U2187" s="55"/>
      <c r="V2187" s="30">
        <f t="shared" si="425"/>
        <v>0</v>
      </c>
      <c r="W2187" s="30"/>
      <c r="X2187" s="58"/>
      <c r="Y2187" s="58"/>
      <c r="Z2187" s="692"/>
      <c r="AA2187" s="665"/>
      <c r="AB2187" s="55"/>
      <c r="AC2187" s="55"/>
      <c r="AD2187" s="355"/>
      <c r="AE2187" s="38"/>
      <c r="AF2187" s="355"/>
      <c r="AG2187" s="38"/>
      <c r="AH2187" s="55"/>
      <c r="AI2187" s="38"/>
      <c r="AJ2187" s="55"/>
      <c r="AK2187" s="38"/>
      <c r="AL2187" s="55"/>
      <c r="AM2187" s="38"/>
      <c r="AN2187" s="55"/>
      <c r="AO2187" s="38"/>
      <c r="AP2187" s="356"/>
      <c r="AQ2187" s="38"/>
      <c r="AR2187" s="55"/>
      <c r="AS2187" s="38"/>
      <c r="AT2187" s="55"/>
      <c r="AU2187" s="38"/>
      <c r="AV2187" s="55"/>
      <c r="AW2187" s="38"/>
      <c r="AX2187" s="55"/>
      <c r="AY2187" s="38"/>
      <c r="AZ2187" s="55"/>
      <c r="BA2187" s="38"/>
      <c r="BB2187" s="55"/>
      <c r="BC2187" s="38"/>
      <c r="BD2187" s="55"/>
      <c r="BE2187" s="38"/>
      <c r="BF2187" s="55"/>
    </row>
    <row r="2188">
      <c r="A2188" s="52"/>
      <c r="D2188" s="351"/>
      <c r="E2188" s="351"/>
      <c r="F2188" s="1949"/>
      <c r="G2188" s="353"/>
      <c r="H2188" s="353"/>
      <c r="I2188" s="55"/>
      <c r="J2188" s="55"/>
      <c r="K2188" s="55"/>
      <c r="L2188" s="961"/>
      <c r="M2188" s="55"/>
      <c r="N2188" s="55"/>
      <c r="O2188" s="27" t="str">
        <f t="shared" si="793"/>
        <v>#N/A</v>
      </c>
      <c r="P2188" s="55"/>
      <c r="Q2188" s="55"/>
      <c r="R2188" s="55"/>
      <c r="S2188" s="55"/>
      <c r="T2188" s="55"/>
      <c r="U2188" s="55"/>
      <c r="V2188" s="30">
        <f t="shared" si="425"/>
        <v>0</v>
      </c>
      <c r="W2188" s="30"/>
      <c r="X2188" s="58"/>
      <c r="Y2188" s="58"/>
      <c r="Z2188" s="692"/>
      <c r="AA2188" s="665"/>
      <c r="AB2188" s="55"/>
      <c r="AC2188" s="55"/>
      <c r="AD2188" s="355"/>
      <c r="AE2188" s="38"/>
      <c r="AF2188" s="355"/>
      <c r="AG2188" s="38"/>
      <c r="AH2188" s="55"/>
      <c r="AI2188" s="38"/>
      <c r="AJ2188" s="55"/>
      <c r="AK2188" s="38"/>
      <c r="AL2188" s="55"/>
      <c r="AM2188" s="38"/>
      <c r="AN2188" s="55"/>
      <c r="AO2188" s="38"/>
      <c r="AP2188" s="356"/>
      <c r="AQ2188" s="38"/>
      <c r="AR2188" s="55"/>
      <c r="AS2188" s="38"/>
      <c r="AT2188" s="55"/>
      <c r="AU2188" s="38"/>
      <c r="AV2188" s="55"/>
      <c r="AW2188" s="38"/>
      <c r="AX2188" s="55"/>
      <c r="AY2188" s="38"/>
      <c r="AZ2188" s="55"/>
      <c r="BA2188" s="38"/>
      <c r="BB2188" s="55"/>
      <c r="BC2188" s="38"/>
      <c r="BD2188" s="55"/>
      <c r="BE2188" s="38"/>
      <c r="BF2188" s="55"/>
    </row>
    <row r="2189">
      <c r="A2189" s="52"/>
      <c r="D2189" s="351"/>
      <c r="E2189" s="351"/>
      <c r="F2189" s="1949"/>
      <c r="G2189" s="353"/>
      <c r="H2189" s="353"/>
      <c r="I2189" s="55"/>
      <c r="J2189" s="55"/>
      <c r="K2189" s="55"/>
      <c r="L2189" s="961"/>
      <c r="M2189" s="55"/>
      <c r="N2189" s="55"/>
      <c r="O2189" s="27" t="str">
        <f t="shared" si="793"/>
        <v>#N/A</v>
      </c>
      <c r="P2189" s="55"/>
      <c r="Q2189" s="55"/>
      <c r="R2189" s="55"/>
      <c r="S2189" s="55"/>
      <c r="T2189" s="55"/>
      <c r="U2189" s="55"/>
      <c r="V2189" s="30">
        <f t="shared" si="425"/>
        <v>0</v>
      </c>
      <c r="W2189" s="30"/>
      <c r="X2189" s="58"/>
      <c r="Y2189" s="58"/>
      <c r="Z2189" s="692"/>
      <c r="AA2189" s="665"/>
      <c r="AB2189" s="55"/>
      <c r="AC2189" s="55"/>
      <c r="AD2189" s="355"/>
      <c r="AE2189" s="38"/>
      <c r="AF2189" s="355"/>
      <c r="AG2189" s="38"/>
      <c r="AH2189" s="55"/>
      <c r="AI2189" s="38"/>
      <c r="AJ2189" s="55"/>
      <c r="AK2189" s="38"/>
      <c r="AL2189" s="55"/>
      <c r="AM2189" s="38"/>
      <c r="AN2189" s="55"/>
      <c r="AO2189" s="38"/>
      <c r="AP2189" s="356"/>
      <c r="AQ2189" s="38"/>
      <c r="AR2189" s="55"/>
      <c r="AS2189" s="38"/>
      <c r="AT2189" s="55"/>
      <c r="AU2189" s="38"/>
      <c r="AV2189" s="55"/>
      <c r="AW2189" s="38"/>
      <c r="AX2189" s="55"/>
      <c r="AY2189" s="38"/>
      <c r="AZ2189" s="55"/>
      <c r="BA2189" s="38"/>
      <c r="BB2189" s="55"/>
      <c r="BC2189" s="38"/>
      <c r="BD2189" s="55"/>
      <c r="BE2189" s="38"/>
      <c r="BF2189" s="55"/>
    </row>
    <row r="2190">
      <c r="A2190" s="52"/>
      <c r="D2190" s="351"/>
      <c r="E2190" s="351"/>
      <c r="F2190" s="1949"/>
      <c r="G2190" s="353"/>
      <c r="H2190" s="353"/>
      <c r="I2190" s="55"/>
      <c r="J2190" s="55"/>
      <c r="K2190" s="55"/>
      <c r="L2190" s="961"/>
      <c r="M2190" s="55"/>
      <c r="N2190" s="55"/>
      <c r="O2190" s="27" t="str">
        <f t="shared" si="793"/>
        <v>#N/A</v>
      </c>
      <c r="P2190" s="55"/>
      <c r="Q2190" s="55"/>
      <c r="R2190" s="55"/>
      <c r="S2190" s="55"/>
      <c r="T2190" s="55"/>
      <c r="U2190" s="55"/>
      <c r="V2190" s="30">
        <f t="shared" si="425"/>
        <v>0</v>
      </c>
      <c r="W2190" s="30"/>
      <c r="X2190" s="58"/>
      <c r="Y2190" s="58"/>
      <c r="Z2190" s="692"/>
      <c r="AA2190" s="665"/>
      <c r="AB2190" s="55"/>
      <c r="AC2190" s="55"/>
      <c r="AD2190" s="355"/>
      <c r="AE2190" s="38"/>
      <c r="AF2190" s="355"/>
      <c r="AG2190" s="38"/>
      <c r="AH2190" s="55"/>
      <c r="AI2190" s="38"/>
      <c r="AJ2190" s="55"/>
      <c r="AK2190" s="38"/>
      <c r="AL2190" s="55"/>
      <c r="AM2190" s="38"/>
      <c r="AN2190" s="55"/>
      <c r="AO2190" s="38"/>
      <c r="AP2190" s="356"/>
      <c r="AQ2190" s="38"/>
      <c r="AR2190" s="55"/>
      <c r="AS2190" s="38"/>
      <c r="AT2190" s="55"/>
      <c r="AU2190" s="38"/>
      <c r="AV2190" s="55"/>
      <c r="AW2190" s="38"/>
      <c r="AX2190" s="55"/>
      <c r="AY2190" s="38"/>
      <c r="AZ2190" s="55"/>
      <c r="BA2190" s="38"/>
      <c r="BB2190" s="55"/>
      <c r="BC2190" s="38"/>
      <c r="BD2190" s="55"/>
      <c r="BE2190" s="38"/>
      <c r="BF2190" s="55"/>
    </row>
    <row r="2191">
      <c r="A2191" s="52"/>
      <c r="D2191" s="351"/>
      <c r="E2191" s="351"/>
      <c r="F2191" s="1949"/>
      <c r="G2191" s="353"/>
      <c r="H2191" s="353"/>
      <c r="I2191" s="55"/>
      <c r="J2191" s="55"/>
      <c r="K2191" s="55"/>
      <c r="L2191" s="961"/>
      <c r="M2191" s="55"/>
      <c r="N2191" s="55"/>
      <c r="O2191" s="27" t="str">
        <f t="shared" si="793"/>
        <v>#N/A</v>
      </c>
      <c r="P2191" s="55"/>
      <c r="Q2191" s="55"/>
      <c r="R2191" s="55"/>
      <c r="S2191" s="55"/>
      <c r="T2191" s="55"/>
      <c r="U2191" s="55"/>
      <c r="V2191" s="30">
        <f t="shared" si="425"/>
        <v>0</v>
      </c>
      <c r="W2191" s="30"/>
      <c r="X2191" s="58"/>
      <c r="Y2191" s="58"/>
      <c r="Z2191" s="692"/>
      <c r="AA2191" s="665"/>
      <c r="AB2191" s="55"/>
      <c r="AC2191" s="55"/>
      <c r="AD2191" s="355"/>
      <c r="AE2191" s="38"/>
      <c r="AF2191" s="355"/>
      <c r="AG2191" s="38"/>
      <c r="AH2191" s="55"/>
      <c r="AI2191" s="38"/>
      <c r="AJ2191" s="55"/>
      <c r="AK2191" s="38"/>
      <c r="AL2191" s="55"/>
      <c r="AM2191" s="38"/>
      <c r="AN2191" s="55"/>
      <c r="AO2191" s="38"/>
      <c r="AP2191" s="356"/>
      <c r="AQ2191" s="38"/>
      <c r="AR2191" s="55"/>
      <c r="AS2191" s="38"/>
      <c r="AT2191" s="55"/>
      <c r="AU2191" s="38"/>
      <c r="AV2191" s="55"/>
      <c r="AW2191" s="38"/>
      <c r="AX2191" s="55"/>
      <c r="AY2191" s="38"/>
      <c r="AZ2191" s="55"/>
      <c r="BA2191" s="38"/>
      <c r="BB2191" s="55"/>
      <c r="BC2191" s="38"/>
      <c r="BD2191" s="55"/>
      <c r="BE2191" s="38"/>
      <c r="BF2191" s="55"/>
    </row>
    <row r="2192">
      <c r="A2192" s="52"/>
      <c r="D2192" s="351"/>
      <c r="E2192" s="351"/>
      <c r="F2192" s="1949"/>
      <c r="G2192" s="353"/>
      <c r="H2192" s="353"/>
      <c r="I2192" s="55"/>
      <c r="J2192" s="55"/>
      <c r="K2192" s="55"/>
      <c r="L2192" s="961"/>
      <c r="M2192" s="55"/>
      <c r="N2192" s="55"/>
      <c r="O2192" s="27" t="str">
        <f t="shared" si="793"/>
        <v>#N/A</v>
      </c>
      <c r="P2192" s="55"/>
      <c r="Q2192" s="55"/>
      <c r="R2192" s="55"/>
      <c r="S2192" s="55"/>
      <c r="T2192" s="55"/>
      <c r="U2192" s="55"/>
      <c r="V2192" s="30">
        <f t="shared" si="425"/>
        <v>0</v>
      </c>
      <c r="W2192" s="30"/>
      <c r="X2192" s="58"/>
      <c r="Y2192" s="58"/>
      <c r="Z2192" s="692"/>
      <c r="AA2192" s="665"/>
      <c r="AB2192" s="55"/>
      <c r="AC2192" s="55"/>
      <c r="AD2192" s="355"/>
      <c r="AE2192" s="38"/>
      <c r="AF2192" s="355"/>
      <c r="AG2192" s="38"/>
      <c r="AH2192" s="55"/>
      <c r="AI2192" s="38"/>
      <c r="AJ2192" s="55"/>
      <c r="AK2192" s="38"/>
      <c r="AL2192" s="55"/>
      <c r="AM2192" s="38"/>
      <c r="AN2192" s="55"/>
      <c r="AO2192" s="38"/>
      <c r="AP2192" s="356"/>
      <c r="AQ2192" s="38"/>
      <c r="AR2192" s="55"/>
      <c r="AS2192" s="38"/>
      <c r="AT2192" s="55"/>
      <c r="AU2192" s="38"/>
      <c r="AV2192" s="55"/>
      <c r="AW2192" s="38"/>
      <c r="AX2192" s="55"/>
      <c r="AY2192" s="38"/>
      <c r="AZ2192" s="55"/>
      <c r="BA2192" s="38"/>
      <c r="BB2192" s="55"/>
      <c r="BC2192" s="38"/>
      <c r="BD2192" s="55"/>
      <c r="BE2192" s="38"/>
      <c r="BF2192" s="55"/>
    </row>
    <row r="2193">
      <c r="A2193" s="52"/>
      <c r="D2193" s="351"/>
      <c r="E2193" s="351"/>
      <c r="F2193" s="1949"/>
      <c r="G2193" s="353"/>
      <c r="H2193" s="353"/>
      <c r="I2193" s="55"/>
      <c r="J2193" s="55"/>
      <c r="K2193" s="55"/>
      <c r="L2193" s="961"/>
      <c r="M2193" s="55"/>
      <c r="N2193" s="55"/>
      <c r="O2193" s="27" t="str">
        <f t="shared" si="793"/>
        <v>#N/A</v>
      </c>
      <c r="P2193" s="55"/>
      <c r="Q2193" s="55"/>
      <c r="R2193" s="55"/>
      <c r="S2193" s="55"/>
      <c r="T2193" s="55"/>
      <c r="U2193" s="55"/>
      <c r="V2193" s="30">
        <f t="shared" si="425"/>
        <v>0</v>
      </c>
      <c r="W2193" s="30"/>
      <c r="X2193" s="58"/>
      <c r="Y2193" s="58"/>
      <c r="Z2193" s="692"/>
      <c r="AA2193" s="665"/>
      <c r="AB2193" s="55"/>
      <c r="AC2193" s="55"/>
      <c r="AD2193" s="355"/>
      <c r="AE2193" s="38"/>
      <c r="AF2193" s="355"/>
      <c r="AG2193" s="38"/>
      <c r="AH2193" s="55"/>
      <c r="AI2193" s="38"/>
      <c r="AJ2193" s="55"/>
      <c r="AK2193" s="38"/>
      <c r="AL2193" s="55"/>
      <c r="AM2193" s="38"/>
      <c r="AN2193" s="55"/>
      <c r="AO2193" s="38"/>
      <c r="AP2193" s="356"/>
      <c r="AQ2193" s="38"/>
      <c r="AR2193" s="55"/>
      <c r="AS2193" s="38"/>
      <c r="AT2193" s="55"/>
      <c r="AU2193" s="38"/>
      <c r="AV2193" s="55"/>
      <c r="AW2193" s="38"/>
      <c r="AX2193" s="55"/>
      <c r="AY2193" s="38"/>
      <c r="AZ2193" s="55"/>
      <c r="BA2193" s="38"/>
      <c r="BB2193" s="55"/>
      <c r="BC2193" s="38"/>
      <c r="BD2193" s="55"/>
      <c r="BE2193" s="38"/>
      <c r="BF2193" s="55"/>
    </row>
    <row r="2194">
      <c r="A2194" s="52"/>
      <c r="D2194" s="351"/>
      <c r="E2194" s="351"/>
      <c r="F2194" s="1949"/>
      <c r="G2194" s="353"/>
      <c r="H2194" s="353"/>
      <c r="I2194" s="55"/>
      <c r="J2194" s="55"/>
      <c r="K2194" s="55"/>
      <c r="L2194" s="961"/>
      <c r="M2194" s="55"/>
      <c r="N2194" s="55"/>
      <c r="O2194" s="27" t="str">
        <f t="shared" si="793"/>
        <v>#N/A</v>
      </c>
      <c r="P2194" s="55"/>
      <c r="Q2194" s="55"/>
      <c r="R2194" s="55"/>
      <c r="S2194" s="55"/>
      <c r="T2194" s="55"/>
      <c r="U2194" s="55"/>
      <c r="V2194" s="30">
        <f t="shared" si="425"/>
        <v>0</v>
      </c>
      <c r="W2194" s="30"/>
      <c r="X2194" s="58"/>
      <c r="Y2194" s="58"/>
      <c r="Z2194" s="692"/>
      <c r="AA2194" s="665"/>
      <c r="AB2194" s="55"/>
      <c r="AC2194" s="55"/>
      <c r="AD2194" s="355"/>
      <c r="AE2194" s="38"/>
      <c r="AF2194" s="355"/>
      <c r="AG2194" s="38"/>
      <c r="AH2194" s="55"/>
      <c r="AI2194" s="38"/>
      <c r="AJ2194" s="55"/>
      <c r="AK2194" s="38"/>
      <c r="AL2194" s="55"/>
      <c r="AM2194" s="38"/>
      <c r="AN2194" s="55"/>
      <c r="AO2194" s="38"/>
      <c r="AP2194" s="356"/>
      <c r="AQ2194" s="38"/>
      <c r="AR2194" s="55"/>
      <c r="AS2194" s="38"/>
      <c r="AT2194" s="55"/>
      <c r="AU2194" s="38"/>
      <c r="AV2194" s="55"/>
      <c r="AW2194" s="38"/>
      <c r="AX2194" s="55"/>
      <c r="AY2194" s="38"/>
      <c r="AZ2194" s="55"/>
      <c r="BA2194" s="38"/>
      <c r="BB2194" s="55"/>
      <c r="BC2194" s="38"/>
      <c r="BD2194" s="55"/>
      <c r="BE2194" s="38"/>
      <c r="BF2194" s="55"/>
    </row>
    <row r="2195">
      <c r="A2195" s="52"/>
      <c r="D2195" s="351"/>
      <c r="E2195" s="351"/>
      <c r="F2195" s="1949"/>
      <c r="G2195" s="353"/>
      <c r="H2195" s="353"/>
      <c r="I2195" s="55"/>
      <c r="J2195" s="55"/>
      <c r="K2195" s="55"/>
      <c r="L2195" s="961"/>
      <c r="M2195" s="55"/>
      <c r="N2195" s="55"/>
      <c r="O2195" s="27" t="str">
        <f t="shared" si="793"/>
        <v>#N/A</v>
      </c>
      <c r="P2195" s="55"/>
      <c r="Q2195" s="55"/>
      <c r="R2195" s="55"/>
      <c r="S2195" s="55"/>
      <c r="T2195" s="55"/>
      <c r="U2195" s="55"/>
      <c r="V2195" s="30">
        <f t="shared" si="425"/>
        <v>0</v>
      </c>
      <c r="W2195" s="30"/>
      <c r="X2195" s="58"/>
      <c r="Y2195" s="58"/>
      <c r="Z2195" s="692"/>
      <c r="AA2195" s="665"/>
      <c r="AB2195" s="55"/>
      <c r="AC2195" s="55"/>
      <c r="AD2195" s="355"/>
      <c r="AE2195" s="38"/>
      <c r="AF2195" s="355"/>
      <c r="AG2195" s="38"/>
      <c r="AH2195" s="55"/>
      <c r="AI2195" s="38"/>
      <c r="AJ2195" s="55"/>
      <c r="AK2195" s="38"/>
      <c r="AL2195" s="55"/>
      <c r="AM2195" s="38"/>
      <c r="AN2195" s="55"/>
      <c r="AO2195" s="38"/>
      <c r="AP2195" s="356"/>
      <c r="AQ2195" s="38"/>
      <c r="AR2195" s="55"/>
      <c r="AS2195" s="38"/>
      <c r="AT2195" s="55"/>
      <c r="AU2195" s="38"/>
      <c r="AV2195" s="55"/>
      <c r="AW2195" s="38"/>
      <c r="AX2195" s="55"/>
      <c r="AY2195" s="38"/>
      <c r="AZ2195" s="55"/>
      <c r="BA2195" s="38"/>
      <c r="BB2195" s="55"/>
      <c r="BC2195" s="38"/>
      <c r="BD2195" s="55"/>
      <c r="BE2195" s="38"/>
      <c r="BF2195" s="55"/>
    </row>
    <row r="2196">
      <c r="A2196" s="52"/>
      <c r="D2196" s="351"/>
      <c r="E2196" s="351"/>
      <c r="F2196" s="1949"/>
      <c r="G2196" s="353"/>
      <c r="H2196" s="353"/>
      <c r="I2196" s="55"/>
      <c r="J2196" s="55"/>
      <c r="K2196" s="55"/>
      <c r="L2196" s="961"/>
      <c r="M2196" s="55"/>
      <c r="N2196" s="55"/>
      <c r="O2196" s="27" t="str">
        <f t="shared" si="793"/>
        <v>#N/A</v>
      </c>
      <c r="P2196" s="55"/>
      <c r="Q2196" s="55"/>
      <c r="R2196" s="55"/>
      <c r="S2196" s="55"/>
      <c r="T2196" s="55"/>
      <c r="U2196" s="55"/>
      <c r="V2196" s="30">
        <f t="shared" si="425"/>
        <v>0</v>
      </c>
      <c r="W2196" s="30"/>
      <c r="X2196" s="58"/>
      <c r="Y2196" s="58"/>
      <c r="Z2196" s="692"/>
      <c r="AA2196" s="665"/>
      <c r="AB2196" s="55"/>
      <c r="AC2196" s="55"/>
      <c r="AD2196" s="355"/>
      <c r="AE2196" s="38"/>
      <c r="AF2196" s="355"/>
      <c r="AG2196" s="38"/>
      <c r="AH2196" s="55"/>
      <c r="AI2196" s="38"/>
      <c r="AJ2196" s="55"/>
      <c r="AK2196" s="38"/>
      <c r="AL2196" s="55"/>
      <c r="AM2196" s="38"/>
      <c r="AN2196" s="55"/>
      <c r="AO2196" s="38"/>
      <c r="AP2196" s="356"/>
      <c r="AQ2196" s="38"/>
      <c r="AR2196" s="55"/>
      <c r="AS2196" s="38"/>
      <c r="AT2196" s="55"/>
      <c r="AU2196" s="38"/>
      <c r="AV2196" s="55"/>
      <c r="AW2196" s="38"/>
      <c r="AX2196" s="55"/>
      <c r="AY2196" s="38"/>
      <c r="AZ2196" s="55"/>
      <c r="BA2196" s="38"/>
      <c r="BB2196" s="55"/>
      <c r="BC2196" s="38"/>
      <c r="BD2196" s="55"/>
      <c r="BE2196" s="38"/>
      <c r="BF2196" s="55"/>
    </row>
    <row r="2197">
      <c r="A2197" s="52"/>
      <c r="D2197" s="351"/>
      <c r="E2197" s="351"/>
      <c r="F2197" s="1949"/>
      <c r="G2197" s="353"/>
      <c r="H2197" s="353"/>
      <c r="I2197" s="55"/>
      <c r="J2197" s="55"/>
      <c r="K2197" s="55"/>
      <c r="L2197" s="961"/>
      <c r="M2197" s="55"/>
      <c r="N2197" s="55"/>
      <c r="O2197" s="27" t="str">
        <f t="shared" si="793"/>
        <v>#N/A</v>
      </c>
      <c r="P2197" s="55"/>
      <c r="Q2197" s="55"/>
      <c r="R2197" s="55"/>
      <c r="S2197" s="55"/>
      <c r="T2197" s="55"/>
      <c r="U2197" s="55"/>
      <c r="V2197" s="30">
        <f t="shared" si="425"/>
        <v>0</v>
      </c>
      <c r="W2197" s="30"/>
      <c r="X2197" s="58"/>
      <c r="Y2197" s="58"/>
      <c r="Z2197" s="692"/>
      <c r="AA2197" s="665"/>
      <c r="AB2197" s="55"/>
      <c r="AC2197" s="55"/>
      <c r="AD2197" s="355"/>
      <c r="AE2197" s="38"/>
      <c r="AF2197" s="355"/>
      <c r="AG2197" s="38"/>
      <c r="AH2197" s="55"/>
      <c r="AI2197" s="38"/>
      <c r="AJ2197" s="55"/>
      <c r="AK2197" s="38"/>
      <c r="AL2197" s="55"/>
      <c r="AM2197" s="38"/>
      <c r="AN2197" s="55"/>
      <c r="AO2197" s="38"/>
      <c r="AP2197" s="356"/>
      <c r="AQ2197" s="38"/>
      <c r="AR2197" s="55"/>
      <c r="AS2197" s="38"/>
      <c r="AT2197" s="55"/>
      <c r="AU2197" s="38"/>
      <c r="AV2197" s="55"/>
      <c r="AW2197" s="38"/>
      <c r="AX2197" s="55"/>
      <c r="AY2197" s="38"/>
      <c r="AZ2197" s="55"/>
      <c r="BA2197" s="38"/>
      <c r="BB2197" s="55"/>
      <c r="BC2197" s="38"/>
      <c r="BD2197" s="55"/>
      <c r="BE2197" s="38"/>
      <c r="BF2197" s="55"/>
    </row>
    <row r="2198">
      <c r="A2198" s="52"/>
      <c r="D2198" s="351"/>
      <c r="E2198" s="351"/>
      <c r="F2198" s="1949"/>
      <c r="G2198" s="353"/>
      <c r="H2198" s="353"/>
      <c r="I2198" s="55"/>
      <c r="J2198" s="55"/>
      <c r="K2198" s="55"/>
      <c r="L2198" s="961"/>
      <c r="M2198" s="55"/>
      <c r="N2198" s="55"/>
      <c r="O2198" s="27" t="str">
        <f t="shared" si="793"/>
        <v>#N/A</v>
      </c>
      <c r="P2198" s="55"/>
      <c r="Q2198" s="55"/>
      <c r="R2198" s="55"/>
      <c r="S2198" s="55"/>
      <c r="T2198" s="55"/>
      <c r="U2198" s="55"/>
      <c r="V2198" s="30">
        <f t="shared" si="425"/>
        <v>0</v>
      </c>
      <c r="W2198" s="30"/>
      <c r="X2198" s="58"/>
      <c r="Y2198" s="58"/>
      <c r="Z2198" s="692"/>
      <c r="AA2198" s="665"/>
      <c r="AB2198" s="55"/>
      <c r="AC2198" s="55"/>
      <c r="AD2198" s="355"/>
      <c r="AE2198" s="38"/>
      <c r="AF2198" s="355"/>
      <c r="AG2198" s="38"/>
      <c r="AH2198" s="55"/>
      <c r="AI2198" s="38"/>
      <c r="AJ2198" s="55"/>
      <c r="AK2198" s="38"/>
      <c r="AL2198" s="55"/>
      <c r="AM2198" s="38"/>
      <c r="AN2198" s="55"/>
      <c r="AO2198" s="38"/>
      <c r="AP2198" s="356"/>
      <c r="AQ2198" s="38"/>
      <c r="AR2198" s="55"/>
      <c r="AS2198" s="38"/>
      <c r="AT2198" s="55"/>
      <c r="AU2198" s="38"/>
      <c r="AV2198" s="55"/>
      <c r="AW2198" s="38"/>
      <c r="AX2198" s="55"/>
      <c r="AY2198" s="38"/>
      <c r="AZ2198" s="55"/>
      <c r="BA2198" s="38"/>
      <c r="BB2198" s="55"/>
      <c r="BC2198" s="38"/>
      <c r="BD2198" s="55"/>
      <c r="BE2198" s="38"/>
      <c r="BF2198" s="55"/>
    </row>
    <row r="2199">
      <c r="A2199" s="52"/>
      <c r="D2199" s="351"/>
      <c r="E2199" s="351"/>
      <c r="F2199" s="1949"/>
      <c r="G2199" s="353"/>
      <c r="H2199" s="353"/>
      <c r="I2199" s="55"/>
      <c r="J2199" s="55"/>
      <c r="K2199" s="55"/>
      <c r="L2199" s="961"/>
      <c r="M2199" s="55"/>
      <c r="N2199" s="55"/>
      <c r="O2199" s="27" t="str">
        <f t="shared" si="793"/>
        <v>#N/A</v>
      </c>
      <c r="P2199" s="55"/>
      <c r="Q2199" s="55"/>
      <c r="R2199" s="55"/>
      <c r="S2199" s="55"/>
      <c r="T2199" s="55"/>
      <c r="U2199" s="55"/>
      <c r="V2199" s="30">
        <f t="shared" si="425"/>
        <v>0</v>
      </c>
      <c r="W2199" s="30"/>
      <c r="X2199" s="58"/>
      <c r="Y2199" s="58"/>
      <c r="Z2199" s="692"/>
      <c r="AA2199" s="665"/>
      <c r="AB2199" s="55"/>
      <c r="AC2199" s="55"/>
      <c r="AD2199" s="355"/>
      <c r="AE2199" s="38"/>
      <c r="AF2199" s="355"/>
      <c r="AG2199" s="38"/>
      <c r="AH2199" s="55"/>
      <c r="AI2199" s="38"/>
      <c r="AJ2199" s="55"/>
      <c r="AK2199" s="38"/>
      <c r="AL2199" s="55"/>
      <c r="AM2199" s="38"/>
      <c r="AN2199" s="55"/>
      <c r="AO2199" s="38"/>
      <c r="AP2199" s="356"/>
      <c r="AQ2199" s="38"/>
      <c r="AR2199" s="55"/>
      <c r="AS2199" s="38"/>
      <c r="AT2199" s="55"/>
      <c r="AU2199" s="38"/>
      <c r="AV2199" s="55"/>
      <c r="AW2199" s="38"/>
      <c r="AX2199" s="55"/>
      <c r="AY2199" s="38"/>
      <c r="AZ2199" s="55"/>
      <c r="BA2199" s="38"/>
      <c r="BB2199" s="55"/>
      <c r="BC2199" s="38"/>
      <c r="BD2199" s="55"/>
      <c r="BE2199" s="38"/>
      <c r="BF2199" s="55"/>
    </row>
    <row r="2200">
      <c r="A2200" s="52"/>
      <c r="D2200" s="351"/>
      <c r="E2200" s="351"/>
      <c r="F2200" s="1949"/>
      <c r="G2200" s="353"/>
      <c r="H2200" s="353"/>
      <c r="I2200" s="55"/>
      <c r="J2200" s="55"/>
      <c r="K2200" s="55"/>
      <c r="L2200" s="961"/>
      <c r="M2200" s="55"/>
      <c r="N2200" s="55"/>
      <c r="O2200" s="27" t="str">
        <f t="shared" si="793"/>
        <v>#N/A</v>
      </c>
      <c r="P2200" s="55"/>
      <c r="Q2200" s="55"/>
      <c r="R2200" s="55"/>
      <c r="S2200" s="55"/>
      <c r="T2200" s="55"/>
      <c r="U2200" s="55"/>
      <c r="V2200" s="30">
        <f t="shared" si="425"/>
        <v>0</v>
      </c>
      <c r="W2200" s="30"/>
      <c r="X2200" s="58"/>
      <c r="Y2200" s="58"/>
      <c r="Z2200" s="692"/>
      <c r="AA2200" s="665"/>
      <c r="AB2200" s="55"/>
      <c r="AC2200" s="55"/>
      <c r="AD2200" s="355"/>
      <c r="AE2200" s="38"/>
      <c r="AF2200" s="355"/>
      <c r="AG2200" s="38"/>
      <c r="AH2200" s="55"/>
      <c r="AI2200" s="38"/>
      <c r="AJ2200" s="55"/>
      <c r="AK2200" s="38"/>
      <c r="AL2200" s="55"/>
      <c r="AM2200" s="38"/>
      <c r="AN2200" s="55"/>
      <c r="AO2200" s="38"/>
      <c r="AP2200" s="356"/>
      <c r="AQ2200" s="38"/>
      <c r="AR2200" s="55"/>
      <c r="AS2200" s="38"/>
      <c r="AT2200" s="55"/>
      <c r="AU2200" s="38"/>
      <c r="AV2200" s="55"/>
      <c r="AW2200" s="38"/>
      <c r="AX2200" s="55"/>
      <c r="AY2200" s="38"/>
      <c r="AZ2200" s="55"/>
      <c r="BA2200" s="38"/>
      <c r="BB2200" s="55"/>
      <c r="BC2200" s="38"/>
      <c r="BD2200" s="55"/>
      <c r="BE2200" s="38"/>
      <c r="BF2200" s="55"/>
    </row>
    <row r="2201">
      <c r="A2201" s="52"/>
      <c r="D2201" s="351"/>
      <c r="E2201" s="351"/>
      <c r="F2201" s="1949"/>
      <c r="G2201" s="353"/>
      <c r="H2201" s="353"/>
      <c r="I2201" s="55"/>
      <c r="J2201" s="55"/>
      <c r="K2201" s="55"/>
      <c r="L2201" s="961"/>
      <c r="M2201" s="55"/>
      <c r="N2201" s="55"/>
      <c r="O2201" s="27" t="str">
        <f t="shared" si="793"/>
        <v>#N/A</v>
      </c>
      <c r="P2201" s="55"/>
      <c r="Q2201" s="55"/>
      <c r="R2201" s="55"/>
      <c r="S2201" s="55"/>
      <c r="T2201" s="55"/>
      <c r="U2201" s="55"/>
      <c r="V2201" s="30">
        <f t="shared" si="425"/>
        <v>0</v>
      </c>
      <c r="W2201" s="30"/>
      <c r="X2201" s="58"/>
      <c r="Y2201" s="58"/>
      <c r="Z2201" s="692"/>
      <c r="AA2201" s="665"/>
      <c r="AB2201" s="55"/>
      <c r="AC2201" s="55"/>
      <c r="AD2201" s="355"/>
      <c r="AE2201" s="38"/>
      <c r="AF2201" s="355"/>
      <c r="AG2201" s="38"/>
      <c r="AH2201" s="55"/>
      <c r="AI2201" s="38"/>
      <c r="AJ2201" s="55"/>
      <c r="AK2201" s="38"/>
      <c r="AL2201" s="55"/>
      <c r="AM2201" s="38"/>
      <c r="AN2201" s="55"/>
      <c r="AO2201" s="38"/>
      <c r="AP2201" s="356"/>
      <c r="AQ2201" s="38"/>
      <c r="AR2201" s="55"/>
      <c r="AS2201" s="38"/>
      <c r="AT2201" s="55"/>
      <c r="AU2201" s="38"/>
      <c r="AV2201" s="55"/>
      <c r="AW2201" s="38"/>
      <c r="AX2201" s="55"/>
      <c r="AY2201" s="38"/>
      <c r="AZ2201" s="55"/>
      <c r="BA2201" s="38"/>
      <c r="BB2201" s="55"/>
      <c r="BC2201" s="38"/>
      <c r="BD2201" s="55"/>
      <c r="BE2201" s="38"/>
      <c r="BF2201" s="55"/>
    </row>
    <row r="2202">
      <c r="A2202" s="52"/>
      <c r="D2202" s="351"/>
      <c r="E2202" s="351"/>
      <c r="F2202" s="1949"/>
      <c r="G2202" s="353"/>
      <c r="H2202" s="353"/>
      <c r="I2202" s="55"/>
      <c r="J2202" s="55"/>
      <c r="K2202" s="55"/>
      <c r="L2202" s="961"/>
      <c r="M2202" s="55"/>
      <c r="N2202" s="55"/>
      <c r="O2202" s="27" t="str">
        <f t="shared" si="793"/>
        <v>#N/A</v>
      </c>
      <c r="P2202" s="55"/>
      <c r="Q2202" s="55"/>
      <c r="R2202" s="55"/>
      <c r="S2202" s="55"/>
      <c r="T2202" s="55"/>
      <c r="U2202" s="55"/>
      <c r="V2202" s="30">
        <f t="shared" si="425"/>
        <v>0</v>
      </c>
      <c r="W2202" s="30"/>
      <c r="X2202" s="58"/>
      <c r="Y2202" s="58"/>
      <c r="Z2202" s="692"/>
      <c r="AA2202" s="665"/>
      <c r="AB2202" s="55"/>
      <c r="AC2202" s="55"/>
      <c r="AD2202" s="355"/>
      <c r="AE2202" s="38"/>
      <c r="AF2202" s="355"/>
      <c r="AG2202" s="38"/>
      <c r="AH2202" s="55"/>
      <c r="AI2202" s="38"/>
      <c r="AJ2202" s="55"/>
      <c r="AK2202" s="38"/>
      <c r="AL2202" s="55"/>
      <c r="AM2202" s="38"/>
      <c r="AN2202" s="55"/>
      <c r="AO2202" s="38"/>
      <c r="AP2202" s="356"/>
      <c r="AQ2202" s="38"/>
      <c r="AR2202" s="55"/>
      <c r="AS2202" s="38"/>
      <c r="AT2202" s="55"/>
      <c r="AU2202" s="38"/>
      <c r="AV2202" s="55"/>
      <c r="AW2202" s="38"/>
      <c r="AX2202" s="55"/>
      <c r="AY2202" s="38"/>
      <c r="AZ2202" s="55"/>
      <c r="BA2202" s="38"/>
      <c r="BB2202" s="55"/>
      <c r="BC2202" s="38"/>
      <c r="BD2202" s="55"/>
      <c r="BE2202" s="38"/>
      <c r="BF2202" s="55"/>
    </row>
    <row r="2203">
      <c r="A2203" s="52"/>
      <c r="D2203" s="351"/>
      <c r="E2203" s="351"/>
      <c r="F2203" s="1949"/>
      <c r="G2203" s="353"/>
      <c r="H2203" s="353"/>
      <c r="I2203" s="55"/>
      <c r="J2203" s="55"/>
      <c r="K2203" s="55"/>
      <c r="L2203" s="961"/>
      <c r="M2203" s="55"/>
      <c r="N2203" s="55"/>
      <c r="O2203" s="27" t="str">
        <f t="shared" si="793"/>
        <v>#N/A</v>
      </c>
      <c r="P2203" s="55"/>
      <c r="Q2203" s="55"/>
      <c r="R2203" s="55"/>
      <c r="S2203" s="55"/>
      <c r="T2203" s="55"/>
      <c r="U2203" s="55"/>
      <c r="V2203" s="30">
        <f t="shared" si="425"/>
        <v>0</v>
      </c>
      <c r="W2203" s="30"/>
      <c r="X2203" s="58"/>
      <c r="Y2203" s="58"/>
      <c r="Z2203" s="692"/>
      <c r="AA2203" s="665"/>
      <c r="AB2203" s="55"/>
      <c r="AC2203" s="55"/>
      <c r="AD2203" s="355"/>
      <c r="AE2203" s="38"/>
      <c r="AF2203" s="355"/>
      <c r="AG2203" s="38"/>
      <c r="AH2203" s="55"/>
      <c r="AI2203" s="38"/>
      <c r="AJ2203" s="55"/>
      <c r="AK2203" s="38"/>
      <c r="AL2203" s="55"/>
      <c r="AM2203" s="38"/>
      <c r="AN2203" s="55"/>
      <c r="AO2203" s="38"/>
      <c r="AP2203" s="356"/>
      <c r="AQ2203" s="38"/>
      <c r="AR2203" s="55"/>
      <c r="AS2203" s="38"/>
      <c r="AT2203" s="55"/>
      <c r="AU2203" s="38"/>
      <c r="AV2203" s="55"/>
      <c r="AW2203" s="38"/>
      <c r="AX2203" s="55"/>
      <c r="AY2203" s="38"/>
      <c r="AZ2203" s="55"/>
      <c r="BA2203" s="38"/>
      <c r="BB2203" s="55"/>
      <c r="BC2203" s="38"/>
      <c r="BD2203" s="55"/>
      <c r="BE2203" s="38"/>
      <c r="BF2203" s="55"/>
    </row>
    <row r="2204">
      <c r="A2204" s="52"/>
      <c r="D2204" s="351"/>
      <c r="E2204" s="351"/>
      <c r="F2204" s="1949"/>
      <c r="G2204" s="353"/>
      <c r="H2204" s="353"/>
      <c r="I2204" s="55"/>
      <c r="J2204" s="55"/>
      <c r="K2204" s="55"/>
      <c r="L2204" s="961"/>
      <c r="M2204" s="55"/>
      <c r="N2204" s="55"/>
      <c r="O2204" s="27" t="str">
        <f t="shared" si="793"/>
        <v>#N/A</v>
      </c>
      <c r="P2204" s="55"/>
      <c r="Q2204" s="55"/>
      <c r="R2204" s="55"/>
      <c r="S2204" s="55"/>
      <c r="T2204" s="55"/>
      <c r="U2204" s="55"/>
      <c r="V2204" s="30">
        <f t="shared" si="425"/>
        <v>0</v>
      </c>
      <c r="W2204" s="30"/>
      <c r="X2204" s="58"/>
      <c r="Y2204" s="58"/>
      <c r="Z2204" s="692"/>
      <c r="AA2204" s="665"/>
      <c r="AB2204" s="55"/>
      <c r="AC2204" s="55"/>
      <c r="AD2204" s="355"/>
      <c r="AE2204" s="38"/>
      <c r="AF2204" s="355"/>
      <c r="AG2204" s="38"/>
      <c r="AH2204" s="55"/>
      <c r="AI2204" s="38"/>
      <c r="AJ2204" s="55"/>
      <c r="AK2204" s="38"/>
      <c r="AL2204" s="55"/>
      <c r="AM2204" s="38"/>
      <c r="AN2204" s="55"/>
      <c r="AO2204" s="38"/>
      <c r="AP2204" s="356"/>
      <c r="AQ2204" s="38"/>
      <c r="AR2204" s="55"/>
      <c r="AS2204" s="38"/>
      <c r="AT2204" s="55"/>
      <c r="AU2204" s="38"/>
      <c r="AV2204" s="55"/>
      <c r="AW2204" s="38"/>
      <c r="AX2204" s="55"/>
      <c r="AY2204" s="38"/>
      <c r="AZ2204" s="55"/>
      <c r="BA2204" s="38"/>
      <c r="BB2204" s="55"/>
      <c r="BC2204" s="38"/>
      <c r="BD2204" s="55"/>
      <c r="BE2204" s="38"/>
      <c r="BF2204" s="55"/>
    </row>
    <row r="2205">
      <c r="A2205" s="52"/>
      <c r="D2205" s="351"/>
      <c r="E2205" s="351"/>
      <c r="F2205" s="1949"/>
      <c r="G2205" s="353"/>
      <c r="H2205" s="353"/>
      <c r="I2205" s="55"/>
      <c r="J2205" s="55"/>
      <c r="K2205" s="55"/>
      <c r="L2205" s="961"/>
      <c r="M2205" s="55"/>
      <c r="N2205" s="55"/>
      <c r="O2205" s="27" t="str">
        <f t="shared" si="793"/>
        <v>#N/A</v>
      </c>
      <c r="P2205" s="55"/>
      <c r="Q2205" s="55"/>
      <c r="R2205" s="55"/>
      <c r="S2205" s="55"/>
      <c r="T2205" s="55"/>
      <c r="U2205" s="55"/>
      <c r="V2205" s="30">
        <f t="shared" si="425"/>
        <v>0</v>
      </c>
      <c r="W2205" s="30"/>
      <c r="X2205" s="58"/>
      <c r="Y2205" s="58"/>
      <c r="Z2205" s="692"/>
      <c r="AA2205" s="665"/>
      <c r="AB2205" s="55"/>
      <c r="AC2205" s="55"/>
      <c r="AD2205" s="355"/>
      <c r="AE2205" s="38"/>
      <c r="AF2205" s="355"/>
      <c r="AG2205" s="38"/>
      <c r="AH2205" s="55"/>
      <c r="AI2205" s="38"/>
      <c r="AJ2205" s="55"/>
      <c r="AK2205" s="38"/>
      <c r="AL2205" s="55"/>
      <c r="AM2205" s="38"/>
      <c r="AN2205" s="55"/>
      <c r="AO2205" s="38"/>
      <c r="AP2205" s="356"/>
      <c r="AQ2205" s="38"/>
      <c r="AR2205" s="55"/>
      <c r="AS2205" s="38"/>
      <c r="AT2205" s="55"/>
      <c r="AU2205" s="38"/>
      <c r="AV2205" s="55"/>
      <c r="AW2205" s="38"/>
      <c r="AX2205" s="55"/>
      <c r="AY2205" s="38"/>
      <c r="AZ2205" s="55"/>
      <c r="BA2205" s="38"/>
      <c r="BB2205" s="55"/>
      <c r="BC2205" s="38"/>
      <c r="BD2205" s="55"/>
      <c r="BE2205" s="38"/>
      <c r="BF2205" s="55"/>
    </row>
    <row r="2206">
      <c r="A2206" s="52"/>
      <c r="D2206" s="351"/>
      <c r="E2206" s="351"/>
      <c r="F2206" s="1949"/>
      <c r="G2206" s="353"/>
      <c r="H2206" s="353"/>
      <c r="I2206" s="55"/>
      <c r="J2206" s="55"/>
      <c r="K2206" s="55"/>
      <c r="L2206" s="961"/>
      <c r="M2206" s="55"/>
      <c r="N2206" s="55"/>
      <c r="O2206" s="27" t="str">
        <f t="shared" si="793"/>
        <v>#N/A</v>
      </c>
      <c r="P2206" s="55"/>
      <c r="Q2206" s="55"/>
      <c r="R2206" s="55"/>
      <c r="S2206" s="55"/>
      <c r="T2206" s="55"/>
      <c r="U2206" s="55"/>
      <c r="V2206" s="30">
        <f t="shared" si="425"/>
        <v>0</v>
      </c>
      <c r="W2206" s="30"/>
      <c r="X2206" s="58"/>
      <c r="Y2206" s="58"/>
      <c r="Z2206" s="692"/>
      <c r="AA2206" s="665"/>
      <c r="AB2206" s="55"/>
      <c r="AC2206" s="55"/>
      <c r="AD2206" s="355"/>
      <c r="AE2206" s="38"/>
      <c r="AF2206" s="355"/>
      <c r="AG2206" s="38"/>
      <c r="AH2206" s="55"/>
      <c r="AI2206" s="38"/>
      <c r="AJ2206" s="55"/>
      <c r="AK2206" s="38"/>
      <c r="AL2206" s="55"/>
      <c r="AM2206" s="38"/>
      <c r="AN2206" s="55"/>
      <c r="AO2206" s="38"/>
      <c r="AP2206" s="356"/>
      <c r="AQ2206" s="38"/>
      <c r="AR2206" s="55"/>
      <c r="AS2206" s="38"/>
      <c r="AT2206" s="55"/>
      <c r="AU2206" s="38"/>
      <c r="AV2206" s="55"/>
      <c r="AW2206" s="38"/>
      <c r="AX2206" s="55"/>
      <c r="AY2206" s="38"/>
      <c r="AZ2206" s="55"/>
      <c r="BA2206" s="38"/>
      <c r="BB2206" s="55"/>
      <c r="BC2206" s="38"/>
      <c r="BD2206" s="55"/>
      <c r="BE2206" s="38"/>
      <c r="BF2206" s="55"/>
    </row>
    <row r="2207">
      <c r="A2207" s="52"/>
      <c r="D2207" s="351"/>
      <c r="E2207" s="351"/>
      <c r="F2207" s="1949"/>
      <c r="G2207" s="353"/>
      <c r="H2207" s="353"/>
      <c r="I2207" s="55"/>
      <c r="J2207" s="55"/>
      <c r="K2207" s="55"/>
      <c r="L2207" s="961"/>
      <c r="M2207" s="55"/>
      <c r="N2207" s="55"/>
      <c r="O2207" s="27" t="str">
        <f t="shared" si="793"/>
        <v>#N/A</v>
      </c>
      <c r="P2207" s="55"/>
      <c r="Q2207" s="55"/>
      <c r="R2207" s="55"/>
      <c r="S2207" s="55"/>
      <c r="T2207" s="55"/>
      <c r="U2207" s="55"/>
      <c r="V2207" s="30">
        <f t="shared" si="425"/>
        <v>0</v>
      </c>
      <c r="W2207" s="30"/>
      <c r="X2207" s="58"/>
      <c r="Y2207" s="58"/>
      <c r="Z2207" s="692"/>
      <c r="AA2207" s="665"/>
      <c r="AB2207" s="55"/>
      <c r="AC2207" s="55"/>
      <c r="AD2207" s="355"/>
      <c r="AE2207" s="38"/>
      <c r="AF2207" s="355"/>
      <c r="AG2207" s="38"/>
      <c r="AH2207" s="55"/>
      <c r="AI2207" s="38"/>
      <c r="AJ2207" s="55"/>
      <c r="AK2207" s="38"/>
      <c r="AL2207" s="55"/>
      <c r="AM2207" s="38"/>
      <c r="AN2207" s="55"/>
      <c r="AO2207" s="38"/>
      <c r="AP2207" s="356"/>
      <c r="AQ2207" s="38"/>
      <c r="AR2207" s="55"/>
      <c r="AS2207" s="38"/>
      <c r="AT2207" s="55"/>
      <c r="AU2207" s="38"/>
      <c r="AV2207" s="55"/>
      <c r="AW2207" s="38"/>
      <c r="AX2207" s="55"/>
      <c r="AY2207" s="38"/>
      <c r="AZ2207" s="55"/>
      <c r="BA2207" s="38"/>
      <c r="BB2207" s="55"/>
      <c r="BC2207" s="38"/>
      <c r="BD2207" s="55"/>
      <c r="BE2207" s="38"/>
      <c r="BF2207" s="55"/>
    </row>
    <row r="2208">
      <c r="A2208" s="52"/>
      <c r="D2208" s="351"/>
      <c r="E2208" s="351"/>
      <c r="F2208" s="1949"/>
      <c r="G2208" s="353"/>
      <c r="H2208" s="353"/>
      <c r="I2208" s="55"/>
      <c r="J2208" s="55"/>
      <c r="K2208" s="55"/>
      <c r="L2208" s="961"/>
      <c r="M2208" s="55"/>
      <c r="N2208" s="55"/>
      <c r="O2208" s="27" t="str">
        <f t="shared" si="793"/>
        <v>#N/A</v>
      </c>
      <c r="P2208" s="55"/>
      <c r="Q2208" s="55"/>
      <c r="R2208" s="55"/>
      <c r="S2208" s="55"/>
      <c r="T2208" s="55"/>
      <c r="U2208" s="55"/>
      <c r="V2208" s="30">
        <f t="shared" si="425"/>
        <v>0</v>
      </c>
      <c r="W2208" s="30"/>
      <c r="X2208" s="58"/>
      <c r="Y2208" s="58"/>
      <c r="Z2208" s="692"/>
      <c r="AA2208" s="665"/>
      <c r="AB2208" s="55"/>
      <c r="AC2208" s="55"/>
      <c r="AD2208" s="355"/>
      <c r="AE2208" s="38"/>
      <c r="AF2208" s="355"/>
      <c r="AG2208" s="38"/>
      <c r="AH2208" s="55"/>
      <c r="AI2208" s="38"/>
      <c r="AJ2208" s="55"/>
      <c r="AK2208" s="38"/>
      <c r="AL2208" s="55"/>
      <c r="AM2208" s="38"/>
      <c r="AN2208" s="55"/>
      <c r="AO2208" s="38"/>
      <c r="AP2208" s="356"/>
      <c r="AQ2208" s="38"/>
      <c r="AR2208" s="55"/>
      <c r="AS2208" s="38"/>
      <c r="AT2208" s="55"/>
      <c r="AU2208" s="38"/>
      <c r="AV2208" s="55"/>
      <c r="AW2208" s="38"/>
      <c r="AX2208" s="55"/>
      <c r="AY2208" s="38"/>
      <c r="AZ2208" s="55"/>
      <c r="BA2208" s="38"/>
      <c r="BB2208" s="55"/>
      <c r="BC2208" s="38"/>
      <c r="BD2208" s="55"/>
      <c r="BE2208" s="38"/>
      <c r="BF2208" s="55"/>
    </row>
    <row r="2209">
      <c r="A2209" s="52"/>
      <c r="D2209" s="351"/>
      <c r="E2209" s="351"/>
      <c r="F2209" s="1949"/>
      <c r="G2209" s="353"/>
      <c r="H2209" s="353"/>
      <c r="I2209" s="55"/>
      <c r="J2209" s="55"/>
      <c r="K2209" s="55"/>
      <c r="L2209" s="961"/>
      <c r="M2209" s="55"/>
      <c r="N2209" s="55"/>
      <c r="O2209" s="27" t="str">
        <f t="shared" si="793"/>
        <v>#N/A</v>
      </c>
      <c r="P2209" s="55"/>
      <c r="Q2209" s="55"/>
      <c r="R2209" s="55"/>
      <c r="S2209" s="55"/>
      <c r="T2209" s="55"/>
      <c r="U2209" s="55"/>
      <c r="V2209" s="30">
        <f t="shared" si="425"/>
        <v>0</v>
      </c>
      <c r="W2209" s="30"/>
      <c r="X2209" s="58"/>
      <c r="Y2209" s="58"/>
      <c r="Z2209" s="692"/>
      <c r="AA2209" s="665"/>
      <c r="AB2209" s="55"/>
      <c r="AC2209" s="55"/>
      <c r="AD2209" s="355"/>
      <c r="AE2209" s="38"/>
      <c r="AF2209" s="355"/>
      <c r="AG2209" s="38"/>
      <c r="AH2209" s="55"/>
      <c r="AI2209" s="38"/>
      <c r="AJ2209" s="55"/>
      <c r="AK2209" s="38"/>
      <c r="AL2209" s="55"/>
      <c r="AM2209" s="38"/>
      <c r="AN2209" s="55"/>
      <c r="AO2209" s="38"/>
      <c r="AP2209" s="356"/>
      <c r="AQ2209" s="38"/>
      <c r="AR2209" s="55"/>
      <c r="AS2209" s="38"/>
      <c r="AT2209" s="55"/>
      <c r="AU2209" s="38"/>
      <c r="AV2209" s="55"/>
      <c r="AW2209" s="38"/>
      <c r="AX2209" s="55"/>
      <c r="AY2209" s="38"/>
      <c r="AZ2209" s="55"/>
      <c r="BA2209" s="38"/>
      <c r="BB2209" s="55"/>
      <c r="BC2209" s="38"/>
      <c r="BD2209" s="55"/>
      <c r="BE2209" s="38"/>
      <c r="BF2209" s="55"/>
    </row>
    <row r="2210">
      <c r="A2210" s="52"/>
      <c r="D2210" s="351"/>
      <c r="E2210" s="351"/>
      <c r="F2210" s="1949"/>
      <c r="G2210" s="353"/>
      <c r="H2210" s="353"/>
      <c r="I2210" s="55"/>
      <c r="J2210" s="55"/>
      <c r="K2210" s="55"/>
      <c r="L2210" s="961"/>
      <c r="M2210" s="55"/>
      <c r="N2210" s="55"/>
      <c r="O2210" s="27" t="str">
        <f t="shared" si="793"/>
        <v>#N/A</v>
      </c>
      <c r="P2210" s="55"/>
      <c r="Q2210" s="55"/>
      <c r="R2210" s="55"/>
      <c r="S2210" s="55"/>
      <c r="T2210" s="55"/>
      <c r="U2210" s="55"/>
      <c r="V2210" s="30">
        <f t="shared" si="425"/>
        <v>0</v>
      </c>
      <c r="W2210" s="30"/>
      <c r="X2210" s="58"/>
      <c r="Y2210" s="58"/>
      <c r="Z2210" s="692"/>
      <c r="AA2210" s="665"/>
      <c r="AB2210" s="55"/>
      <c r="AC2210" s="55"/>
      <c r="AD2210" s="355"/>
      <c r="AE2210" s="38"/>
      <c r="AF2210" s="355"/>
      <c r="AG2210" s="38"/>
      <c r="AH2210" s="55"/>
      <c r="AI2210" s="38"/>
      <c r="AJ2210" s="55"/>
      <c r="AK2210" s="38"/>
      <c r="AL2210" s="55"/>
      <c r="AM2210" s="38"/>
      <c r="AN2210" s="55"/>
      <c r="AO2210" s="38"/>
      <c r="AP2210" s="356"/>
      <c r="AQ2210" s="38"/>
      <c r="AR2210" s="55"/>
      <c r="AS2210" s="38"/>
      <c r="AT2210" s="55"/>
      <c r="AU2210" s="38"/>
      <c r="AV2210" s="55"/>
      <c r="AW2210" s="38"/>
      <c r="AX2210" s="55"/>
      <c r="AY2210" s="38"/>
      <c r="AZ2210" s="55"/>
      <c r="BA2210" s="38"/>
      <c r="BB2210" s="55"/>
      <c r="BC2210" s="38"/>
      <c r="BD2210" s="55"/>
      <c r="BE2210" s="38"/>
      <c r="BF2210" s="55"/>
    </row>
    <row r="2211">
      <c r="A2211" s="52"/>
      <c r="D2211" s="351"/>
      <c r="E2211" s="351"/>
      <c r="F2211" s="1949"/>
      <c r="G2211" s="353"/>
      <c r="H2211" s="353"/>
      <c r="I2211" s="55"/>
      <c r="J2211" s="55"/>
      <c r="K2211" s="55"/>
      <c r="L2211" s="961"/>
      <c r="M2211" s="55"/>
      <c r="N2211" s="55"/>
      <c r="O2211" s="27" t="str">
        <f t="shared" si="793"/>
        <v>#N/A</v>
      </c>
      <c r="P2211" s="55"/>
      <c r="Q2211" s="55"/>
      <c r="R2211" s="55"/>
      <c r="S2211" s="55"/>
      <c r="T2211" s="55"/>
      <c r="U2211" s="55"/>
      <c r="V2211" s="30">
        <f t="shared" si="425"/>
        <v>0</v>
      </c>
      <c r="W2211" s="30"/>
      <c r="X2211" s="58"/>
      <c r="Y2211" s="58"/>
      <c r="Z2211" s="692"/>
      <c r="AA2211" s="665"/>
      <c r="AB2211" s="55"/>
      <c r="AC2211" s="55"/>
      <c r="AD2211" s="355"/>
      <c r="AE2211" s="38"/>
      <c r="AF2211" s="355"/>
      <c r="AG2211" s="38"/>
      <c r="AH2211" s="55"/>
      <c r="AI2211" s="38"/>
      <c r="AJ2211" s="55"/>
      <c r="AK2211" s="38"/>
      <c r="AL2211" s="55"/>
      <c r="AM2211" s="38"/>
      <c r="AN2211" s="55"/>
      <c r="AO2211" s="38"/>
      <c r="AP2211" s="356"/>
      <c r="AQ2211" s="38"/>
      <c r="AR2211" s="55"/>
      <c r="AS2211" s="38"/>
      <c r="AT2211" s="55"/>
      <c r="AU2211" s="38"/>
      <c r="AV2211" s="55"/>
      <c r="AW2211" s="38"/>
      <c r="AX2211" s="55"/>
      <c r="AY2211" s="38"/>
      <c r="AZ2211" s="55"/>
      <c r="BA2211" s="38"/>
      <c r="BB2211" s="55"/>
      <c r="BC2211" s="38"/>
      <c r="BD2211" s="55"/>
      <c r="BE2211" s="38"/>
      <c r="BF2211" s="55"/>
    </row>
    <row r="2212">
      <c r="A2212" s="52"/>
      <c r="D2212" s="351"/>
      <c r="E2212" s="351"/>
      <c r="F2212" s="1949"/>
      <c r="G2212" s="353"/>
      <c r="H2212" s="353"/>
      <c r="I2212" s="55"/>
      <c r="J2212" s="55"/>
      <c r="K2212" s="55"/>
      <c r="L2212" s="961"/>
      <c r="M2212" s="55"/>
      <c r="N2212" s="55"/>
      <c r="O2212" s="27" t="str">
        <f t="shared" si="793"/>
        <v>#N/A</v>
      </c>
      <c r="P2212" s="55"/>
      <c r="Q2212" s="55"/>
      <c r="R2212" s="55"/>
      <c r="S2212" s="55"/>
      <c r="T2212" s="55"/>
      <c r="U2212" s="55"/>
      <c r="V2212" s="30">
        <f t="shared" si="425"/>
        <v>0</v>
      </c>
      <c r="W2212" s="30"/>
      <c r="X2212" s="58"/>
      <c r="Y2212" s="58"/>
      <c r="Z2212" s="692"/>
      <c r="AA2212" s="665"/>
      <c r="AB2212" s="55"/>
      <c r="AC2212" s="55"/>
      <c r="AD2212" s="355"/>
      <c r="AE2212" s="38"/>
      <c r="AF2212" s="355"/>
      <c r="AG2212" s="38"/>
      <c r="AH2212" s="55"/>
      <c r="AI2212" s="38"/>
      <c r="AJ2212" s="55"/>
      <c r="AK2212" s="38"/>
      <c r="AL2212" s="55"/>
      <c r="AM2212" s="38"/>
      <c r="AN2212" s="55"/>
      <c r="AO2212" s="38"/>
      <c r="AP2212" s="356"/>
      <c r="AQ2212" s="38"/>
      <c r="AR2212" s="55"/>
      <c r="AS2212" s="38"/>
      <c r="AT2212" s="55"/>
      <c r="AU2212" s="38"/>
      <c r="AV2212" s="55"/>
      <c r="AW2212" s="38"/>
      <c r="AX2212" s="55"/>
      <c r="AY2212" s="38"/>
      <c r="AZ2212" s="55"/>
      <c r="BA2212" s="38"/>
      <c r="BB2212" s="55"/>
      <c r="BC2212" s="38"/>
      <c r="BD2212" s="55"/>
      <c r="BE2212" s="38"/>
      <c r="BF2212" s="55"/>
    </row>
    <row r="2213">
      <c r="A2213" s="52"/>
      <c r="D2213" s="351"/>
      <c r="E2213" s="351"/>
      <c r="F2213" s="1949"/>
      <c r="G2213" s="353"/>
      <c r="H2213" s="353"/>
      <c r="I2213" s="55"/>
      <c r="J2213" s="55"/>
      <c r="K2213" s="55"/>
      <c r="L2213" s="961"/>
      <c r="M2213" s="55"/>
      <c r="N2213" s="55"/>
      <c r="O2213" s="27" t="str">
        <f t="shared" si="793"/>
        <v>#N/A</v>
      </c>
      <c r="P2213" s="55"/>
      <c r="Q2213" s="55"/>
      <c r="R2213" s="55"/>
      <c r="S2213" s="55"/>
      <c r="T2213" s="55"/>
      <c r="U2213" s="55"/>
      <c r="V2213" s="30">
        <f t="shared" si="425"/>
        <v>0</v>
      </c>
      <c r="W2213" s="30"/>
      <c r="X2213" s="58"/>
      <c r="Y2213" s="58"/>
      <c r="Z2213" s="692"/>
      <c r="AA2213" s="665"/>
      <c r="AB2213" s="55"/>
      <c r="AC2213" s="55"/>
      <c r="AD2213" s="355"/>
      <c r="AE2213" s="38"/>
      <c r="AF2213" s="355"/>
      <c r="AG2213" s="38"/>
      <c r="AH2213" s="55"/>
      <c r="AI2213" s="38"/>
      <c r="AJ2213" s="55"/>
      <c r="AK2213" s="38"/>
      <c r="AL2213" s="55"/>
      <c r="AM2213" s="38"/>
      <c r="AN2213" s="55"/>
      <c r="AO2213" s="38"/>
      <c r="AP2213" s="356"/>
      <c r="AQ2213" s="38"/>
      <c r="AR2213" s="55"/>
      <c r="AS2213" s="38"/>
      <c r="AT2213" s="55"/>
      <c r="AU2213" s="38"/>
      <c r="AV2213" s="55"/>
      <c r="AW2213" s="38"/>
      <c r="AX2213" s="55"/>
      <c r="AY2213" s="38"/>
      <c r="AZ2213" s="55"/>
      <c r="BA2213" s="38"/>
      <c r="BB2213" s="55"/>
      <c r="BC2213" s="38"/>
      <c r="BD2213" s="55"/>
      <c r="BE2213" s="38"/>
      <c r="BF2213" s="55"/>
    </row>
    <row r="2214">
      <c r="A2214" s="52"/>
      <c r="D2214" s="351"/>
      <c r="E2214" s="351"/>
      <c r="F2214" s="1949"/>
      <c r="G2214" s="353"/>
      <c r="H2214" s="353"/>
      <c r="I2214" s="55"/>
      <c r="J2214" s="55"/>
      <c r="K2214" s="55"/>
      <c r="L2214" s="961"/>
      <c r="M2214" s="55"/>
      <c r="N2214" s="55"/>
      <c r="O2214" s="27" t="str">
        <f t="shared" si="793"/>
        <v>#N/A</v>
      </c>
      <c r="P2214" s="55"/>
      <c r="Q2214" s="55"/>
      <c r="R2214" s="55"/>
      <c r="S2214" s="55"/>
      <c r="T2214" s="55"/>
      <c r="U2214" s="55"/>
      <c r="V2214" s="30">
        <f t="shared" si="425"/>
        <v>0</v>
      </c>
      <c r="W2214" s="30"/>
      <c r="X2214" s="58"/>
      <c r="Y2214" s="58"/>
      <c r="Z2214" s="692"/>
      <c r="AA2214" s="665"/>
      <c r="AB2214" s="55"/>
      <c r="AC2214" s="55"/>
      <c r="AD2214" s="355"/>
      <c r="AE2214" s="38"/>
      <c r="AF2214" s="355"/>
      <c r="AG2214" s="38"/>
      <c r="AH2214" s="55"/>
      <c r="AI2214" s="38"/>
      <c r="AJ2214" s="55"/>
      <c r="AK2214" s="38"/>
      <c r="AL2214" s="55"/>
      <c r="AM2214" s="38"/>
      <c r="AN2214" s="55"/>
      <c r="AO2214" s="38"/>
      <c r="AP2214" s="356"/>
      <c r="AQ2214" s="38"/>
      <c r="AR2214" s="55"/>
      <c r="AS2214" s="38"/>
      <c r="AT2214" s="55"/>
      <c r="AU2214" s="38"/>
      <c r="AV2214" s="55"/>
      <c r="AW2214" s="38"/>
      <c r="AX2214" s="55"/>
      <c r="AY2214" s="38"/>
      <c r="AZ2214" s="55"/>
      <c r="BA2214" s="38"/>
      <c r="BB2214" s="55"/>
      <c r="BC2214" s="38"/>
      <c r="BD2214" s="55"/>
      <c r="BE2214" s="38"/>
      <c r="BF2214" s="55"/>
    </row>
    <row r="2215">
      <c r="A2215" s="52"/>
      <c r="D2215" s="351"/>
      <c r="E2215" s="351"/>
      <c r="F2215" s="1949"/>
      <c r="G2215" s="353"/>
      <c r="H2215" s="353"/>
      <c r="I2215" s="55"/>
      <c r="J2215" s="55"/>
      <c r="K2215" s="55"/>
      <c r="L2215" s="961"/>
      <c r="M2215" s="55"/>
      <c r="N2215" s="55"/>
      <c r="O2215" s="27" t="str">
        <f t="shared" si="793"/>
        <v>#N/A</v>
      </c>
      <c r="P2215" s="55"/>
      <c r="Q2215" s="55"/>
      <c r="R2215" s="55"/>
      <c r="S2215" s="55"/>
      <c r="T2215" s="55"/>
      <c r="U2215" s="55"/>
      <c r="V2215" s="30">
        <f t="shared" si="425"/>
        <v>0</v>
      </c>
      <c r="W2215" s="30"/>
      <c r="X2215" s="58"/>
      <c r="Y2215" s="58"/>
      <c r="Z2215" s="692"/>
      <c r="AA2215" s="665"/>
      <c r="AB2215" s="55"/>
      <c r="AC2215" s="55"/>
      <c r="AD2215" s="355"/>
      <c r="AE2215" s="38"/>
      <c r="AF2215" s="355"/>
      <c r="AG2215" s="38"/>
      <c r="AH2215" s="55"/>
      <c r="AI2215" s="38"/>
      <c r="AJ2215" s="55"/>
      <c r="AK2215" s="38"/>
      <c r="AL2215" s="55"/>
      <c r="AM2215" s="38"/>
      <c r="AN2215" s="55"/>
      <c r="AO2215" s="38"/>
      <c r="AP2215" s="356"/>
      <c r="AQ2215" s="38"/>
      <c r="AR2215" s="55"/>
      <c r="AS2215" s="38"/>
      <c r="AT2215" s="55"/>
      <c r="AU2215" s="38"/>
      <c r="AV2215" s="55"/>
      <c r="AW2215" s="38"/>
      <c r="AX2215" s="55"/>
      <c r="AY2215" s="38"/>
      <c r="AZ2215" s="55"/>
      <c r="BA2215" s="38"/>
      <c r="BB2215" s="55"/>
      <c r="BC2215" s="38"/>
      <c r="BD2215" s="55"/>
      <c r="BE2215" s="38"/>
      <c r="BF2215" s="55"/>
    </row>
    <row r="2216">
      <c r="A2216" s="52"/>
      <c r="D2216" s="351"/>
      <c r="E2216" s="351"/>
      <c r="F2216" s="1949"/>
      <c r="G2216" s="353"/>
      <c r="H2216" s="353"/>
      <c r="I2216" s="55"/>
      <c r="J2216" s="55"/>
      <c r="K2216" s="55"/>
      <c r="L2216" s="961"/>
      <c r="M2216" s="55"/>
      <c r="N2216" s="55"/>
      <c r="O2216" s="27" t="str">
        <f t="shared" si="793"/>
        <v>#N/A</v>
      </c>
      <c r="P2216" s="55"/>
      <c r="Q2216" s="55"/>
      <c r="R2216" s="55"/>
      <c r="S2216" s="55"/>
      <c r="T2216" s="55"/>
      <c r="U2216" s="55"/>
      <c r="V2216" s="30">
        <f t="shared" si="425"/>
        <v>0</v>
      </c>
      <c r="W2216" s="30"/>
      <c r="X2216" s="58"/>
      <c r="Y2216" s="58"/>
      <c r="Z2216" s="692"/>
      <c r="AA2216" s="665"/>
      <c r="AB2216" s="55"/>
      <c r="AC2216" s="55"/>
      <c r="AD2216" s="355"/>
      <c r="AE2216" s="38"/>
      <c r="AF2216" s="355"/>
      <c r="AG2216" s="38"/>
      <c r="AH2216" s="55"/>
      <c r="AI2216" s="38"/>
      <c r="AJ2216" s="55"/>
      <c r="AK2216" s="38"/>
      <c r="AL2216" s="55"/>
      <c r="AM2216" s="38"/>
      <c r="AN2216" s="55"/>
      <c r="AO2216" s="38"/>
      <c r="AP2216" s="356"/>
      <c r="AQ2216" s="38"/>
      <c r="AR2216" s="55"/>
      <c r="AS2216" s="38"/>
      <c r="AT2216" s="55"/>
      <c r="AU2216" s="38"/>
      <c r="AV2216" s="55"/>
      <c r="AW2216" s="38"/>
      <c r="AX2216" s="55"/>
      <c r="AY2216" s="38"/>
      <c r="AZ2216" s="55"/>
      <c r="BA2216" s="38"/>
      <c r="BB2216" s="55"/>
      <c r="BC2216" s="38"/>
      <c r="BD2216" s="55"/>
      <c r="BE2216" s="38"/>
      <c r="BF2216" s="55"/>
    </row>
    <row r="2217">
      <c r="A2217" s="52"/>
      <c r="D2217" s="351"/>
      <c r="E2217" s="351"/>
      <c r="F2217" s="1949"/>
      <c r="G2217" s="353"/>
      <c r="H2217" s="353"/>
      <c r="I2217" s="55"/>
      <c r="J2217" s="55"/>
      <c r="K2217" s="55"/>
      <c r="L2217" s="961"/>
      <c r="M2217" s="55"/>
      <c r="N2217" s="55"/>
      <c r="O2217" s="27" t="str">
        <f t="shared" si="793"/>
        <v>#N/A</v>
      </c>
      <c r="P2217" s="55"/>
      <c r="Q2217" s="55"/>
      <c r="R2217" s="55"/>
      <c r="S2217" s="55"/>
      <c r="T2217" s="55"/>
      <c r="U2217" s="55"/>
      <c r="V2217" s="30">
        <f t="shared" si="425"/>
        <v>0</v>
      </c>
      <c r="W2217" s="30"/>
      <c r="X2217" s="58"/>
      <c r="Y2217" s="58"/>
      <c r="Z2217" s="692"/>
      <c r="AA2217" s="665"/>
      <c r="AB2217" s="55"/>
      <c r="AC2217" s="55"/>
      <c r="AD2217" s="355"/>
      <c r="AE2217" s="38"/>
      <c r="AF2217" s="355"/>
      <c r="AG2217" s="38"/>
      <c r="AH2217" s="55"/>
      <c r="AI2217" s="38"/>
      <c r="AJ2217" s="55"/>
      <c r="AK2217" s="38"/>
      <c r="AL2217" s="55"/>
      <c r="AM2217" s="38"/>
      <c r="AN2217" s="55"/>
      <c r="AO2217" s="38"/>
      <c r="AP2217" s="356"/>
      <c r="AQ2217" s="38"/>
      <c r="AR2217" s="55"/>
      <c r="AS2217" s="38"/>
      <c r="AT2217" s="55"/>
      <c r="AU2217" s="38"/>
      <c r="AV2217" s="55"/>
      <c r="AW2217" s="38"/>
      <c r="AX2217" s="55"/>
      <c r="AY2217" s="38"/>
      <c r="AZ2217" s="55"/>
      <c r="BA2217" s="38"/>
      <c r="BB2217" s="55"/>
      <c r="BC2217" s="38"/>
      <c r="BD2217" s="55"/>
      <c r="BE2217" s="38"/>
      <c r="BF2217" s="55"/>
    </row>
    <row r="2218">
      <c r="A2218" s="52"/>
      <c r="D2218" s="351"/>
      <c r="E2218" s="351"/>
      <c r="F2218" s="1949"/>
      <c r="G2218" s="353"/>
      <c r="H2218" s="353"/>
      <c r="I2218" s="55"/>
      <c r="J2218" s="55"/>
      <c r="K2218" s="55"/>
      <c r="L2218" s="961"/>
      <c r="M2218" s="55"/>
      <c r="N2218" s="55"/>
      <c r="O2218" s="27" t="str">
        <f t="shared" si="793"/>
        <v>#N/A</v>
      </c>
      <c r="P2218" s="55"/>
      <c r="Q2218" s="55"/>
      <c r="R2218" s="55"/>
      <c r="S2218" s="55"/>
      <c r="T2218" s="55"/>
      <c r="U2218" s="55"/>
      <c r="V2218" s="30">
        <f t="shared" si="425"/>
        <v>0</v>
      </c>
      <c r="W2218" s="30"/>
      <c r="X2218" s="58"/>
      <c r="Y2218" s="58"/>
      <c r="Z2218" s="692"/>
      <c r="AA2218" s="665"/>
      <c r="AB2218" s="55"/>
      <c r="AC2218" s="55"/>
      <c r="AD2218" s="355"/>
      <c r="AE2218" s="38"/>
      <c r="AF2218" s="355"/>
      <c r="AG2218" s="38"/>
      <c r="AH2218" s="55"/>
      <c r="AI2218" s="38"/>
      <c r="AJ2218" s="55"/>
      <c r="AK2218" s="38"/>
      <c r="AL2218" s="55"/>
      <c r="AM2218" s="38"/>
      <c r="AN2218" s="55"/>
      <c r="AO2218" s="38"/>
      <c r="AP2218" s="356"/>
      <c r="AQ2218" s="38"/>
      <c r="AR2218" s="55"/>
      <c r="AS2218" s="38"/>
      <c r="AT2218" s="55"/>
      <c r="AU2218" s="38"/>
      <c r="AV2218" s="55"/>
      <c r="AW2218" s="38"/>
      <c r="AX2218" s="55"/>
      <c r="AY2218" s="38"/>
      <c r="AZ2218" s="55"/>
      <c r="BA2218" s="38"/>
      <c r="BB2218" s="55"/>
      <c r="BC2218" s="38"/>
      <c r="BD2218" s="55"/>
      <c r="BE2218" s="38"/>
      <c r="BF2218" s="55"/>
    </row>
    <row r="2219">
      <c r="A2219" s="52"/>
      <c r="D2219" s="351"/>
      <c r="E2219" s="351"/>
      <c r="F2219" s="1949"/>
      <c r="G2219" s="353"/>
      <c r="H2219" s="353"/>
      <c r="I2219" s="55"/>
      <c r="J2219" s="55"/>
      <c r="K2219" s="55"/>
      <c r="L2219" s="961"/>
      <c r="M2219" s="55"/>
      <c r="N2219" s="55"/>
      <c r="O2219" s="27" t="str">
        <f t="shared" si="793"/>
        <v>#N/A</v>
      </c>
      <c r="P2219" s="55"/>
      <c r="Q2219" s="55"/>
      <c r="R2219" s="55"/>
      <c r="S2219" s="55"/>
      <c r="T2219" s="55"/>
      <c r="U2219" s="55"/>
      <c r="V2219" s="30">
        <f t="shared" si="425"/>
        <v>0</v>
      </c>
      <c r="W2219" s="30"/>
      <c r="X2219" s="58"/>
      <c r="Y2219" s="58"/>
      <c r="Z2219" s="692"/>
      <c r="AA2219" s="665"/>
      <c r="AB2219" s="55"/>
      <c r="AC2219" s="55"/>
      <c r="AD2219" s="355"/>
      <c r="AE2219" s="38"/>
      <c r="AF2219" s="355"/>
      <c r="AG2219" s="38"/>
      <c r="AH2219" s="55"/>
      <c r="AI2219" s="38"/>
      <c r="AJ2219" s="55"/>
      <c r="AK2219" s="38"/>
      <c r="AL2219" s="55"/>
      <c r="AM2219" s="38"/>
      <c r="AN2219" s="55"/>
      <c r="AO2219" s="38"/>
      <c r="AP2219" s="356"/>
      <c r="AQ2219" s="38"/>
      <c r="AR2219" s="55"/>
      <c r="AS2219" s="38"/>
      <c r="AT2219" s="55"/>
      <c r="AU2219" s="38"/>
      <c r="AV2219" s="55"/>
      <c r="AW2219" s="38"/>
      <c r="AX2219" s="55"/>
      <c r="AY2219" s="38"/>
      <c r="AZ2219" s="55"/>
      <c r="BA2219" s="38"/>
      <c r="BB2219" s="55"/>
      <c r="BC2219" s="38"/>
      <c r="BD2219" s="55"/>
      <c r="BE2219" s="38"/>
      <c r="BF2219" s="55"/>
    </row>
    <row r="2220">
      <c r="A2220" s="52"/>
      <c r="D2220" s="351"/>
      <c r="E2220" s="351"/>
      <c r="F2220" s="1949"/>
      <c r="G2220" s="353"/>
      <c r="H2220" s="353"/>
      <c r="I2220" s="55"/>
      <c r="J2220" s="55"/>
      <c r="K2220" s="55"/>
      <c r="L2220" s="961"/>
      <c r="M2220" s="55"/>
      <c r="N2220" s="55"/>
      <c r="O2220" s="27" t="str">
        <f t="shared" si="793"/>
        <v>#N/A</v>
      </c>
      <c r="P2220" s="55"/>
      <c r="Q2220" s="55"/>
      <c r="R2220" s="55"/>
      <c r="S2220" s="55"/>
      <c r="T2220" s="55"/>
      <c r="U2220" s="55"/>
      <c r="V2220" s="30">
        <f t="shared" si="425"/>
        <v>0</v>
      </c>
      <c r="W2220" s="30"/>
      <c r="X2220" s="58"/>
      <c r="Y2220" s="58"/>
      <c r="Z2220" s="692"/>
      <c r="AA2220" s="665"/>
      <c r="AB2220" s="55"/>
      <c r="AC2220" s="55"/>
      <c r="AD2220" s="355"/>
      <c r="AE2220" s="38"/>
      <c r="AF2220" s="355"/>
      <c r="AG2220" s="38"/>
      <c r="AH2220" s="55"/>
      <c r="AI2220" s="38"/>
      <c r="AJ2220" s="55"/>
      <c r="AK2220" s="38"/>
      <c r="AL2220" s="55"/>
      <c r="AM2220" s="38"/>
      <c r="AN2220" s="55"/>
      <c r="AO2220" s="38"/>
      <c r="AP2220" s="356"/>
      <c r="AQ2220" s="38"/>
      <c r="AR2220" s="55"/>
      <c r="AS2220" s="38"/>
      <c r="AT2220" s="55"/>
      <c r="AU2220" s="38"/>
      <c r="AV2220" s="55"/>
      <c r="AW2220" s="38"/>
      <c r="AX2220" s="55"/>
      <c r="AY2220" s="38"/>
      <c r="AZ2220" s="55"/>
      <c r="BA2220" s="38"/>
      <c r="BB2220" s="55"/>
      <c r="BC2220" s="38"/>
      <c r="BD2220" s="55"/>
      <c r="BE2220" s="38"/>
      <c r="BF2220" s="55"/>
    </row>
    <row r="2221">
      <c r="A2221" s="52"/>
      <c r="D2221" s="351"/>
      <c r="E2221" s="351"/>
      <c r="F2221" s="1949"/>
      <c r="G2221" s="353"/>
      <c r="H2221" s="353"/>
      <c r="I2221" s="55"/>
      <c r="J2221" s="55"/>
      <c r="K2221" s="55"/>
      <c r="L2221" s="961"/>
      <c r="M2221" s="55"/>
      <c r="N2221" s="55"/>
      <c r="O2221" s="27" t="str">
        <f t="shared" si="793"/>
        <v>#N/A</v>
      </c>
      <c r="P2221" s="55"/>
      <c r="Q2221" s="55"/>
      <c r="R2221" s="55"/>
      <c r="S2221" s="55"/>
      <c r="T2221" s="55"/>
      <c r="U2221" s="55"/>
      <c r="V2221" s="30">
        <f t="shared" si="425"/>
        <v>0</v>
      </c>
      <c r="W2221" s="30"/>
      <c r="X2221" s="58"/>
      <c r="Y2221" s="58"/>
      <c r="Z2221" s="692"/>
      <c r="AA2221" s="665"/>
      <c r="AB2221" s="55"/>
      <c r="AC2221" s="55"/>
      <c r="AD2221" s="355"/>
      <c r="AE2221" s="38"/>
      <c r="AF2221" s="355"/>
      <c r="AG2221" s="38"/>
      <c r="AH2221" s="55"/>
      <c r="AI2221" s="38"/>
      <c r="AJ2221" s="55"/>
      <c r="AK2221" s="38"/>
      <c r="AL2221" s="55"/>
      <c r="AM2221" s="38"/>
      <c r="AN2221" s="55"/>
      <c r="AO2221" s="38"/>
      <c r="AP2221" s="356"/>
      <c r="AQ2221" s="38"/>
      <c r="AR2221" s="55"/>
      <c r="AS2221" s="38"/>
      <c r="AT2221" s="55"/>
      <c r="AU2221" s="38"/>
      <c r="AV2221" s="55"/>
      <c r="AW2221" s="38"/>
      <c r="AX2221" s="55"/>
      <c r="AY2221" s="38"/>
      <c r="AZ2221" s="55"/>
      <c r="BA2221" s="38"/>
      <c r="BB2221" s="55"/>
      <c r="BC2221" s="38"/>
      <c r="BD2221" s="55"/>
      <c r="BE2221" s="38"/>
      <c r="BF2221" s="55"/>
    </row>
    <row r="2222">
      <c r="A2222" s="52"/>
      <c r="D2222" s="351"/>
      <c r="E2222" s="351"/>
      <c r="F2222" s="1949"/>
      <c r="G2222" s="353"/>
      <c r="H2222" s="353"/>
      <c r="I2222" s="55"/>
      <c r="J2222" s="55"/>
      <c r="K2222" s="55"/>
      <c r="L2222" s="961"/>
      <c r="M2222" s="55"/>
      <c r="N2222" s="55"/>
      <c r="O2222" s="27" t="str">
        <f t="shared" si="793"/>
        <v>#N/A</v>
      </c>
      <c r="P2222" s="55"/>
      <c r="Q2222" s="55"/>
      <c r="R2222" s="55"/>
      <c r="S2222" s="55"/>
      <c r="T2222" s="55"/>
      <c r="U2222" s="55"/>
      <c r="V2222" s="30">
        <f t="shared" si="425"/>
        <v>0</v>
      </c>
      <c r="W2222" s="30"/>
      <c r="X2222" s="58"/>
      <c r="Y2222" s="58"/>
      <c r="Z2222" s="692"/>
      <c r="AA2222" s="665"/>
      <c r="AB2222" s="55"/>
      <c r="AC2222" s="55"/>
      <c r="AD2222" s="355"/>
      <c r="AE2222" s="38"/>
      <c r="AF2222" s="355"/>
      <c r="AG2222" s="38"/>
      <c r="AH2222" s="55"/>
      <c r="AI2222" s="38"/>
      <c r="AJ2222" s="55"/>
      <c r="AK2222" s="38"/>
      <c r="AL2222" s="55"/>
      <c r="AM2222" s="38"/>
      <c r="AN2222" s="55"/>
      <c r="AO2222" s="38"/>
      <c r="AP2222" s="356"/>
      <c r="AQ2222" s="38"/>
      <c r="AR2222" s="55"/>
      <c r="AS2222" s="38"/>
      <c r="AT2222" s="55"/>
      <c r="AU2222" s="38"/>
      <c r="AV2222" s="55"/>
      <c r="AW2222" s="38"/>
      <c r="AX2222" s="55"/>
      <c r="AY2222" s="38"/>
      <c r="AZ2222" s="55"/>
      <c r="BA2222" s="38"/>
      <c r="BB2222" s="55"/>
      <c r="BC2222" s="38"/>
      <c r="BD2222" s="55"/>
      <c r="BE2222" s="38"/>
      <c r="BF2222" s="55"/>
    </row>
    <row r="2223">
      <c r="A2223" s="52"/>
      <c r="D2223" s="351"/>
      <c r="E2223" s="351"/>
      <c r="F2223" s="1949"/>
      <c r="G2223" s="353"/>
      <c r="H2223" s="353"/>
      <c r="I2223" s="55"/>
      <c r="J2223" s="55"/>
      <c r="K2223" s="55"/>
      <c r="L2223" s="961"/>
      <c r="M2223" s="55"/>
      <c r="N2223" s="55"/>
      <c r="O2223" s="27" t="str">
        <f t="shared" si="793"/>
        <v>#N/A</v>
      </c>
      <c r="P2223" s="55"/>
      <c r="Q2223" s="55"/>
      <c r="R2223" s="55"/>
      <c r="S2223" s="55"/>
      <c r="T2223" s="55"/>
      <c r="U2223" s="55"/>
      <c r="V2223" s="30">
        <f t="shared" si="425"/>
        <v>0</v>
      </c>
      <c r="W2223" s="30"/>
      <c r="X2223" s="58"/>
      <c r="Y2223" s="58"/>
      <c r="Z2223" s="692"/>
      <c r="AA2223" s="665"/>
      <c r="AB2223" s="55"/>
      <c r="AC2223" s="55"/>
      <c r="AD2223" s="355"/>
      <c r="AE2223" s="38"/>
      <c r="AF2223" s="355"/>
      <c r="AG2223" s="38"/>
      <c r="AH2223" s="55"/>
      <c r="AI2223" s="38"/>
      <c r="AJ2223" s="55"/>
      <c r="AK2223" s="38"/>
      <c r="AL2223" s="55"/>
      <c r="AM2223" s="38"/>
      <c r="AN2223" s="55"/>
      <c r="AO2223" s="38"/>
      <c r="AP2223" s="356"/>
      <c r="AQ2223" s="38"/>
      <c r="AR2223" s="55"/>
      <c r="AS2223" s="38"/>
      <c r="AT2223" s="55"/>
      <c r="AU2223" s="38"/>
      <c r="AV2223" s="55"/>
      <c r="AW2223" s="38"/>
      <c r="AX2223" s="55"/>
      <c r="AY2223" s="38"/>
      <c r="AZ2223" s="55"/>
      <c r="BA2223" s="38"/>
      <c r="BB2223" s="55"/>
      <c r="BC2223" s="38"/>
      <c r="BD2223" s="55"/>
      <c r="BE2223" s="38"/>
      <c r="BF2223" s="55"/>
    </row>
    <row r="2224">
      <c r="A2224" s="52"/>
      <c r="D2224" s="351"/>
      <c r="E2224" s="351"/>
      <c r="F2224" s="1949"/>
      <c r="G2224" s="353"/>
      <c r="H2224" s="353"/>
      <c r="I2224" s="55"/>
      <c r="J2224" s="55"/>
      <c r="K2224" s="55"/>
      <c r="L2224" s="961"/>
      <c r="M2224" s="55"/>
      <c r="N2224" s="55"/>
      <c r="O2224" s="27" t="str">
        <f t="shared" si="793"/>
        <v>#N/A</v>
      </c>
      <c r="P2224" s="55"/>
      <c r="Q2224" s="55"/>
      <c r="R2224" s="55"/>
      <c r="S2224" s="55"/>
      <c r="T2224" s="55"/>
      <c r="U2224" s="55"/>
      <c r="V2224" s="30">
        <f t="shared" si="425"/>
        <v>0</v>
      </c>
      <c r="W2224" s="30"/>
      <c r="X2224" s="58"/>
      <c r="Y2224" s="58"/>
      <c r="Z2224" s="692"/>
      <c r="AA2224" s="665"/>
      <c r="AB2224" s="55"/>
      <c r="AC2224" s="55"/>
      <c r="AD2224" s="355"/>
      <c r="AE2224" s="38"/>
      <c r="AF2224" s="355"/>
      <c r="AG2224" s="38"/>
      <c r="AH2224" s="55"/>
      <c r="AI2224" s="38"/>
      <c r="AJ2224" s="55"/>
      <c r="AK2224" s="38"/>
      <c r="AL2224" s="55"/>
      <c r="AM2224" s="38"/>
      <c r="AN2224" s="55"/>
      <c r="AO2224" s="38"/>
      <c r="AP2224" s="356"/>
      <c r="AQ2224" s="38"/>
      <c r="AR2224" s="55"/>
      <c r="AS2224" s="38"/>
      <c r="AT2224" s="55"/>
      <c r="AU2224" s="38"/>
      <c r="AV2224" s="55"/>
      <c r="AW2224" s="38"/>
      <c r="AX2224" s="55"/>
      <c r="AY2224" s="38"/>
      <c r="AZ2224" s="55"/>
      <c r="BA2224" s="38"/>
      <c r="BB2224" s="55"/>
      <c r="BC2224" s="38"/>
      <c r="BD2224" s="55"/>
      <c r="BE2224" s="38"/>
      <c r="BF2224" s="55"/>
    </row>
    <row r="2225">
      <c r="A2225" s="52"/>
      <c r="D2225" s="351"/>
      <c r="E2225" s="351"/>
      <c r="F2225" s="1949"/>
      <c r="G2225" s="353"/>
      <c r="H2225" s="353"/>
      <c r="I2225" s="55"/>
      <c r="J2225" s="55"/>
      <c r="K2225" s="55"/>
      <c r="L2225" s="961"/>
      <c r="M2225" s="55"/>
      <c r="N2225" s="55"/>
      <c r="O2225" s="27" t="str">
        <f t="shared" si="793"/>
        <v>#N/A</v>
      </c>
      <c r="P2225" s="55"/>
      <c r="Q2225" s="55"/>
      <c r="R2225" s="55"/>
      <c r="S2225" s="55"/>
      <c r="T2225" s="55"/>
      <c r="U2225" s="55"/>
      <c r="V2225" s="30">
        <f t="shared" si="425"/>
        <v>0</v>
      </c>
      <c r="W2225" s="30"/>
      <c r="X2225" s="58"/>
      <c r="Y2225" s="58"/>
      <c r="Z2225" s="692"/>
      <c r="AA2225" s="665"/>
      <c r="AB2225" s="55"/>
      <c r="AC2225" s="55"/>
      <c r="AD2225" s="355"/>
      <c r="AE2225" s="38"/>
      <c r="AF2225" s="355"/>
      <c r="AG2225" s="38"/>
      <c r="AH2225" s="55"/>
      <c r="AI2225" s="38"/>
      <c r="AJ2225" s="55"/>
      <c r="AK2225" s="38"/>
      <c r="AL2225" s="55"/>
      <c r="AM2225" s="38"/>
      <c r="AN2225" s="55"/>
      <c r="AO2225" s="38"/>
      <c r="AP2225" s="356"/>
      <c r="AQ2225" s="38"/>
      <c r="AR2225" s="55"/>
      <c r="AS2225" s="38"/>
      <c r="AT2225" s="55"/>
      <c r="AU2225" s="38"/>
      <c r="AV2225" s="55"/>
      <c r="AW2225" s="38"/>
      <c r="AX2225" s="55"/>
      <c r="AY2225" s="38"/>
      <c r="AZ2225" s="55"/>
      <c r="BA2225" s="38"/>
      <c r="BB2225" s="55"/>
      <c r="BC2225" s="38"/>
      <c r="BD2225" s="55"/>
      <c r="BE2225" s="38"/>
      <c r="BF2225" s="55"/>
    </row>
    <row r="2226">
      <c r="A2226" s="52"/>
      <c r="D2226" s="351"/>
      <c r="E2226" s="351"/>
      <c r="F2226" s="1949"/>
      <c r="G2226" s="353"/>
      <c r="H2226" s="353"/>
      <c r="I2226" s="55"/>
      <c r="J2226" s="55"/>
      <c r="K2226" s="55"/>
      <c r="L2226" s="961"/>
      <c r="M2226" s="55"/>
      <c r="N2226" s="55"/>
      <c r="O2226" s="27" t="str">
        <f t="shared" si="793"/>
        <v>#N/A</v>
      </c>
      <c r="P2226" s="55"/>
      <c r="Q2226" s="55"/>
      <c r="R2226" s="55"/>
      <c r="S2226" s="55"/>
      <c r="T2226" s="55"/>
      <c r="U2226" s="55"/>
      <c r="V2226" s="30">
        <f t="shared" si="425"/>
        <v>0</v>
      </c>
      <c r="W2226" s="30"/>
      <c r="X2226" s="58"/>
      <c r="Y2226" s="58"/>
      <c r="Z2226" s="692"/>
      <c r="AA2226" s="665"/>
      <c r="AB2226" s="55"/>
      <c r="AC2226" s="55"/>
      <c r="AD2226" s="355"/>
      <c r="AE2226" s="38"/>
      <c r="AF2226" s="355"/>
      <c r="AG2226" s="38"/>
      <c r="AH2226" s="55"/>
      <c r="AI2226" s="38"/>
      <c r="AJ2226" s="55"/>
      <c r="AK2226" s="38"/>
      <c r="AL2226" s="55"/>
      <c r="AM2226" s="38"/>
      <c r="AN2226" s="55"/>
      <c r="AO2226" s="38"/>
      <c r="AP2226" s="356"/>
      <c r="AQ2226" s="38"/>
      <c r="AR2226" s="55"/>
      <c r="AS2226" s="38"/>
      <c r="AT2226" s="55"/>
      <c r="AU2226" s="38"/>
      <c r="AV2226" s="55"/>
      <c r="AW2226" s="38"/>
      <c r="AX2226" s="55"/>
      <c r="AY2226" s="38"/>
      <c r="AZ2226" s="55"/>
      <c r="BA2226" s="38"/>
      <c r="BB2226" s="55"/>
      <c r="BC2226" s="38"/>
      <c r="BD2226" s="55"/>
      <c r="BE2226" s="38"/>
      <c r="BF2226" s="55"/>
    </row>
    <row r="2227">
      <c r="A2227" s="52"/>
      <c r="D2227" s="351"/>
      <c r="E2227" s="351"/>
      <c r="F2227" s="1949"/>
      <c r="G2227" s="353"/>
      <c r="H2227" s="353"/>
      <c r="I2227" s="55"/>
      <c r="J2227" s="55"/>
      <c r="K2227" s="55"/>
      <c r="L2227" s="961"/>
      <c r="M2227" s="55"/>
      <c r="N2227" s="55"/>
      <c r="O2227" s="27" t="str">
        <f t="shared" si="793"/>
        <v>#N/A</v>
      </c>
      <c r="P2227" s="55"/>
      <c r="Q2227" s="55"/>
      <c r="R2227" s="55"/>
      <c r="S2227" s="55"/>
      <c r="T2227" s="55"/>
      <c r="U2227" s="55"/>
      <c r="V2227" s="30">
        <f t="shared" si="425"/>
        <v>0</v>
      </c>
      <c r="W2227" s="30"/>
      <c r="X2227" s="58"/>
      <c r="Y2227" s="58"/>
      <c r="Z2227" s="692"/>
      <c r="AA2227" s="665"/>
      <c r="AB2227" s="55"/>
      <c r="AC2227" s="55"/>
      <c r="AD2227" s="355"/>
      <c r="AE2227" s="38"/>
      <c r="AF2227" s="355"/>
      <c r="AG2227" s="38"/>
      <c r="AH2227" s="55"/>
      <c r="AI2227" s="38"/>
      <c r="AJ2227" s="55"/>
      <c r="AK2227" s="38"/>
      <c r="AL2227" s="55"/>
      <c r="AM2227" s="38"/>
      <c r="AN2227" s="55"/>
      <c r="AO2227" s="38"/>
      <c r="AP2227" s="356"/>
      <c r="AQ2227" s="38"/>
      <c r="AR2227" s="55"/>
      <c r="AS2227" s="38"/>
      <c r="AT2227" s="55"/>
      <c r="AU2227" s="38"/>
      <c r="AV2227" s="55"/>
      <c r="AW2227" s="38"/>
      <c r="AX2227" s="55"/>
      <c r="AY2227" s="38"/>
      <c r="AZ2227" s="55"/>
      <c r="BA2227" s="38"/>
      <c r="BB2227" s="55"/>
      <c r="BC2227" s="38"/>
      <c r="BD2227" s="55"/>
      <c r="BE2227" s="38"/>
      <c r="BF2227" s="55"/>
    </row>
    <row r="2228">
      <c r="A2228" s="52"/>
      <c r="D2228" s="351"/>
      <c r="E2228" s="351"/>
      <c r="F2228" s="1949"/>
      <c r="G2228" s="353"/>
      <c r="H2228" s="353"/>
      <c r="I2228" s="55"/>
      <c r="J2228" s="55"/>
      <c r="K2228" s="55"/>
      <c r="L2228" s="961"/>
      <c r="M2228" s="55"/>
      <c r="N2228" s="55"/>
      <c r="O2228" s="27" t="str">
        <f t="shared" si="793"/>
        <v>#N/A</v>
      </c>
      <c r="P2228" s="55"/>
      <c r="Q2228" s="55"/>
      <c r="R2228" s="55"/>
      <c r="S2228" s="55"/>
      <c r="T2228" s="55"/>
      <c r="U2228" s="55"/>
      <c r="V2228" s="30">
        <f t="shared" si="425"/>
        <v>0</v>
      </c>
      <c r="W2228" s="30"/>
      <c r="X2228" s="58"/>
      <c r="Y2228" s="58"/>
      <c r="Z2228" s="692"/>
      <c r="AA2228" s="665"/>
      <c r="AB2228" s="55"/>
      <c r="AC2228" s="55"/>
      <c r="AD2228" s="355"/>
      <c r="AE2228" s="38"/>
      <c r="AF2228" s="355"/>
      <c r="AG2228" s="38"/>
      <c r="AH2228" s="55"/>
      <c r="AI2228" s="38"/>
      <c r="AJ2228" s="55"/>
      <c r="AK2228" s="38"/>
      <c r="AL2228" s="55"/>
      <c r="AM2228" s="38"/>
      <c r="AN2228" s="55"/>
      <c r="AO2228" s="38"/>
      <c r="AP2228" s="356"/>
      <c r="AQ2228" s="38"/>
      <c r="AR2228" s="55"/>
      <c r="AS2228" s="38"/>
      <c r="AT2228" s="55"/>
      <c r="AU2228" s="38"/>
      <c r="AV2228" s="55"/>
      <c r="AW2228" s="38"/>
      <c r="AX2228" s="55"/>
      <c r="AY2228" s="38"/>
      <c r="AZ2228" s="55"/>
      <c r="BA2228" s="38"/>
      <c r="BB2228" s="55"/>
      <c r="BC2228" s="38"/>
      <c r="BD2228" s="55"/>
      <c r="BE2228" s="38"/>
      <c r="BF2228" s="55"/>
    </row>
    <row r="2229">
      <c r="A2229" s="52"/>
      <c r="D2229" s="351"/>
      <c r="E2229" s="351"/>
      <c r="F2229" s="1949"/>
      <c r="G2229" s="353"/>
      <c r="H2229" s="353"/>
      <c r="I2229" s="55"/>
      <c r="J2229" s="55"/>
      <c r="K2229" s="55"/>
      <c r="L2229" s="961"/>
      <c r="M2229" s="55"/>
      <c r="N2229" s="55"/>
      <c r="O2229" s="27" t="str">
        <f t="shared" si="793"/>
        <v>#N/A</v>
      </c>
      <c r="P2229" s="55"/>
      <c r="Q2229" s="55"/>
      <c r="R2229" s="55"/>
      <c r="S2229" s="55"/>
      <c r="T2229" s="55"/>
      <c r="U2229" s="55"/>
      <c r="V2229" s="30">
        <f t="shared" si="425"/>
        <v>0</v>
      </c>
      <c r="W2229" s="30"/>
      <c r="X2229" s="58"/>
      <c r="Y2229" s="58"/>
      <c r="Z2229" s="692"/>
      <c r="AA2229" s="665"/>
      <c r="AB2229" s="55"/>
      <c r="AC2229" s="55"/>
      <c r="AD2229" s="355"/>
      <c r="AE2229" s="38"/>
      <c r="AF2229" s="355"/>
      <c r="AG2229" s="38"/>
      <c r="AH2229" s="55"/>
      <c r="AI2229" s="38"/>
      <c r="AJ2229" s="55"/>
      <c r="AK2229" s="38"/>
      <c r="AL2229" s="55"/>
      <c r="AM2229" s="38"/>
      <c r="AN2229" s="55"/>
      <c r="AO2229" s="38"/>
      <c r="AP2229" s="356"/>
      <c r="AQ2229" s="38"/>
      <c r="AR2229" s="55"/>
      <c r="AS2229" s="38"/>
      <c r="AT2229" s="55"/>
      <c r="AU2229" s="38"/>
      <c r="AV2229" s="55"/>
      <c r="AW2229" s="38"/>
      <c r="AX2229" s="55"/>
      <c r="AY2229" s="38"/>
      <c r="AZ2229" s="55"/>
      <c r="BA2229" s="38"/>
      <c r="BB2229" s="55"/>
      <c r="BC2229" s="38"/>
      <c r="BD2229" s="55"/>
      <c r="BE2229" s="38"/>
      <c r="BF2229" s="55"/>
    </row>
    <row r="2230">
      <c r="A2230" s="52"/>
      <c r="D2230" s="351"/>
      <c r="E2230" s="351"/>
      <c r="F2230" s="1949"/>
      <c r="G2230" s="353"/>
      <c r="H2230" s="353"/>
      <c r="I2230" s="55"/>
      <c r="J2230" s="55"/>
      <c r="K2230" s="55"/>
      <c r="L2230" s="961"/>
      <c r="M2230" s="55"/>
      <c r="N2230" s="55"/>
      <c r="O2230" s="27" t="str">
        <f t="shared" si="793"/>
        <v>#N/A</v>
      </c>
      <c r="P2230" s="55"/>
      <c r="Q2230" s="55"/>
      <c r="R2230" s="55"/>
      <c r="S2230" s="55"/>
      <c r="T2230" s="55"/>
      <c r="U2230" s="55"/>
      <c r="V2230" s="30">
        <f t="shared" si="425"/>
        <v>0</v>
      </c>
      <c r="W2230" s="30"/>
      <c r="X2230" s="58"/>
      <c r="Y2230" s="58"/>
      <c r="Z2230" s="692"/>
      <c r="AA2230" s="665"/>
      <c r="AB2230" s="55"/>
      <c r="AC2230" s="55"/>
      <c r="AD2230" s="355"/>
      <c r="AE2230" s="38"/>
      <c r="AF2230" s="355"/>
      <c r="AG2230" s="38"/>
      <c r="AH2230" s="55"/>
      <c r="AI2230" s="38"/>
      <c r="AJ2230" s="55"/>
      <c r="AK2230" s="38"/>
      <c r="AL2230" s="55"/>
      <c r="AM2230" s="38"/>
      <c r="AN2230" s="55"/>
      <c r="AO2230" s="38"/>
      <c r="AP2230" s="356"/>
      <c r="AQ2230" s="38"/>
      <c r="AR2230" s="55"/>
      <c r="AS2230" s="38"/>
      <c r="AT2230" s="55"/>
      <c r="AU2230" s="38"/>
      <c r="AV2230" s="55"/>
      <c r="AW2230" s="38"/>
      <c r="AX2230" s="55"/>
      <c r="AY2230" s="38"/>
      <c r="AZ2230" s="55"/>
      <c r="BA2230" s="38"/>
      <c r="BB2230" s="55"/>
      <c r="BC2230" s="38"/>
      <c r="BD2230" s="55"/>
      <c r="BE2230" s="38"/>
      <c r="BF2230" s="55"/>
    </row>
    <row r="2231">
      <c r="A2231" s="52"/>
      <c r="D2231" s="351"/>
      <c r="E2231" s="351"/>
      <c r="F2231" s="1949"/>
      <c r="G2231" s="353"/>
      <c r="H2231" s="353"/>
      <c r="I2231" s="55"/>
      <c r="J2231" s="55"/>
      <c r="K2231" s="55"/>
      <c r="L2231" s="961"/>
      <c r="M2231" s="55"/>
      <c r="N2231" s="55"/>
      <c r="O2231" s="27" t="str">
        <f t="shared" si="793"/>
        <v>#N/A</v>
      </c>
      <c r="P2231" s="55"/>
      <c r="Q2231" s="55"/>
      <c r="R2231" s="55"/>
      <c r="S2231" s="55"/>
      <c r="T2231" s="55"/>
      <c r="U2231" s="55"/>
      <c r="V2231" s="30">
        <f t="shared" si="425"/>
        <v>0</v>
      </c>
      <c r="W2231" s="30"/>
      <c r="X2231" s="58"/>
      <c r="Y2231" s="58"/>
      <c r="Z2231" s="692"/>
      <c r="AA2231" s="665"/>
      <c r="AB2231" s="55"/>
      <c r="AC2231" s="55"/>
      <c r="AD2231" s="355"/>
      <c r="AE2231" s="38"/>
      <c r="AF2231" s="355"/>
      <c r="AG2231" s="38"/>
      <c r="AH2231" s="55"/>
      <c r="AI2231" s="38"/>
      <c r="AJ2231" s="55"/>
      <c r="AK2231" s="38"/>
      <c r="AL2231" s="55"/>
      <c r="AM2231" s="38"/>
      <c r="AN2231" s="55"/>
      <c r="AO2231" s="38"/>
      <c r="AP2231" s="356"/>
      <c r="AQ2231" s="38"/>
      <c r="AR2231" s="55"/>
      <c r="AS2231" s="38"/>
      <c r="AT2231" s="55"/>
      <c r="AU2231" s="38"/>
      <c r="AV2231" s="55"/>
      <c r="AW2231" s="38"/>
      <c r="AX2231" s="55"/>
      <c r="AY2231" s="38"/>
      <c r="AZ2231" s="55"/>
      <c r="BA2231" s="38"/>
      <c r="BB2231" s="55"/>
      <c r="BC2231" s="38"/>
      <c r="BD2231" s="55"/>
      <c r="BE2231" s="38"/>
      <c r="BF2231" s="55"/>
    </row>
    <row r="2232">
      <c r="A2232" s="52"/>
      <c r="D2232" s="351"/>
      <c r="E2232" s="351"/>
      <c r="F2232" s="1949"/>
      <c r="G2232" s="353"/>
      <c r="H2232" s="353"/>
      <c r="I2232" s="55"/>
      <c r="J2232" s="55"/>
      <c r="K2232" s="55"/>
      <c r="L2232" s="961"/>
      <c r="M2232" s="55"/>
      <c r="N2232" s="55"/>
      <c r="O2232" s="27" t="str">
        <f t="shared" si="793"/>
        <v>#N/A</v>
      </c>
      <c r="P2232" s="55"/>
      <c r="Q2232" s="55"/>
      <c r="R2232" s="55"/>
      <c r="S2232" s="55"/>
      <c r="T2232" s="55"/>
      <c r="U2232" s="55"/>
      <c r="V2232" s="30">
        <f t="shared" si="425"/>
        <v>0</v>
      </c>
      <c r="W2232" s="30"/>
      <c r="X2232" s="58"/>
      <c r="Y2232" s="58"/>
      <c r="Z2232" s="692"/>
      <c r="AA2232" s="665"/>
      <c r="AB2232" s="55"/>
      <c r="AC2232" s="55"/>
      <c r="AD2232" s="355"/>
      <c r="AE2232" s="38"/>
      <c r="AF2232" s="355"/>
      <c r="AG2232" s="38"/>
      <c r="AH2232" s="55"/>
      <c r="AI2232" s="38"/>
      <c r="AJ2232" s="55"/>
      <c r="AK2232" s="38"/>
      <c r="AL2232" s="55"/>
      <c r="AM2232" s="38"/>
      <c r="AN2232" s="55"/>
      <c r="AO2232" s="38"/>
      <c r="AP2232" s="356"/>
      <c r="AQ2232" s="38"/>
      <c r="AR2232" s="55"/>
      <c r="AS2232" s="38"/>
      <c r="AT2232" s="55"/>
      <c r="AU2232" s="38"/>
      <c r="AV2232" s="55"/>
      <c r="AW2232" s="38"/>
      <c r="AX2232" s="55"/>
      <c r="AY2232" s="38"/>
      <c r="AZ2232" s="55"/>
      <c r="BA2232" s="38"/>
      <c r="BB2232" s="55"/>
      <c r="BC2232" s="38"/>
      <c r="BD2232" s="55"/>
      <c r="BE2232" s="38"/>
      <c r="BF2232" s="55"/>
    </row>
    <row r="2233">
      <c r="A2233" s="52"/>
      <c r="D2233" s="351"/>
      <c r="E2233" s="351"/>
      <c r="F2233" s="1949"/>
      <c r="G2233" s="353"/>
      <c r="H2233" s="353"/>
      <c r="I2233" s="55"/>
      <c r="J2233" s="55"/>
      <c r="K2233" s="55"/>
      <c r="L2233" s="961"/>
      <c r="M2233" s="55"/>
      <c r="N2233" s="55"/>
      <c r="O2233" s="27" t="str">
        <f t="shared" si="793"/>
        <v>#N/A</v>
      </c>
      <c r="P2233" s="55"/>
      <c r="Q2233" s="55"/>
      <c r="R2233" s="55"/>
      <c r="S2233" s="55"/>
      <c r="T2233" s="55"/>
      <c r="U2233" s="55"/>
      <c r="V2233" s="30">
        <f t="shared" si="425"/>
        <v>0</v>
      </c>
      <c r="W2233" s="30"/>
      <c r="X2233" s="58"/>
      <c r="Y2233" s="58"/>
      <c r="Z2233" s="692"/>
      <c r="AA2233" s="665"/>
      <c r="AB2233" s="55"/>
      <c r="AC2233" s="55"/>
      <c r="AD2233" s="355"/>
      <c r="AE2233" s="38"/>
      <c r="AF2233" s="355"/>
      <c r="AG2233" s="38"/>
      <c r="AH2233" s="55"/>
      <c r="AI2233" s="38"/>
      <c r="AJ2233" s="55"/>
      <c r="AK2233" s="38"/>
      <c r="AL2233" s="55"/>
      <c r="AM2233" s="38"/>
      <c r="AN2233" s="55"/>
      <c r="AO2233" s="38"/>
      <c r="AP2233" s="356"/>
      <c r="AQ2233" s="38"/>
      <c r="AR2233" s="55"/>
      <c r="AS2233" s="38"/>
      <c r="AT2233" s="55"/>
      <c r="AU2233" s="38"/>
      <c r="AV2233" s="55"/>
      <c r="AW2233" s="38"/>
      <c r="AX2233" s="55"/>
      <c r="AY2233" s="38"/>
      <c r="AZ2233" s="55"/>
      <c r="BA2233" s="38"/>
      <c r="BB2233" s="55"/>
      <c r="BC2233" s="38"/>
      <c r="BD2233" s="55"/>
      <c r="BE2233" s="38"/>
      <c r="BF2233" s="55"/>
    </row>
    <row r="2234">
      <c r="A2234" s="52"/>
      <c r="D2234" s="351"/>
      <c r="E2234" s="351"/>
      <c r="F2234" s="1949"/>
      <c r="G2234" s="353"/>
      <c r="H2234" s="353"/>
      <c r="I2234" s="55"/>
      <c r="J2234" s="55"/>
      <c r="K2234" s="55"/>
      <c r="L2234" s="961"/>
      <c r="M2234" s="55"/>
      <c r="N2234" s="55"/>
      <c r="O2234" s="27" t="str">
        <f t="shared" si="793"/>
        <v>#N/A</v>
      </c>
      <c r="P2234" s="55"/>
      <c r="Q2234" s="55"/>
      <c r="R2234" s="55"/>
      <c r="S2234" s="55"/>
      <c r="T2234" s="55"/>
      <c r="U2234" s="55"/>
      <c r="V2234" s="30">
        <f t="shared" si="425"/>
        <v>0</v>
      </c>
      <c r="W2234" s="30"/>
      <c r="X2234" s="58"/>
      <c r="Y2234" s="58"/>
      <c r="Z2234" s="692"/>
      <c r="AA2234" s="665"/>
      <c r="AB2234" s="55"/>
      <c r="AC2234" s="55"/>
      <c r="AD2234" s="355"/>
      <c r="AE2234" s="38"/>
      <c r="AF2234" s="355"/>
      <c r="AG2234" s="38"/>
      <c r="AH2234" s="55"/>
      <c r="AI2234" s="38"/>
      <c r="AJ2234" s="55"/>
      <c r="AK2234" s="38"/>
      <c r="AL2234" s="55"/>
      <c r="AM2234" s="38"/>
      <c r="AN2234" s="55"/>
      <c r="AO2234" s="38"/>
      <c r="AP2234" s="356"/>
      <c r="AQ2234" s="38"/>
      <c r="AR2234" s="55"/>
      <c r="AS2234" s="38"/>
      <c r="AT2234" s="55"/>
      <c r="AU2234" s="38"/>
      <c r="AV2234" s="55"/>
      <c r="AW2234" s="38"/>
      <c r="AX2234" s="55"/>
      <c r="AY2234" s="38"/>
      <c r="AZ2234" s="55"/>
      <c r="BA2234" s="38"/>
      <c r="BB2234" s="55"/>
      <c r="BC2234" s="38"/>
      <c r="BD2234" s="55"/>
      <c r="BE2234" s="38"/>
      <c r="BF2234" s="55"/>
    </row>
    <row r="2235">
      <c r="A2235" s="52"/>
      <c r="D2235" s="351"/>
      <c r="E2235" s="351"/>
      <c r="F2235" s="1949"/>
      <c r="G2235" s="353"/>
      <c r="H2235" s="353"/>
      <c r="I2235" s="55"/>
      <c r="J2235" s="55"/>
      <c r="K2235" s="55"/>
      <c r="L2235" s="961"/>
      <c r="M2235" s="55"/>
      <c r="N2235" s="55"/>
      <c r="O2235" s="27" t="str">
        <f t="shared" si="793"/>
        <v>#N/A</v>
      </c>
      <c r="P2235" s="55"/>
      <c r="Q2235" s="55"/>
      <c r="R2235" s="55"/>
      <c r="S2235" s="55"/>
      <c r="T2235" s="55"/>
      <c r="U2235" s="55"/>
      <c r="V2235" s="30">
        <f t="shared" si="425"/>
        <v>0</v>
      </c>
      <c r="W2235" s="30"/>
      <c r="X2235" s="58"/>
      <c r="Y2235" s="58"/>
      <c r="Z2235" s="692"/>
      <c r="AA2235" s="665"/>
      <c r="AB2235" s="55"/>
      <c r="AC2235" s="55"/>
      <c r="AD2235" s="355"/>
      <c r="AE2235" s="38"/>
      <c r="AF2235" s="355"/>
      <c r="AG2235" s="38"/>
      <c r="AH2235" s="55"/>
      <c r="AI2235" s="38"/>
      <c r="AJ2235" s="55"/>
      <c r="AK2235" s="38"/>
      <c r="AL2235" s="55"/>
      <c r="AM2235" s="38"/>
      <c r="AN2235" s="55"/>
      <c r="AO2235" s="38"/>
      <c r="AP2235" s="356"/>
      <c r="AQ2235" s="38"/>
      <c r="AR2235" s="55"/>
      <c r="AS2235" s="38"/>
      <c r="AT2235" s="55"/>
      <c r="AU2235" s="38"/>
      <c r="AV2235" s="55"/>
      <c r="AW2235" s="38"/>
      <c r="AX2235" s="55"/>
      <c r="AY2235" s="38"/>
      <c r="AZ2235" s="55"/>
      <c r="BA2235" s="38"/>
      <c r="BB2235" s="55"/>
      <c r="BC2235" s="38"/>
      <c r="BD2235" s="55"/>
      <c r="BE2235" s="38"/>
      <c r="BF2235" s="55"/>
    </row>
    <row r="2236">
      <c r="A2236" s="52"/>
      <c r="D2236" s="351"/>
      <c r="E2236" s="351"/>
      <c r="F2236" s="1949"/>
      <c r="G2236" s="353"/>
      <c r="H2236" s="353"/>
      <c r="I2236" s="55"/>
      <c r="J2236" s="55"/>
      <c r="K2236" s="55"/>
      <c r="L2236" s="961"/>
      <c r="M2236" s="55"/>
      <c r="N2236" s="55"/>
      <c r="O2236" s="27" t="str">
        <f t="shared" si="793"/>
        <v>#N/A</v>
      </c>
      <c r="P2236" s="55"/>
      <c r="Q2236" s="55"/>
      <c r="R2236" s="55"/>
      <c r="S2236" s="55"/>
      <c r="T2236" s="55"/>
      <c r="U2236" s="55"/>
      <c r="V2236" s="30">
        <f t="shared" si="425"/>
        <v>0</v>
      </c>
      <c r="W2236" s="30"/>
      <c r="X2236" s="58"/>
      <c r="Y2236" s="58"/>
      <c r="Z2236" s="692"/>
      <c r="AA2236" s="665"/>
      <c r="AB2236" s="55"/>
      <c r="AC2236" s="55"/>
      <c r="AD2236" s="355"/>
      <c r="AE2236" s="38"/>
      <c r="AF2236" s="355"/>
      <c r="AG2236" s="38"/>
      <c r="AH2236" s="55"/>
      <c r="AI2236" s="38"/>
      <c r="AJ2236" s="55"/>
      <c r="AK2236" s="38"/>
      <c r="AL2236" s="55"/>
      <c r="AM2236" s="38"/>
      <c r="AN2236" s="55"/>
      <c r="AO2236" s="38"/>
      <c r="AP2236" s="356"/>
      <c r="AQ2236" s="38"/>
      <c r="AR2236" s="55"/>
      <c r="AS2236" s="38"/>
      <c r="AT2236" s="55"/>
      <c r="AU2236" s="38"/>
      <c r="AV2236" s="55"/>
      <c r="AW2236" s="38"/>
      <c r="AX2236" s="55"/>
      <c r="AY2236" s="38"/>
      <c r="AZ2236" s="55"/>
      <c r="BA2236" s="38"/>
      <c r="BB2236" s="55"/>
      <c r="BC2236" s="38"/>
      <c r="BD2236" s="55"/>
      <c r="BE2236" s="38"/>
      <c r="BF2236" s="55"/>
    </row>
    <row r="2237">
      <c r="A2237" s="52"/>
      <c r="D2237" s="351"/>
      <c r="E2237" s="351"/>
      <c r="F2237" s="1949"/>
      <c r="G2237" s="353"/>
      <c r="H2237" s="353"/>
      <c r="I2237" s="55"/>
      <c r="J2237" s="55"/>
      <c r="K2237" s="55"/>
      <c r="L2237" s="961"/>
      <c r="M2237" s="55"/>
      <c r="N2237" s="55"/>
      <c r="O2237" s="27" t="str">
        <f t="shared" si="793"/>
        <v>#N/A</v>
      </c>
      <c r="P2237" s="55"/>
      <c r="Q2237" s="55"/>
      <c r="R2237" s="55"/>
      <c r="S2237" s="55"/>
      <c r="T2237" s="55"/>
      <c r="U2237" s="55"/>
      <c r="V2237" s="30">
        <f t="shared" si="425"/>
        <v>0</v>
      </c>
      <c r="W2237" s="30"/>
      <c r="X2237" s="58"/>
      <c r="Y2237" s="58"/>
      <c r="Z2237" s="692"/>
      <c r="AA2237" s="665"/>
      <c r="AB2237" s="55"/>
      <c r="AC2237" s="55"/>
      <c r="AD2237" s="355"/>
      <c r="AE2237" s="38"/>
      <c r="AF2237" s="355"/>
      <c r="AG2237" s="38"/>
      <c r="AH2237" s="55"/>
      <c r="AI2237" s="38"/>
      <c r="AJ2237" s="55"/>
      <c r="AK2237" s="38"/>
      <c r="AL2237" s="55"/>
      <c r="AM2237" s="38"/>
      <c r="AN2237" s="55"/>
      <c r="AO2237" s="38"/>
      <c r="AP2237" s="356"/>
      <c r="AQ2237" s="38"/>
      <c r="AR2237" s="55"/>
      <c r="AS2237" s="38"/>
      <c r="AT2237" s="55"/>
      <c r="AU2237" s="38"/>
      <c r="AV2237" s="55"/>
      <c r="AW2237" s="38"/>
      <c r="AX2237" s="55"/>
      <c r="AY2237" s="38"/>
      <c r="AZ2237" s="55"/>
      <c r="BA2237" s="38"/>
      <c r="BB2237" s="55"/>
      <c r="BC2237" s="38"/>
      <c r="BD2237" s="55"/>
      <c r="BE2237" s="38"/>
      <c r="BF2237" s="55"/>
    </row>
    <row r="2238">
      <c r="A2238" s="52"/>
      <c r="D2238" s="351"/>
      <c r="E2238" s="351"/>
      <c r="F2238" s="1949"/>
      <c r="G2238" s="353"/>
      <c r="H2238" s="353"/>
      <c r="I2238" s="55"/>
      <c r="J2238" s="55"/>
      <c r="K2238" s="55"/>
      <c r="L2238" s="961"/>
      <c r="M2238" s="55"/>
      <c r="N2238" s="55"/>
      <c r="O2238" s="27" t="str">
        <f t="shared" si="793"/>
        <v>#N/A</v>
      </c>
      <c r="P2238" s="55"/>
      <c r="Q2238" s="55"/>
      <c r="R2238" s="55"/>
      <c r="S2238" s="55"/>
      <c r="T2238" s="55"/>
      <c r="U2238" s="55"/>
      <c r="V2238" s="30">
        <f t="shared" si="425"/>
        <v>0</v>
      </c>
      <c r="W2238" s="30"/>
      <c r="X2238" s="58"/>
      <c r="Y2238" s="58"/>
      <c r="Z2238" s="692"/>
      <c r="AA2238" s="665"/>
      <c r="AB2238" s="55"/>
      <c r="AC2238" s="55"/>
      <c r="AD2238" s="355"/>
      <c r="AE2238" s="38"/>
      <c r="AF2238" s="355"/>
      <c r="AG2238" s="38"/>
      <c r="AH2238" s="55"/>
      <c r="AI2238" s="38"/>
      <c r="AJ2238" s="55"/>
      <c r="AK2238" s="38"/>
      <c r="AL2238" s="55"/>
      <c r="AM2238" s="38"/>
      <c r="AN2238" s="55"/>
      <c r="AO2238" s="38"/>
      <c r="AP2238" s="356"/>
      <c r="AQ2238" s="38"/>
      <c r="AR2238" s="55"/>
      <c r="AS2238" s="38"/>
      <c r="AT2238" s="55"/>
      <c r="AU2238" s="38"/>
      <c r="AV2238" s="55"/>
      <c r="AW2238" s="38"/>
      <c r="AX2238" s="55"/>
      <c r="AY2238" s="38"/>
      <c r="AZ2238" s="55"/>
      <c r="BA2238" s="38"/>
      <c r="BB2238" s="55"/>
      <c r="BC2238" s="38"/>
      <c r="BD2238" s="55"/>
      <c r="BE2238" s="38"/>
      <c r="BF2238" s="55"/>
    </row>
    <row r="2239">
      <c r="A2239" s="52"/>
      <c r="D2239" s="351"/>
      <c r="E2239" s="351"/>
      <c r="F2239" s="1949"/>
      <c r="G2239" s="353"/>
      <c r="H2239" s="353"/>
      <c r="I2239" s="55"/>
      <c r="J2239" s="55"/>
      <c r="K2239" s="55"/>
      <c r="L2239" s="961"/>
      <c r="M2239" s="55"/>
      <c r="N2239" s="55"/>
      <c r="O2239" s="27" t="str">
        <f t="shared" si="793"/>
        <v>#N/A</v>
      </c>
      <c r="P2239" s="55"/>
      <c r="Q2239" s="55"/>
      <c r="R2239" s="55"/>
      <c r="S2239" s="55"/>
      <c r="T2239" s="55"/>
      <c r="U2239" s="55"/>
      <c r="V2239" s="30">
        <f t="shared" si="425"/>
        <v>0</v>
      </c>
      <c r="W2239" s="30"/>
      <c r="X2239" s="58"/>
      <c r="Y2239" s="58"/>
      <c r="Z2239" s="692"/>
      <c r="AA2239" s="665"/>
      <c r="AB2239" s="55"/>
      <c r="AC2239" s="55"/>
      <c r="AD2239" s="355"/>
      <c r="AE2239" s="38"/>
      <c r="AF2239" s="355"/>
      <c r="AG2239" s="38"/>
      <c r="AH2239" s="55"/>
      <c r="AI2239" s="38"/>
      <c r="AJ2239" s="55"/>
      <c r="AK2239" s="38"/>
      <c r="AL2239" s="55"/>
      <c r="AM2239" s="38"/>
      <c r="AN2239" s="55"/>
      <c r="AO2239" s="38"/>
      <c r="AP2239" s="356"/>
      <c r="AQ2239" s="38"/>
      <c r="AR2239" s="55"/>
      <c r="AS2239" s="38"/>
      <c r="AT2239" s="55"/>
      <c r="AU2239" s="38"/>
      <c r="AV2239" s="55"/>
      <c r="AW2239" s="38"/>
      <c r="AX2239" s="55"/>
      <c r="AY2239" s="38"/>
      <c r="AZ2239" s="55"/>
      <c r="BA2239" s="38"/>
      <c r="BB2239" s="55"/>
      <c r="BC2239" s="38"/>
      <c r="BD2239" s="55"/>
      <c r="BE2239" s="38"/>
      <c r="BF2239" s="55"/>
    </row>
    <row r="2240">
      <c r="A2240" s="52"/>
      <c r="D2240" s="351"/>
      <c r="E2240" s="351"/>
      <c r="F2240" s="1949"/>
      <c r="G2240" s="353"/>
      <c r="H2240" s="353"/>
      <c r="I2240" s="55"/>
      <c r="J2240" s="55"/>
      <c r="K2240" s="55"/>
      <c r="L2240" s="961"/>
      <c r="M2240" s="55"/>
      <c r="N2240" s="55"/>
      <c r="O2240" s="27" t="str">
        <f t="shared" si="793"/>
        <v>#N/A</v>
      </c>
      <c r="P2240" s="55"/>
      <c r="Q2240" s="55"/>
      <c r="R2240" s="55"/>
      <c r="S2240" s="55"/>
      <c r="T2240" s="55"/>
      <c r="U2240" s="55"/>
      <c r="V2240" s="30">
        <f t="shared" si="425"/>
        <v>0</v>
      </c>
      <c r="W2240" s="30"/>
      <c r="X2240" s="58"/>
      <c r="Y2240" s="58"/>
      <c r="Z2240" s="692"/>
      <c r="AA2240" s="665"/>
      <c r="AB2240" s="55"/>
      <c r="AC2240" s="55"/>
      <c r="AD2240" s="355"/>
      <c r="AE2240" s="38"/>
      <c r="AF2240" s="355"/>
      <c r="AG2240" s="38"/>
      <c r="AH2240" s="55"/>
      <c r="AI2240" s="38"/>
      <c r="AJ2240" s="55"/>
      <c r="AK2240" s="38"/>
      <c r="AL2240" s="55"/>
      <c r="AM2240" s="38"/>
      <c r="AN2240" s="55"/>
      <c r="AO2240" s="38"/>
      <c r="AP2240" s="356"/>
      <c r="AQ2240" s="38"/>
      <c r="AR2240" s="55"/>
      <c r="AS2240" s="38"/>
      <c r="AT2240" s="55"/>
      <c r="AU2240" s="38"/>
      <c r="AV2240" s="55"/>
      <c r="AW2240" s="38"/>
      <c r="AX2240" s="55"/>
      <c r="AY2240" s="38"/>
      <c r="AZ2240" s="55"/>
      <c r="BA2240" s="38"/>
      <c r="BB2240" s="55"/>
      <c r="BC2240" s="38"/>
      <c r="BD2240" s="55"/>
      <c r="BE2240" s="38"/>
      <c r="BF2240" s="55"/>
    </row>
    <row r="2241">
      <c r="A2241" s="52"/>
      <c r="D2241" s="351"/>
      <c r="E2241" s="351"/>
      <c r="F2241" s="1949"/>
      <c r="G2241" s="353"/>
      <c r="H2241" s="353"/>
      <c r="I2241" s="55"/>
      <c r="J2241" s="55"/>
      <c r="K2241" s="55"/>
      <c r="L2241" s="961"/>
      <c r="M2241" s="55"/>
      <c r="N2241" s="55"/>
      <c r="O2241" s="27" t="str">
        <f t="shared" si="793"/>
        <v>#N/A</v>
      </c>
      <c r="P2241" s="55"/>
      <c r="Q2241" s="55"/>
      <c r="R2241" s="55"/>
      <c r="S2241" s="55"/>
      <c r="T2241" s="55"/>
      <c r="U2241" s="55"/>
      <c r="V2241" s="30">
        <f t="shared" si="425"/>
        <v>0</v>
      </c>
      <c r="W2241" s="30"/>
      <c r="X2241" s="58"/>
      <c r="Y2241" s="58"/>
      <c r="Z2241" s="692"/>
      <c r="AA2241" s="665"/>
      <c r="AB2241" s="55"/>
      <c r="AC2241" s="55"/>
      <c r="AD2241" s="355"/>
      <c r="AE2241" s="38"/>
      <c r="AF2241" s="355"/>
      <c r="AG2241" s="38"/>
      <c r="AH2241" s="55"/>
      <c r="AI2241" s="38"/>
      <c r="AJ2241" s="55"/>
      <c r="AK2241" s="38"/>
      <c r="AL2241" s="55"/>
      <c r="AM2241" s="38"/>
      <c r="AN2241" s="55"/>
      <c r="AO2241" s="38"/>
      <c r="AP2241" s="356"/>
      <c r="AQ2241" s="38"/>
      <c r="AR2241" s="55"/>
      <c r="AS2241" s="38"/>
      <c r="AT2241" s="55"/>
      <c r="AU2241" s="38"/>
      <c r="AV2241" s="55"/>
      <c r="AW2241" s="38"/>
      <c r="AX2241" s="55"/>
      <c r="AY2241" s="38"/>
      <c r="AZ2241" s="55"/>
      <c r="BA2241" s="38"/>
      <c r="BB2241" s="55"/>
      <c r="BC2241" s="38"/>
      <c r="BD2241" s="55"/>
      <c r="BE2241" s="38"/>
      <c r="BF2241" s="55"/>
    </row>
    <row r="2242">
      <c r="A2242" s="52"/>
      <c r="D2242" s="351"/>
      <c r="E2242" s="351"/>
      <c r="F2242" s="1949"/>
      <c r="G2242" s="353"/>
      <c r="H2242" s="353"/>
      <c r="I2242" s="55"/>
      <c r="J2242" s="55"/>
      <c r="K2242" s="55"/>
      <c r="L2242" s="961"/>
      <c r="M2242" s="55"/>
      <c r="N2242" s="55"/>
      <c r="O2242" s="27" t="str">
        <f t="shared" si="793"/>
        <v>#N/A</v>
      </c>
      <c r="P2242" s="55"/>
      <c r="Q2242" s="55"/>
      <c r="R2242" s="55"/>
      <c r="S2242" s="55"/>
      <c r="T2242" s="55"/>
      <c r="U2242" s="55"/>
      <c r="V2242" s="30">
        <f t="shared" si="425"/>
        <v>0</v>
      </c>
      <c r="W2242" s="30"/>
      <c r="X2242" s="58"/>
      <c r="Y2242" s="58"/>
      <c r="Z2242" s="692"/>
      <c r="AA2242" s="665"/>
      <c r="AB2242" s="55"/>
      <c r="AC2242" s="55"/>
      <c r="AD2242" s="355"/>
      <c r="AE2242" s="38"/>
      <c r="AF2242" s="355"/>
      <c r="AG2242" s="38"/>
      <c r="AH2242" s="55"/>
      <c r="AI2242" s="38"/>
      <c r="AJ2242" s="55"/>
      <c r="AK2242" s="38"/>
      <c r="AL2242" s="55"/>
      <c r="AM2242" s="38"/>
      <c r="AN2242" s="55"/>
      <c r="AO2242" s="38"/>
      <c r="AP2242" s="356"/>
      <c r="AQ2242" s="38"/>
      <c r="AR2242" s="55"/>
      <c r="AS2242" s="38"/>
      <c r="AT2242" s="55"/>
      <c r="AU2242" s="38"/>
      <c r="AV2242" s="55"/>
      <c r="AW2242" s="38"/>
      <c r="AX2242" s="55"/>
      <c r="AY2242" s="38"/>
      <c r="AZ2242" s="55"/>
      <c r="BA2242" s="38"/>
      <c r="BB2242" s="55"/>
      <c r="BC2242" s="38"/>
      <c r="BD2242" s="55"/>
      <c r="BE2242" s="38"/>
      <c r="BF2242" s="55"/>
    </row>
    <row r="2243">
      <c r="A2243" s="52"/>
      <c r="D2243" s="351"/>
      <c r="E2243" s="351"/>
      <c r="F2243" s="1949"/>
      <c r="G2243" s="353"/>
      <c r="H2243" s="353"/>
      <c r="I2243" s="55"/>
      <c r="J2243" s="55"/>
      <c r="K2243" s="55"/>
      <c r="L2243" s="961"/>
      <c r="M2243" s="55"/>
      <c r="N2243" s="55"/>
      <c r="O2243" s="27" t="str">
        <f t="shared" si="793"/>
        <v>#N/A</v>
      </c>
      <c r="P2243" s="55"/>
      <c r="Q2243" s="55"/>
      <c r="R2243" s="55"/>
      <c r="S2243" s="55"/>
      <c r="T2243" s="55"/>
      <c r="U2243" s="55"/>
      <c r="V2243" s="30">
        <f t="shared" si="425"/>
        <v>0</v>
      </c>
      <c r="W2243" s="30"/>
      <c r="X2243" s="58"/>
      <c r="Y2243" s="58"/>
      <c r="Z2243" s="692"/>
      <c r="AA2243" s="665"/>
      <c r="AB2243" s="55"/>
      <c r="AC2243" s="55"/>
      <c r="AD2243" s="355"/>
      <c r="AE2243" s="38"/>
      <c r="AF2243" s="355"/>
      <c r="AG2243" s="38"/>
      <c r="AH2243" s="55"/>
      <c r="AI2243" s="38"/>
      <c r="AJ2243" s="55"/>
      <c r="AK2243" s="38"/>
      <c r="AL2243" s="55"/>
      <c r="AM2243" s="38"/>
      <c r="AN2243" s="55"/>
      <c r="AO2243" s="38"/>
      <c r="AP2243" s="356"/>
      <c r="AQ2243" s="38"/>
      <c r="AR2243" s="55"/>
      <c r="AS2243" s="38"/>
      <c r="AT2243" s="55"/>
      <c r="AU2243" s="38"/>
      <c r="AV2243" s="55"/>
      <c r="AW2243" s="38"/>
      <c r="AX2243" s="55"/>
      <c r="AY2243" s="38"/>
      <c r="AZ2243" s="55"/>
      <c r="BA2243" s="38"/>
      <c r="BB2243" s="55"/>
      <c r="BC2243" s="38"/>
      <c r="BD2243" s="55"/>
      <c r="BE2243" s="38"/>
      <c r="BF2243" s="55"/>
    </row>
    <row r="2244">
      <c r="A2244" s="52"/>
      <c r="D2244" s="351"/>
      <c r="E2244" s="351"/>
      <c r="F2244" s="1949"/>
      <c r="G2244" s="353"/>
      <c r="H2244" s="353"/>
      <c r="I2244" s="55"/>
      <c r="J2244" s="55"/>
      <c r="K2244" s="55"/>
      <c r="L2244" s="961"/>
      <c r="M2244" s="55"/>
      <c r="N2244" s="55"/>
      <c r="O2244" s="27" t="str">
        <f t="shared" si="793"/>
        <v>#N/A</v>
      </c>
      <c r="P2244" s="55"/>
      <c r="Q2244" s="55"/>
      <c r="R2244" s="55"/>
      <c r="S2244" s="55"/>
      <c r="T2244" s="55"/>
      <c r="U2244" s="55"/>
      <c r="V2244" s="30">
        <f t="shared" si="425"/>
        <v>0</v>
      </c>
      <c r="W2244" s="30"/>
      <c r="X2244" s="58"/>
      <c r="Y2244" s="58"/>
      <c r="Z2244" s="692"/>
      <c r="AA2244" s="665"/>
      <c r="AB2244" s="55"/>
      <c r="AC2244" s="55"/>
      <c r="AD2244" s="355"/>
      <c r="AE2244" s="38"/>
      <c r="AF2244" s="355"/>
      <c r="AG2244" s="38"/>
      <c r="AH2244" s="55"/>
      <c r="AI2244" s="38"/>
      <c r="AJ2244" s="55"/>
      <c r="AK2244" s="38"/>
      <c r="AL2244" s="55"/>
      <c r="AM2244" s="38"/>
      <c r="AN2244" s="55"/>
      <c r="AO2244" s="38"/>
      <c r="AP2244" s="356"/>
      <c r="AQ2244" s="38"/>
      <c r="AR2244" s="55"/>
      <c r="AS2244" s="38"/>
      <c r="AT2244" s="55"/>
      <c r="AU2244" s="38"/>
      <c r="AV2244" s="55"/>
      <c r="AW2244" s="38"/>
      <c r="AX2244" s="55"/>
      <c r="AY2244" s="38"/>
      <c r="AZ2244" s="55"/>
      <c r="BA2244" s="38"/>
      <c r="BB2244" s="55"/>
      <c r="BC2244" s="38"/>
      <c r="BD2244" s="55"/>
      <c r="BE2244" s="38"/>
      <c r="BF2244" s="55"/>
    </row>
    <row r="2245">
      <c r="A2245" s="52"/>
      <c r="D2245" s="351"/>
      <c r="E2245" s="351"/>
      <c r="F2245" s="1949"/>
      <c r="G2245" s="353"/>
      <c r="H2245" s="353"/>
      <c r="I2245" s="55"/>
      <c r="J2245" s="55"/>
      <c r="K2245" s="55"/>
      <c r="L2245" s="961"/>
      <c r="M2245" s="55"/>
      <c r="N2245" s="55"/>
      <c r="O2245" s="27" t="str">
        <f t="shared" si="793"/>
        <v>#N/A</v>
      </c>
      <c r="P2245" s="55"/>
      <c r="Q2245" s="55"/>
      <c r="R2245" s="55"/>
      <c r="S2245" s="55"/>
      <c r="T2245" s="55"/>
      <c r="U2245" s="55"/>
      <c r="V2245" s="30">
        <f t="shared" si="425"/>
        <v>0</v>
      </c>
      <c r="W2245" s="30"/>
      <c r="X2245" s="58"/>
      <c r="Y2245" s="58"/>
      <c r="Z2245" s="692"/>
      <c r="AA2245" s="665"/>
      <c r="AB2245" s="55"/>
      <c r="AC2245" s="55"/>
      <c r="AD2245" s="355"/>
      <c r="AE2245" s="38"/>
      <c r="AF2245" s="355"/>
      <c r="AG2245" s="38"/>
      <c r="AH2245" s="55"/>
      <c r="AI2245" s="38"/>
      <c r="AJ2245" s="55"/>
      <c r="AK2245" s="38"/>
      <c r="AL2245" s="55"/>
      <c r="AM2245" s="38"/>
      <c r="AN2245" s="55"/>
      <c r="AO2245" s="38"/>
      <c r="AP2245" s="356"/>
      <c r="AQ2245" s="38"/>
      <c r="AR2245" s="55"/>
      <c r="AS2245" s="38"/>
      <c r="AT2245" s="55"/>
      <c r="AU2245" s="38"/>
      <c r="AV2245" s="55"/>
      <c r="AW2245" s="38"/>
      <c r="AX2245" s="55"/>
      <c r="AY2245" s="38"/>
      <c r="AZ2245" s="55"/>
      <c r="BA2245" s="38"/>
      <c r="BB2245" s="55"/>
      <c r="BC2245" s="38"/>
      <c r="BD2245" s="55"/>
      <c r="BE2245" s="38"/>
      <c r="BF2245" s="55"/>
    </row>
    <row r="2246">
      <c r="A2246" s="52"/>
      <c r="D2246" s="351"/>
      <c r="E2246" s="351"/>
      <c r="F2246" s="1949"/>
      <c r="G2246" s="353"/>
      <c r="H2246" s="353"/>
      <c r="I2246" s="55"/>
      <c r="J2246" s="55"/>
      <c r="K2246" s="55"/>
      <c r="L2246" s="961"/>
      <c r="M2246" s="55"/>
      <c r="N2246" s="55"/>
      <c r="O2246" s="27" t="str">
        <f t="shared" si="793"/>
        <v>#N/A</v>
      </c>
      <c r="P2246" s="55"/>
      <c r="Q2246" s="55"/>
      <c r="R2246" s="55"/>
      <c r="S2246" s="55"/>
      <c r="T2246" s="55"/>
      <c r="U2246" s="55"/>
      <c r="V2246" s="30">
        <f t="shared" si="425"/>
        <v>0</v>
      </c>
      <c r="W2246" s="30"/>
      <c r="X2246" s="58"/>
      <c r="Y2246" s="58"/>
      <c r="Z2246" s="692"/>
      <c r="AA2246" s="665"/>
      <c r="AB2246" s="55"/>
      <c r="AC2246" s="55"/>
      <c r="AD2246" s="355"/>
      <c r="AE2246" s="38"/>
      <c r="AF2246" s="355"/>
      <c r="AG2246" s="38"/>
      <c r="AH2246" s="55"/>
      <c r="AI2246" s="38"/>
      <c r="AJ2246" s="55"/>
      <c r="AK2246" s="38"/>
      <c r="AL2246" s="55"/>
      <c r="AM2246" s="38"/>
      <c r="AN2246" s="55"/>
      <c r="AO2246" s="38"/>
      <c r="AP2246" s="356"/>
      <c r="AQ2246" s="38"/>
      <c r="AR2246" s="55"/>
      <c r="AS2246" s="38"/>
      <c r="AT2246" s="55"/>
      <c r="AU2246" s="38"/>
      <c r="AV2246" s="55"/>
      <c r="AW2246" s="38"/>
      <c r="AX2246" s="55"/>
      <c r="AY2246" s="38"/>
      <c r="AZ2246" s="55"/>
      <c r="BA2246" s="38"/>
      <c r="BB2246" s="55"/>
      <c r="BC2246" s="38"/>
      <c r="BD2246" s="55"/>
      <c r="BE2246" s="38"/>
      <c r="BF2246" s="55"/>
    </row>
    <row r="2247">
      <c r="A2247" s="52"/>
      <c r="D2247" s="351"/>
      <c r="E2247" s="351"/>
      <c r="F2247" s="1949"/>
      <c r="G2247" s="353"/>
      <c r="H2247" s="353"/>
      <c r="I2247" s="55"/>
      <c r="J2247" s="55"/>
      <c r="K2247" s="55"/>
      <c r="L2247" s="961"/>
      <c r="M2247" s="55"/>
      <c r="N2247" s="55"/>
      <c r="O2247" s="27" t="str">
        <f t="shared" si="793"/>
        <v>#N/A</v>
      </c>
      <c r="P2247" s="55"/>
      <c r="Q2247" s="55"/>
      <c r="R2247" s="55"/>
      <c r="S2247" s="55"/>
      <c r="T2247" s="55"/>
      <c r="U2247" s="55"/>
      <c r="V2247" s="30">
        <f t="shared" si="425"/>
        <v>0</v>
      </c>
      <c r="W2247" s="30"/>
      <c r="X2247" s="58"/>
      <c r="Y2247" s="58"/>
      <c r="Z2247" s="692"/>
      <c r="AA2247" s="665"/>
      <c r="AB2247" s="55"/>
      <c r="AC2247" s="55"/>
      <c r="AD2247" s="355"/>
      <c r="AE2247" s="38"/>
      <c r="AF2247" s="355"/>
      <c r="AG2247" s="38"/>
      <c r="AH2247" s="55"/>
      <c r="AI2247" s="38"/>
      <c r="AJ2247" s="55"/>
      <c r="AK2247" s="38"/>
      <c r="AL2247" s="55"/>
      <c r="AM2247" s="38"/>
      <c r="AN2247" s="55"/>
      <c r="AO2247" s="38"/>
      <c r="AP2247" s="356"/>
      <c r="AQ2247" s="38"/>
      <c r="AR2247" s="55"/>
      <c r="AS2247" s="38"/>
      <c r="AT2247" s="55"/>
      <c r="AU2247" s="38"/>
      <c r="AV2247" s="55"/>
      <c r="AW2247" s="38"/>
      <c r="AX2247" s="55"/>
      <c r="AY2247" s="38"/>
      <c r="AZ2247" s="55"/>
      <c r="BA2247" s="38"/>
      <c r="BB2247" s="55"/>
      <c r="BC2247" s="38"/>
      <c r="BD2247" s="55"/>
      <c r="BE2247" s="38"/>
      <c r="BF2247" s="55"/>
    </row>
    <row r="2248">
      <c r="A2248" s="52"/>
      <c r="D2248" s="351"/>
      <c r="E2248" s="351"/>
      <c r="F2248" s="1949"/>
      <c r="G2248" s="353"/>
      <c r="H2248" s="353"/>
      <c r="I2248" s="55"/>
      <c r="J2248" s="55"/>
      <c r="K2248" s="55"/>
      <c r="L2248" s="961"/>
      <c r="M2248" s="55"/>
      <c r="N2248" s="55"/>
      <c r="O2248" s="27" t="str">
        <f t="shared" si="793"/>
        <v>#N/A</v>
      </c>
      <c r="P2248" s="55"/>
      <c r="Q2248" s="55"/>
      <c r="R2248" s="55"/>
      <c r="S2248" s="55"/>
      <c r="T2248" s="55"/>
      <c r="U2248" s="55"/>
      <c r="V2248" s="30"/>
      <c r="W2248" s="30"/>
      <c r="X2248" s="58"/>
      <c r="Y2248" s="58"/>
      <c r="Z2248" s="692"/>
      <c r="AA2248" s="665"/>
      <c r="AB2248" s="55"/>
      <c r="AC2248" s="55"/>
      <c r="AD2248" s="355"/>
      <c r="AE2248" s="38"/>
      <c r="AF2248" s="355"/>
      <c r="AG2248" s="38"/>
      <c r="AH2248" s="55"/>
      <c r="AI2248" s="38"/>
      <c r="AJ2248" s="55"/>
      <c r="AK2248" s="38"/>
      <c r="AL2248" s="55"/>
      <c r="AM2248" s="38"/>
      <c r="AN2248" s="55"/>
      <c r="AO2248" s="38"/>
      <c r="AP2248" s="356"/>
      <c r="AQ2248" s="38"/>
      <c r="AR2248" s="55"/>
      <c r="AS2248" s="38"/>
      <c r="AT2248" s="55"/>
      <c r="AU2248" s="38"/>
      <c r="AV2248" s="55"/>
      <c r="AW2248" s="38"/>
      <c r="AX2248" s="55"/>
      <c r="AY2248" s="38"/>
      <c r="AZ2248" s="55"/>
      <c r="BA2248" s="38"/>
      <c r="BB2248" s="55"/>
      <c r="BC2248" s="38"/>
      <c r="BD2248" s="55"/>
      <c r="BE2248" s="38"/>
      <c r="BF2248" s="55"/>
    </row>
    <row r="2249">
      <c r="A2249" s="52"/>
      <c r="D2249" s="351"/>
      <c r="E2249" s="351"/>
      <c r="F2249" s="1949"/>
      <c r="G2249" s="353"/>
      <c r="H2249" s="353"/>
      <c r="I2249" s="55"/>
      <c r="J2249" s="55"/>
      <c r="K2249" s="55"/>
      <c r="L2249" s="961"/>
      <c r="M2249" s="55"/>
      <c r="N2249" s="55"/>
      <c r="O2249" s="27" t="str">
        <f t="shared" si="793"/>
        <v>#N/A</v>
      </c>
      <c r="P2249" s="55"/>
      <c r="Q2249" s="55"/>
      <c r="R2249" s="55"/>
      <c r="S2249" s="55"/>
      <c r="T2249" s="55"/>
      <c r="U2249" s="55"/>
      <c r="V2249" s="30"/>
      <c r="W2249" s="30"/>
      <c r="X2249" s="58"/>
      <c r="Y2249" s="58"/>
      <c r="Z2249" s="692"/>
      <c r="AA2249" s="665"/>
      <c r="AB2249" s="55"/>
      <c r="AC2249" s="55"/>
      <c r="AD2249" s="355"/>
      <c r="AE2249" s="38"/>
      <c r="AF2249" s="355"/>
      <c r="AG2249" s="38"/>
      <c r="AH2249" s="55"/>
      <c r="AI2249" s="38"/>
      <c r="AJ2249" s="55"/>
      <c r="AK2249" s="38"/>
      <c r="AL2249" s="55"/>
      <c r="AM2249" s="38"/>
      <c r="AN2249" s="55"/>
      <c r="AO2249" s="38"/>
      <c r="AP2249" s="356"/>
      <c r="AQ2249" s="38"/>
      <c r="AR2249" s="55"/>
      <c r="AS2249" s="38"/>
      <c r="AT2249" s="55"/>
      <c r="AU2249" s="38"/>
      <c r="AV2249" s="55"/>
      <c r="AW2249" s="38"/>
      <c r="AX2249" s="55"/>
      <c r="AY2249" s="38"/>
      <c r="AZ2249" s="55"/>
      <c r="BA2249" s="38"/>
      <c r="BB2249" s="55"/>
      <c r="BC2249" s="38"/>
      <c r="BD2249" s="55"/>
      <c r="BE2249" s="38"/>
      <c r="BF2249" s="55"/>
    </row>
    <row r="2250">
      <c r="A2250" s="52"/>
      <c r="D2250" s="351"/>
      <c r="E2250" s="351"/>
      <c r="F2250" s="1949"/>
      <c r="G2250" s="353"/>
      <c r="H2250" s="353"/>
      <c r="I2250" s="55"/>
      <c r="J2250" s="55"/>
      <c r="K2250" s="55"/>
      <c r="L2250" s="961"/>
      <c r="M2250" s="55"/>
      <c r="N2250" s="55"/>
      <c r="O2250" s="27" t="str">
        <f t="shared" si="793"/>
        <v>#N/A</v>
      </c>
      <c r="P2250" s="55"/>
      <c r="Q2250" s="55"/>
      <c r="R2250" s="55"/>
      <c r="S2250" s="55"/>
      <c r="T2250" s="55"/>
      <c r="U2250" s="55"/>
      <c r="V2250" s="30"/>
      <c r="W2250" s="30"/>
      <c r="X2250" s="58"/>
      <c r="Y2250" s="58"/>
      <c r="Z2250" s="692"/>
      <c r="AA2250" s="665"/>
      <c r="AB2250" s="55"/>
      <c r="AC2250" s="55"/>
      <c r="AD2250" s="355"/>
      <c r="AE2250" s="38"/>
      <c r="AF2250" s="355"/>
      <c r="AG2250" s="38"/>
      <c r="AH2250" s="55"/>
      <c r="AI2250" s="38"/>
      <c r="AJ2250" s="55"/>
      <c r="AK2250" s="38"/>
      <c r="AL2250" s="55"/>
      <c r="AM2250" s="38"/>
      <c r="AN2250" s="55"/>
      <c r="AO2250" s="38"/>
      <c r="AP2250" s="356"/>
      <c r="AQ2250" s="38"/>
      <c r="AR2250" s="55"/>
      <c r="AS2250" s="38"/>
      <c r="AT2250" s="55"/>
      <c r="AU2250" s="38"/>
      <c r="AV2250" s="55"/>
      <c r="AW2250" s="38"/>
      <c r="AX2250" s="55"/>
      <c r="AY2250" s="38"/>
      <c r="AZ2250" s="55"/>
      <c r="BA2250" s="38"/>
      <c r="BB2250" s="55"/>
      <c r="BC2250" s="38"/>
      <c r="BD2250" s="55"/>
      <c r="BE2250" s="38"/>
      <c r="BF2250" s="55"/>
    </row>
    <row r="2251">
      <c r="A2251" s="52"/>
      <c r="D2251" s="351"/>
      <c r="E2251" s="351"/>
      <c r="F2251" s="1949"/>
      <c r="G2251" s="353"/>
      <c r="H2251" s="353"/>
      <c r="I2251" s="55"/>
      <c r="J2251" s="55"/>
      <c r="K2251" s="55"/>
      <c r="L2251" s="961"/>
      <c r="M2251" s="55"/>
      <c r="N2251" s="55"/>
      <c r="O2251" s="27" t="str">
        <f t="shared" si="793"/>
        <v>#N/A</v>
      </c>
      <c r="P2251" s="55"/>
      <c r="Q2251" s="55"/>
      <c r="R2251" s="55"/>
      <c r="S2251" s="55"/>
      <c r="T2251" s="55"/>
      <c r="U2251" s="55"/>
      <c r="V2251" s="30"/>
      <c r="W2251" s="30"/>
      <c r="X2251" s="58"/>
      <c r="Y2251" s="58"/>
      <c r="Z2251" s="692"/>
      <c r="AA2251" s="665"/>
      <c r="AB2251" s="55"/>
      <c r="AC2251" s="55"/>
      <c r="AD2251" s="355"/>
      <c r="AE2251" s="38"/>
      <c r="AF2251" s="355"/>
      <c r="AG2251" s="38"/>
      <c r="AH2251" s="55"/>
      <c r="AI2251" s="38"/>
      <c r="AJ2251" s="55"/>
      <c r="AK2251" s="38"/>
      <c r="AL2251" s="55"/>
      <c r="AM2251" s="38"/>
      <c r="AN2251" s="55"/>
      <c r="AO2251" s="38"/>
      <c r="AP2251" s="356"/>
      <c r="AQ2251" s="38"/>
      <c r="AR2251" s="55"/>
      <c r="AS2251" s="38"/>
      <c r="AT2251" s="55"/>
      <c r="AU2251" s="38"/>
      <c r="AV2251" s="55"/>
      <c r="AW2251" s="38"/>
      <c r="AX2251" s="55"/>
      <c r="AY2251" s="38"/>
      <c r="AZ2251" s="55"/>
      <c r="BA2251" s="38"/>
      <c r="BB2251" s="55"/>
      <c r="BC2251" s="38"/>
      <c r="BD2251" s="55"/>
      <c r="BE2251" s="38"/>
      <c r="BF2251" s="55"/>
    </row>
    <row r="2252">
      <c r="A2252" s="52"/>
      <c r="D2252" s="351"/>
      <c r="E2252" s="351"/>
      <c r="F2252" s="1949"/>
      <c r="G2252" s="353"/>
      <c r="H2252" s="353"/>
      <c r="I2252" s="55"/>
      <c r="J2252" s="55"/>
      <c r="K2252" s="55"/>
      <c r="L2252" s="961"/>
      <c r="M2252" s="55"/>
      <c r="N2252" s="55"/>
      <c r="O2252" s="27" t="str">
        <f t="shared" si="793"/>
        <v>#N/A</v>
      </c>
      <c r="P2252" s="55"/>
      <c r="Q2252" s="55"/>
      <c r="R2252" s="55"/>
      <c r="S2252" s="55"/>
      <c r="T2252" s="55"/>
      <c r="U2252" s="55"/>
      <c r="V2252" s="30"/>
      <c r="W2252" s="30"/>
      <c r="X2252" s="58"/>
      <c r="Y2252" s="58"/>
      <c r="Z2252" s="692"/>
      <c r="AA2252" s="665"/>
      <c r="AB2252" s="55"/>
      <c r="AC2252" s="55"/>
      <c r="AD2252" s="355"/>
      <c r="AE2252" s="38"/>
      <c r="AF2252" s="355"/>
      <c r="AG2252" s="38"/>
      <c r="AH2252" s="55"/>
      <c r="AI2252" s="38"/>
      <c r="AJ2252" s="55"/>
      <c r="AK2252" s="38"/>
      <c r="AL2252" s="55"/>
      <c r="AM2252" s="38"/>
      <c r="AN2252" s="55"/>
      <c r="AO2252" s="38"/>
      <c r="AP2252" s="356"/>
      <c r="AQ2252" s="38"/>
      <c r="AR2252" s="55"/>
      <c r="AS2252" s="38"/>
      <c r="AT2252" s="55"/>
      <c r="AU2252" s="38"/>
      <c r="AV2252" s="55"/>
      <c r="AW2252" s="38"/>
      <c r="AX2252" s="55"/>
      <c r="AY2252" s="38"/>
      <c r="AZ2252" s="55"/>
      <c r="BA2252" s="38"/>
      <c r="BB2252" s="55"/>
      <c r="BC2252" s="38"/>
      <c r="BD2252" s="55"/>
      <c r="BE2252" s="38"/>
      <c r="BF2252" s="55"/>
    </row>
    <row r="2253">
      <c r="A2253" s="52"/>
      <c r="D2253" s="351"/>
      <c r="E2253" s="351"/>
      <c r="F2253" s="1949"/>
      <c r="G2253" s="353"/>
      <c r="H2253" s="353"/>
      <c r="I2253" s="55"/>
      <c r="J2253" s="55"/>
      <c r="K2253" s="55"/>
      <c r="L2253" s="961"/>
      <c r="M2253" s="55"/>
      <c r="N2253" s="55"/>
      <c r="O2253" s="27" t="str">
        <f t="shared" si="793"/>
        <v>#N/A</v>
      </c>
      <c r="P2253" s="55"/>
      <c r="Q2253" s="55"/>
      <c r="R2253" s="55"/>
      <c r="S2253" s="55"/>
      <c r="T2253" s="55"/>
      <c r="U2253" s="55"/>
      <c r="V2253" s="30"/>
      <c r="W2253" s="30"/>
      <c r="X2253" s="58"/>
      <c r="Y2253" s="58"/>
      <c r="Z2253" s="692"/>
      <c r="AA2253" s="665"/>
      <c r="AB2253" s="55"/>
      <c r="AC2253" s="55"/>
      <c r="AD2253" s="355"/>
      <c r="AE2253" s="38"/>
      <c r="AF2253" s="355"/>
      <c r="AG2253" s="38"/>
      <c r="AH2253" s="55"/>
      <c r="AI2253" s="38"/>
      <c r="AJ2253" s="55"/>
      <c r="AK2253" s="38"/>
      <c r="AL2253" s="55"/>
      <c r="AM2253" s="38"/>
      <c r="AN2253" s="55"/>
      <c r="AO2253" s="38"/>
      <c r="AP2253" s="356"/>
      <c r="AQ2253" s="38"/>
      <c r="AR2253" s="55"/>
      <c r="AS2253" s="38"/>
      <c r="AT2253" s="55"/>
      <c r="AU2253" s="38"/>
      <c r="AV2253" s="55"/>
      <c r="AW2253" s="38"/>
      <c r="AX2253" s="55"/>
      <c r="AY2253" s="38"/>
      <c r="AZ2253" s="55"/>
      <c r="BA2253" s="38"/>
      <c r="BB2253" s="55"/>
      <c r="BC2253" s="38"/>
      <c r="BD2253" s="55"/>
      <c r="BE2253" s="38"/>
      <c r="BF2253" s="55"/>
    </row>
    <row r="2254">
      <c r="A2254" s="52"/>
      <c r="D2254" s="351"/>
      <c r="E2254" s="351"/>
      <c r="F2254" s="1949"/>
      <c r="G2254" s="353"/>
      <c r="H2254" s="353"/>
      <c r="I2254" s="55"/>
      <c r="J2254" s="55"/>
      <c r="K2254" s="55"/>
      <c r="L2254" s="961"/>
      <c r="M2254" s="55"/>
      <c r="N2254" s="55"/>
      <c r="O2254" s="27" t="str">
        <f t="shared" si="793"/>
        <v>#N/A</v>
      </c>
      <c r="P2254" s="55"/>
      <c r="Q2254" s="55"/>
      <c r="R2254" s="55"/>
      <c r="S2254" s="55"/>
      <c r="T2254" s="55"/>
      <c r="U2254" s="55"/>
      <c r="V2254" s="30"/>
      <c r="W2254" s="30"/>
      <c r="X2254" s="58"/>
      <c r="Y2254" s="58"/>
      <c r="Z2254" s="692"/>
      <c r="AA2254" s="665"/>
      <c r="AB2254" s="55"/>
      <c r="AC2254" s="55"/>
      <c r="AD2254" s="355"/>
      <c r="AE2254" s="38"/>
      <c r="AF2254" s="355"/>
      <c r="AG2254" s="38"/>
      <c r="AH2254" s="55"/>
      <c r="AI2254" s="38"/>
      <c r="AJ2254" s="55"/>
      <c r="AK2254" s="38"/>
      <c r="AL2254" s="55"/>
      <c r="AM2254" s="38"/>
      <c r="AN2254" s="55"/>
      <c r="AO2254" s="38"/>
      <c r="AP2254" s="356"/>
      <c r="AQ2254" s="38"/>
      <c r="AR2254" s="55"/>
      <c r="AS2254" s="38"/>
      <c r="AT2254" s="55"/>
      <c r="AU2254" s="38"/>
      <c r="AV2254" s="55"/>
      <c r="AW2254" s="38"/>
      <c r="AX2254" s="55"/>
      <c r="AY2254" s="38"/>
      <c r="AZ2254" s="55"/>
      <c r="BA2254" s="38"/>
      <c r="BB2254" s="55"/>
      <c r="BC2254" s="38"/>
      <c r="BD2254" s="55"/>
      <c r="BE2254" s="38"/>
      <c r="BF2254" s="55"/>
    </row>
    <row r="2255">
      <c r="A2255" s="52"/>
      <c r="D2255" s="351"/>
      <c r="E2255" s="351"/>
      <c r="F2255" s="1949"/>
      <c r="G2255" s="353"/>
      <c r="H2255" s="353"/>
      <c r="I2255" s="55"/>
      <c r="J2255" s="55"/>
      <c r="K2255" s="55"/>
      <c r="L2255" s="961"/>
      <c r="M2255" s="55"/>
      <c r="N2255" s="55"/>
      <c r="O2255" s="27" t="str">
        <f t="shared" si="793"/>
        <v>#N/A</v>
      </c>
      <c r="P2255" s="55"/>
      <c r="Q2255" s="55"/>
      <c r="R2255" s="55"/>
      <c r="S2255" s="55"/>
      <c r="T2255" s="55"/>
      <c r="U2255" s="55"/>
      <c r="V2255" s="30"/>
      <c r="W2255" s="30"/>
      <c r="X2255" s="58"/>
      <c r="Y2255" s="58"/>
      <c r="Z2255" s="692"/>
      <c r="AA2255" s="665"/>
      <c r="AB2255" s="55"/>
      <c r="AC2255" s="55"/>
      <c r="AD2255" s="355"/>
      <c r="AE2255" s="38"/>
      <c r="AF2255" s="355"/>
      <c r="AG2255" s="38"/>
      <c r="AH2255" s="55"/>
      <c r="AI2255" s="38"/>
      <c r="AJ2255" s="55"/>
      <c r="AK2255" s="38"/>
      <c r="AL2255" s="55"/>
      <c r="AM2255" s="38"/>
      <c r="AN2255" s="55"/>
      <c r="AO2255" s="38"/>
      <c r="AP2255" s="356"/>
      <c r="AQ2255" s="38"/>
      <c r="AR2255" s="55"/>
      <c r="AS2255" s="38"/>
      <c r="AT2255" s="55"/>
      <c r="AU2255" s="38"/>
      <c r="AV2255" s="55"/>
      <c r="AW2255" s="38"/>
      <c r="AX2255" s="55"/>
      <c r="AY2255" s="38"/>
      <c r="AZ2255" s="55"/>
      <c r="BA2255" s="38"/>
      <c r="BB2255" s="55"/>
      <c r="BC2255" s="38"/>
      <c r="BD2255" s="55"/>
      <c r="BE2255" s="38"/>
      <c r="BF2255" s="55"/>
    </row>
    <row r="2256">
      <c r="A2256" s="52"/>
      <c r="D2256" s="351"/>
      <c r="E2256" s="351"/>
      <c r="F2256" s="1949"/>
      <c r="G2256" s="353"/>
      <c r="H2256" s="353"/>
      <c r="I2256" s="55"/>
      <c r="J2256" s="55"/>
      <c r="K2256" s="55"/>
      <c r="L2256" s="961"/>
      <c r="M2256" s="55"/>
      <c r="N2256" s="55"/>
      <c r="O2256" s="27" t="str">
        <f t="shared" si="793"/>
        <v>#N/A</v>
      </c>
      <c r="P2256" s="55"/>
      <c r="Q2256" s="55"/>
      <c r="R2256" s="55"/>
      <c r="S2256" s="55"/>
      <c r="T2256" s="55"/>
      <c r="U2256" s="55"/>
      <c r="V2256" s="30"/>
      <c r="W2256" s="30"/>
      <c r="X2256" s="58"/>
      <c r="Y2256" s="58"/>
      <c r="Z2256" s="692"/>
      <c r="AA2256" s="665"/>
      <c r="AB2256" s="55"/>
      <c r="AC2256" s="55"/>
      <c r="AD2256" s="355"/>
      <c r="AE2256" s="38"/>
      <c r="AF2256" s="355"/>
      <c r="AG2256" s="38"/>
      <c r="AH2256" s="55"/>
      <c r="AI2256" s="38"/>
      <c r="AJ2256" s="55"/>
      <c r="AK2256" s="38"/>
      <c r="AL2256" s="55"/>
      <c r="AM2256" s="38"/>
      <c r="AN2256" s="55"/>
      <c r="AO2256" s="38"/>
      <c r="AP2256" s="356"/>
      <c r="AQ2256" s="38"/>
      <c r="AR2256" s="55"/>
      <c r="AS2256" s="38"/>
      <c r="AT2256" s="55"/>
      <c r="AU2256" s="38"/>
      <c r="AV2256" s="55"/>
      <c r="AW2256" s="38"/>
      <c r="AX2256" s="55"/>
      <c r="AY2256" s="38"/>
      <c r="AZ2256" s="55"/>
      <c r="BA2256" s="38"/>
      <c r="BB2256" s="55"/>
      <c r="BC2256" s="38"/>
      <c r="BD2256" s="55"/>
      <c r="BE2256" s="38"/>
      <c r="BF2256" s="55"/>
    </row>
    <row r="2257">
      <c r="A2257" s="52"/>
      <c r="D2257" s="351"/>
      <c r="E2257" s="351"/>
      <c r="F2257" s="1949"/>
      <c r="G2257" s="353"/>
      <c r="H2257" s="353"/>
      <c r="I2257" s="55"/>
      <c r="J2257" s="55"/>
      <c r="K2257" s="55"/>
      <c r="L2257" s="961"/>
      <c r="M2257" s="55"/>
      <c r="N2257" s="55"/>
      <c r="O2257" s="27" t="str">
        <f t="shared" si="793"/>
        <v>#N/A</v>
      </c>
      <c r="P2257" s="55"/>
      <c r="Q2257" s="55"/>
      <c r="R2257" s="55"/>
      <c r="S2257" s="55"/>
      <c r="T2257" s="55"/>
      <c r="U2257" s="55"/>
      <c r="V2257" s="30"/>
      <c r="W2257" s="30"/>
      <c r="X2257" s="58"/>
      <c r="Y2257" s="58"/>
      <c r="Z2257" s="692"/>
      <c r="AA2257" s="665"/>
      <c r="AB2257" s="55"/>
      <c r="AC2257" s="55"/>
      <c r="AD2257" s="355"/>
      <c r="AE2257" s="38"/>
      <c r="AF2257" s="355"/>
      <c r="AG2257" s="38"/>
      <c r="AH2257" s="55"/>
      <c r="AI2257" s="38"/>
      <c r="AJ2257" s="55"/>
      <c r="AK2257" s="38"/>
      <c r="AL2257" s="55"/>
      <c r="AM2257" s="38"/>
      <c r="AN2257" s="55"/>
      <c r="AO2257" s="38"/>
      <c r="AP2257" s="356"/>
      <c r="AQ2257" s="38"/>
      <c r="AR2257" s="55"/>
      <c r="AS2257" s="38"/>
      <c r="AT2257" s="55"/>
      <c r="AU2257" s="38"/>
      <c r="AV2257" s="55"/>
      <c r="AW2257" s="38"/>
      <c r="AX2257" s="55"/>
      <c r="AY2257" s="38"/>
      <c r="AZ2257" s="55"/>
      <c r="BA2257" s="38"/>
      <c r="BB2257" s="55"/>
      <c r="BC2257" s="38"/>
      <c r="BD2257" s="55"/>
      <c r="BE2257" s="38"/>
      <c r="BF2257" s="55"/>
    </row>
    <row r="2258">
      <c r="A2258" s="52"/>
      <c r="D2258" s="351"/>
      <c r="E2258" s="351"/>
      <c r="F2258" s="1949"/>
      <c r="G2258" s="353"/>
      <c r="H2258" s="353"/>
      <c r="I2258" s="55"/>
      <c r="J2258" s="55"/>
      <c r="K2258" s="55"/>
      <c r="L2258" s="961"/>
      <c r="M2258" s="55"/>
      <c r="N2258" s="55"/>
      <c r="O2258" s="27" t="str">
        <f t="shared" si="793"/>
        <v>#N/A</v>
      </c>
      <c r="P2258" s="55"/>
      <c r="Q2258" s="55"/>
      <c r="R2258" s="55"/>
      <c r="S2258" s="55"/>
      <c r="T2258" s="55"/>
      <c r="U2258" s="55"/>
      <c r="V2258" s="30"/>
      <c r="W2258" s="30"/>
      <c r="X2258" s="58"/>
      <c r="Y2258" s="58"/>
      <c r="Z2258" s="692"/>
      <c r="AA2258" s="665"/>
      <c r="AB2258" s="55"/>
      <c r="AC2258" s="55"/>
      <c r="AD2258" s="355"/>
      <c r="AE2258" s="38"/>
      <c r="AF2258" s="355"/>
      <c r="AG2258" s="38"/>
      <c r="AH2258" s="55"/>
      <c r="AI2258" s="38"/>
      <c r="AJ2258" s="55"/>
      <c r="AK2258" s="38"/>
      <c r="AL2258" s="55"/>
      <c r="AM2258" s="38"/>
      <c r="AN2258" s="55"/>
      <c r="AO2258" s="38"/>
      <c r="AP2258" s="356"/>
      <c r="AQ2258" s="38"/>
      <c r="AR2258" s="55"/>
      <c r="AS2258" s="38"/>
      <c r="AT2258" s="55"/>
      <c r="AU2258" s="38"/>
      <c r="AV2258" s="55"/>
      <c r="AW2258" s="38"/>
      <c r="AX2258" s="55"/>
      <c r="AY2258" s="38"/>
      <c r="AZ2258" s="55"/>
      <c r="BA2258" s="38"/>
      <c r="BB2258" s="55"/>
      <c r="BC2258" s="38"/>
      <c r="BD2258" s="55"/>
      <c r="BE2258" s="38"/>
      <c r="BF2258" s="55"/>
    </row>
    <row r="2259">
      <c r="A2259" s="52"/>
      <c r="D2259" s="351"/>
      <c r="E2259" s="351"/>
      <c r="F2259" s="1949"/>
      <c r="G2259" s="353"/>
      <c r="H2259" s="353"/>
      <c r="I2259" s="55"/>
      <c r="J2259" s="55"/>
      <c r="K2259" s="55"/>
      <c r="L2259" s="961"/>
      <c r="M2259" s="55"/>
      <c r="N2259" s="55"/>
      <c r="O2259" s="27" t="str">
        <f t="shared" si="793"/>
        <v>#N/A</v>
      </c>
      <c r="P2259" s="55"/>
      <c r="Q2259" s="55"/>
      <c r="R2259" s="55"/>
      <c r="S2259" s="55"/>
      <c r="T2259" s="55"/>
      <c r="U2259" s="55"/>
      <c r="V2259" s="30"/>
      <c r="W2259" s="30"/>
      <c r="X2259" s="58"/>
      <c r="Y2259" s="58"/>
      <c r="Z2259" s="692"/>
      <c r="AA2259" s="665"/>
      <c r="AB2259" s="55"/>
      <c r="AC2259" s="55"/>
      <c r="AD2259" s="355"/>
      <c r="AE2259" s="38"/>
      <c r="AF2259" s="355"/>
      <c r="AG2259" s="38"/>
      <c r="AH2259" s="55"/>
      <c r="AI2259" s="38"/>
      <c r="AJ2259" s="55"/>
      <c r="AK2259" s="38"/>
      <c r="AL2259" s="55"/>
      <c r="AM2259" s="38"/>
      <c r="AN2259" s="55"/>
      <c r="AO2259" s="38"/>
      <c r="AP2259" s="356"/>
      <c r="AQ2259" s="38"/>
      <c r="AR2259" s="55"/>
      <c r="AS2259" s="38"/>
      <c r="AT2259" s="55"/>
      <c r="AU2259" s="38"/>
      <c r="AV2259" s="55"/>
      <c r="AW2259" s="38"/>
      <c r="AX2259" s="55"/>
      <c r="AY2259" s="38"/>
      <c r="AZ2259" s="55"/>
      <c r="BA2259" s="38"/>
      <c r="BB2259" s="55"/>
      <c r="BC2259" s="38"/>
      <c r="BD2259" s="55"/>
      <c r="BE2259" s="38"/>
      <c r="BF2259" s="55"/>
    </row>
    <row r="2260">
      <c r="A2260" s="52"/>
      <c r="D2260" s="351"/>
      <c r="E2260" s="351"/>
      <c r="F2260" s="1949"/>
      <c r="G2260" s="353"/>
      <c r="H2260" s="353"/>
      <c r="I2260" s="55"/>
      <c r="J2260" s="55"/>
      <c r="K2260" s="55"/>
      <c r="L2260" s="961"/>
      <c r="M2260" s="55"/>
      <c r="N2260" s="55"/>
      <c r="O2260" s="27" t="str">
        <f t="shared" si="793"/>
        <v>#N/A</v>
      </c>
      <c r="P2260" s="55"/>
      <c r="Q2260" s="55"/>
      <c r="R2260" s="55"/>
      <c r="S2260" s="55"/>
      <c r="T2260" s="55"/>
      <c r="U2260" s="55"/>
      <c r="V2260" s="30"/>
      <c r="W2260" s="30"/>
      <c r="X2260" s="58"/>
      <c r="Y2260" s="58"/>
      <c r="Z2260" s="692"/>
      <c r="AA2260" s="665"/>
      <c r="AB2260" s="55"/>
      <c r="AC2260" s="55"/>
      <c r="AD2260" s="355"/>
      <c r="AE2260" s="38"/>
      <c r="AF2260" s="355"/>
      <c r="AG2260" s="38"/>
      <c r="AH2260" s="55"/>
      <c r="AI2260" s="38"/>
      <c r="AJ2260" s="55"/>
      <c r="AK2260" s="38"/>
      <c r="AL2260" s="55"/>
      <c r="AM2260" s="38"/>
      <c r="AN2260" s="55"/>
      <c r="AO2260" s="38"/>
      <c r="AP2260" s="356"/>
      <c r="AQ2260" s="38"/>
      <c r="AR2260" s="55"/>
      <c r="AS2260" s="38"/>
      <c r="AT2260" s="55"/>
      <c r="AU2260" s="38"/>
      <c r="AV2260" s="55"/>
      <c r="AW2260" s="38"/>
      <c r="AX2260" s="55"/>
      <c r="AY2260" s="38"/>
      <c r="AZ2260" s="55"/>
      <c r="BA2260" s="38"/>
      <c r="BB2260" s="55"/>
      <c r="BC2260" s="38"/>
      <c r="BD2260" s="55"/>
      <c r="BE2260" s="38"/>
      <c r="BF2260" s="55"/>
    </row>
    <row r="2261">
      <c r="A2261" s="52"/>
      <c r="D2261" s="351"/>
      <c r="E2261" s="351"/>
      <c r="F2261" s="1949"/>
      <c r="G2261" s="353"/>
      <c r="H2261" s="353"/>
      <c r="I2261" s="55"/>
      <c r="J2261" s="55"/>
      <c r="K2261" s="55"/>
      <c r="L2261" s="961"/>
      <c r="M2261" s="55"/>
      <c r="N2261" s="55"/>
      <c r="O2261" s="27" t="str">
        <f t="shared" si="793"/>
        <v>#N/A</v>
      </c>
      <c r="P2261" s="55"/>
      <c r="Q2261" s="55"/>
      <c r="R2261" s="55"/>
      <c r="S2261" s="55"/>
      <c r="T2261" s="55"/>
      <c r="U2261" s="55"/>
      <c r="V2261" s="30"/>
      <c r="W2261" s="30"/>
      <c r="X2261" s="58"/>
      <c r="Y2261" s="58"/>
      <c r="Z2261" s="692"/>
      <c r="AA2261" s="665"/>
      <c r="AB2261" s="55"/>
      <c r="AC2261" s="55"/>
      <c r="AD2261" s="355"/>
      <c r="AE2261" s="38"/>
      <c r="AF2261" s="355"/>
      <c r="AG2261" s="38"/>
      <c r="AH2261" s="55"/>
      <c r="AI2261" s="38"/>
      <c r="AJ2261" s="55"/>
      <c r="AK2261" s="38"/>
      <c r="AL2261" s="55"/>
      <c r="AM2261" s="38"/>
      <c r="AN2261" s="55"/>
      <c r="AO2261" s="38"/>
      <c r="AP2261" s="356"/>
      <c r="AQ2261" s="38"/>
      <c r="AR2261" s="55"/>
      <c r="AS2261" s="38"/>
      <c r="AT2261" s="55"/>
      <c r="AU2261" s="38"/>
      <c r="AV2261" s="55"/>
      <c r="AW2261" s="38"/>
      <c r="AX2261" s="55"/>
      <c r="AY2261" s="38"/>
      <c r="AZ2261" s="55"/>
      <c r="BA2261" s="38"/>
      <c r="BB2261" s="55"/>
      <c r="BC2261" s="38"/>
      <c r="BD2261" s="55"/>
      <c r="BE2261" s="38"/>
      <c r="BF2261" s="55"/>
    </row>
    <row r="2262">
      <c r="A2262" s="52"/>
      <c r="D2262" s="351"/>
      <c r="E2262" s="351"/>
      <c r="F2262" s="1949"/>
      <c r="G2262" s="353"/>
      <c r="H2262" s="353"/>
      <c r="I2262" s="55"/>
      <c r="J2262" s="55"/>
      <c r="K2262" s="55"/>
      <c r="L2262" s="961"/>
      <c r="M2262" s="55"/>
      <c r="N2262" s="55"/>
      <c r="O2262" s="27" t="str">
        <f t="shared" si="793"/>
        <v>#N/A</v>
      </c>
      <c r="P2262" s="55"/>
      <c r="Q2262" s="55"/>
      <c r="R2262" s="55"/>
      <c r="S2262" s="55"/>
      <c r="T2262" s="55"/>
      <c r="U2262" s="55"/>
      <c r="V2262" s="30"/>
      <c r="W2262" s="30"/>
      <c r="X2262" s="58"/>
      <c r="Y2262" s="58"/>
      <c r="Z2262" s="692"/>
      <c r="AA2262" s="665"/>
      <c r="AB2262" s="55"/>
      <c r="AC2262" s="55"/>
      <c r="AD2262" s="355"/>
      <c r="AE2262" s="38"/>
      <c r="AF2262" s="355"/>
      <c r="AG2262" s="38"/>
      <c r="AH2262" s="55"/>
      <c r="AI2262" s="38"/>
      <c r="AJ2262" s="55"/>
      <c r="AK2262" s="38"/>
      <c r="AL2262" s="55"/>
      <c r="AM2262" s="38"/>
      <c r="AN2262" s="55"/>
      <c r="AO2262" s="38"/>
      <c r="AP2262" s="356"/>
      <c r="AQ2262" s="38"/>
      <c r="AR2262" s="55"/>
      <c r="AS2262" s="38"/>
      <c r="AT2262" s="55"/>
      <c r="AU2262" s="38"/>
      <c r="AV2262" s="55"/>
      <c r="AW2262" s="38"/>
      <c r="AX2262" s="55"/>
      <c r="AY2262" s="38"/>
      <c r="AZ2262" s="55"/>
      <c r="BA2262" s="38"/>
      <c r="BB2262" s="55"/>
      <c r="BC2262" s="38"/>
      <c r="BD2262" s="55"/>
      <c r="BE2262" s="38"/>
      <c r="BF2262" s="55"/>
    </row>
    <row r="2263">
      <c r="A2263" s="52"/>
      <c r="D2263" s="351"/>
      <c r="E2263" s="351"/>
      <c r="F2263" s="1949"/>
      <c r="G2263" s="353"/>
      <c r="H2263" s="353"/>
      <c r="I2263" s="55"/>
      <c r="J2263" s="55"/>
      <c r="K2263" s="55"/>
      <c r="L2263" s="961"/>
      <c r="M2263" s="55"/>
      <c r="N2263" s="55"/>
      <c r="O2263" s="27" t="str">
        <f t="shared" si="793"/>
        <v>#N/A</v>
      </c>
      <c r="P2263" s="55"/>
      <c r="Q2263" s="55"/>
      <c r="R2263" s="55"/>
      <c r="S2263" s="55"/>
      <c r="T2263" s="55"/>
      <c r="U2263" s="55"/>
      <c r="V2263" s="30"/>
      <c r="W2263" s="30"/>
      <c r="X2263" s="58"/>
      <c r="Y2263" s="58"/>
      <c r="Z2263" s="692"/>
      <c r="AA2263" s="665"/>
      <c r="AB2263" s="55"/>
      <c r="AC2263" s="55"/>
      <c r="AD2263" s="355"/>
      <c r="AE2263" s="38"/>
      <c r="AF2263" s="355"/>
      <c r="AG2263" s="38"/>
      <c r="AH2263" s="55"/>
      <c r="AI2263" s="38"/>
      <c r="AJ2263" s="55"/>
      <c r="AK2263" s="38"/>
      <c r="AL2263" s="55"/>
      <c r="AM2263" s="38"/>
      <c r="AN2263" s="55"/>
      <c r="AO2263" s="38"/>
      <c r="AP2263" s="356"/>
      <c r="AQ2263" s="38"/>
      <c r="AR2263" s="55"/>
      <c r="AS2263" s="38"/>
      <c r="AT2263" s="55"/>
      <c r="AU2263" s="38"/>
      <c r="AV2263" s="55"/>
      <c r="AW2263" s="38"/>
      <c r="AX2263" s="55"/>
      <c r="AY2263" s="38"/>
      <c r="AZ2263" s="55"/>
      <c r="BA2263" s="38"/>
      <c r="BB2263" s="55"/>
      <c r="BC2263" s="38"/>
      <c r="BD2263" s="55"/>
      <c r="BE2263" s="38"/>
      <c r="BF2263" s="55"/>
    </row>
    <row r="2264">
      <c r="A2264" s="52"/>
      <c r="D2264" s="351"/>
      <c r="E2264" s="351"/>
      <c r="F2264" s="1949"/>
      <c r="G2264" s="353"/>
      <c r="H2264" s="353"/>
      <c r="I2264" s="55"/>
      <c r="J2264" s="55"/>
      <c r="K2264" s="55"/>
      <c r="L2264" s="961"/>
      <c r="M2264" s="55"/>
      <c r="N2264" s="55"/>
      <c r="O2264" s="27" t="str">
        <f t="shared" si="793"/>
        <v>#N/A</v>
      </c>
      <c r="P2264" s="55"/>
      <c r="Q2264" s="55"/>
      <c r="R2264" s="55"/>
      <c r="S2264" s="55"/>
      <c r="T2264" s="55"/>
      <c r="U2264" s="55"/>
      <c r="V2264" s="30"/>
      <c r="W2264" s="30"/>
      <c r="X2264" s="58"/>
      <c r="Y2264" s="58"/>
      <c r="Z2264" s="692"/>
      <c r="AA2264" s="665"/>
      <c r="AB2264" s="55"/>
      <c r="AC2264" s="55"/>
      <c r="AD2264" s="355"/>
      <c r="AE2264" s="38"/>
      <c r="AF2264" s="355"/>
      <c r="AG2264" s="38"/>
      <c r="AH2264" s="55"/>
      <c r="AI2264" s="38"/>
      <c r="AJ2264" s="55"/>
      <c r="AK2264" s="38"/>
      <c r="AL2264" s="55"/>
      <c r="AM2264" s="38"/>
      <c r="AN2264" s="55"/>
      <c r="AO2264" s="38"/>
      <c r="AP2264" s="356"/>
      <c r="AQ2264" s="38"/>
      <c r="AR2264" s="55"/>
      <c r="AS2264" s="38"/>
      <c r="AT2264" s="55"/>
      <c r="AU2264" s="38"/>
      <c r="AV2264" s="55"/>
      <c r="AW2264" s="38"/>
      <c r="AX2264" s="55"/>
      <c r="AY2264" s="38"/>
      <c r="AZ2264" s="55"/>
      <c r="BA2264" s="38"/>
      <c r="BB2264" s="55"/>
      <c r="BC2264" s="38"/>
      <c r="BD2264" s="55"/>
      <c r="BE2264" s="38"/>
      <c r="BF2264" s="55"/>
    </row>
    <row r="2265">
      <c r="A2265" s="52"/>
      <c r="D2265" s="351"/>
      <c r="E2265" s="351"/>
      <c r="F2265" s="1949"/>
      <c r="G2265" s="353"/>
      <c r="H2265" s="353"/>
      <c r="I2265" s="55"/>
      <c r="J2265" s="55"/>
      <c r="K2265" s="55"/>
      <c r="L2265" s="961"/>
      <c r="M2265" s="55"/>
      <c r="N2265" s="55"/>
      <c r="O2265" s="27" t="str">
        <f t="shared" si="793"/>
        <v>#N/A</v>
      </c>
      <c r="P2265" s="55"/>
      <c r="Q2265" s="55"/>
      <c r="R2265" s="55"/>
      <c r="S2265" s="55"/>
      <c r="T2265" s="55"/>
      <c r="U2265" s="55"/>
      <c r="V2265" s="30"/>
      <c r="W2265" s="30"/>
      <c r="X2265" s="58"/>
      <c r="Y2265" s="58"/>
      <c r="Z2265" s="692"/>
      <c r="AA2265" s="665"/>
      <c r="AB2265" s="55"/>
      <c r="AC2265" s="55"/>
      <c r="AD2265" s="355"/>
      <c r="AE2265" s="38"/>
      <c r="AF2265" s="355"/>
      <c r="AG2265" s="38"/>
      <c r="AH2265" s="55"/>
      <c r="AI2265" s="38"/>
      <c r="AJ2265" s="55"/>
      <c r="AK2265" s="38"/>
      <c r="AL2265" s="55"/>
      <c r="AM2265" s="38"/>
      <c r="AN2265" s="55"/>
      <c r="AO2265" s="38"/>
      <c r="AP2265" s="356"/>
      <c r="AQ2265" s="38"/>
      <c r="AR2265" s="55"/>
      <c r="AS2265" s="38"/>
      <c r="AT2265" s="55"/>
      <c r="AU2265" s="38"/>
      <c r="AV2265" s="55"/>
      <c r="AW2265" s="38"/>
      <c r="AX2265" s="55"/>
      <c r="AY2265" s="38"/>
      <c r="AZ2265" s="55"/>
      <c r="BA2265" s="38"/>
      <c r="BB2265" s="55"/>
      <c r="BC2265" s="38"/>
      <c r="BD2265" s="55"/>
      <c r="BE2265" s="38"/>
      <c r="BF2265" s="55"/>
    </row>
    <row r="2266">
      <c r="A2266" s="52"/>
      <c r="D2266" s="351"/>
      <c r="E2266" s="351"/>
      <c r="F2266" s="1949"/>
      <c r="G2266" s="353"/>
      <c r="H2266" s="353"/>
      <c r="I2266" s="55"/>
      <c r="J2266" s="55"/>
      <c r="K2266" s="55"/>
      <c r="L2266" s="961"/>
      <c r="M2266" s="55"/>
      <c r="N2266" s="55"/>
      <c r="O2266" s="27" t="str">
        <f t="shared" si="793"/>
        <v>#N/A</v>
      </c>
      <c r="P2266" s="55"/>
      <c r="Q2266" s="55"/>
      <c r="R2266" s="55"/>
      <c r="S2266" s="55"/>
      <c r="T2266" s="55"/>
      <c r="U2266" s="55"/>
      <c r="V2266" s="30"/>
      <c r="W2266" s="30"/>
      <c r="X2266" s="58"/>
      <c r="Y2266" s="58"/>
      <c r="Z2266" s="692"/>
      <c r="AA2266" s="665"/>
      <c r="AB2266" s="55"/>
      <c r="AC2266" s="55"/>
      <c r="AD2266" s="355"/>
      <c r="AE2266" s="38"/>
      <c r="AF2266" s="355"/>
      <c r="AG2266" s="38"/>
      <c r="AH2266" s="55"/>
      <c r="AI2266" s="38"/>
      <c r="AJ2266" s="55"/>
      <c r="AK2266" s="38"/>
      <c r="AL2266" s="55"/>
      <c r="AM2266" s="38"/>
      <c r="AN2266" s="55"/>
      <c r="AO2266" s="38"/>
      <c r="AP2266" s="356"/>
      <c r="AQ2266" s="38"/>
      <c r="AR2266" s="55"/>
      <c r="AS2266" s="38"/>
      <c r="AT2266" s="55"/>
      <c r="AU2266" s="38"/>
      <c r="AV2266" s="55"/>
      <c r="AW2266" s="38"/>
      <c r="AX2266" s="55"/>
      <c r="AY2266" s="38"/>
      <c r="AZ2266" s="55"/>
      <c r="BA2266" s="38"/>
      <c r="BB2266" s="55"/>
      <c r="BC2266" s="38"/>
      <c r="BD2266" s="55"/>
      <c r="BE2266" s="38"/>
      <c r="BF2266" s="55"/>
    </row>
    <row r="2267">
      <c r="A2267" s="52"/>
      <c r="D2267" s="351"/>
      <c r="E2267" s="351"/>
      <c r="F2267" s="1949"/>
      <c r="G2267" s="353"/>
      <c r="H2267" s="353"/>
      <c r="I2267" s="55"/>
      <c r="J2267" s="55"/>
      <c r="K2267" s="55"/>
      <c r="L2267" s="961"/>
      <c r="M2267" s="55"/>
      <c r="N2267" s="55"/>
      <c r="O2267" s="27" t="str">
        <f t="shared" si="793"/>
        <v>#N/A</v>
      </c>
      <c r="P2267" s="55"/>
      <c r="Q2267" s="55"/>
      <c r="R2267" s="55"/>
      <c r="S2267" s="55"/>
      <c r="T2267" s="55"/>
      <c r="U2267" s="55"/>
      <c r="V2267" s="30"/>
      <c r="W2267" s="30"/>
      <c r="X2267" s="58"/>
      <c r="Y2267" s="58"/>
      <c r="Z2267" s="692"/>
      <c r="AA2267" s="665"/>
      <c r="AB2267" s="55"/>
      <c r="AC2267" s="55"/>
      <c r="AD2267" s="355"/>
      <c r="AE2267" s="38"/>
      <c r="AF2267" s="355"/>
      <c r="AG2267" s="38"/>
      <c r="AH2267" s="55"/>
      <c r="AI2267" s="38"/>
      <c r="AJ2267" s="55"/>
      <c r="AK2267" s="38"/>
      <c r="AL2267" s="55"/>
      <c r="AM2267" s="38"/>
      <c r="AN2267" s="55"/>
      <c r="AO2267" s="38"/>
      <c r="AP2267" s="356"/>
      <c r="AQ2267" s="38"/>
      <c r="AR2267" s="55"/>
      <c r="AS2267" s="38"/>
      <c r="AT2267" s="55"/>
      <c r="AU2267" s="38"/>
      <c r="AV2267" s="55"/>
      <c r="AW2267" s="38"/>
      <c r="AX2267" s="55"/>
      <c r="AY2267" s="38"/>
      <c r="AZ2267" s="55"/>
      <c r="BA2267" s="38"/>
      <c r="BB2267" s="55"/>
      <c r="BC2267" s="38"/>
      <c r="BD2267" s="55"/>
      <c r="BE2267" s="38"/>
      <c r="BF2267" s="55"/>
    </row>
    <row r="2268">
      <c r="A2268" s="52"/>
      <c r="D2268" s="351"/>
      <c r="E2268" s="351"/>
      <c r="F2268" s="1949"/>
      <c r="G2268" s="353"/>
      <c r="H2268" s="353"/>
      <c r="I2268" s="55"/>
      <c r="J2268" s="55"/>
      <c r="K2268" s="55"/>
      <c r="L2268" s="961"/>
      <c r="M2268" s="55"/>
      <c r="N2268" s="55"/>
      <c r="O2268" s="27" t="str">
        <f t="shared" si="793"/>
        <v>#N/A</v>
      </c>
      <c r="P2268" s="55"/>
      <c r="Q2268" s="55"/>
      <c r="R2268" s="55"/>
      <c r="S2268" s="55"/>
      <c r="T2268" s="55"/>
      <c r="U2268" s="55"/>
      <c r="V2268" s="30"/>
      <c r="W2268" s="30"/>
      <c r="X2268" s="58"/>
      <c r="Y2268" s="58"/>
      <c r="Z2268" s="692"/>
      <c r="AA2268" s="665"/>
      <c r="AB2268" s="55"/>
      <c r="AC2268" s="55"/>
      <c r="AD2268" s="355"/>
      <c r="AE2268" s="38"/>
      <c r="AF2268" s="355"/>
      <c r="AG2268" s="38"/>
      <c r="AH2268" s="55"/>
      <c r="AI2268" s="38"/>
      <c r="AJ2268" s="55"/>
      <c r="AK2268" s="38"/>
      <c r="AL2268" s="55"/>
      <c r="AM2268" s="38"/>
      <c r="AN2268" s="55"/>
      <c r="AO2268" s="38"/>
      <c r="AP2268" s="356"/>
      <c r="AQ2268" s="38"/>
      <c r="AR2268" s="55"/>
      <c r="AS2268" s="38"/>
      <c r="AT2268" s="55"/>
      <c r="AU2268" s="38"/>
      <c r="AV2268" s="55"/>
      <c r="AW2268" s="38"/>
      <c r="AX2268" s="55"/>
      <c r="AY2268" s="38"/>
      <c r="AZ2268" s="55"/>
      <c r="BA2268" s="38"/>
      <c r="BB2268" s="55"/>
      <c r="BC2268" s="38"/>
      <c r="BD2268" s="55"/>
      <c r="BE2268" s="38"/>
      <c r="BF2268" s="55"/>
    </row>
    <row r="2269">
      <c r="A2269" s="52"/>
      <c r="D2269" s="351"/>
      <c r="E2269" s="351"/>
      <c r="F2269" s="1949"/>
      <c r="G2269" s="353"/>
      <c r="H2269" s="353"/>
      <c r="I2269" s="55"/>
      <c r="J2269" s="55"/>
      <c r="K2269" s="55"/>
      <c r="L2269" s="961"/>
      <c r="M2269" s="55"/>
      <c r="N2269" s="55"/>
      <c r="O2269" s="27" t="str">
        <f t="shared" si="793"/>
        <v>#N/A</v>
      </c>
      <c r="P2269" s="55"/>
      <c r="Q2269" s="55"/>
      <c r="R2269" s="55"/>
      <c r="S2269" s="55"/>
      <c r="T2269" s="55"/>
      <c r="U2269" s="55"/>
      <c r="V2269" s="30"/>
      <c r="W2269" s="30"/>
      <c r="X2269" s="58"/>
      <c r="Y2269" s="58"/>
      <c r="Z2269" s="692"/>
      <c r="AA2269" s="665"/>
      <c r="AB2269" s="55"/>
      <c r="AC2269" s="55"/>
      <c r="AD2269" s="355"/>
      <c r="AE2269" s="38"/>
      <c r="AF2269" s="355"/>
      <c r="AG2269" s="38"/>
      <c r="AH2269" s="55"/>
      <c r="AI2269" s="38"/>
      <c r="AJ2269" s="55"/>
      <c r="AK2269" s="38"/>
      <c r="AL2269" s="55"/>
      <c r="AM2269" s="38"/>
      <c r="AN2269" s="55"/>
      <c r="AO2269" s="38"/>
      <c r="AP2269" s="356"/>
      <c r="AQ2269" s="38"/>
      <c r="AR2269" s="55"/>
      <c r="AS2269" s="38"/>
      <c r="AT2269" s="55"/>
      <c r="AU2269" s="38"/>
      <c r="AV2269" s="55"/>
      <c r="AW2269" s="38"/>
      <c r="AX2269" s="55"/>
      <c r="AY2269" s="38"/>
      <c r="AZ2269" s="55"/>
      <c r="BA2269" s="38"/>
      <c r="BB2269" s="55"/>
      <c r="BC2269" s="38"/>
      <c r="BD2269" s="55"/>
      <c r="BE2269" s="38"/>
      <c r="BF2269" s="55"/>
    </row>
    <row r="2270">
      <c r="A2270" s="52"/>
      <c r="D2270" s="351"/>
      <c r="E2270" s="351"/>
      <c r="F2270" s="1949"/>
      <c r="G2270" s="353"/>
      <c r="H2270" s="353"/>
      <c r="I2270" s="55"/>
      <c r="J2270" s="55"/>
      <c r="K2270" s="55"/>
      <c r="L2270" s="961"/>
      <c r="M2270" s="55"/>
      <c r="N2270" s="55"/>
      <c r="O2270" s="27" t="str">
        <f t="shared" si="793"/>
        <v>#N/A</v>
      </c>
      <c r="P2270" s="55"/>
      <c r="Q2270" s="55"/>
      <c r="R2270" s="55"/>
      <c r="S2270" s="55"/>
      <c r="T2270" s="55"/>
      <c r="U2270" s="55"/>
      <c r="V2270" s="30"/>
      <c r="W2270" s="30"/>
      <c r="X2270" s="58"/>
      <c r="Y2270" s="58"/>
      <c r="Z2270" s="692"/>
      <c r="AA2270" s="665"/>
      <c r="AB2270" s="55"/>
      <c r="AC2270" s="55"/>
      <c r="AD2270" s="355"/>
      <c r="AE2270" s="38"/>
      <c r="AF2270" s="355"/>
      <c r="AG2270" s="38"/>
      <c r="AH2270" s="55"/>
      <c r="AI2270" s="38"/>
      <c r="AJ2270" s="55"/>
      <c r="AK2270" s="38"/>
      <c r="AL2270" s="55"/>
      <c r="AM2270" s="38"/>
      <c r="AN2270" s="55"/>
      <c r="AO2270" s="38"/>
      <c r="AP2270" s="356"/>
      <c r="AQ2270" s="38"/>
      <c r="AR2270" s="55"/>
      <c r="AS2270" s="38"/>
      <c r="AT2270" s="55"/>
      <c r="AU2270" s="38"/>
      <c r="AV2270" s="55"/>
      <c r="AW2270" s="38"/>
      <c r="AX2270" s="55"/>
      <c r="AY2270" s="38"/>
      <c r="AZ2270" s="55"/>
      <c r="BA2270" s="38"/>
      <c r="BB2270" s="55"/>
      <c r="BC2270" s="38"/>
      <c r="BD2270" s="55"/>
      <c r="BE2270" s="38"/>
      <c r="BF2270" s="55"/>
    </row>
    <row r="2271">
      <c r="A2271" s="52"/>
      <c r="D2271" s="351"/>
      <c r="E2271" s="351"/>
      <c r="F2271" s="1949"/>
      <c r="G2271" s="353"/>
      <c r="H2271" s="353"/>
      <c r="I2271" s="55"/>
      <c r="J2271" s="55"/>
      <c r="K2271" s="55"/>
      <c r="L2271" s="961"/>
      <c r="M2271" s="55"/>
      <c r="N2271" s="55"/>
      <c r="O2271" s="27" t="str">
        <f t="shared" si="793"/>
        <v>#N/A</v>
      </c>
      <c r="P2271" s="55"/>
      <c r="Q2271" s="55"/>
      <c r="R2271" s="55"/>
      <c r="S2271" s="55"/>
      <c r="T2271" s="55"/>
      <c r="U2271" s="55"/>
      <c r="V2271" s="30"/>
      <c r="W2271" s="30"/>
      <c r="X2271" s="58"/>
      <c r="Y2271" s="58"/>
      <c r="Z2271" s="692"/>
      <c r="AA2271" s="665"/>
      <c r="AB2271" s="55"/>
      <c r="AC2271" s="55"/>
      <c r="AD2271" s="355"/>
      <c r="AE2271" s="38"/>
      <c r="AF2271" s="355"/>
      <c r="AG2271" s="38"/>
      <c r="AH2271" s="55"/>
      <c r="AI2271" s="38"/>
      <c r="AJ2271" s="55"/>
      <c r="AK2271" s="38"/>
      <c r="AL2271" s="55"/>
      <c r="AM2271" s="38"/>
      <c r="AN2271" s="55"/>
      <c r="AO2271" s="38"/>
      <c r="AP2271" s="356"/>
      <c r="AQ2271" s="38"/>
      <c r="AR2271" s="55"/>
      <c r="AS2271" s="38"/>
      <c r="AT2271" s="55"/>
      <c r="AU2271" s="38"/>
      <c r="AV2271" s="55"/>
      <c r="AW2271" s="38"/>
      <c r="AX2271" s="55"/>
      <c r="AY2271" s="38"/>
      <c r="AZ2271" s="55"/>
      <c r="BA2271" s="38"/>
      <c r="BB2271" s="55"/>
      <c r="BC2271" s="38"/>
      <c r="BD2271" s="55"/>
      <c r="BE2271" s="38"/>
      <c r="BF2271" s="55"/>
    </row>
    <row r="2272">
      <c r="A2272" s="52"/>
      <c r="D2272" s="351"/>
      <c r="E2272" s="351"/>
      <c r="F2272" s="1949"/>
      <c r="G2272" s="353"/>
      <c r="H2272" s="353"/>
      <c r="I2272" s="55"/>
      <c r="J2272" s="55"/>
      <c r="K2272" s="55"/>
      <c r="L2272" s="961"/>
      <c r="M2272" s="55"/>
      <c r="N2272" s="55"/>
      <c r="O2272" s="27" t="str">
        <f t="shared" si="793"/>
        <v>#N/A</v>
      </c>
      <c r="P2272" s="55"/>
      <c r="Q2272" s="55"/>
      <c r="R2272" s="55"/>
      <c r="S2272" s="55"/>
      <c r="T2272" s="55"/>
      <c r="U2272" s="55"/>
      <c r="V2272" s="30"/>
      <c r="W2272" s="30"/>
      <c r="X2272" s="58"/>
      <c r="Y2272" s="58"/>
      <c r="Z2272" s="692"/>
      <c r="AA2272" s="665"/>
      <c r="AB2272" s="55"/>
      <c r="AC2272" s="55"/>
      <c r="AD2272" s="355"/>
      <c r="AE2272" s="38"/>
      <c r="AF2272" s="355"/>
      <c r="AG2272" s="38"/>
      <c r="AH2272" s="55"/>
      <c r="AI2272" s="38"/>
      <c r="AJ2272" s="55"/>
      <c r="AK2272" s="38"/>
      <c r="AL2272" s="55"/>
      <c r="AM2272" s="38"/>
      <c r="AN2272" s="55"/>
      <c r="AO2272" s="38"/>
      <c r="AP2272" s="356"/>
      <c r="AQ2272" s="38"/>
      <c r="AR2272" s="55"/>
      <c r="AS2272" s="38"/>
      <c r="AT2272" s="55"/>
      <c r="AU2272" s="38"/>
      <c r="AV2272" s="55"/>
      <c r="AW2272" s="38"/>
      <c r="AX2272" s="55"/>
      <c r="AY2272" s="38"/>
      <c r="AZ2272" s="55"/>
      <c r="BA2272" s="38"/>
      <c r="BB2272" s="55"/>
      <c r="BC2272" s="38"/>
      <c r="BD2272" s="55"/>
      <c r="BE2272" s="38"/>
      <c r="BF2272" s="55"/>
    </row>
    <row r="2273">
      <c r="A2273" s="52"/>
      <c r="D2273" s="351"/>
      <c r="E2273" s="351"/>
      <c r="F2273" s="1949"/>
      <c r="G2273" s="353"/>
      <c r="H2273" s="353"/>
      <c r="I2273" s="55"/>
      <c r="J2273" s="55"/>
      <c r="K2273" s="55"/>
      <c r="L2273" s="961"/>
      <c r="M2273" s="55"/>
      <c r="N2273" s="55"/>
      <c r="O2273" s="27" t="str">
        <f t="shared" si="793"/>
        <v>#N/A</v>
      </c>
      <c r="P2273" s="55"/>
      <c r="Q2273" s="55"/>
      <c r="R2273" s="55"/>
      <c r="S2273" s="55"/>
      <c r="T2273" s="55"/>
      <c r="U2273" s="55"/>
      <c r="V2273" s="30"/>
      <c r="W2273" s="30"/>
      <c r="X2273" s="58"/>
      <c r="Y2273" s="58"/>
      <c r="Z2273" s="692"/>
      <c r="AA2273" s="665"/>
      <c r="AB2273" s="55"/>
      <c r="AC2273" s="55"/>
      <c r="AD2273" s="355"/>
      <c r="AE2273" s="38"/>
      <c r="AF2273" s="355"/>
      <c r="AG2273" s="38"/>
      <c r="AH2273" s="55"/>
      <c r="AI2273" s="38"/>
      <c r="AJ2273" s="55"/>
      <c r="AK2273" s="38"/>
      <c r="AL2273" s="55"/>
      <c r="AM2273" s="38"/>
      <c r="AN2273" s="55"/>
      <c r="AO2273" s="38"/>
      <c r="AP2273" s="356"/>
      <c r="AQ2273" s="38"/>
      <c r="AR2273" s="55"/>
      <c r="AS2273" s="38"/>
      <c r="AT2273" s="55"/>
      <c r="AU2273" s="38"/>
      <c r="AV2273" s="55"/>
      <c r="AW2273" s="38"/>
      <c r="AX2273" s="55"/>
      <c r="AY2273" s="38"/>
      <c r="AZ2273" s="55"/>
      <c r="BA2273" s="38"/>
      <c r="BB2273" s="55"/>
      <c r="BC2273" s="38"/>
      <c r="BD2273" s="55"/>
      <c r="BE2273" s="38"/>
      <c r="BF2273" s="55"/>
    </row>
    <row r="2274">
      <c r="A2274" s="52"/>
      <c r="D2274" s="351"/>
      <c r="E2274" s="351"/>
      <c r="F2274" s="1949"/>
      <c r="G2274" s="353"/>
      <c r="H2274" s="353"/>
      <c r="I2274" s="55"/>
      <c r="J2274" s="55"/>
      <c r="K2274" s="55"/>
      <c r="L2274" s="961"/>
      <c r="M2274" s="55"/>
      <c r="N2274" s="55"/>
      <c r="O2274" s="27" t="str">
        <f t="shared" si="793"/>
        <v>#N/A</v>
      </c>
      <c r="P2274" s="55"/>
      <c r="Q2274" s="55"/>
      <c r="R2274" s="55"/>
      <c r="S2274" s="55"/>
      <c r="T2274" s="55"/>
      <c r="U2274" s="55"/>
      <c r="V2274" s="30"/>
      <c r="W2274" s="30"/>
      <c r="X2274" s="58"/>
      <c r="Y2274" s="58"/>
      <c r="Z2274" s="692"/>
      <c r="AA2274" s="665"/>
      <c r="AB2274" s="55"/>
      <c r="AC2274" s="55"/>
      <c r="AD2274" s="355"/>
      <c r="AE2274" s="38"/>
      <c r="AF2274" s="355"/>
      <c r="AG2274" s="38"/>
      <c r="AH2274" s="55"/>
      <c r="AI2274" s="38"/>
      <c r="AJ2274" s="55"/>
      <c r="AK2274" s="38"/>
      <c r="AL2274" s="55"/>
      <c r="AM2274" s="38"/>
      <c r="AN2274" s="55"/>
      <c r="AO2274" s="38"/>
      <c r="AP2274" s="356"/>
      <c r="AQ2274" s="38"/>
      <c r="AR2274" s="55"/>
      <c r="AS2274" s="38"/>
      <c r="AT2274" s="55"/>
      <c r="AU2274" s="38"/>
      <c r="AV2274" s="55"/>
      <c r="AW2274" s="38"/>
      <c r="AX2274" s="55"/>
      <c r="AY2274" s="38"/>
      <c r="AZ2274" s="55"/>
      <c r="BA2274" s="38"/>
      <c r="BB2274" s="55"/>
      <c r="BC2274" s="38"/>
      <c r="BD2274" s="55"/>
      <c r="BE2274" s="38"/>
      <c r="BF2274" s="55"/>
    </row>
    <row r="2275">
      <c r="A2275" s="52"/>
      <c r="D2275" s="351"/>
      <c r="E2275" s="351"/>
      <c r="F2275" s="1949"/>
      <c r="G2275" s="353"/>
      <c r="H2275" s="353"/>
      <c r="I2275" s="55"/>
      <c r="J2275" s="55"/>
      <c r="K2275" s="55"/>
      <c r="L2275" s="961"/>
      <c r="M2275" s="55"/>
      <c r="N2275" s="55"/>
      <c r="O2275" s="27" t="str">
        <f t="shared" si="793"/>
        <v>#N/A</v>
      </c>
      <c r="P2275" s="55"/>
      <c r="Q2275" s="55"/>
      <c r="R2275" s="55"/>
      <c r="S2275" s="55"/>
      <c r="T2275" s="55"/>
      <c r="U2275" s="55"/>
      <c r="V2275" s="30"/>
      <c r="W2275" s="30"/>
      <c r="X2275" s="58"/>
      <c r="Y2275" s="58"/>
      <c r="Z2275" s="692"/>
      <c r="AA2275" s="665"/>
      <c r="AB2275" s="55"/>
      <c r="AC2275" s="55"/>
      <c r="AD2275" s="355"/>
      <c r="AE2275" s="38"/>
      <c r="AF2275" s="355"/>
      <c r="AG2275" s="38"/>
      <c r="AH2275" s="55"/>
      <c r="AI2275" s="38"/>
      <c r="AJ2275" s="55"/>
      <c r="AK2275" s="38"/>
      <c r="AL2275" s="55"/>
      <c r="AM2275" s="38"/>
      <c r="AN2275" s="55"/>
      <c r="AO2275" s="38"/>
      <c r="AP2275" s="356"/>
      <c r="AQ2275" s="38"/>
      <c r="AR2275" s="55"/>
      <c r="AS2275" s="38"/>
      <c r="AT2275" s="55"/>
      <c r="AU2275" s="38"/>
      <c r="AV2275" s="55"/>
      <c r="AW2275" s="38"/>
      <c r="AX2275" s="55"/>
      <c r="AY2275" s="38"/>
      <c r="AZ2275" s="55"/>
      <c r="BA2275" s="38"/>
      <c r="BB2275" s="55"/>
      <c r="BC2275" s="38"/>
      <c r="BD2275" s="55"/>
      <c r="BE2275" s="38"/>
      <c r="BF2275" s="55"/>
    </row>
    <row r="2276">
      <c r="A2276" s="52"/>
      <c r="D2276" s="351"/>
      <c r="E2276" s="351"/>
      <c r="F2276" s="1949"/>
      <c r="G2276" s="353"/>
      <c r="H2276" s="353"/>
      <c r="I2276" s="55"/>
      <c r="J2276" s="55"/>
      <c r="K2276" s="55"/>
      <c r="L2276" s="961"/>
      <c r="M2276" s="55"/>
      <c r="N2276" s="55"/>
      <c r="O2276" s="27" t="str">
        <f t="shared" si="793"/>
        <v>#N/A</v>
      </c>
      <c r="P2276" s="55"/>
      <c r="Q2276" s="55"/>
      <c r="R2276" s="55"/>
      <c r="S2276" s="55"/>
      <c r="T2276" s="55"/>
      <c r="U2276" s="55"/>
      <c r="V2276" s="30"/>
      <c r="W2276" s="30"/>
      <c r="X2276" s="58"/>
      <c r="Y2276" s="58"/>
      <c r="Z2276" s="692"/>
      <c r="AA2276" s="665"/>
      <c r="AB2276" s="55"/>
      <c r="AC2276" s="55"/>
      <c r="AD2276" s="355"/>
      <c r="AE2276" s="38"/>
      <c r="AF2276" s="355"/>
      <c r="AG2276" s="38"/>
      <c r="AH2276" s="55"/>
      <c r="AI2276" s="38"/>
      <c r="AJ2276" s="55"/>
      <c r="AK2276" s="38"/>
      <c r="AL2276" s="55"/>
      <c r="AM2276" s="38"/>
      <c r="AN2276" s="55"/>
      <c r="AO2276" s="38"/>
      <c r="AP2276" s="356"/>
      <c r="AQ2276" s="38"/>
      <c r="AR2276" s="55"/>
      <c r="AS2276" s="38"/>
      <c r="AT2276" s="55"/>
      <c r="AU2276" s="38"/>
      <c r="AV2276" s="55"/>
      <c r="AW2276" s="38"/>
      <c r="AX2276" s="55"/>
      <c r="AY2276" s="38"/>
      <c r="AZ2276" s="55"/>
      <c r="BA2276" s="38"/>
      <c r="BB2276" s="55"/>
      <c r="BC2276" s="38"/>
      <c r="BD2276" s="55"/>
      <c r="BE2276" s="38"/>
      <c r="BF2276" s="55"/>
    </row>
    <row r="2277">
      <c r="A2277" s="52"/>
      <c r="D2277" s="351"/>
      <c r="E2277" s="351"/>
      <c r="F2277" s="1949"/>
      <c r="G2277" s="353"/>
      <c r="H2277" s="353"/>
      <c r="I2277" s="55"/>
      <c r="J2277" s="55"/>
      <c r="K2277" s="55"/>
      <c r="L2277" s="961"/>
      <c r="M2277" s="55"/>
      <c r="N2277" s="55"/>
      <c r="O2277" s="27" t="str">
        <f t="shared" si="793"/>
        <v>#N/A</v>
      </c>
      <c r="P2277" s="55"/>
      <c r="Q2277" s="55"/>
      <c r="R2277" s="55"/>
      <c r="S2277" s="55"/>
      <c r="T2277" s="55"/>
      <c r="U2277" s="55"/>
      <c r="V2277" s="30"/>
      <c r="W2277" s="30"/>
      <c r="X2277" s="58"/>
      <c r="Y2277" s="58"/>
      <c r="Z2277" s="692"/>
      <c r="AA2277" s="665"/>
      <c r="AB2277" s="55"/>
      <c r="AC2277" s="55"/>
      <c r="AD2277" s="355"/>
      <c r="AE2277" s="38"/>
      <c r="AF2277" s="355"/>
      <c r="AG2277" s="38"/>
      <c r="AH2277" s="55"/>
      <c r="AI2277" s="38"/>
      <c r="AJ2277" s="55"/>
      <c r="AK2277" s="38"/>
      <c r="AL2277" s="55"/>
      <c r="AM2277" s="38"/>
      <c r="AN2277" s="55"/>
      <c r="AO2277" s="38"/>
      <c r="AP2277" s="356"/>
      <c r="AQ2277" s="38"/>
      <c r="AR2277" s="55"/>
      <c r="AS2277" s="38"/>
      <c r="AT2277" s="55"/>
      <c r="AU2277" s="38"/>
      <c r="AV2277" s="55"/>
      <c r="AW2277" s="38"/>
      <c r="AX2277" s="55"/>
      <c r="AY2277" s="38"/>
      <c r="AZ2277" s="55"/>
      <c r="BA2277" s="38"/>
      <c r="BB2277" s="55"/>
      <c r="BC2277" s="38"/>
      <c r="BD2277" s="55"/>
      <c r="BE2277" s="38"/>
      <c r="BF2277" s="55"/>
    </row>
    <row r="2278">
      <c r="A2278" s="52"/>
      <c r="D2278" s="351"/>
      <c r="E2278" s="351"/>
      <c r="F2278" s="1949"/>
      <c r="G2278" s="353"/>
      <c r="H2278" s="353"/>
      <c r="I2278" s="55"/>
      <c r="J2278" s="55"/>
      <c r="K2278" s="55"/>
      <c r="L2278" s="961"/>
      <c r="M2278" s="55"/>
      <c r="N2278" s="55"/>
      <c r="O2278" s="27" t="str">
        <f t="shared" si="793"/>
        <v>#N/A</v>
      </c>
      <c r="P2278" s="55"/>
      <c r="Q2278" s="55"/>
      <c r="R2278" s="55"/>
      <c r="S2278" s="55"/>
      <c r="T2278" s="55"/>
      <c r="U2278" s="55"/>
      <c r="V2278" s="30"/>
      <c r="W2278" s="30"/>
      <c r="X2278" s="58"/>
      <c r="Y2278" s="58"/>
      <c r="Z2278" s="692"/>
      <c r="AA2278" s="665"/>
      <c r="AB2278" s="55"/>
      <c r="AC2278" s="55"/>
      <c r="AD2278" s="355"/>
      <c r="AE2278" s="38"/>
      <c r="AF2278" s="355"/>
      <c r="AG2278" s="38"/>
      <c r="AH2278" s="55"/>
      <c r="AI2278" s="38"/>
      <c r="AJ2278" s="55"/>
      <c r="AK2278" s="38"/>
      <c r="AL2278" s="55"/>
      <c r="AM2278" s="38"/>
      <c r="AN2278" s="55"/>
      <c r="AO2278" s="38"/>
      <c r="AP2278" s="356"/>
      <c r="AQ2278" s="38"/>
      <c r="AR2278" s="55"/>
      <c r="AS2278" s="38"/>
      <c r="AT2278" s="55"/>
      <c r="AU2278" s="38"/>
      <c r="AV2278" s="55"/>
      <c r="AW2278" s="38"/>
      <c r="AX2278" s="55"/>
      <c r="AY2278" s="38"/>
      <c r="AZ2278" s="55"/>
      <c r="BA2278" s="38"/>
      <c r="BB2278" s="55"/>
      <c r="BC2278" s="38"/>
      <c r="BD2278" s="55"/>
      <c r="BE2278" s="38"/>
      <c r="BF2278" s="55"/>
    </row>
    <row r="2279">
      <c r="A2279" s="52"/>
      <c r="D2279" s="351"/>
      <c r="E2279" s="351"/>
      <c r="F2279" s="1949"/>
      <c r="G2279" s="353"/>
      <c r="H2279" s="353"/>
      <c r="I2279" s="55"/>
      <c r="J2279" s="55"/>
      <c r="K2279" s="55"/>
      <c r="L2279" s="961"/>
      <c r="M2279" s="55"/>
      <c r="N2279" s="55"/>
      <c r="O2279" s="27" t="str">
        <f t="shared" si="793"/>
        <v>#N/A</v>
      </c>
      <c r="P2279" s="55"/>
      <c r="Q2279" s="55"/>
      <c r="R2279" s="55"/>
      <c r="S2279" s="55"/>
      <c r="T2279" s="55"/>
      <c r="U2279" s="55"/>
      <c r="V2279" s="30"/>
      <c r="W2279" s="30"/>
      <c r="X2279" s="58"/>
      <c r="Y2279" s="58"/>
      <c r="Z2279" s="692"/>
      <c r="AA2279" s="665"/>
      <c r="AB2279" s="55"/>
      <c r="AC2279" s="55"/>
      <c r="AD2279" s="355"/>
      <c r="AE2279" s="38"/>
      <c r="AF2279" s="355"/>
      <c r="AG2279" s="38"/>
      <c r="AH2279" s="55"/>
      <c r="AI2279" s="38"/>
      <c r="AJ2279" s="55"/>
      <c r="AK2279" s="38"/>
      <c r="AL2279" s="55"/>
      <c r="AM2279" s="38"/>
      <c r="AN2279" s="55"/>
      <c r="AO2279" s="38"/>
      <c r="AP2279" s="356"/>
      <c r="AQ2279" s="38"/>
      <c r="AR2279" s="55"/>
      <c r="AS2279" s="38"/>
      <c r="AT2279" s="55"/>
      <c r="AU2279" s="38"/>
      <c r="AV2279" s="55"/>
      <c r="AW2279" s="38"/>
      <c r="AX2279" s="55"/>
      <c r="AY2279" s="38"/>
      <c r="AZ2279" s="55"/>
      <c r="BA2279" s="38"/>
      <c r="BB2279" s="55"/>
      <c r="BC2279" s="38"/>
      <c r="BD2279" s="55"/>
      <c r="BE2279" s="38"/>
      <c r="BF2279" s="55"/>
    </row>
    <row r="2280">
      <c r="A2280" s="52"/>
      <c r="D2280" s="351"/>
      <c r="E2280" s="351"/>
      <c r="F2280" s="1949"/>
      <c r="G2280" s="353"/>
      <c r="H2280" s="353"/>
      <c r="I2280" s="55"/>
      <c r="J2280" s="55"/>
      <c r="K2280" s="55"/>
      <c r="L2280" s="961"/>
      <c r="M2280" s="55"/>
      <c r="N2280" s="55"/>
      <c r="O2280" s="27" t="str">
        <f t="shared" si="793"/>
        <v>#N/A</v>
      </c>
      <c r="P2280" s="55"/>
      <c r="Q2280" s="55"/>
      <c r="R2280" s="55"/>
      <c r="S2280" s="55"/>
      <c r="T2280" s="55"/>
      <c r="U2280" s="55"/>
      <c r="V2280" s="30"/>
      <c r="W2280" s="30"/>
      <c r="X2280" s="58"/>
      <c r="Y2280" s="58"/>
      <c r="Z2280" s="692"/>
      <c r="AA2280" s="665"/>
      <c r="AB2280" s="55"/>
      <c r="AC2280" s="55"/>
      <c r="AD2280" s="355"/>
      <c r="AE2280" s="38"/>
      <c r="AF2280" s="355"/>
      <c r="AG2280" s="38"/>
      <c r="AH2280" s="55"/>
      <c r="AI2280" s="38"/>
      <c r="AJ2280" s="55"/>
      <c r="AK2280" s="38"/>
      <c r="AL2280" s="55"/>
      <c r="AM2280" s="38"/>
      <c r="AN2280" s="55"/>
      <c r="AO2280" s="38"/>
      <c r="AP2280" s="356"/>
      <c r="AQ2280" s="38"/>
      <c r="AR2280" s="55"/>
      <c r="AS2280" s="38"/>
      <c r="AT2280" s="55"/>
      <c r="AU2280" s="38"/>
      <c r="AV2280" s="55"/>
      <c r="AW2280" s="38"/>
      <c r="AX2280" s="55"/>
      <c r="AY2280" s="38"/>
      <c r="AZ2280" s="55"/>
      <c r="BA2280" s="38"/>
      <c r="BB2280" s="55"/>
      <c r="BC2280" s="38"/>
      <c r="BD2280" s="55"/>
      <c r="BE2280" s="38"/>
      <c r="BF2280" s="55"/>
    </row>
    <row r="2281">
      <c r="A2281" s="52"/>
      <c r="D2281" s="351"/>
      <c r="E2281" s="351"/>
      <c r="F2281" s="1949"/>
      <c r="G2281" s="353"/>
      <c r="H2281" s="353"/>
      <c r="I2281" s="55"/>
      <c r="J2281" s="55"/>
      <c r="K2281" s="55"/>
      <c r="L2281" s="961"/>
      <c r="M2281" s="55"/>
      <c r="N2281" s="55"/>
      <c r="O2281" s="27" t="str">
        <f t="shared" si="793"/>
        <v>#N/A</v>
      </c>
      <c r="P2281" s="55"/>
      <c r="Q2281" s="55"/>
      <c r="R2281" s="55"/>
      <c r="S2281" s="55"/>
      <c r="T2281" s="55"/>
      <c r="U2281" s="55"/>
      <c r="V2281" s="30"/>
      <c r="W2281" s="30"/>
      <c r="X2281" s="58"/>
      <c r="Y2281" s="58"/>
      <c r="Z2281" s="692"/>
      <c r="AA2281" s="665"/>
      <c r="AB2281" s="55"/>
      <c r="AC2281" s="55"/>
      <c r="AD2281" s="355"/>
      <c r="AE2281" s="38"/>
      <c r="AF2281" s="355"/>
      <c r="AG2281" s="38"/>
      <c r="AH2281" s="55"/>
      <c r="AI2281" s="38"/>
      <c r="AJ2281" s="55"/>
      <c r="AK2281" s="38"/>
      <c r="AL2281" s="55"/>
      <c r="AM2281" s="38"/>
      <c r="AN2281" s="55"/>
      <c r="AO2281" s="38"/>
      <c r="AP2281" s="356"/>
      <c r="AQ2281" s="38"/>
      <c r="AR2281" s="55"/>
      <c r="AS2281" s="38"/>
      <c r="AT2281" s="55"/>
      <c r="AU2281" s="38"/>
      <c r="AV2281" s="55"/>
      <c r="AW2281" s="38"/>
      <c r="AX2281" s="55"/>
      <c r="AY2281" s="38"/>
      <c r="AZ2281" s="55"/>
      <c r="BA2281" s="38"/>
      <c r="BB2281" s="55"/>
      <c r="BC2281" s="38"/>
      <c r="BD2281" s="55"/>
      <c r="BE2281" s="38"/>
      <c r="BF2281" s="55"/>
    </row>
    <row r="2282">
      <c r="A2282" s="52"/>
      <c r="D2282" s="351"/>
      <c r="E2282" s="351"/>
      <c r="F2282" s="1949"/>
      <c r="G2282" s="353"/>
      <c r="H2282" s="353"/>
      <c r="I2282" s="55"/>
      <c r="J2282" s="55"/>
      <c r="K2282" s="55"/>
      <c r="L2282" s="961"/>
      <c r="M2282" s="55"/>
      <c r="N2282" s="55"/>
      <c r="O2282" s="27" t="str">
        <f t="shared" si="793"/>
        <v>#N/A</v>
      </c>
      <c r="P2282" s="55"/>
      <c r="Q2282" s="55"/>
      <c r="R2282" s="55"/>
      <c r="S2282" s="55"/>
      <c r="T2282" s="55"/>
      <c r="U2282" s="55"/>
      <c r="V2282" s="30"/>
      <c r="W2282" s="30"/>
      <c r="X2282" s="58"/>
      <c r="Y2282" s="58"/>
      <c r="Z2282" s="692"/>
      <c r="AA2282" s="665"/>
      <c r="AB2282" s="55"/>
      <c r="AC2282" s="55"/>
      <c r="AD2282" s="355"/>
      <c r="AE2282" s="38"/>
      <c r="AF2282" s="355"/>
      <c r="AG2282" s="38"/>
      <c r="AH2282" s="55"/>
      <c r="AI2282" s="38"/>
      <c r="AJ2282" s="55"/>
      <c r="AK2282" s="38"/>
      <c r="AL2282" s="55"/>
      <c r="AM2282" s="38"/>
      <c r="AN2282" s="55"/>
      <c r="AO2282" s="38"/>
      <c r="AP2282" s="356"/>
      <c r="AQ2282" s="38"/>
      <c r="AR2282" s="55"/>
      <c r="AS2282" s="38"/>
      <c r="AT2282" s="55"/>
      <c r="AU2282" s="38"/>
      <c r="AV2282" s="55"/>
      <c r="AW2282" s="38"/>
      <c r="AX2282" s="55"/>
      <c r="AY2282" s="38"/>
      <c r="AZ2282" s="55"/>
      <c r="BA2282" s="38"/>
      <c r="BB2282" s="55"/>
      <c r="BC2282" s="38"/>
      <c r="BD2282" s="55"/>
      <c r="BE2282" s="38"/>
      <c r="BF2282" s="55"/>
    </row>
    <row r="2283">
      <c r="A2283" s="52"/>
      <c r="D2283" s="351"/>
      <c r="E2283" s="351"/>
      <c r="F2283" s="1949"/>
      <c r="G2283" s="353"/>
      <c r="H2283" s="353"/>
      <c r="I2283" s="55"/>
      <c r="J2283" s="55"/>
      <c r="K2283" s="55"/>
      <c r="L2283" s="961"/>
      <c r="M2283" s="55"/>
      <c r="N2283" s="55"/>
      <c r="O2283" s="27" t="str">
        <f t="shared" si="793"/>
        <v>#N/A</v>
      </c>
      <c r="P2283" s="55"/>
      <c r="Q2283" s="55"/>
      <c r="R2283" s="55"/>
      <c r="S2283" s="55"/>
      <c r="T2283" s="55"/>
      <c r="U2283" s="55"/>
      <c r="V2283" s="30"/>
      <c r="W2283" s="30"/>
      <c r="X2283" s="58"/>
      <c r="Y2283" s="58"/>
      <c r="Z2283" s="692"/>
      <c r="AA2283" s="665"/>
      <c r="AB2283" s="55"/>
      <c r="AC2283" s="55"/>
      <c r="AD2283" s="355"/>
      <c r="AE2283" s="38"/>
      <c r="AF2283" s="355"/>
      <c r="AG2283" s="38"/>
      <c r="AH2283" s="55"/>
      <c r="AI2283" s="38"/>
      <c r="AJ2283" s="55"/>
      <c r="AK2283" s="38"/>
      <c r="AL2283" s="55"/>
      <c r="AM2283" s="38"/>
      <c r="AN2283" s="55"/>
      <c r="AO2283" s="38"/>
      <c r="AP2283" s="356"/>
      <c r="AQ2283" s="38"/>
      <c r="AR2283" s="55"/>
      <c r="AS2283" s="38"/>
      <c r="AT2283" s="55"/>
      <c r="AU2283" s="38"/>
      <c r="AV2283" s="55"/>
      <c r="AW2283" s="38"/>
      <c r="AX2283" s="55"/>
      <c r="AY2283" s="38"/>
      <c r="AZ2283" s="55"/>
      <c r="BA2283" s="38"/>
      <c r="BB2283" s="55"/>
      <c r="BC2283" s="38"/>
      <c r="BD2283" s="55"/>
      <c r="BE2283" s="38"/>
      <c r="BF2283" s="55"/>
    </row>
    <row r="2284">
      <c r="A2284" s="52"/>
      <c r="D2284" s="351"/>
      <c r="E2284" s="351"/>
      <c r="F2284" s="1949"/>
      <c r="G2284" s="353"/>
      <c r="H2284" s="353"/>
      <c r="I2284" s="55"/>
      <c r="J2284" s="55"/>
      <c r="K2284" s="55"/>
      <c r="L2284" s="961"/>
      <c r="M2284" s="55"/>
      <c r="N2284" s="55"/>
      <c r="O2284" s="27" t="str">
        <f t="shared" si="793"/>
        <v>#N/A</v>
      </c>
      <c r="P2284" s="55"/>
      <c r="Q2284" s="55"/>
      <c r="R2284" s="55"/>
      <c r="S2284" s="55"/>
      <c r="T2284" s="55"/>
      <c r="U2284" s="55"/>
      <c r="V2284" s="30"/>
      <c r="W2284" s="30"/>
      <c r="X2284" s="58"/>
      <c r="Y2284" s="58"/>
      <c r="Z2284" s="692"/>
      <c r="AA2284" s="665"/>
      <c r="AB2284" s="55"/>
      <c r="AC2284" s="55"/>
      <c r="AD2284" s="355"/>
      <c r="AE2284" s="38"/>
      <c r="AF2284" s="355"/>
      <c r="AG2284" s="38"/>
      <c r="AH2284" s="55"/>
      <c r="AI2284" s="38"/>
      <c r="AJ2284" s="55"/>
      <c r="AK2284" s="38"/>
      <c r="AL2284" s="55"/>
      <c r="AM2284" s="38"/>
      <c r="AN2284" s="55"/>
      <c r="AO2284" s="38"/>
      <c r="AP2284" s="356"/>
      <c r="AQ2284" s="38"/>
      <c r="AR2284" s="55"/>
      <c r="AS2284" s="38"/>
      <c r="AT2284" s="55"/>
      <c r="AU2284" s="38"/>
      <c r="AV2284" s="55"/>
      <c r="AW2284" s="38"/>
      <c r="AX2284" s="55"/>
      <c r="AY2284" s="38"/>
      <c r="AZ2284" s="55"/>
      <c r="BA2284" s="38"/>
      <c r="BB2284" s="55"/>
      <c r="BC2284" s="38"/>
      <c r="BD2284" s="55"/>
      <c r="BE2284" s="38"/>
      <c r="BF2284" s="55"/>
    </row>
    <row r="2285">
      <c r="A2285" s="52"/>
      <c r="D2285" s="351"/>
      <c r="E2285" s="351"/>
      <c r="F2285" s="1949"/>
      <c r="G2285" s="353"/>
      <c r="H2285" s="353"/>
      <c r="I2285" s="55"/>
      <c r="J2285" s="55"/>
      <c r="K2285" s="55"/>
      <c r="L2285" s="961"/>
      <c r="M2285" s="55"/>
      <c r="N2285" s="55"/>
      <c r="O2285" s="27" t="str">
        <f t="shared" si="793"/>
        <v>#N/A</v>
      </c>
      <c r="P2285" s="55"/>
      <c r="Q2285" s="55"/>
      <c r="R2285" s="55"/>
      <c r="S2285" s="55"/>
      <c r="T2285" s="55"/>
      <c r="U2285" s="55"/>
      <c r="V2285" s="30"/>
      <c r="W2285" s="30"/>
      <c r="X2285" s="58"/>
      <c r="Y2285" s="58"/>
      <c r="Z2285" s="692"/>
      <c r="AA2285" s="665"/>
      <c r="AB2285" s="55"/>
      <c r="AC2285" s="55"/>
      <c r="AD2285" s="355"/>
      <c r="AE2285" s="38"/>
      <c r="AF2285" s="355"/>
      <c r="AG2285" s="38"/>
      <c r="AH2285" s="55"/>
      <c r="AI2285" s="38"/>
      <c r="AJ2285" s="55"/>
      <c r="AK2285" s="38"/>
      <c r="AL2285" s="55"/>
      <c r="AM2285" s="38"/>
      <c r="AN2285" s="55"/>
      <c r="AO2285" s="38"/>
      <c r="AP2285" s="356"/>
      <c r="AQ2285" s="38"/>
      <c r="AR2285" s="55"/>
      <c r="AS2285" s="38"/>
      <c r="AT2285" s="55"/>
      <c r="AU2285" s="38"/>
      <c r="AV2285" s="55"/>
      <c r="AW2285" s="38"/>
      <c r="AX2285" s="55"/>
      <c r="AY2285" s="38"/>
      <c r="AZ2285" s="55"/>
      <c r="BA2285" s="38"/>
      <c r="BB2285" s="55"/>
      <c r="BC2285" s="38"/>
      <c r="BD2285" s="55"/>
      <c r="BE2285" s="38"/>
      <c r="BF2285" s="55"/>
    </row>
    <row r="2286">
      <c r="A2286" s="52"/>
      <c r="D2286" s="351"/>
      <c r="E2286" s="351"/>
      <c r="F2286" s="1949"/>
      <c r="G2286" s="353"/>
      <c r="H2286" s="353"/>
      <c r="I2286" s="55"/>
      <c r="J2286" s="55"/>
      <c r="K2286" s="55"/>
      <c r="L2286" s="961"/>
      <c r="M2286" s="55"/>
      <c r="N2286" s="55"/>
      <c r="O2286" s="27" t="str">
        <f t="shared" si="793"/>
        <v>#N/A</v>
      </c>
      <c r="P2286" s="55"/>
      <c r="Q2286" s="55"/>
      <c r="R2286" s="55"/>
      <c r="S2286" s="55"/>
      <c r="T2286" s="55"/>
      <c r="U2286" s="55"/>
      <c r="V2286" s="30"/>
      <c r="W2286" s="30"/>
      <c r="X2286" s="58"/>
      <c r="Y2286" s="58"/>
      <c r="Z2286" s="692"/>
      <c r="AA2286" s="665"/>
      <c r="AB2286" s="55"/>
      <c r="AC2286" s="55"/>
      <c r="AD2286" s="355"/>
      <c r="AE2286" s="38"/>
      <c r="AF2286" s="355"/>
      <c r="AG2286" s="38"/>
      <c r="AH2286" s="55"/>
      <c r="AI2286" s="38"/>
      <c r="AJ2286" s="55"/>
      <c r="AK2286" s="38"/>
      <c r="AL2286" s="55"/>
      <c r="AM2286" s="38"/>
      <c r="AN2286" s="55"/>
      <c r="AO2286" s="38"/>
      <c r="AP2286" s="356"/>
      <c r="AQ2286" s="38"/>
      <c r="AR2286" s="55"/>
      <c r="AS2286" s="38"/>
      <c r="AT2286" s="55"/>
      <c r="AU2286" s="38"/>
      <c r="AV2286" s="55"/>
      <c r="AW2286" s="38"/>
      <c r="AX2286" s="55"/>
      <c r="AY2286" s="38"/>
      <c r="AZ2286" s="55"/>
      <c r="BA2286" s="38"/>
      <c r="BB2286" s="55"/>
      <c r="BC2286" s="38"/>
      <c r="BD2286" s="55"/>
      <c r="BE2286" s="38"/>
      <c r="BF2286" s="55"/>
    </row>
    <row r="2287">
      <c r="A2287" s="52"/>
      <c r="D2287" s="351"/>
      <c r="E2287" s="351"/>
      <c r="F2287" s="1949"/>
      <c r="G2287" s="353"/>
      <c r="H2287" s="353"/>
      <c r="I2287" s="55"/>
      <c r="J2287" s="55"/>
      <c r="K2287" s="55"/>
      <c r="L2287" s="961"/>
      <c r="M2287" s="55"/>
      <c r="N2287" s="55"/>
      <c r="O2287" s="27" t="str">
        <f t="shared" si="793"/>
        <v>#N/A</v>
      </c>
      <c r="P2287" s="55"/>
      <c r="Q2287" s="55"/>
      <c r="R2287" s="55"/>
      <c r="S2287" s="55"/>
      <c r="T2287" s="55"/>
      <c r="U2287" s="55"/>
      <c r="V2287" s="30"/>
      <c r="W2287" s="30"/>
      <c r="X2287" s="58"/>
      <c r="Y2287" s="58"/>
      <c r="Z2287" s="692"/>
      <c r="AA2287" s="665"/>
      <c r="AB2287" s="55"/>
      <c r="AC2287" s="55"/>
      <c r="AD2287" s="355"/>
      <c r="AE2287" s="38"/>
      <c r="AF2287" s="355"/>
      <c r="AG2287" s="38"/>
      <c r="AH2287" s="55"/>
      <c r="AI2287" s="38"/>
      <c r="AJ2287" s="55"/>
      <c r="AK2287" s="38"/>
      <c r="AL2287" s="55"/>
      <c r="AM2287" s="38"/>
      <c r="AN2287" s="55"/>
      <c r="AO2287" s="38"/>
      <c r="AP2287" s="356"/>
      <c r="AQ2287" s="38"/>
      <c r="AR2287" s="55"/>
      <c r="AS2287" s="38"/>
      <c r="AT2287" s="55"/>
      <c r="AU2287" s="38"/>
      <c r="AV2287" s="55"/>
      <c r="AW2287" s="38"/>
      <c r="AX2287" s="55"/>
      <c r="AY2287" s="38"/>
      <c r="AZ2287" s="55"/>
      <c r="BA2287" s="38"/>
      <c r="BB2287" s="55"/>
      <c r="BC2287" s="38"/>
      <c r="BD2287" s="55"/>
      <c r="BE2287" s="38"/>
      <c r="BF2287" s="55"/>
    </row>
    <row r="2288">
      <c r="A2288" s="52"/>
      <c r="D2288" s="351"/>
      <c r="E2288" s="351"/>
      <c r="F2288" s="1949"/>
      <c r="G2288" s="353"/>
      <c r="H2288" s="353"/>
      <c r="I2288" s="55"/>
      <c r="J2288" s="55"/>
      <c r="K2288" s="55"/>
      <c r="L2288" s="961"/>
      <c r="M2288" s="55"/>
      <c r="N2288" s="55"/>
      <c r="O2288" s="27" t="str">
        <f t="shared" si="793"/>
        <v>#N/A</v>
      </c>
      <c r="P2288" s="55"/>
      <c r="Q2288" s="55"/>
      <c r="R2288" s="55"/>
      <c r="S2288" s="55"/>
      <c r="T2288" s="55"/>
      <c r="U2288" s="55"/>
      <c r="V2288" s="30"/>
      <c r="W2288" s="30"/>
      <c r="X2288" s="58"/>
      <c r="Y2288" s="58"/>
      <c r="Z2288" s="692"/>
      <c r="AA2288" s="665"/>
      <c r="AB2288" s="55"/>
      <c r="AC2288" s="55"/>
      <c r="AD2288" s="355"/>
      <c r="AE2288" s="38"/>
      <c r="AF2288" s="355"/>
      <c r="AG2288" s="38"/>
      <c r="AH2288" s="55"/>
      <c r="AI2288" s="38"/>
      <c r="AJ2288" s="55"/>
      <c r="AK2288" s="38"/>
      <c r="AL2288" s="55"/>
      <c r="AM2288" s="38"/>
      <c r="AN2288" s="55"/>
      <c r="AO2288" s="38"/>
      <c r="AP2288" s="356"/>
      <c r="AQ2288" s="38"/>
      <c r="AR2288" s="55"/>
      <c r="AS2288" s="38"/>
      <c r="AT2288" s="55"/>
      <c r="AU2288" s="38"/>
      <c r="AV2288" s="55"/>
      <c r="AW2288" s="38"/>
      <c r="AX2288" s="55"/>
      <c r="AY2288" s="38"/>
      <c r="AZ2288" s="55"/>
      <c r="BA2288" s="38"/>
      <c r="BB2288" s="55"/>
      <c r="BC2288" s="38"/>
      <c r="BD2288" s="55"/>
      <c r="BE2288" s="38"/>
      <c r="BF2288" s="55"/>
    </row>
    <row r="2289">
      <c r="A2289" s="52"/>
      <c r="D2289" s="351"/>
      <c r="E2289" s="351"/>
      <c r="F2289" s="1949"/>
      <c r="G2289" s="353"/>
      <c r="H2289" s="353"/>
      <c r="I2289" s="55"/>
      <c r="J2289" s="55"/>
      <c r="K2289" s="55"/>
      <c r="L2289" s="961"/>
      <c r="M2289" s="55"/>
      <c r="N2289" s="55"/>
      <c r="O2289" s="27" t="str">
        <f t="shared" si="793"/>
        <v>#N/A</v>
      </c>
      <c r="P2289" s="55"/>
      <c r="Q2289" s="55"/>
      <c r="R2289" s="55"/>
      <c r="S2289" s="55"/>
      <c r="T2289" s="55"/>
      <c r="U2289" s="55"/>
      <c r="V2289" s="30"/>
      <c r="W2289" s="30"/>
      <c r="X2289" s="58"/>
      <c r="Y2289" s="58"/>
      <c r="Z2289" s="692"/>
      <c r="AA2289" s="665"/>
      <c r="AB2289" s="55"/>
      <c r="AC2289" s="55"/>
      <c r="AD2289" s="355"/>
      <c r="AE2289" s="38"/>
      <c r="AF2289" s="355"/>
      <c r="AG2289" s="38"/>
      <c r="AH2289" s="55"/>
      <c r="AI2289" s="38"/>
      <c r="AJ2289" s="55"/>
      <c r="AK2289" s="38"/>
      <c r="AL2289" s="55"/>
      <c r="AM2289" s="38"/>
      <c r="AN2289" s="55"/>
      <c r="AO2289" s="38"/>
      <c r="AP2289" s="356"/>
      <c r="AQ2289" s="38"/>
      <c r="AR2289" s="55"/>
      <c r="AS2289" s="38"/>
      <c r="AT2289" s="55"/>
      <c r="AU2289" s="38"/>
      <c r="AV2289" s="55"/>
      <c r="AW2289" s="38"/>
      <c r="AX2289" s="55"/>
      <c r="AY2289" s="38"/>
      <c r="AZ2289" s="55"/>
      <c r="BA2289" s="38"/>
      <c r="BB2289" s="55"/>
      <c r="BC2289" s="38"/>
      <c r="BD2289" s="55"/>
      <c r="BE2289" s="38"/>
      <c r="BF2289" s="55"/>
    </row>
    <row r="2290">
      <c r="A2290" s="52"/>
      <c r="D2290" s="351"/>
      <c r="E2290" s="351"/>
      <c r="F2290" s="1949"/>
      <c r="G2290" s="353"/>
      <c r="H2290" s="353"/>
      <c r="I2290" s="55"/>
      <c r="J2290" s="55"/>
      <c r="K2290" s="55"/>
      <c r="L2290" s="961"/>
      <c r="M2290" s="55"/>
      <c r="N2290" s="55"/>
      <c r="O2290" s="27" t="str">
        <f t="shared" si="793"/>
        <v>#N/A</v>
      </c>
      <c r="P2290" s="55"/>
      <c r="Q2290" s="55"/>
      <c r="R2290" s="55"/>
      <c r="S2290" s="55"/>
      <c r="T2290" s="55"/>
      <c r="U2290" s="55"/>
      <c r="V2290" s="30"/>
      <c r="W2290" s="30"/>
      <c r="X2290" s="58"/>
      <c r="Y2290" s="58"/>
      <c r="Z2290" s="692"/>
      <c r="AA2290" s="665"/>
      <c r="AB2290" s="55"/>
      <c r="AC2290" s="55"/>
      <c r="AD2290" s="355"/>
      <c r="AE2290" s="38"/>
      <c r="AF2290" s="355"/>
      <c r="AG2290" s="38"/>
      <c r="AH2290" s="55"/>
      <c r="AI2290" s="38"/>
      <c r="AJ2290" s="55"/>
      <c r="AK2290" s="38"/>
      <c r="AL2290" s="55"/>
      <c r="AM2290" s="38"/>
      <c r="AN2290" s="55"/>
      <c r="AO2290" s="38"/>
      <c r="AP2290" s="356"/>
      <c r="AQ2290" s="38"/>
      <c r="AR2290" s="55"/>
      <c r="AS2290" s="38"/>
      <c r="AT2290" s="55"/>
      <c r="AU2290" s="38"/>
      <c r="AV2290" s="55"/>
      <c r="AW2290" s="38"/>
      <c r="AX2290" s="55"/>
      <c r="AY2290" s="38"/>
      <c r="AZ2290" s="55"/>
      <c r="BA2290" s="38"/>
      <c r="BB2290" s="55"/>
      <c r="BC2290" s="38"/>
      <c r="BD2290" s="55"/>
      <c r="BE2290" s="38"/>
      <c r="BF2290" s="55"/>
    </row>
    <row r="2291">
      <c r="A2291" s="52"/>
      <c r="D2291" s="351"/>
      <c r="E2291" s="351"/>
      <c r="F2291" s="1949"/>
      <c r="G2291" s="353"/>
      <c r="H2291" s="353"/>
      <c r="I2291" s="55"/>
      <c r="J2291" s="55"/>
      <c r="K2291" s="55"/>
      <c r="L2291" s="961"/>
      <c r="M2291" s="55"/>
      <c r="N2291" s="55"/>
      <c r="O2291" s="27" t="str">
        <f t="shared" si="793"/>
        <v>#N/A</v>
      </c>
      <c r="P2291" s="55"/>
      <c r="Q2291" s="55"/>
      <c r="R2291" s="55"/>
      <c r="S2291" s="55"/>
      <c r="T2291" s="55"/>
      <c r="U2291" s="55"/>
      <c r="V2291" s="30"/>
      <c r="W2291" s="30"/>
      <c r="X2291" s="58"/>
      <c r="Y2291" s="58"/>
      <c r="Z2291" s="692"/>
      <c r="AA2291" s="665"/>
      <c r="AB2291" s="55"/>
      <c r="AC2291" s="55"/>
      <c r="AD2291" s="355"/>
      <c r="AE2291" s="38"/>
      <c r="AF2291" s="355"/>
      <c r="AG2291" s="38"/>
      <c r="AH2291" s="55"/>
      <c r="AI2291" s="38"/>
      <c r="AJ2291" s="55"/>
      <c r="AK2291" s="38"/>
      <c r="AL2291" s="55"/>
      <c r="AM2291" s="38"/>
      <c r="AN2291" s="55"/>
      <c r="AO2291" s="38"/>
      <c r="AP2291" s="356"/>
      <c r="AQ2291" s="38"/>
      <c r="AR2291" s="55"/>
      <c r="AS2291" s="38"/>
      <c r="AT2291" s="55"/>
      <c r="AU2291" s="38"/>
      <c r="AV2291" s="55"/>
      <c r="AW2291" s="38"/>
      <c r="AX2291" s="55"/>
      <c r="AY2291" s="38"/>
      <c r="AZ2291" s="55"/>
      <c r="BA2291" s="38"/>
      <c r="BB2291" s="55"/>
      <c r="BC2291" s="38"/>
      <c r="BD2291" s="55"/>
      <c r="BE2291" s="38"/>
      <c r="BF2291" s="55"/>
    </row>
    <row r="2292">
      <c r="A2292" s="52"/>
      <c r="D2292" s="351"/>
      <c r="E2292" s="351"/>
      <c r="F2292" s="1949"/>
      <c r="G2292" s="353"/>
      <c r="H2292" s="353"/>
      <c r="I2292" s="55"/>
      <c r="J2292" s="55"/>
      <c r="K2292" s="55"/>
      <c r="L2292" s="961"/>
      <c r="M2292" s="55"/>
      <c r="N2292" s="55"/>
      <c r="O2292" s="27" t="str">
        <f t="shared" si="793"/>
        <v>#N/A</v>
      </c>
      <c r="P2292" s="55"/>
      <c r="Q2292" s="55"/>
      <c r="R2292" s="55"/>
      <c r="S2292" s="55"/>
      <c r="T2292" s="55"/>
      <c r="U2292" s="55"/>
      <c r="V2292" s="30"/>
      <c r="W2292" s="30"/>
      <c r="X2292" s="58"/>
      <c r="Y2292" s="58"/>
      <c r="Z2292" s="692"/>
      <c r="AA2292" s="665"/>
      <c r="AB2292" s="55"/>
      <c r="AC2292" s="55"/>
      <c r="AD2292" s="355"/>
      <c r="AE2292" s="38"/>
      <c r="AF2292" s="355"/>
      <c r="AG2292" s="38"/>
      <c r="AH2292" s="55"/>
      <c r="AI2292" s="38"/>
      <c r="AJ2292" s="55"/>
      <c r="AK2292" s="38"/>
      <c r="AL2292" s="55"/>
      <c r="AM2292" s="38"/>
      <c r="AN2292" s="55"/>
      <c r="AO2292" s="38"/>
      <c r="AP2292" s="356"/>
      <c r="AQ2292" s="38"/>
      <c r="AR2292" s="55"/>
      <c r="AS2292" s="38"/>
      <c r="AT2292" s="55"/>
      <c r="AU2292" s="38"/>
      <c r="AV2292" s="55"/>
      <c r="AW2292" s="38"/>
      <c r="AX2292" s="55"/>
      <c r="AY2292" s="38"/>
      <c r="AZ2292" s="55"/>
      <c r="BA2292" s="38"/>
      <c r="BB2292" s="55"/>
      <c r="BC2292" s="38"/>
      <c r="BD2292" s="55"/>
      <c r="BE2292" s="38"/>
      <c r="BF2292" s="55"/>
    </row>
    <row r="2293">
      <c r="A2293" s="52"/>
      <c r="D2293" s="351"/>
      <c r="E2293" s="351"/>
      <c r="F2293" s="1949"/>
      <c r="G2293" s="353"/>
      <c r="H2293" s="353"/>
      <c r="I2293" s="55"/>
      <c r="J2293" s="55"/>
      <c r="K2293" s="55"/>
      <c r="L2293" s="961"/>
      <c r="M2293" s="55"/>
      <c r="N2293" s="55"/>
      <c r="O2293" s="27" t="str">
        <f t="shared" si="793"/>
        <v>#N/A</v>
      </c>
      <c r="P2293" s="55"/>
      <c r="Q2293" s="55"/>
      <c r="R2293" s="55"/>
      <c r="S2293" s="55"/>
      <c r="T2293" s="55"/>
      <c r="U2293" s="55"/>
      <c r="V2293" s="30"/>
      <c r="W2293" s="30"/>
      <c r="X2293" s="58"/>
      <c r="Y2293" s="58"/>
      <c r="Z2293" s="692"/>
      <c r="AA2293" s="665"/>
      <c r="AB2293" s="55"/>
      <c r="AC2293" s="55"/>
      <c r="AD2293" s="355"/>
      <c r="AE2293" s="38"/>
      <c r="AF2293" s="355"/>
      <c r="AG2293" s="38"/>
      <c r="AH2293" s="55"/>
      <c r="AI2293" s="38"/>
      <c r="AJ2293" s="55"/>
      <c r="AK2293" s="38"/>
      <c r="AL2293" s="55"/>
      <c r="AM2293" s="38"/>
      <c r="AN2293" s="55"/>
      <c r="AO2293" s="38"/>
      <c r="AP2293" s="356"/>
      <c r="AQ2293" s="38"/>
      <c r="AR2293" s="55"/>
      <c r="AS2293" s="38"/>
      <c r="AT2293" s="55"/>
      <c r="AU2293" s="38"/>
      <c r="AV2293" s="55"/>
      <c r="AW2293" s="38"/>
      <c r="AX2293" s="55"/>
      <c r="AY2293" s="38"/>
      <c r="AZ2293" s="55"/>
      <c r="BA2293" s="38"/>
      <c r="BB2293" s="55"/>
      <c r="BC2293" s="38"/>
      <c r="BD2293" s="55"/>
      <c r="BE2293" s="38"/>
      <c r="BF2293" s="55"/>
    </row>
    <row r="2294">
      <c r="A2294" s="52"/>
      <c r="D2294" s="351"/>
      <c r="E2294" s="351"/>
      <c r="F2294" s="1949"/>
      <c r="G2294" s="353"/>
      <c r="H2294" s="353"/>
      <c r="I2294" s="55"/>
      <c r="J2294" s="55"/>
      <c r="K2294" s="55"/>
      <c r="L2294" s="961"/>
      <c r="M2294" s="55"/>
      <c r="N2294" s="55"/>
      <c r="O2294" s="27" t="str">
        <f t="shared" si="793"/>
        <v>#N/A</v>
      </c>
      <c r="P2294" s="55"/>
      <c r="Q2294" s="55"/>
      <c r="R2294" s="55"/>
      <c r="S2294" s="55"/>
      <c r="T2294" s="55"/>
      <c r="U2294" s="55"/>
      <c r="V2294" s="30"/>
      <c r="W2294" s="30"/>
      <c r="X2294" s="58"/>
      <c r="Y2294" s="58"/>
      <c r="Z2294" s="692"/>
      <c r="AA2294" s="665"/>
      <c r="AB2294" s="55"/>
      <c r="AC2294" s="55"/>
      <c r="AD2294" s="355"/>
      <c r="AE2294" s="38"/>
      <c r="AF2294" s="355"/>
      <c r="AG2294" s="38"/>
      <c r="AH2294" s="55"/>
      <c r="AI2294" s="38"/>
      <c r="AJ2294" s="55"/>
      <c r="AK2294" s="38"/>
      <c r="AL2294" s="55"/>
      <c r="AM2294" s="38"/>
      <c r="AN2294" s="55"/>
      <c r="AO2294" s="38"/>
      <c r="AP2294" s="356"/>
      <c r="AQ2294" s="38"/>
      <c r="AR2294" s="55"/>
      <c r="AS2294" s="38"/>
      <c r="AT2294" s="55"/>
      <c r="AU2294" s="38"/>
      <c r="AV2294" s="55"/>
      <c r="AW2294" s="38"/>
      <c r="AX2294" s="55"/>
      <c r="AY2294" s="38"/>
      <c r="AZ2294" s="55"/>
      <c r="BA2294" s="38"/>
      <c r="BB2294" s="55"/>
      <c r="BC2294" s="38"/>
      <c r="BD2294" s="55"/>
      <c r="BE2294" s="38"/>
      <c r="BF2294" s="55"/>
    </row>
    <row r="2295">
      <c r="A2295" s="52"/>
      <c r="D2295" s="351"/>
      <c r="E2295" s="351"/>
      <c r="F2295" s="1949"/>
      <c r="G2295" s="353"/>
      <c r="H2295" s="353"/>
      <c r="I2295" s="55"/>
      <c r="J2295" s="55"/>
      <c r="K2295" s="55"/>
      <c r="L2295" s="961"/>
      <c r="M2295" s="55"/>
      <c r="N2295" s="55"/>
      <c r="O2295" s="27" t="str">
        <f t="shared" si="793"/>
        <v>#N/A</v>
      </c>
      <c r="P2295" s="55"/>
      <c r="Q2295" s="55"/>
      <c r="R2295" s="55"/>
      <c r="S2295" s="55"/>
      <c r="T2295" s="55"/>
      <c r="U2295" s="55"/>
      <c r="V2295" s="30"/>
      <c r="W2295" s="30"/>
      <c r="X2295" s="58"/>
      <c r="Y2295" s="58"/>
      <c r="Z2295" s="692"/>
      <c r="AA2295" s="665"/>
      <c r="AB2295" s="55"/>
      <c r="AC2295" s="55"/>
      <c r="AD2295" s="355"/>
      <c r="AE2295" s="38"/>
      <c r="AF2295" s="355"/>
      <c r="AG2295" s="38"/>
      <c r="AH2295" s="55"/>
      <c r="AI2295" s="38"/>
      <c r="AJ2295" s="55"/>
      <c r="AK2295" s="38"/>
      <c r="AL2295" s="55"/>
      <c r="AM2295" s="38"/>
      <c r="AN2295" s="55"/>
      <c r="AO2295" s="38"/>
      <c r="AP2295" s="356"/>
      <c r="AQ2295" s="38"/>
      <c r="AR2295" s="55"/>
      <c r="AS2295" s="38"/>
      <c r="AT2295" s="55"/>
      <c r="AU2295" s="38"/>
      <c r="AV2295" s="55"/>
      <c r="AW2295" s="38"/>
      <c r="AX2295" s="55"/>
      <c r="AY2295" s="38"/>
      <c r="AZ2295" s="55"/>
      <c r="BA2295" s="38"/>
      <c r="BB2295" s="55"/>
      <c r="BC2295" s="38"/>
      <c r="BD2295" s="55"/>
      <c r="BE2295" s="38"/>
      <c r="BF2295" s="55"/>
    </row>
    <row r="2296">
      <c r="A2296" s="52"/>
      <c r="D2296" s="351"/>
      <c r="E2296" s="351"/>
      <c r="F2296" s="1949"/>
      <c r="G2296" s="353"/>
      <c r="H2296" s="353"/>
      <c r="I2296" s="55"/>
      <c r="J2296" s="55"/>
      <c r="K2296" s="55"/>
      <c r="L2296" s="961"/>
      <c r="M2296" s="55"/>
      <c r="N2296" s="55"/>
      <c r="O2296" s="27" t="str">
        <f t="shared" si="793"/>
        <v>#N/A</v>
      </c>
      <c r="P2296" s="55"/>
      <c r="Q2296" s="55"/>
      <c r="R2296" s="55"/>
      <c r="S2296" s="55"/>
      <c r="T2296" s="55"/>
      <c r="U2296" s="55"/>
      <c r="V2296" s="30"/>
      <c r="W2296" s="30"/>
      <c r="X2296" s="58"/>
      <c r="Y2296" s="58"/>
      <c r="Z2296" s="692"/>
      <c r="AA2296" s="665"/>
      <c r="AB2296" s="55"/>
      <c r="AC2296" s="55"/>
      <c r="AD2296" s="355"/>
      <c r="AE2296" s="38"/>
      <c r="AF2296" s="355"/>
      <c r="AG2296" s="38"/>
      <c r="AH2296" s="55"/>
      <c r="AI2296" s="38"/>
      <c r="AJ2296" s="55"/>
      <c r="AK2296" s="38"/>
      <c r="AL2296" s="55"/>
      <c r="AM2296" s="38"/>
      <c r="AN2296" s="55"/>
      <c r="AO2296" s="38"/>
      <c r="AP2296" s="356"/>
      <c r="AQ2296" s="38"/>
      <c r="AR2296" s="55"/>
      <c r="AS2296" s="38"/>
      <c r="AT2296" s="55"/>
      <c r="AU2296" s="38"/>
      <c r="AV2296" s="55"/>
      <c r="AW2296" s="38"/>
      <c r="AX2296" s="55"/>
      <c r="AY2296" s="38"/>
      <c r="AZ2296" s="55"/>
      <c r="BA2296" s="38"/>
      <c r="BB2296" s="55"/>
      <c r="BC2296" s="38"/>
      <c r="BD2296" s="55"/>
      <c r="BE2296" s="38"/>
      <c r="BF2296" s="55"/>
    </row>
    <row r="2297">
      <c r="A2297" s="52"/>
      <c r="D2297" s="351"/>
      <c r="E2297" s="351"/>
      <c r="F2297" s="1949"/>
      <c r="G2297" s="353"/>
      <c r="H2297" s="353"/>
      <c r="I2297" s="55"/>
      <c r="J2297" s="55"/>
      <c r="K2297" s="55"/>
      <c r="L2297" s="961"/>
      <c r="M2297" s="55"/>
      <c r="N2297" s="55"/>
      <c r="O2297" s="27" t="str">
        <f t="shared" si="793"/>
        <v>#N/A</v>
      </c>
      <c r="P2297" s="55"/>
      <c r="Q2297" s="55"/>
      <c r="R2297" s="55"/>
      <c r="S2297" s="55"/>
      <c r="T2297" s="55"/>
      <c r="U2297" s="55"/>
      <c r="V2297" s="30"/>
      <c r="W2297" s="30"/>
      <c r="X2297" s="58"/>
      <c r="Y2297" s="58"/>
      <c r="Z2297" s="692"/>
      <c r="AA2297" s="665"/>
      <c r="AB2297" s="55"/>
      <c r="AC2297" s="55"/>
      <c r="AD2297" s="355"/>
      <c r="AE2297" s="38"/>
      <c r="AF2297" s="355"/>
      <c r="AG2297" s="38"/>
      <c r="AH2297" s="55"/>
      <c r="AI2297" s="38"/>
      <c r="AJ2297" s="55"/>
      <c r="AK2297" s="38"/>
      <c r="AL2297" s="55"/>
      <c r="AM2297" s="38"/>
      <c r="AN2297" s="55"/>
      <c r="AO2297" s="38"/>
      <c r="AP2297" s="356"/>
      <c r="AQ2297" s="38"/>
      <c r="AR2297" s="55"/>
      <c r="AS2297" s="38"/>
      <c r="AT2297" s="55"/>
      <c r="AU2297" s="38"/>
      <c r="AV2297" s="55"/>
      <c r="AW2297" s="38"/>
      <c r="AX2297" s="55"/>
      <c r="AY2297" s="38"/>
      <c r="AZ2297" s="55"/>
      <c r="BA2297" s="38"/>
      <c r="BB2297" s="55"/>
      <c r="BC2297" s="38"/>
      <c r="BD2297" s="55"/>
      <c r="BE2297" s="38"/>
      <c r="BF2297" s="55"/>
    </row>
    <row r="2298">
      <c r="A2298" s="52"/>
      <c r="D2298" s="351"/>
      <c r="E2298" s="351"/>
      <c r="F2298" s="1949"/>
      <c r="G2298" s="353"/>
      <c r="H2298" s="353"/>
      <c r="I2298" s="55"/>
      <c r="J2298" s="55"/>
      <c r="K2298" s="55"/>
      <c r="L2298" s="961"/>
      <c r="M2298" s="55"/>
      <c r="N2298" s="55"/>
      <c r="O2298" s="27" t="str">
        <f t="shared" si="793"/>
        <v>#N/A</v>
      </c>
      <c r="P2298" s="55"/>
      <c r="Q2298" s="55"/>
      <c r="R2298" s="55"/>
      <c r="S2298" s="55"/>
      <c r="T2298" s="55"/>
      <c r="U2298" s="55"/>
      <c r="V2298" s="30"/>
      <c r="W2298" s="30"/>
      <c r="X2298" s="58"/>
      <c r="Y2298" s="58"/>
      <c r="Z2298" s="692"/>
      <c r="AA2298" s="665"/>
      <c r="AB2298" s="55"/>
      <c r="AC2298" s="55"/>
      <c r="AD2298" s="355"/>
      <c r="AE2298" s="38"/>
      <c r="AF2298" s="355"/>
      <c r="AG2298" s="38"/>
      <c r="AH2298" s="55"/>
      <c r="AI2298" s="38"/>
      <c r="AJ2298" s="55"/>
      <c r="AK2298" s="38"/>
      <c r="AL2298" s="55"/>
      <c r="AM2298" s="38"/>
      <c r="AN2298" s="55"/>
      <c r="AO2298" s="38"/>
      <c r="AP2298" s="356"/>
      <c r="AQ2298" s="38"/>
      <c r="AR2298" s="55"/>
      <c r="AS2298" s="38"/>
      <c r="AT2298" s="55"/>
      <c r="AU2298" s="38"/>
      <c r="AV2298" s="55"/>
      <c r="AW2298" s="38"/>
      <c r="AX2298" s="55"/>
      <c r="AY2298" s="38"/>
      <c r="AZ2298" s="55"/>
      <c r="BA2298" s="38"/>
      <c r="BB2298" s="55"/>
      <c r="BC2298" s="38"/>
      <c r="BD2298" s="55"/>
      <c r="BE2298" s="38"/>
      <c r="BF2298" s="55"/>
    </row>
    <row r="2299">
      <c r="A2299" s="52"/>
      <c r="D2299" s="351"/>
      <c r="E2299" s="351"/>
      <c r="F2299" s="1949"/>
      <c r="G2299" s="353"/>
      <c r="H2299" s="353"/>
      <c r="I2299" s="55"/>
      <c r="J2299" s="55"/>
      <c r="K2299" s="55"/>
      <c r="L2299" s="961"/>
      <c r="M2299" s="55"/>
      <c r="N2299" s="55"/>
      <c r="O2299" s="27" t="str">
        <f t="shared" si="793"/>
        <v>#N/A</v>
      </c>
      <c r="P2299" s="55"/>
      <c r="Q2299" s="55"/>
      <c r="R2299" s="55"/>
      <c r="S2299" s="55"/>
      <c r="T2299" s="55"/>
      <c r="U2299" s="55"/>
      <c r="V2299" s="30"/>
      <c r="W2299" s="30"/>
      <c r="X2299" s="58"/>
      <c r="Y2299" s="58"/>
      <c r="Z2299" s="692"/>
      <c r="AA2299" s="665"/>
      <c r="AB2299" s="55"/>
      <c r="AC2299" s="55"/>
      <c r="AD2299" s="355"/>
      <c r="AE2299" s="38"/>
      <c r="AF2299" s="355"/>
      <c r="AG2299" s="38"/>
      <c r="AH2299" s="55"/>
      <c r="AI2299" s="38"/>
      <c r="AJ2299" s="55"/>
      <c r="AK2299" s="38"/>
      <c r="AL2299" s="55"/>
      <c r="AM2299" s="38"/>
      <c r="AN2299" s="55"/>
      <c r="AO2299" s="38"/>
      <c r="AP2299" s="356"/>
      <c r="AQ2299" s="38"/>
      <c r="AR2299" s="55"/>
      <c r="AS2299" s="38"/>
      <c r="AT2299" s="55"/>
      <c r="AU2299" s="38"/>
      <c r="AV2299" s="55"/>
      <c r="AW2299" s="38"/>
      <c r="AX2299" s="55"/>
      <c r="AY2299" s="38"/>
      <c r="AZ2299" s="55"/>
      <c r="BA2299" s="38"/>
      <c r="BB2299" s="55"/>
      <c r="BC2299" s="38"/>
      <c r="BD2299" s="55"/>
      <c r="BE2299" s="38"/>
      <c r="BF2299" s="55"/>
    </row>
    <row r="2300">
      <c r="A2300" s="52"/>
      <c r="D2300" s="351"/>
      <c r="E2300" s="351"/>
      <c r="F2300" s="1949"/>
      <c r="G2300" s="353"/>
      <c r="H2300" s="353"/>
      <c r="I2300" s="55"/>
      <c r="J2300" s="55"/>
      <c r="K2300" s="55"/>
      <c r="L2300" s="961"/>
      <c r="M2300" s="55"/>
      <c r="N2300" s="55"/>
      <c r="O2300" s="27" t="str">
        <f t="shared" si="793"/>
        <v>#N/A</v>
      </c>
      <c r="P2300" s="55"/>
      <c r="Q2300" s="55"/>
      <c r="R2300" s="55"/>
      <c r="S2300" s="55"/>
      <c r="T2300" s="55"/>
      <c r="U2300" s="55"/>
      <c r="V2300" s="30"/>
      <c r="W2300" s="30"/>
      <c r="X2300" s="58"/>
      <c r="Y2300" s="58"/>
      <c r="Z2300" s="692"/>
      <c r="AA2300" s="665"/>
      <c r="AB2300" s="55"/>
      <c r="AC2300" s="55"/>
      <c r="AD2300" s="355"/>
      <c r="AE2300" s="38"/>
      <c r="AF2300" s="355"/>
      <c r="AG2300" s="38"/>
      <c r="AH2300" s="55"/>
      <c r="AI2300" s="38"/>
      <c r="AJ2300" s="55"/>
      <c r="AK2300" s="38"/>
      <c r="AL2300" s="55"/>
      <c r="AM2300" s="38"/>
      <c r="AN2300" s="55"/>
      <c r="AO2300" s="38"/>
      <c r="AP2300" s="356"/>
      <c r="AQ2300" s="38"/>
      <c r="AR2300" s="55"/>
      <c r="AS2300" s="38"/>
      <c r="AT2300" s="55"/>
      <c r="AU2300" s="38"/>
      <c r="AV2300" s="55"/>
      <c r="AW2300" s="38"/>
      <c r="AX2300" s="55"/>
      <c r="AY2300" s="38"/>
      <c r="AZ2300" s="55"/>
      <c r="BA2300" s="38"/>
      <c r="BB2300" s="55"/>
      <c r="BC2300" s="38"/>
      <c r="BD2300" s="55"/>
      <c r="BE2300" s="38"/>
      <c r="BF2300" s="55"/>
    </row>
    <row r="2301">
      <c r="A2301" s="52"/>
      <c r="D2301" s="351"/>
      <c r="E2301" s="351"/>
      <c r="F2301" s="1949"/>
      <c r="G2301" s="353"/>
      <c r="H2301" s="353"/>
      <c r="I2301" s="55"/>
      <c r="J2301" s="55"/>
      <c r="K2301" s="55"/>
      <c r="L2301" s="961"/>
      <c r="M2301" s="55"/>
      <c r="N2301" s="55"/>
      <c r="O2301" s="27" t="str">
        <f t="shared" si="793"/>
        <v>#N/A</v>
      </c>
      <c r="P2301" s="55"/>
      <c r="Q2301" s="55"/>
      <c r="R2301" s="55"/>
      <c r="S2301" s="55"/>
      <c r="T2301" s="55"/>
      <c r="U2301" s="55"/>
      <c r="V2301" s="30"/>
      <c r="W2301" s="30"/>
      <c r="X2301" s="58"/>
      <c r="Y2301" s="58"/>
      <c r="Z2301" s="692"/>
      <c r="AA2301" s="665"/>
      <c r="AB2301" s="55"/>
      <c r="AC2301" s="55"/>
      <c r="AD2301" s="355"/>
      <c r="AE2301" s="38"/>
      <c r="AF2301" s="355"/>
      <c r="AG2301" s="38"/>
      <c r="AH2301" s="55"/>
      <c r="AI2301" s="38"/>
      <c r="AJ2301" s="55"/>
      <c r="AK2301" s="38"/>
      <c r="AL2301" s="55"/>
      <c r="AM2301" s="38"/>
      <c r="AN2301" s="55"/>
      <c r="AO2301" s="38"/>
      <c r="AP2301" s="356"/>
      <c r="AQ2301" s="38"/>
      <c r="AR2301" s="55"/>
      <c r="AS2301" s="38"/>
      <c r="AT2301" s="55"/>
      <c r="AU2301" s="38"/>
      <c r="AV2301" s="55"/>
      <c r="AW2301" s="38"/>
      <c r="AX2301" s="55"/>
      <c r="AY2301" s="38"/>
      <c r="AZ2301" s="55"/>
      <c r="BA2301" s="38"/>
      <c r="BB2301" s="55"/>
      <c r="BC2301" s="38"/>
      <c r="BD2301" s="55"/>
      <c r="BE2301" s="38"/>
      <c r="BF2301" s="55"/>
    </row>
    <row r="2302">
      <c r="A2302" s="52"/>
      <c r="D2302" s="351"/>
      <c r="E2302" s="351"/>
      <c r="F2302" s="1949"/>
      <c r="G2302" s="353"/>
      <c r="H2302" s="353"/>
      <c r="I2302" s="55"/>
      <c r="J2302" s="55"/>
      <c r="K2302" s="55"/>
      <c r="L2302" s="961"/>
      <c r="M2302" s="55"/>
      <c r="N2302" s="55"/>
      <c r="O2302" s="27" t="str">
        <f t="shared" si="793"/>
        <v>#N/A</v>
      </c>
      <c r="P2302" s="55"/>
      <c r="Q2302" s="55"/>
      <c r="R2302" s="55"/>
      <c r="S2302" s="55"/>
      <c r="T2302" s="55"/>
      <c r="U2302" s="55"/>
      <c r="V2302" s="30"/>
      <c r="W2302" s="30"/>
      <c r="X2302" s="58"/>
      <c r="Y2302" s="58"/>
      <c r="Z2302" s="692"/>
      <c r="AA2302" s="665"/>
      <c r="AB2302" s="55"/>
      <c r="AC2302" s="55"/>
      <c r="AD2302" s="355"/>
      <c r="AE2302" s="38"/>
      <c r="AF2302" s="355"/>
      <c r="AG2302" s="38"/>
      <c r="AH2302" s="55"/>
      <c r="AI2302" s="38"/>
      <c r="AJ2302" s="55"/>
      <c r="AK2302" s="38"/>
      <c r="AL2302" s="55"/>
      <c r="AM2302" s="38"/>
      <c r="AN2302" s="55"/>
      <c r="AO2302" s="38"/>
      <c r="AP2302" s="356"/>
      <c r="AQ2302" s="38"/>
      <c r="AR2302" s="55"/>
      <c r="AS2302" s="38"/>
      <c r="AT2302" s="55"/>
      <c r="AU2302" s="38"/>
      <c r="AV2302" s="55"/>
      <c r="AW2302" s="38"/>
      <c r="AX2302" s="55"/>
      <c r="AY2302" s="38"/>
      <c r="AZ2302" s="55"/>
      <c r="BA2302" s="38"/>
      <c r="BB2302" s="55"/>
      <c r="BC2302" s="38"/>
      <c r="BD2302" s="55"/>
      <c r="BE2302" s="38"/>
      <c r="BF2302" s="55"/>
    </row>
    <row r="2303">
      <c r="A2303" s="52"/>
      <c r="D2303" s="351"/>
      <c r="E2303" s="351"/>
      <c r="F2303" s="1949"/>
      <c r="G2303" s="353"/>
      <c r="H2303" s="353"/>
      <c r="I2303" s="55"/>
      <c r="J2303" s="55"/>
      <c r="K2303" s="55"/>
      <c r="L2303" s="961"/>
      <c r="M2303" s="55"/>
      <c r="N2303" s="55"/>
      <c r="O2303" s="27" t="str">
        <f t="shared" si="793"/>
        <v>#N/A</v>
      </c>
      <c r="P2303" s="55"/>
      <c r="Q2303" s="55"/>
      <c r="R2303" s="55"/>
      <c r="S2303" s="55"/>
      <c r="T2303" s="55"/>
      <c r="U2303" s="55"/>
      <c r="V2303" s="30"/>
      <c r="W2303" s="30"/>
      <c r="X2303" s="58"/>
      <c r="Y2303" s="58"/>
      <c r="Z2303" s="692"/>
      <c r="AA2303" s="665"/>
      <c r="AB2303" s="55"/>
      <c r="AC2303" s="55"/>
      <c r="AD2303" s="355"/>
      <c r="AE2303" s="38"/>
      <c r="AF2303" s="355"/>
      <c r="AG2303" s="38"/>
      <c r="AH2303" s="55"/>
      <c r="AI2303" s="38"/>
      <c r="AJ2303" s="55"/>
      <c r="AK2303" s="38"/>
      <c r="AL2303" s="55"/>
      <c r="AM2303" s="38"/>
      <c r="AN2303" s="55"/>
      <c r="AO2303" s="38"/>
      <c r="AP2303" s="356"/>
      <c r="AQ2303" s="38"/>
      <c r="AR2303" s="55"/>
      <c r="AS2303" s="38"/>
      <c r="AT2303" s="55"/>
      <c r="AU2303" s="38"/>
      <c r="AV2303" s="55"/>
      <c r="AW2303" s="38"/>
      <c r="AX2303" s="55"/>
      <c r="AY2303" s="38"/>
      <c r="AZ2303" s="55"/>
      <c r="BA2303" s="38"/>
      <c r="BB2303" s="55"/>
      <c r="BC2303" s="38"/>
      <c r="BD2303" s="55"/>
      <c r="BE2303" s="38"/>
      <c r="BF2303" s="55"/>
    </row>
    <row r="2304">
      <c r="A2304" s="52"/>
      <c r="D2304" s="351"/>
      <c r="E2304" s="351"/>
      <c r="F2304" s="1949"/>
      <c r="G2304" s="353"/>
      <c r="H2304" s="353"/>
      <c r="I2304" s="55"/>
      <c r="J2304" s="55"/>
      <c r="K2304" s="55"/>
      <c r="L2304" s="961"/>
      <c r="M2304" s="55"/>
      <c r="N2304" s="55"/>
      <c r="O2304" s="27" t="str">
        <f t="shared" si="793"/>
        <v>#N/A</v>
      </c>
      <c r="P2304" s="55"/>
      <c r="Q2304" s="55"/>
      <c r="R2304" s="55"/>
      <c r="S2304" s="55"/>
      <c r="T2304" s="55"/>
      <c r="U2304" s="55"/>
      <c r="V2304" s="30"/>
      <c r="W2304" s="30"/>
      <c r="X2304" s="58"/>
      <c r="Y2304" s="58"/>
      <c r="Z2304" s="692"/>
      <c r="AA2304" s="665"/>
      <c r="AB2304" s="55"/>
      <c r="AC2304" s="55"/>
      <c r="AD2304" s="355"/>
      <c r="AE2304" s="38"/>
      <c r="AF2304" s="355"/>
      <c r="AG2304" s="38"/>
      <c r="AH2304" s="55"/>
      <c r="AI2304" s="38"/>
      <c r="AJ2304" s="55"/>
      <c r="AK2304" s="38"/>
      <c r="AL2304" s="55"/>
      <c r="AM2304" s="38"/>
      <c r="AN2304" s="55"/>
      <c r="AO2304" s="38"/>
      <c r="AP2304" s="356"/>
      <c r="AQ2304" s="38"/>
      <c r="AR2304" s="55"/>
      <c r="AS2304" s="38"/>
      <c r="AT2304" s="55"/>
      <c r="AU2304" s="38"/>
      <c r="AV2304" s="55"/>
      <c r="AW2304" s="38"/>
      <c r="AX2304" s="55"/>
      <c r="AY2304" s="38"/>
      <c r="AZ2304" s="55"/>
      <c r="BA2304" s="38"/>
      <c r="BB2304" s="55"/>
      <c r="BC2304" s="38"/>
      <c r="BD2304" s="55"/>
      <c r="BE2304" s="38"/>
      <c r="BF2304" s="55"/>
    </row>
    <row r="2305">
      <c r="A2305" s="52"/>
      <c r="D2305" s="351"/>
      <c r="E2305" s="351"/>
      <c r="F2305" s="1949"/>
      <c r="G2305" s="353"/>
      <c r="H2305" s="353"/>
      <c r="I2305" s="55"/>
      <c r="J2305" s="55"/>
      <c r="K2305" s="55"/>
      <c r="L2305" s="961"/>
      <c r="M2305" s="55"/>
      <c r="N2305" s="55"/>
      <c r="O2305" s="27" t="str">
        <f t="shared" si="793"/>
        <v>#N/A</v>
      </c>
      <c r="P2305" s="55"/>
      <c r="Q2305" s="55"/>
      <c r="R2305" s="55"/>
      <c r="S2305" s="55"/>
      <c r="T2305" s="55"/>
      <c r="U2305" s="55"/>
      <c r="V2305" s="30"/>
      <c r="W2305" s="30"/>
      <c r="X2305" s="58"/>
      <c r="Y2305" s="58"/>
      <c r="Z2305" s="692"/>
      <c r="AA2305" s="665"/>
      <c r="AB2305" s="55"/>
      <c r="AC2305" s="55"/>
      <c r="AD2305" s="355"/>
      <c r="AE2305" s="38"/>
      <c r="AF2305" s="355"/>
      <c r="AG2305" s="38"/>
      <c r="AH2305" s="55"/>
      <c r="AI2305" s="38"/>
      <c r="AJ2305" s="55"/>
      <c r="AK2305" s="38"/>
      <c r="AL2305" s="55"/>
      <c r="AM2305" s="38"/>
      <c r="AN2305" s="55"/>
      <c r="AO2305" s="38"/>
      <c r="AP2305" s="356"/>
      <c r="AQ2305" s="38"/>
      <c r="AR2305" s="55"/>
      <c r="AS2305" s="38"/>
      <c r="AT2305" s="55"/>
      <c r="AU2305" s="38"/>
      <c r="AV2305" s="55"/>
      <c r="AW2305" s="38"/>
      <c r="AX2305" s="55"/>
      <c r="AY2305" s="38"/>
      <c r="AZ2305" s="55"/>
      <c r="BA2305" s="38"/>
      <c r="BB2305" s="55"/>
      <c r="BC2305" s="38"/>
      <c r="BD2305" s="55"/>
      <c r="BE2305" s="38"/>
      <c r="BF2305" s="55"/>
    </row>
    <row r="2306">
      <c r="A2306" s="52"/>
      <c r="D2306" s="351"/>
      <c r="E2306" s="351"/>
      <c r="F2306" s="1949"/>
      <c r="G2306" s="353"/>
      <c r="H2306" s="353"/>
      <c r="I2306" s="55"/>
      <c r="J2306" s="55"/>
      <c r="K2306" s="55"/>
      <c r="L2306" s="961"/>
      <c r="M2306" s="55"/>
      <c r="N2306" s="55"/>
      <c r="O2306" s="27" t="str">
        <f t="shared" si="793"/>
        <v>#N/A</v>
      </c>
      <c r="P2306" s="55"/>
      <c r="Q2306" s="55"/>
      <c r="R2306" s="55"/>
      <c r="S2306" s="55"/>
      <c r="T2306" s="55"/>
      <c r="U2306" s="55"/>
      <c r="V2306" s="30"/>
      <c r="W2306" s="30"/>
      <c r="X2306" s="58"/>
      <c r="Y2306" s="58"/>
      <c r="Z2306" s="692"/>
      <c r="AA2306" s="665"/>
      <c r="AB2306" s="55"/>
      <c r="AC2306" s="55"/>
      <c r="AD2306" s="355"/>
      <c r="AE2306" s="38"/>
      <c r="AF2306" s="355"/>
      <c r="AG2306" s="38"/>
      <c r="AH2306" s="55"/>
      <c r="AI2306" s="38"/>
      <c r="AJ2306" s="55"/>
      <c r="AK2306" s="38"/>
      <c r="AL2306" s="55"/>
      <c r="AM2306" s="38"/>
      <c r="AN2306" s="55"/>
      <c r="AO2306" s="38"/>
      <c r="AP2306" s="356"/>
      <c r="AQ2306" s="38"/>
      <c r="AR2306" s="55"/>
      <c r="AS2306" s="38"/>
      <c r="AT2306" s="55"/>
      <c r="AU2306" s="38"/>
      <c r="AV2306" s="55"/>
      <c r="AW2306" s="38"/>
      <c r="AX2306" s="55"/>
      <c r="AY2306" s="38"/>
      <c r="AZ2306" s="55"/>
      <c r="BA2306" s="38"/>
      <c r="BB2306" s="55"/>
      <c r="BC2306" s="38"/>
      <c r="BD2306" s="55"/>
      <c r="BE2306" s="38"/>
      <c r="BF2306" s="55"/>
    </row>
    <row r="2307">
      <c r="A2307" s="52"/>
      <c r="D2307" s="351"/>
      <c r="E2307" s="351"/>
      <c r="F2307" s="1949"/>
      <c r="G2307" s="353"/>
      <c r="H2307" s="353"/>
      <c r="I2307" s="55"/>
      <c r="J2307" s="55"/>
      <c r="K2307" s="55"/>
      <c r="L2307" s="961"/>
      <c r="M2307" s="55"/>
      <c r="N2307" s="55"/>
      <c r="O2307" s="27" t="str">
        <f t="shared" si="793"/>
        <v>#N/A</v>
      </c>
      <c r="P2307" s="55"/>
      <c r="Q2307" s="55"/>
      <c r="R2307" s="55"/>
      <c r="S2307" s="55"/>
      <c r="T2307" s="55"/>
      <c r="U2307" s="55"/>
      <c r="V2307" s="30"/>
      <c r="W2307" s="30"/>
      <c r="X2307" s="58"/>
      <c r="Y2307" s="58"/>
      <c r="Z2307" s="692"/>
      <c r="AA2307" s="665"/>
      <c r="AB2307" s="55"/>
      <c r="AC2307" s="55"/>
      <c r="AD2307" s="355"/>
      <c r="AE2307" s="38"/>
      <c r="AF2307" s="355"/>
      <c r="AG2307" s="38"/>
      <c r="AH2307" s="55"/>
      <c r="AI2307" s="38"/>
      <c r="AJ2307" s="55"/>
      <c r="AK2307" s="38"/>
      <c r="AL2307" s="55"/>
      <c r="AM2307" s="38"/>
      <c r="AN2307" s="55"/>
      <c r="AO2307" s="38"/>
      <c r="AP2307" s="356"/>
      <c r="AQ2307" s="38"/>
      <c r="AR2307" s="55"/>
      <c r="AS2307" s="38"/>
      <c r="AT2307" s="55"/>
      <c r="AU2307" s="38"/>
      <c r="AV2307" s="55"/>
      <c r="AW2307" s="38"/>
      <c r="AX2307" s="55"/>
      <c r="AY2307" s="38"/>
      <c r="AZ2307" s="55"/>
      <c r="BA2307" s="38"/>
      <c r="BB2307" s="55"/>
      <c r="BC2307" s="38"/>
      <c r="BD2307" s="55"/>
      <c r="BE2307" s="38"/>
      <c r="BF2307" s="55"/>
    </row>
    <row r="2308">
      <c r="A2308" s="52"/>
      <c r="D2308" s="351"/>
      <c r="E2308" s="351"/>
      <c r="F2308" s="1949"/>
      <c r="G2308" s="353"/>
      <c r="H2308" s="353"/>
      <c r="I2308" s="55"/>
      <c r="J2308" s="55"/>
      <c r="K2308" s="55"/>
      <c r="L2308" s="961"/>
      <c r="M2308" s="55"/>
      <c r="N2308" s="55"/>
      <c r="O2308" s="27" t="str">
        <f t="shared" si="793"/>
        <v>#N/A</v>
      </c>
      <c r="P2308" s="55"/>
      <c r="Q2308" s="55"/>
      <c r="R2308" s="55"/>
      <c r="S2308" s="55"/>
      <c r="T2308" s="55"/>
      <c r="U2308" s="55"/>
      <c r="V2308" s="30"/>
      <c r="W2308" s="30"/>
      <c r="X2308" s="58"/>
      <c r="Y2308" s="58"/>
      <c r="Z2308" s="692"/>
      <c r="AA2308" s="665"/>
      <c r="AB2308" s="55"/>
      <c r="AC2308" s="55"/>
      <c r="AD2308" s="355"/>
      <c r="AE2308" s="38"/>
      <c r="AF2308" s="355"/>
      <c r="AG2308" s="38"/>
      <c r="AH2308" s="55"/>
      <c r="AI2308" s="38"/>
      <c r="AJ2308" s="55"/>
      <c r="AK2308" s="38"/>
      <c r="AL2308" s="55"/>
      <c r="AM2308" s="38"/>
      <c r="AN2308" s="55"/>
      <c r="AO2308" s="38"/>
      <c r="AP2308" s="356"/>
      <c r="AQ2308" s="38"/>
      <c r="AR2308" s="55"/>
      <c r="AS2308" s="38"/>
      <c r="AT2308" s="55"/>
      <c r="AU2308" s="38"/>
      <c r="AV2308" s="55"/>
      <c r="AW2308" s="38"/>
      <c r="AX2308" s="55"/>
      <c r="AY2308" s="38"/>
      <c r="AZ2308" s="55"/>
      <c r="BA2308" s="38"/>
      <c r="BB2308" s="55"/>
      <c r="BC2308" s="38"/>
      <c r="BD2308" s="55"/>
      <c r="BE2308" s="38"/>
      <c r="BF2308" s="55"/>
    </row>
    <row r="2309">
      <c r="A2309" s="52"/>
      <c r="D2309" s="351"/>
      <c r="E2309" s="351"/>
      <c r="F2309" s="1949"/>
      <c r="G2309" s="353"/>
      <c r="H2309" s="353"/>
      <c r="I2309" s="55"/>
      <c r="J2309" s="55"/>
      <c r="K2309" s="55"/>
      <c r="L2309" s="961"/>
      <c r="M2309" s="55"/>
      <c r="N2309" s="55"/>
      <c r="O2309" s="27" t="str">
        <f t="shared" si="793"/>
        <v>#N/A</v>
      </c>
      <c r="P2309" s="55"/>
      <c r="Q2309" s="55"/>
      <c r="R2309" s="55"/>
      <c r="S2309" s="55"/>
      <c r="T2309" s="55"/>
      <c r="U2309" s="55"/>
      <c r="V2309" s="30"/>
      <c r="W2309" s="30"/>
      <c r="X2309" s="58"/>
      <c r="Y2309" s="58"/>
      <c r="Z2309" s="692"/>
      <c r="AA2309" s="665"/>
      <c r="AB2309" s="55"/>
      <c r="AC2309" s="55"/>
      <c r="AD2309" s="355"/>
      <c r="AE2309" s="38"/>
      <c r="AF2309" s="355"/>
      <c r="AG2309" s="38"/>
      <c r="AH2309" s="55"/>
      <c r="AI2309" s="38"/>
      <c r="AJ2309" s="55"/>
      <c r="AK2309" s="38"/>
      <c r="AL2309" s="55"/>
      <c r="AM2309" s="38"/>
      <c r="AN2309" s="55"/>
      <c r="AO2309" s="38"/>
      <c r="AP2309" s="356"/>
      <c r="AQ2309" s="38"/>
      <c r="AR2309" s="55"/>
      <c r="AS2309" s="38"/>
      <c r="AT2309" s="55"/>
      <c r="AU2309" s="38"/>
      <c r="AV2309" s="55"/>
      <c r="AW2309" s="38"/>
      <c r="AX2309" s="55"/>
      <c r="AY2309" s="38"/>
      <c r="AZ2309" s="55"/>
      <c r="BA2309" s="38"/>
      <c r="BB2309" s="55"/>
      <c r="BC2309" s="38"/>
      <c r="BD2309" s="55"/>
      <c r="BE2309" s="38"/>
      <c r="BF2309" s="55"/>
    </row>
    <row r="2310">
      <c r="A2310" s="52"/>
      <c r="D2310" s="351"/>
      <c r="E2310" s="351"/>
      <c r="F2310" s="1949"/>
      <c r="G2310" s="353"/>
      <c r="H2310" s="353"/>
      <c r="I2310" s="55"/>
      <c r="J2310" s="55"/>
      <c r="K2310" s="55"/>
      <c r="L2310" s="961"/>
      <c r="M2310" s="55"/>
      <c r="N2310" s="55"/>
      <c r="O2310" s="27" t="str">
        <f t="shared" si="793"/>
        <v>#N/A</v>
      </c>
      <c r="P2310" s="55"/>
      <c r="Q2310" s="55"/>
      <c r="R2310" s="55"/>
      <c r="S2310" s="55"/>
      <c r="T2310" s="55"/>
      <c r="U2310" s="55"/>
      <c r="V2310" s="30"/>
      <c r="W2310" s="30"/>
      <c r="X2310" s="58"/>
      <c r="Y2310" s="58"/>
      <c r="Z2310" s="692"/>
      <c r="AA2310" s="665"/>
      <c r="AB2310" s="55"/>
      <c r="AC2310" s="55"/>
      <c r="AD2310" s="355"/>
      <c r="AE2310" s="38"/>
      <c r="AF2310" s="355"/>
      <c r="AG2310" s="38"/>
      <c r="AH2310" s="55"/>
      <c r="AI2310" s="38"/>
      <c r="AJ2310" s="55"/>
      <c r="AK2310" s="38"/>
      <c r="AL2310" s="55"/>
      <c r="AM2310" s="38"/>
      <c r="AN2310" s="55"/>
      <c r="AO2310" s="38"/>
      <c r="AP2310" s="356"/>
      <c r="AQ2310" s="38"/>
      <c r="AR2310" s="55"/>
      <c r="AS2310" s="38"/>
      <c r="AT2310" s="55"/>
      <c r="AU2310" s="38"/>
      <c r="AV2310" s="55"/>
      <c r="AW2310" s="38"/>
      <c r="AX2310" s="55"/>
      <c r="AY2310" s="38"/>
      <c r="AZ2310" s="55"/>
      <c r="BA2310" s="38"/>
      <c r="BB2310" s="55"/>
      <c r="BC2310" s="38"/>
      <c r="BD2310" s="55"/>
      <c r="BE2310" s="38"/>
      <c r="BF2310" s="55"/>
    </row>
    <row r="2311">
      <c r="A2311" s="52"/>
      <c r="D2311" s="351"/>
      <c r="E2311" s="351"/>
      <c r="F2311" s="1949"/>
      <c r="G2311" s="353"/>
      <c r="H2311" s="353"/>
      <c r="I2311" s="55"/>
      <c r="J2311" s="55"/>
      <c r="K2311" s="55"/>
      <c r="L2311" s="961"/>
      <c r="M2311" s="55"/>
      <c r="N2311" s="55"/>
      <c r="O2311" s="27" t="str">
        <f t="shared" si="793"/>
        <v>#N/A</v>
      </c>
      <c r="P2311" s="55"/>
      <c r="Q2311" s="55"/>
      <c r="R2311" s="55"/>
      <c r="S2311" s="55"/>
      <c r="T2311" s="55"/>
      <c r="U2311" s="55"/>
      <c r="V2311" s="30"/>
      <c r="W2311" s="30"/>
      <c r="X2311" s="58"/>
      <c r="Y2311" s="58"/>
      <c r="Z2311" s="692"/>
      <c r="AA2311" s="665"/>
      <c r="AB2311" s="55"/>
      <c r="AC2311" s="55"/>
      <c r="AD2311" s="355"/>
      <c r="AE2311" s="38"/>
      <c r="AF2311" s="355"/>
      <c r="AG2311" s="38"/>
      <c r="AH2311" s="55"/>
      <c r="AI2311" s="38"/>
      <c r="AJ2311" s="55"/>
      <c r="AK2311" s="38"/>
      <c r="AL2311" s="55"/>
      <c r="AM2311" s="38"/>
      <c r="AN2311" s="55"/>
      <c r="AO2311" s="38"/>
      <c r="AP2311" s="356"/>
      <c r="AQ2311" s="38"/>
      <c r="AR2311" s="55"/>
      <c r="AS2311" s="38"/>
      <c r="AT2311" s="55"/>
      <c r="AU2311" s="38"/>
      <c r="AV2311" s="55"/>
      <c r="AW2311" s="38"/>
      <c r="AX2311" s="55"/>
      <c r="AY2311" s="38"/>
      <c r="AZ2311" s="55"/>
      <c r="BA2311" s="38"/>
      <c r="BB2311" s="55"/>
      <c r="BC2311" s="38"/>
      <c r="BD2311" s="55"/>
      <c r="BE2311" s="38"/>
      <c r="BF2311" s="55"/>
    </row>
    <row r="2312">
      <c r="A2312" s="52"/>
      <c r="D2312" s="351"/>
      <c r="E2312" s="351"/>
      <c r="F2312" s="1949"/>
      <c r="G2312" s="353"/>
      <c r="H2312" s="353"/>
      <c r="I2312" s="55"/>
      <c r="J2312" s="55"/>
      <c r="K2312" s="55"/>
      <c r="L2312" s="961"/>
      <c r="M2312" s="55"/>
      <c r="N2312" s="55"/>
      <c r="O2312" s="27" t="str">
        <f t="shared" si="793"/>
        <v>#N/A</v>
      </c>
      <c r="P2312" s="55"/>
      <c r="Q2312" s="55"/>
      <c r="R2312" s="55"/>
      <c r="S2312" s="55"/>
      <c r="T2312" s="55"/>
      <c r="U2312" s="55"/>
      <c r="V2312" s="30"/>
      <c r="W2312" s="30"/>
      <c r="X2312" s="58"/>
      <c r="Y2312" s="58"/>
      <c r="Z2312" s="692"/>
      <c r="AA2312" s="665"/>
      <c r="AB2312" s="55"/>
      <c r="AC2312" s="55"/>
      <c r="AD2312" s="355"/>
      <c r="AE2312" s="38"/>
      <c r="AF2312" s="355"/>
      <c r="AG2312" s="38"/>
      <c r="AH2312" s="55"/>
      <c r="AI2312" s="38"/>
      <c r="AJ2312" s="55"/>
      <c r="AK2312" s="38"/>
      <c r="AL2312" s="55"/>
      <c r="AM2312" s="38"/>
      <c r="AN2312" s="55"/>
      <c r="AO2312" s="38"/>
      <c r="AP2312" s="356"/>
      <c r="AQ2312" s="38"/>
      <c r="AR2312" s="55"/>
      <c r="AS2312" s="38"/>
      <c r="AT2312" s="55"/>
      <c r="AU2312" s="38"/>
      <c r="AV2312" s="55"/>
      <c r="AW2312" s="38"/>
      <c r="AX2312" s="55"/>
      <c r="AY2312" s="38"/>
      <c r="AZ2312" s="55"/>
      <c r="BA2312" s="38"/>
      <c r="BB2312" s="55"/>
      <c r="BC2312" s="38"/>
      <c r="BD2312" s="55"/>
      <c r="BE2312" s="38"/>
      <c r="BF2312" s="55"/>
    </row>
    <row r="2313">
      <c r="A2313" s="52"/>
      <c r="D2313" s="351"/>
      <c r="E2313" s="351"/>
      <c r="F2313" s="1949"/>
      <c r="G2313" s="353"/>
      <c r="H2313" s="353"/>
      <c r="I2313" s="55"/>
      <c r="J2313" s="55"/>
      <c r="K2313" s="55"/>
      <c r="L2313" s="961"/>
      <c r="M2313" s="55"/>
      <c r="N2313" s="55"/>
      <c r="O2313" s="27" t="str">
        <f t="shared" si="793"/>
        <v>#N/A</v>
      </c>
      <c r="P2313" s="55"/>
      <c r="Q2313" s="55"/>
      <c r="R2313" s="55"/>
      <c r="S2313" s="55"/>
      <c r="T2313" s="55"/>
      <c r="U2313" s="55"/>
      <c r="V2313" s="30"/>
      <c r="W2313" s="30"/>
      <c r="X2313" s="58"/>
      <c r="Y2313" s="58"/>
      <c r="Z2313" s="692"/>
      <c r="AA2313" s="665"/>
      <c r="AB2313" s="55"/>
      <c r="AC2313" s="55"/>
      <c r="AD2313" s="355"/>
      <c r="AE2313" s="38"/>
      <c r="AF2313" s="355"/>
      <c r="AG2313" s="38"/>
      <c r="AH2313" s="55"/>
      <c r="AI2313" s="38"/>
      <c r="AJ2313" s="55"/>
      <c r="AK2313" s="38"/>
      <c r="AL2313" s="55"/>
      <c r="AM2313" s="38"/>
      <c r="AN2313" s="55"/>
      <c r="AO2313" s="38"/>
      <c r="AP2313" s="356"/>
      <c r="AQ2313" s="38"/>
      <c r="AR2313" s="55"/>
      <c r="AS2313" s="38"/>
      <c r="AT2313" s="55"/>
      <c r="AU2313" s="38"/>
      <c r="AV2313" s="55"/>
      <c r="AW2313" s="38"/>
      <c r="AX2313" s="55"/>
      <c r="AY2313" s="38"/>
      <c r="AZ2313" s="55"/>
      <c r="BA2313" s="38"/>
      <c r="BB2313" s="55"/>
      <c r="BC2313" s="38"/>
      <c r="BD2313" s="55"/>
      <c r="BE2313" s="38"/>
      <c r="BF2313" s="55"/>
    </row>
    <row r="2314">
      <c r="A2314" s="52"/>
      <c r="D2314" s="351"/>
      <c r="E2314" s="351"/>
      <c r="F2314" s="1949"/>
      <c r="G2314" s="353"/>
      <c r="H2314" s="353"/>
      <c r="I2314" s="55"/>
      <c r="J2314" s="55"/>
      <c r="K2314" s="55"/>
      <c r="L2314" s="961"/>
      <c r="M2314" s="55"/>
      <c r="N2314" s="55"/>
      <c r="O2314" s="27" t="str">
        <f t="shared" si="793"/>
        <v>#N/A</v>
      </c>
      <c r="P2314" s="55"/>
      <c r="Q2314" s="55"/>
      <c r="R2314" s="55"/>
      <c r="S2314" s="55"/>
      <c r="T2314" s="55"/>
      <c r="U2314" s="55"/>
      <c r="V2314" s="30"/>
      <c r="W2314" s="30"/>
      <c r="X2314" s="58"/>
      <c r="Y2314" s="58"/>
      <c r="Z2314" s="692"/>
      <c r="AA2314" s="665"/>
      <c r="AB2314" s="55"/>
      <c r="AC2314" s="55"/>
      <c r="AD2314" s="355"/>
      <c r="AE2314" s="38"/>
      <c r="AF2314" s="355"/>
      <c r="AG2314" s="38"/>
      <c r="AH2314" s="55"/>
      <c r="AI2314" s="38"/>
      <c r="AJ2314" s="55"/>
      <c r="AK2314" s="38"/>
      <c r="AL2314" s="55"/>
      <c r="AM2314" s="38"/>
      <c r="AN2314" s="55"/>
      <c r="AO2314" s="38"/>
      <c r="AP2314" s="356"/>
      <c r="AQ2314" s="38"/>
      <c r="AR2314" s="55"/>
      <c r="AS2314" s="38"/>
      <c r="AT2314" s="55"/>
      <c r="AU2314" s="38"/>
      <c r="AV2314" s="55"/>
      <c r="AW2314" s="38"/>
      <c r="AX2314" s="55"/>
      <c r="AY2314" s="38"/>
      <c r="AZ2314" s="55"/>
      <c r="BA2314" s="38"/>
      <c r="BB2314" s="55"/>
      <c r="BC2314" s="38"/>
      <c r="BD2314" s="55"/>
      <c r="BE2314" s="38"/>
      <c r="BF2314" s="55"/>
    </row>
    <row r="2315">
      <c r="A2315" s="52"/>
      <c r="D2315" s="351"/>
      <c r="E2315" s="351"/>
      <c r="F2315" s="1949"/>
      <c r="G2315" s="353"/>
      <c r="H2315" s="353"/>
      <c r="I2315" s="55"/>
      <c r="J2315" s="55"/>
      <c r="K2315" s="55"/>
      <c r="L2315" s="961"/>
      <c r="M2315" s="55"/>
      <c r="N2315" s="55"/>
      <c r="O2315" s="27" t="str">
        <f t="shared" si="793"/>
        <v>#N/A</v>
      </c>
      <c r="P2315" s="55"/>
      <c r="Q2315" s="55"/>
      <c r="R2315" s="55"/>
      <c r="S2315" s="55"/>
      <c r="T2315" s="55"/>
      <c r="U2315" s="55"/>
      <c r="V2315" s="30"/>
      <c r="W2315" s="30"/>
      <c r="X2315" s="58"/>
      <c r="Y2315" s="58"/>
      <c r="Z2315" s="692"/>
      <c r="AA2315" s="665"/>
      <c r="AB2315" s="55"/>
      <c r="AC2315" s="55"/>
      <c r="AD2315" s="355"/>
      <c r="AE2315" s="38"/>
      <c r="AF2315" s="355"/>
      <c r="AG2315" s="38"/>
      <c r="AH2315" s="55"/>
      <c r="AI2315" s="38"/>
      <c r="AJ2315" s="55"/>
      <c r="AK2315" s="38"/>
      <c r="AL2315" s="55"/>
      <c r="AM2315" s="38"/>
      <c r="AN2315" s="55"/>
      <c r="AO2315" s="38"/>
      <c r="AP2315" s="356"/>
      <c r="AQ2315" s="38"/>
      <c r="AR2315" s="55"/>
      <c r="AS2315" s="38"/>
      <c r="AT2315" s="55"/>
      <c r="AU2315" s="38"/>
      <c r="AV2315" s="55"/>
      <c r="AW2315" s="38"/>
      <c r="AX2315" s="55"/>
      <c r="AY2315" s="38"/>
      <c r="AZ2315" s="55"/>
      <c r="BA2315" s="38"/>
      <c r="BB2315" s="55"/>
      <c r="BC2315" s="38"/>
      <c r="BD2315" s="55"/>
      <c r="BE2315" s="38"/>
      <c r="BF2315" s="55"/>
    </row>
    <row r="2316">
      <c r="A2316" s="52"/>
      <c r="D2316" s="351"/>
      <c r="E2316" s="351"/>
      <c r="F2316" s="1949"/>
      <c r="G2316" s="353"/>
      <c r="H2316" s="353"/>
      <c r="I2316" s="55"/>
      <c r="J2316" s="55"/>
      <c r="K2316" s="55"/>
      <c r="L2316" s="961"/>
      <c r="M2316" s="55"/>
      <c r="N2316" s="55"/>
      <c r="O2316" s="27" t="str">
        <f t="shared" si="793"/>
        <v>#N/A</v>
      </c>
      <c r="P2316" s="55"/>
      <c r="Q2316" s="55"/>
      <c r="R2316" s="55"/>
      <c r="S2316" s="55"/>
      <c r="T2316" s="55"/>
      <c r="U2316" s="55"/>
      <c r="V2316" s="30"/>
      <c r="W2316" s="30"/>
      <c r="X2316" s="58"/>
      <c r="Y2316" s="58"/>
      <c r="Z2316" s="692"/>
      <c r="AA2316" s="665"/>
      <c r="AB2316" s="55"/>
      <c r="AC2316" s="55"/>
      <c r="AD2316" s="355"/>
      <c r="AE2316" s="38"/>
      <c r="AF2316" s="355"/>
      <c r="AG2316" s="38"/>
      <c r="AH2316" s="55"/>
      <c r="AI2316" s="38"/>
      <c r="AJ2316" s="55"/>
      <c r="AK2316" s="38"/>
      <c r="AL2316" s="55"/>
      <c r="AM2316" s="38"/>
      <c r="AN2316" s="55"/>
      <c r="AO2316" s="38"/>
      <c r="AP2316" s="356"/>
      <c r="AQ2316" s="38"/>
      <c r="AR2316" s="55"/>
      <c r="AS2316" s="38"/>
      <c r="AT2316" s="55"/>
      <c r="AU2316" s="38"/>
      <c r="AV2316" s="55"/>
      <c r="AW2316" s="38"/>
      <c r="AX2316" s="55"/>
      <c r="AY2316" s="38"/>
      <c r="AZ2316" s="55"/>
      <c r="BA2316" s="38"/>
      <c r="BB2316" s="55"/>
      <c r="BC2316" s="38"/>
      <c r="BD2316" s="55"/>
      <c r="BE2316" s="38"/>
      <c r="BF2316" s="55"/>
    </row>
    <row r="2317">
      <c r="A2317" s="52"/>
      <c r="D2317" s="351"/>
      <c r="E2317" s="351"/>
      <c r="F2317" s="1949"/>
      <c r="G2317" s="353"/>
      <c r="H2317" s="353"/>
      <c r="I2317" s="55"/>
      <c r="J2317" s="55"/>
      <c r="K2317" s="55"/>
      <c r="L2317" s="961"/>
      <c r="M2317" s="55"/>
      <c r="N2317" s="55"/>
      <c r="O2317" s="27" t="str">
        <f t="shared" si="793"/>
        <v>#N/A</v>
      </c>
      <c r="P2317" s="55"/>
      <c r="Q2317" s="55"/>
      <c r="R2317" s="55"/>
      <c r="S2317" s="55"/>
      <c r="T2317" s="55"/>
      <c r="U2317" s="55"/>
      <c r="V2317" s="30"/>
      <c r="W2317" s="30"/>
      <c r="X2317" s="58"/>
      <c r="Y2317" s="58"/>
      <c r="Z2317" s="692"/>
      <c r="AA2317" s="665"/>
      <c r="AB2317" s="55"/>
      <c r="AC2317" s="55"/>
      <c r="AD2317" s="355"/>
      <c r="AE2317" s="38"/>
      <c r="AF2317" s="355"/>
      <c r="AG2317" s="38"/>
      <c r="AH2317" s="55"/>
      <c r="AI2317" s="38"/>
      <c r="AJ2317" s="55"/>
      <c r="AK2317" s="38"/>
      <c r="AL2317" s="55"/>
      <c r="AM2317" s="38"/>
      <c r="AN2317" s="55"/>
      <c r="AO2317" s="38"/>
      <c r="AP2317" s="356"/>
      <c r="AQ2317" s="38"/>
      <c r="AR2317" s="55"/>
      <c r="AS2317" s="38"/>
      <c r="AT2317" s="55"/>
      <c r="AU2317" s="38"/>
      <c r="AV2317" s="55"/>
      <c r="AW2317" s="38"/>
      <c r="AX2317" s="55"/>
      <c r="AY2317" s="38"/>
      <c r="AZ2317" s="55"/>
      <c r="BA2317" s="38"/>
      <c r="BB2317" s="55"/>
      <c r="BC2317" s="38"/>
      <c r="BD2317" s="55"/>
      <c r="BE2317" s="38"/>
      <c r="BF2317" s="55"/>
    </row>
    <row r="2318">
      <c r="A2318" s="52"/>
      <c r="D2318" s="351"/>
      <c r="E2318" s="351"/>
      <c r="F2318" s="1949"/>
      <c r="G2318" s="353"/>
      <c r="H2318" s="353"/>
      <c r="I2318" s="55"/>
      <c r="J2318" s="55"/>
      <c r="K2318" s="55"/>
      <c r="L2318" s="961"/>
      <c r="M2318" s="55"/>
      <c r="N2318" s="55"/>
      <c r="O2318" s="27" t="str">
        <f t="shared" si="793"/>
        <v>#N/A</v>
      </c>
      <c r="P2318" s="55"/>
      <c r="Q2318" s="55"/>
      <c r="R2318" s="55"/>
      <c r="S2318" s="55"/>
      <c r="T2318" s="55"/>
      <c r="U2318" s="55"/>
      <c r="V2318" s="30"/>
      <c r="W2318" s="30"/>
      <c r="X2318" s="58"/>
      <c r="Y2318" s="58"/>
      <c r="Z2318" s="692"/>
      <c r="AA2318" s="665"/>
      <c r="AB2318" s="55"/>
      <c r="AC2318" s="55"/>
      <c r="AD2318" s="355"/>
      <c r="AE2318" s="38"/>
      <c r="AF2318" s="355"/>
      <c r="AG2318" s="38"/>
      <c r="AH2318" s="55"/>
      <c r="AI2318" s="38"/>
      <c r="AJ2318" s="55"/>
      <c r="AK2318" s="38"/>
      <c r="AL2318" s="55"/>
      <c r="AM2318" s="38"/>
      <c r="AN2318" s="55"/>
      <c r="AO2318" s="38"/>
      <c r="AP2318" s="356"/>
      <c r="AQ2318" s="38"/>
      <c r="AR2318" s="55"/>
      <c r="AS2318" s="38"/>
      <c r="AT2318" s="55"/>
      <c r="AU2318" s="38"/>
      <c r="AV2318" s="55"/>
      <c r="AW2318" s="38"/>
      <c r="AX2318" s="55"/>
      <c r="AY2318" s="38"/>
      <c r="AZ2318" s="55"/>
      <c r="BA2318" s="38"/>
      <c r="BB2318" s="55"/>
      <c r="BC2318" s="38"/>
      <c r="BD2318" s="55"/>
      <c r="BE2318" s="38"/>
      <c r="BF2318" s="55"/>
    </row>
    <row r="2319">
      <c r="A2319" s="52"/>
      <c r="D2319" s="351"/>
      <c r="E2319" s="351"/>
      <c r="F2319" s="1949"/>
      <c r="G2319" s="353"/>
      <c r="H2319" s="353"/>
      <c r="I2319" s="55"/>
      <c r="J2319" s="55"/>
      <c r="K2319" s="55"/>
      <c r="L2319" s="961"/>
      <c r="M2319" s="55"/>
      <c r="N2319" s="55"/>
      <c r="O2319" s="27" t="str">
        <f t="shared" si="793"/>
        <v>#N/A</v>
      </c>
      <c r="P2319" s="55"/>
      <c r="Q2319" s="55"/>
      <c r="R2319" s="55"/>
      <c r="S2319" s="55"/>
      <c r="T2319" s="55"/>
      <c r="U2319" s="55"/>
      <c r="V2319" s="30"/>
      <c r="W2319" s="30"/>
      <c r="X2319" s="58"/>
      <c r="Y2319" s="58"/>
      <c r="Z2319" s="692"/>
      <c r="AA2319" s="665"/>
      <c r="AB2319" s="55"/>
      <c r="AC2319" s="55"/>
      <c r="AD2319" s="355"/>
      <c r="AE2319" s="38"/>
      <c r="AF2319" s="355"/>
      <c r="AG2319" s="38"/>
      <c r="AH2319" s="55"/>
      <c r="AI2319" s="38"/>
      <c r="AJ2319" s="55"/>
      <c r="AK2319" s="38"/>
      <c r="AL2319" s="55"/>
      <c r="AM2319" s="38"/>
      <c r="AN2319" s="55"/>
      <c r="AO2319" s="38"/>
      <c r="AP2319" s="356"/>
      <c r="AQ2319" s="38"/>
      <c r="AR2319" s="55"/>
      <c r="AS2319" s="38"/>
      <c r="AT2319" s="55"/>
      <c r="AU2319" s="38"/>
      <c r="AV2319" s="55"/>
      <c r="AW2319" s="38"/>
      <c r="AX2319" s="55"/>
      <c r="AY2319" s="38"/>
      <c r="AZ2319" s="55"/>
      <c r="BA2319" s="38"/>
      <c r="BB2319" s="55"/>
      <c r="BC2319" s="38"/>
      <c r="BD2319" s="55"/>
      <c r="BE2319" s="38"/>
      <c r="BF2319" s="55"/>
    </row>
    <row r="2320">
      <c r="A2320" s="52"/>
      <c r="D2320" s="351"/>
      <c r="E2320" s="351"/>
      <c r="F2320" s="1949"/>
      <c r="G2320" s="353"/>
      <c r="H2320" s="353"/>
      <c r="I2320" s="55"/>
      <c r="J2320" s="55"/>
      <c r="K2320" s="55"/>
      <c r="L2320" s="961"/>
      <c r="M2320" s="55"/>
      <c r="N2320" s="55"/>
      <c r="O2320" s="27" t="str">
        <f t="shared" si="793"/>
        <v>#N/A</v>
      </c>
      <c r="P2320" s="55"/>
      <c r="Q2320" s="55"/>
      <c r="R2320" s="55"/>
      <c r="S2320" s="55"/>
      <c r="T2320" s="55"/>
      <c r="U2320" s="55"/>
      <c r="V2320" s="30"/>
      <c r="W2320" s="30"/>
      <c r="X2320" s="58"/>
      <c r="Y2320" s="58"/>
      <c r="Z2320" s="692"/>
      <c r="AA2320" s="665"/>
      <c r="AB2320" s="55"/>
      <c r="AC2320" s="55"/>
      <c r="AD2320" s="355"/>
      <c r="AE2320" s="38"/>
      <c r="AF2320" s="355"/>
      <c r="AG2320" s="38"/>
      <c r="AH2320" s="55"/>
      <c r="AI2320" s="38"/>
      <c r="AJ2320" s="55"/>
      <c r="AK2320" s="38"/>
      <c r="AL2320" s="55"/>
      <c r="AM2320" s="38"/>
      <c r="AN2320" s="55"/>
      <c r="AO2320" s="38"/>
      <c r="AP2320" s="356"/>
      <c r="AQ2320" s="38"/>
      <c r="AR2320" s="55"/>
      <c r="AS2320" s="38"/>
      <c r="AT2320" s="55"/>
      <c r="AU2320" s="38"/>
      <c r="AV2320" s="55"/>
      <c r="AW2320" s="38"/>
      <c r="AX2320" s="55"/>
      <c r="AY2320" s="38"/>
      <c r="AZ2320" s="55"/>
      <c r="BA2320" s="38"/>
      <c r="BB2320" s="55"/>
      <c r="BC2320" s="38"/>
      <c r="BD2320" s="55"/>
      <c r="BE2320" s="38"/>
      <c r="BF2320" s="55"/>
    </row>
    <row r="2321">
      <c r="A2321" s="52"/>
      <c r="D2321" s="351"/>
      <c r="E2321" s="351"/>
      <c r="F2321" s="1949"/>
      <c r="G2321" s="353"/>
      <c r="H2321" s="353"/>
      <c r="I2321" s="55"/>
      <c r="J2321" s="55"/>
      <c r="K2321" s="55"/>
      <c r="L2321" s="961"/>
      <c r="M2321" s="55"/>
      <c r="N2321" s="55"/>
      <c r="O2321" s="27" t="str">
        <f t="shared" si="793"/>
        <v>#N/A</v>
      </c>
      <c r="P2321" s="55"/>
      <c r="Q2321" s="55"/>
      <c r="R2321" s="55"/>
      <c r="S2321" s="55"/>
      <c r="T2321" s="55"/>
      <c r="U2321" s="55"/>
      <c r="V2321" s="30"/>
      <c r="W2321" s="30"/>
      <c r="X2321" s="58"/>
      <c r="Y2321" s="58"/>
      <c r="Z2321" s="692"/>
      <c r="AA2321" s="665"/>
      <c r="AB2321" s="55"/>
      <c r="AC2321" s="55"/>
      <c r="AD2321" s="355"/>
      <c r="AE2321" s="38"/>
      <c r="AF2321" s="355"/>
      <c r="AG2321" s="38"/>
      <c r="AH2321" s="55"/>
      <c r="AI2321" s="38"/>
      <c r="AJ2321" s="55"/>
      <c r="AK2321" s="38"/>
      <c r="AL2321" s="55"/>
      <c r="AM2321" s="38"/>
      <c r="AN2321" s="55"/>
      <c r="AO2321" s="38"/>
      <c r="AP2321" s="356"/>
      <c r="AQ2321" s="38"/>
      <c r="AR2321" s="55"/>
      <c r="AS2321" s="38"/>
      <c r="AT2321" s="55"/>
      <c r="AU2321" s="38"/>
      <c r="AV2321" s="55"/>
      <c r="AW2321" s="38"/>
      <c r="AX2321" s="55"/>
      <c r="AY2321" s="38"/>
      <c r="AZ2321" s="55"/>
      <c r="BA2321" s="38"/>
      <c r="BB2321" s="55"/>
      <c r="BC2321" s="38"/>
      <c r="BD2321" s="55"/>
      <c r="BE2321" s="38"/>
      <c r="BF2321" s="55"/>
    </row>
    <row r="2322">
      <c r="A2322" s="52"/>
      <c r="D2322" s="351"/>
      <c r="E2322" s="351"/>
      <c r="F2322" s="1949"/>
      <c r="G2322" s="353"/>
      <c r="H2322" s="353"/>
      <c r="I2322" s="55"/>
      <c r="J2322" s="55"/>
      <c r="K2322" s="55"/>
      <c r="L2322" s="961"/>
      <c r="M2322" s="55"/>
      <c r="N2322" s="55"/>
      <c r="O2322" s="27" t="str">
        <f t="shared" si="793"/>
        <v>#N/A</v>
      </c>
      <c r="P2322" s="55"/>
      <c r="Q2322" s="55"/>
      <c r="R2322" s="55"/>
      <c r="S2322" s="55"/>
      <c r="T2322" s="55"/>
      <c r="U2322" s="55"/>
      <c r="V2322" s="30"/>
      <c r="W2322" s="30"/>
      <c r="X2322" s="58"/>
      <c r="Y2322" s="58"/>
      <c r="Z2322" s="692"/>
      <c r="AA2322" s="665"/>
      <c r="AB2322" s="55"/>
      <c r="AC2322" s="55"/>
      <c r="AD2322" s="355"/>
      <c r="AE2322" s="38"/>
      <c r="AF2322" s="355"/>
      <c r="AG2322" s="38"/>
      <c r="AH2322" s="55"/>
      <c r="AI2322" s="38"/>
      <c r="AJ2322" s="55"/>
      <c r="AK2322" s="38"/>
      <c r="AL2322" s="55"/>
      <c r="AM2322" s="38"/>
      <c r="AN2322" s="55"/>
      <c r="AO2322" s="38"/>
      <c r="AP2322" s="356"/>
      <c r="AQ2322" s="38"/>
      <c r="AR2322" s="55"/>
      <c r="AS2322" s="38"/>
      <c r="AT2322" s="55"/>
      <c r="AU2322" s="38"/>
      <c r="AV2322" s="55"/>
      <c r="AW2322" s="38"/>
      <c r="AX2322" s="55"/>
      <c r="AY2322" s="38"/>
      <c r="AZ2322" s="55"/>
      <c r="BA2322" s="38"/>
      <c r="BB2322" s="55"/>
      <c r="BC2322" s="38"/>
      <c r="BD2322" s="55"/>
      <c r="BE2322" s="38"/>
      <c r="BF2322" s="55"/>
    </row>
    <row r="2323">
      <c r="A2323" s="52"/>
      <c r="D2323" s="351"/>
      <c r="E2323" s="351"/>
      <c r="F2323" s="1949"/>
      <c r="G2323" s="353"/>
      <c r="H2323" s="353"/>
      <c r="I2323" s="55"/>
      <c r="J2323" s="55"/>
      <c r="K2323" s="55"/>
      <c r="L2323" s="961"/>
      <c r="M2323" s="55"/>
      <c r="N2323" s="55"/>
      <c r="O2323" s="27" t="str">
        <f t="shared" si="793"/>
        <v>#N/A</v>
      </c>
      <c r="P2323" s="55"/>
      <c r="Q2323" s="55"/>
      <c r="R2323" s="55"/>
      <c r="S2323" s="55"/>
      <c r="T2323" s="55"/>
      <c r="U2323" s="55"/>
      <c r="V2323" s="30"/>
      <c r="W2323" s="30"/>
      <c r="X2323" s="58"/>
      <c r="Y2323" s="58"/>
      <c r="Z2323" s="692"/>
      <c r="AA2323" s="665"/>
      <c r="AB2323" s="55"/>
      <c r="AC2323" s="55"/>
      <c r="AD2323" s="355"/>
      <c r="AE2323" s="38"/>
      <c r="AF2323" s="355"/>
      <c r="AG2323" s="38"/>
      <c r="AH2323" s="55"/>
      <c r="AI2323" s="38"/>
      <c r="AJ2323" s="55"/>
      <c r="AK2323" s="38"/>
      <c r="AL2323" s="55"/>
      <c r="AM2323" s="38"/>
      <c r="AN2323" s="55"/>
      <c r="AO2323" s="38"/>
      <c r="AP2323" s="356"/>
      <c r="AQ2323" s="38"/>
      <c r="AR2323" s="55"/>
      <c r="AS2323" s="38"/>
      <c r="AT2323" s="55"/>
      <c r="AU2323" s="38"/>
      <c r="AV2323" s="55"/>
      <c r="AW2323" s="38"/>
      <c r="AX2323" s="55"/>
      <c r="AY2323" s="38"/>
      <c r="AZ2323" s="55"/>
      <c r="BA2323" s="38"/>
      <c r="BB2323" s="55"/>
      <c r="BC2323" s="38"/>
      <c r="BD2323" s="55"/>
      <c r="BE2323" s="38"/>
      <c r="BF2323" s="55"/>
    </row>
    <row r="2324">
      <c r="A2324" s="52"/>
      <c r="D2324" s="351"/>
      <c r="E2324" s="351"/>
      <c r="F2324" s="1949"/>
      <c r="G2324" s="353"/>
      <c r="H2324" s="353"/>
      <c r="I2324" s="55"/>
      <c r="J2324" s="55"/>
      <c r="K2324" s="55"/>
      <c r="L2324" s="961"/>
      <c r="M2324" s="55"/>
      <c r="N2324" s="55"/>
      <c r="O2324" s="27" t="str">
        <f t="shared" si="793"/>
        <v>#N/A</v>
      </c>
      <c r="P2324" s="55"/>
      <c r="Q2324" s="55"/>
      <c r="R2324" s="55"/>
      <c r="S2324" s="55"/>
      <c r="T2324" s="55"/>
      <c r="U2324" s="55"/>
      <c r="V2324" s="30"/>
      <c r="W2324" s="30"/>
      <c r="X2324" s="58"/>
      <c r="Y2324" s="58"/>
      <c r="Z2324" s="692"/>
      <c r="AA2324" s="665"/>
      <c r="AB2324" s="55"/>
      <c r="AC2324" s="55"/>
      <c r="AD2324" s="355"/>
      <c r="AE2324" s="38"/>
      <c r="AF2324" s="355"/>
      <c r="AG2324" s="38"/>
      <c r="AH2324" s="55"/>
      <c r="AI2324" s="38"/>
      <c r="AJ2324" s="55"/>
      <c r="AK2324" s="38"/>
      <c r="AL2324" s="55"/>
      <c r="AM2324" s="38"/>
      <c r="AN2324" s="55"/>
      <c r="AO2324" s="38"/>
      <c r="AP2324" s="356"/>
      <c r="AQ2324" s="38"/>
      <c r="AR2324" s="55"/>
      <c r="AS2324" s="38"/>
      <c r="AT2324" s="55"/>
      <c r="AU2324" s="38"/>
      <c r="AV2324" s="55"/>
      <c r="AW2324" s="38"/>
      <c r="AX2324" s="55"/>
      <c r="AY2324" s="38"/>
      <c r="AZ2324" s="55"/>
      <c r="BA2324" s="38"/>
      <c r="BB2324" s="55"/>
      <c r="BC2324" s="38"/>
      <c r="BD2324" s="55"/>
      <c r="BE2324" s="38"/>
      <c r="BF2324" s="55"/>
    </row>
    <row r="2325">
      <c r="A2325" s="52"/>
      <c r="D2325" s="351"/>
      <c r="E2325" s="351"/>
      <c r="F2325" s="1949"/>
      <c r="G2325" s="353"/>
      <c r="H2325" s="353"/>
      <c r="I2325" s="55"/>
      <c r="J2325" s="55"/>
      <c r="K2325" s="55"/>
      <c r="L2325" s="961"/>
      <c r="M2325" s="55"/>
      <c r="N2325" s="55"/>
      <c r="O2325" s="27" t="str">
        <f t="shared" si="793"/>
        <v>#N/A</v>
      </c>
      <c r="P2325" s="55"/>
      <c r="Q2325" s="55"/>
      <c r="R2325" s="55"/>
      <c r="S2325" s="55"/>
      <c r="T2325" s="55"/>
      <c r="U2325" s="55"/>
      <c r="V2325" s="30"/>
      <c r="W2325" s="30"/>
      <c r="X2325" s="58"/>
      <c r="Y2325" s="58"/>
      <c r="Z2325" s="692"/>
      <c r="AA2325" s="665"/>
      <c r="AB2325" s="55"/>
      <c r="AC2325" s="55"/>
      <c r="AD2325" s="355"/>
      <c r="AE2325" s="38"/>
      <c r="AF2325" s="355"/>
      <c r="AG2325" s="38"/>
      <c r="AH2325" s="55"/>
      <c r="AI2325" s="38"/>
      <c r="AJ2325" s="55"/>
      <c r="AK2325" s="38"/>
      <c r="AL2325" s="55"/>
      <c r="AM2325" s="38"/>
      <c r="AN2325" s="55"/>
      <c r="AO2325" s="38"/>
      <c r="AP2325" s="356"/>
      <c r="AQ2325" s="38"/>
      <c r="AR2325" s="55"/>
      <c r="AS2325" s="38"/>
      <c r="AT2325" s="55"/>
      <c r="AU2325" s="38"/>
      <c r="AV2325" s="55"/>
      <c r="AW2325" s="38"/>
      <c r="AX2325" s="55"/>
      <c r="AY2325" s="38"/>
      <c r="AZ2325" s="55"/>
      <c r="BA2325" s="38"/>
      <c r="BB2325" s="55"/>
      <c r="BC2325" s="38"/>
      <c r="BD2325" s="55"/>
      <c r="BE2325" s="38"/>
      <c r="BF2325" s="55"/>
    </row>
    <row r="2326">
      <c r="A2326" s="52"/>
      <c r="D2326" s="351"/>
      <c r="E2326" s="351"/>
      <c r="F2326" s="1949"/>
      <c r="G2326" s="353"/>
      <c r="H2326" s="353"/>
      <c r="I2326" s="55"/>
      <c r="J2326" s="55"/>
      <c r="K2326" s="55"/>
      <c r="L2326" s="961"/>
      <c r="M2326" s="55"/>
      <c r="N2326" s="55"/>
      <c r="O2326" s="27" t="str">
        <f t="shared" si="793"/>
        <v>#N/A</v>
      </c>
      <c r="P2326" s="55"/>
      <c r="Q2326" s="55"/>
      <c r="R2326" s="55"/>
      <c r="S2326" s="55"/>
      <c r="T2326" s="55"/>
      <c r="U2326" s="55"/>
      <c r="V2326" s="30"/>
      <c r="W2326" s="30"/>
      <c r="X2326" s="58"/>
      <c r="Y2326" s="58"/>
      <c r="Z2326" s="692"/>
      <c r="AA2326" s="665"/>
      <c r="AB2326" s="55"/>
      <c r="AC2326" s="55"/>
      <c r="AD2326" s="355"/>
      <c r="AE2326" s="38"/>
      <c r="AF2326" s="355"/>
      <c r="AG2326" s="38"/>
      <c r="AH2326" s="55"/>
      <c r="AI2326" s="38"/>
      <c r="AJ2326" s="55"/>
      <c r="AK2326" s="38"/>
      <c r="AL2326" s="55"/>
      <c r="AM2326" s="38"/>
      <c r="AN2326" s="55"/>
      <c r="AO2326" s="38"/>
      <c r="AP2326" s="356"/>
      <c r="AQ2326" s="38"/>
      <c r="AR2326" s="55"/>
      <c r="AS2326" s="38"/>
      <c r="AT2326" s="55"/>
      <c r="AU2326" s="38"/>
      <c r="AV2326" s="55"/>
      <c r="AW2326" s="38"/>
      <c r="AX2326" s="55"/>
      <c r="AY2326" s="38"/>
      <c r="AZ2326" s="55"/>
      <c r="BA2326" s="38"/>
      <c r="BB2326" s="55"/>
      <c r="BC2326" s="38"/>
      <c r="BD2326" s="55"/>
      <c r="BE2326" s="38"/>
      <c r="BF2326" s="55"/>
    </row>
    <row r="2327">
      <c r="A2327" s="52"/>
      <c r="D2327" s="351"/>
      <c r="E2327" s="351"/>
      <c r="F2327" s="1949"/>
      <c r="G2327" s="353"/>
      <c r="H2327" s="353"/>
      <c r="I2327" s="55"/>
      <c r="J2327" s="55"/>
      <c r="K2327" s="55"/>
      <c r="L2327" s="961"/>
      <c r="M2327" s="55"/>
      <c r="N2327" s="55"/>
      <c r="O2327" s="27" t="str">
        <f t="shared" si="793"/>
        <v>#N/A</v>
      </c>
      <c r="P2327" s="55"/>
      <c r="Q2327" s="55"/>
      <c r="R2327" s="55"/>
      <c r="S2327" s="55"/>
      <c r="T2327" s="55"/>
      <c r="U2327" s="55"/>
      <c r="V2327" s="30"/>
      <c r="W2327" s="30"/>
      <c r="X2327" s="58"/>
      <c r="Y2327" s="58"/>
      <c r="Z2327" s="692"/>
      <c r="AA2327" s="665"/>
      <c r="AB2327" s="55"/>
      <c r="AC2327" s="55"/>
      <c r="AD2327" s="355"/>
      <c r="AE2327" s="38"/>
      <c r="AF2327" s="355"/>
      <c r="AG2327" s="38"/>
      <c r="AH2327" s="55"/>
      <c r="AI2327" s="38"/>
      <c r="AJ2327" s="55"/>
      <c r="AK2327" s="38"/>
      <c r="AL2327" s="55"/>
      <c r="AM2327" s="38"/>
      <c r="AN2327" s="55"/>
      <c r="AO2327" s="38"/>
      <c r="AP2327" s="356"/>
      <c r="AQ2327" s="38"/>
      <c r="AR2327" s="55"/>
      <c r="AS2327" s="38"/>
      <c r="AT2327" s="55"/>
      <c r="AU2327" s="38"/>
      <c r="AV2327" s="55"/>
      <c r="AW2327" s="38"/>
      <c r="AX2327" s="55"/>
      <c r="AY2327" s="38"/>
      <c r="AZ2327" s="55"/>
      <c r="BA2327" s="38"/>
      <c r="BB2327" s="55"/>
      <c r="BC2327" s="38"/>
      <c r="BD2327" s="55"/>
      <c r="BE2327" s="38"/>
      <c r="BF2327" s="55"/>
    </row>
    <row r="2328">
      <c r="A2328" s="52"/>
      <c r="D2328" s="351"/>
      <c r="E2328" s="351"/>
      <c r="F2328" s="1949"/>
      <c r="G2328" s="353"/>
      <c r="H2328" s="353"/>
      <c r="I2328" s="55"/>
      <c r="J2328" s="55"/>
      <c r="K2328" s="55"/>
      <c r="L2328" s="961"/>
      <c r="M2328" s="55"/>
      <c r="N2328" s="55"/>
      <c r="O2328" s="27" t="str">
        <f t="shared" si="793"/>
        <v>#N/A</v>
      </c>
      <c r="P2328" s="55"/>
      <c r="Q2328" s="55"/>
      <c r="R2328" s="55"/>
      <c r="S2328" s="55"/>
      <c r="T2328" s="55"/>
      <c r="U2328" s="55"/>
      <c r="V2328" s="30"/>
      <c r="W2328" s="30"/>
      <c r="X2328" s="58"/>
      <c r="Y2328" s="58"/>
      <c r="Z2328" s="692"/>
      <c r="AA2328" s="665"/>
      <c r="AB2328" s="55"/>
      <c r="AC2328" s="55"/>
      <c r="AD2328" s="355"/>
      <c r="AE2328" s="38"/>
      <c r="AF2328" s="355"/>
      <c r="AG2328" s="38"/>
      <c r="AH2328" s="55"/>
      <c r="AI2328" s="38"/>
      <c r="AJ2328" s="55"/>
      <c r="AK2328" s="38"/>
      <c r="AL2328" s="55"/>
      <c r="AM2328" s="38"/>
      <c r="AN2328" s="55"/>
      <c r="AO2328" s="38"/>
      <c r="AP2328" s="356"/>
      <c r="AQ2328" s="38"/>
      <c r="AR2328" s="55"/>
      <c r="AS2328" s="38"/>
      <c r="AT2328" s="55"/>
      <c r="AU2328" s="38"/>
      <c r="AV2328" s="55"/>
      <c r="AW2328" s="38"/>
      <c r="AX2328" s="55"/>
      <c r="AY2328" s="38"/>
      <c r="AZ2328" s="55"/>
      <c r="BA2328" s="38"/>
      <c r="BB2328" s="55"/>
      <c r="BC2328" s="38"/>
      <c r="BD2328" s="55"/>
      <c r="BE2328" s="38"/>
      <c r="BF2328" s="55"/>
    </row>
    <row r="2329">
      <c r="A2329" s="52"/>
      <c r="D2329" s="351"/>
      <c r="E2329" s="351"/>
      <c r="F2329" s="1949"/>
      <c r="G2329" s="353"/>
      <c r="H2329" s="353"/>
      <c r="I2329" s="55"/>
      <c r="J2329" s="55"/>
      <c r="K2329" s="55"/>
      <c r="L2329" s="961"/>
      <c r="M2329" s="55"/>
      <c r="N2329" s="55"/>
      <c r="O2329" s="27" t="str">
        <f t="shared" si="793"/>
        <v>#N/A</v>
      </c>
      <c r="P2329" s="55"/>
      <c r="Q2329" s="55"/>
      <c r="R2329" s="55"/>
      <c r="S2329" s="55"/>
      <c r="T2329" s="55"/>
      <c r="U2329" s="55"/>
      <c r="V2329" s="30"/>
      <c r="W2329" s="30"/>
      <c r="X2329" s="58"/>
      <c r="Y2329" s="58"/>
      <c r="Z2329" s="692"/>
      <c r="AA2329" s="665"/>
      <c r="AB2329" s="55"/>
      <c r="AC2329" s="55"/>
      <c r="AD2329" s="355"/>
      <c r="AE2329" s="38"/>
      <c r="AF2329" s="355"/>
      <c r="AG2329" s="38"/>
      <c r="AH2329" s="55"/>
      <c r="AI2329" s="38"/>
      <c r="AJ2329" s="55"/>
      <c r="AK2329" s="38"/>
      <c r="AL2329" s="55"/>
      <c r="AM2329" s="38"/>
      <c r="AN2329" s="55"/>
      <c r="AO2329" s="38"/>
      <c r="AP2329" s="356"/>
      <c r="AQ2329" s="38"/>
      <c r="AR2329" s="55"/>
      <c r="AS2329" s="38"/>
      <c r="AT2329" s="55"/>
      <c r="AU2329" s="38"/>
      <c r="AV2329" s="55"/>
      <c r="AW2329" s="38"/>
      <c r="AX2329" s="55"/>
      <c r="AY2329" s="38"/>
      <c r="AZ2329" s="55"/>
      <c r="BA2329" s="38"/>
      <c r="BB2329" s="55"/>
      <c r="BC2329" s="38"/>
      <c r="BD2329" s="55"/>
      <c r="BE2329" s="38"/>
      <c r="BF2329" s="55"/>
    </row>
    <row r="2330">
      <c r="A2330" s="52"/>
      <c r="D2330" s="351"/>
      <c r="E2330" s="351"/>
      <c r="F2330" s="1949"/>
      <c r="G2330" s="353"/>
      <c r="H2330" s="353"/>
      <c r="I2330" s="55"/>
      <c r="J2330" s="55"/>
      <c r="K2330" s="55"/>
      <c r="L2330" s="961"/>
      <c r="M2330" s="55"/>
      <c r="N2330" s="55"/>
      <c r="O2330" s="27" t="str">
        <f t="shared" si="793"/>
        <v>#N/A</v>
      </c>
      <c r="P2330" s="55"/>
      <c r="Q2330" s="55"/>
      <c r="R2330" s="55"/>
      <c r="S2330" s="55"/>
      <c r="T2330" s="55"/>
      <c r="U2330" s="55"/>
      <c r="V2330" s="30"/>
      <c r="W2330" s="30"/>
      <c r="X2330" s="58"/>
      <c r="Y2330" s="58"/>
      <c r="Z2330" s="692"/>
      <c r="AA2330" s="665"/>
      <c r="AB2330" s="55"/>
      <c r="AC2330" s="55"/>
      <c r="AD2330" s="355"/>
      <c r="AE2330" s="38"/>
      <c r="AF2330" s="355"/>
      <c r="AG2330" s="38"/>
      <c r="AH2330" s="55"/>
      <c r="AI2330" s="38"/>
      <c r="AJ2330" s="55"/>
      <c r="AK2330" s="38"/>
      <c r="AL2330" s="55"/>
      <c r="AM2330" s="38"/>
      <c r="AN2330" s="55"/>
      <c r="AO2330" s="38"/>
      <c r="AP2330" s="356"/>
      <c r="AQ2330" s="38"/>
      <c r="AR2330" s="55"/>
      <c r="AS2330" s="38"/>
      <c r="AT2330" s="55"/>
      <c r="AU2330" s="38"/>
      <c r="AV2330" s="55"/>
      <c r="AW2330" s="38"/>
      <c r="AX2330" s="55"/>
      <c r="AY2330" s="38"/>
      <c r="AZ2330" s="55"/>
      <c r="BA2330" s="38"/>
      <c r="BB2330" s="55"/>
      <c r="BC2330" s="38"/>
      <c r="BD2330" s="55"/>
      <c r="BE2330" s="38"/>
      <c r="BF2330" s="55"/>
    </row>
    <row r="2331">
      <c r="A2331" s="52"/>
      <c r="D2331" s="351"/>
      <c r="E2331" s="351"/>
      <c r="F2331" s="1949"/>
      <c r="G2331" s="353"/>
      <c r="H2331" s="353"/>
      <c r="I2331" s="55"/>
      <c r="J2331" s="55"/>
      <c r="K2331" s="55"/>
      <c r="L2331" s="961"/>
      <c r="M2331" s="55"/>
      <c r="N2331" s="55"/>
      <c r="O2331" s="27" t="str">
        <f t="shared" si="793"/>
        <v>#N/A</v>
      </c>
      <c r="P2331" s="55"/>
      <c r="Q2331" s="55"/>
      <c r="R2331" s="55"/>
      <c r="S2331" s="55"/>
      <c r="T2331" s="55"/>
      <c r="U2331" s="55"/>
      <c r="V2331" s="30"/>
      <c r="W2331" s="30"/>
      <c r="X2331" s="58"/>
      <c r="Y2331" s="58"/>
      <c r="Z2331" s="692"/>
      <c r="AA2331" s="665"/>
      <c r="AB2331" s="55"/>
      <c r="AC2331" s="55"/>
      <c r="AD2331" s="355"/>
      <c r="AE2331" s="38"/>
      <c r="AF2331" s="355"/>
      <c r="AG2331" s="38"/>
      <c r="AH2331" s="55"/>
      <c r="AI2331" s="38"/>
      <c r="AJ2331" s="55"/>
      <c r="AK2331" s="38"/>
      <c r="AL2331" s="55"/>
      <c r="AM2331" s="38"/>
      <c r="AN2331" s="55"/>
      <c r="AO2331" s="38"/>
      <c r="AP2331" s="356"/>
      <c r="AQ2331" s="38"/>
      <c r="AR2331" s="55"/>
      <c r="AS2331" s="38"/>
      <c r="AT2331" s="55"/>
      <c r="AU2331" s="38"/>
      <c r="AV2331" s="55"/>
      <c r="AW2331" s="38"/>
      <c r="AX2331" s="55"/>
      <c r="AY2331" s="38"/>
      <c r="AZ2331" s="55"/>
      <c r="BA2331" s="38"/>
      <c r="BB2331" s="55"/>
      <c r="BC2331" s="38"/>
      <c r="BD2331" s="55"/>
      <c r="BE2331" s="38"/>
      <c r="BF2331" s="55"/>
    </row>
    <row r="2332">
      <c r="A2332" s="52"/>
      <c r="D2332" s="351"/>
      <c r="E2332" s="351"/>
      <c r="F2332" s="1949"/>
      <c r="G2332" s="353"/>
      <c r="H2332" s="353"/>
      <c r="I2332" s="55"/>
      <c r="J2332" s="55"/>
      <c r="K2332" s="55"/>
      <c r="L2332" s="961"/>
      <c r="M2332" s="55"/>
      <c r="N2332" s="55"/>
      <c r="O2332" s="27" t="str">
        <f t="shared" si="793"/>
        <v>#N/A</v>
      </c>
      <c r="P2332" s="55"/>
      <c r="Q2332" s="55"/>
      <c r="R2332" s="55"/>
      <c r="S2332" s="55"/>
      <c r="T2332" s="55"/>
      <c r="U2332" s="55"/>
      <c r="V2332" s="30"/>
      <c r="W2332" s="30"/>
      <c r="X2332" s="58"/>
      <c r="Y2332" s="58"/>
      <c r="Z2332" s="692"/>
      <c r="AA2332" s="665"/>
      <c r="AB2332" s="55"/>
      <c r="AC2332" s="55"/>
      <c r="AD2332" s="355"/>
      <c r="AE2332" s="38"/>
      <c r="AF2332" s="355"/>
      <c r="AG2332" s="38"/>
      <c r="AH2332" s="55"/>
      <c r="AI2332" s="38"/>
      <c r="AJ2332" s="55"/>
      <c r="AK2332" s="38"/>
      <c r="AL2332" s="55"/>
      <c r="AM2332" s="38"/>
      <c r="AN2332" s="55"/>
      <c r="AO2332" s="38"/>
      <c r="AP2332" s="356"/>
      <c r="AQ2332" s="38"/>
      <c r="AR2332" s="55"/>
      <c r="AS2332" s="38"/>
      <c r="AT2332" s="55"/>
      <c r="AU2332" s="38"/>
      <c r="AV2332" s="55"/>
      <c r="AW2332" s="38"/>
      <c r="AX2332" s="55"/>
      <c r="AY2332" s="38"/>
      <c r="AZ2332" s="55"/>
      <c r="BA2332" s="38"/>
      <c r="BB2332" s="55"/>
      <c r="BC2332" s="38"/>
      <c r="BD2332" s="55"/>
      <c r="BE2332" s="38"/>
      <c r="BF2332" s="55"/>
    </row>
    <row r="2333">
      <c r="A2333" s="52"/>
      <c r="D2333" s="351"/>
      <c r="E2333" s="351"/>
      <c r="F2333" s="1949"/>
      <c r="G2333" s="353"/>
      <c r="H2333" s="353"/>
      <c r="I2333" s="55"/>
      <c r="J2333" s="55"/>
      <c r="K2333" s="55"/>
      <c r="L2333" s="961"/>
      <c r="M2333" s="55"/>
      <c r="N2333" s="55"/>
      <c r="O2333" s="27" t="str">
        <f t="shared" si="793"/>
        <v>#N/A</v>
      </c>
      <c r="P2333" s="55"/>
      <c r="Q2333" s="55"/>
      <c r="R2333" s="55"/>
      <c r="S2333" s="55"/>
      <c r="T2333" s="55"/>
      <c r="U2333" s="55"/>
      <c r="V2333" s="30"/>
      <c r="W2333" s="30"/>
      <c r="X2333" s="58"/>
      <c r="Y2333" s="58"/>
      <c r="Z2333" s="692"/>
      <c r="AA2333" s="665"/>
      <c r="AB2333" s="55"/>
      <c r="AC2333" s="55"/>
      <c r="AD2333" s="355"/>
      <c r="AE2333" s="38"/>
      <c r="AF2333" s="355"/>
      <c r="AG2333" s="38"/>
      <c r="AH2333" s="55"/>
      <c r="AI2333" s="38"/>
      <c r="AJ2333" s="55"/>
      <c r="AK2333" s="38"/>
      <c r="AL2333" s="55"/>
      <c r="AM2333" s="38"/>
      <c r="AN2333" s="55"/>
      <c r="AO2333" s="38"/>
      <c r="AP2333" s="356"/>
      <c r="AQ2333" s="38"/>
      <c r="AR2333" s="55"/>
      <c r="AS2333" s="38"/>
      <c r="AT2333" s="55"/>
      <c r="AU2333" s="38"/>
      <c r="AV2333" s="55"/>
      <c r="AW2333" s="38"/>
      <c r="AX2333" s="55"/>
      <c r="AY2333" s="38"/>
      <c r="AZ2333" s="55"/>
      <c r="BA2333" s="38"/>
      <c r="BB2333" s="55"/>
      <c r="BC2333" s="38"/>
      <c r="BD2333" s="55"/>
      <c r="BE2333" s="38"/>
      <c r="BF2333" s="55"/>
    </row>
    <row r="2334">
      <c r="A2334" s="52"/>
      <c r="D2334" s="351"/>
      <c r="E2334" s="351"/>
      <c r="F2334" s="1949"/>
      <c r="G2334" s="353"/>
      <c r="H2334" s="353"/>
      <c r="I2334" s="55"/>
      <c r="J2334" s="55"/>
      <c r="K2334" s="55"/>
      <c r="L2334" s="961"/>
      <c r="M2334" s="55"/>
      <c r="N2334" s="55"/>
      <c r="O2334" s="27" t="str">
        <f t="shared" si="793"/>
        <v>#N/A</v>
      </c>
      <c r="P2334" s="55"/>
      <c r="Q2334" s="55"/>
      <c r="R2334" s="55"/>
      <c r="S2334" s="55"/>
      <c r="T2334" s="55"/>
      <c r="U2334" s="55"/>
      <c r="V2334" s="30"/>
      <c r="W2334" s="30"/>
      <c r="X2334" s="58"/>
      <c r="Y2334" s="58"/>
      <c r="Z2334" s="692"/>
      <c r="AA2334" s="665"/>
      <c r="AB2334" s="55"/>
      <c r="AC2334" s="55"/>
      <c r="AD2334" s="355"/>
      <c r="AE2334" s="38"/>
      <c r="AF2334" s="355"/>
      <c r="AG2334" s="38"/>
      <c r="AH2334" s="55"/>
      <c r="AI2334" s="38"/>
      <c r="AJ2334" s="55"/>
      <c r="AK2334" s="38"/>
      <c r="AL2334" s="55"/>
      <c r="AM2334" s="38"/>
      <c r="AN2334" s="55"/>
      <c r="AO2334" s="38"/>
      <c r="AP2334" s="356"/>
      <c r="AQ2334" s="38"/>
      <c r="AR2334" s="55"/>
      <c r="AS2334" s="38"/>
      <c r="AT2334" s="55"/>
      <c r="AU2334" s="38"/>
      <c r="AV2334" s="55"/>
      <c r="AW2334" s="38"/>
      <c r="AX2334" s="55"/>
      <c r="AY2334" s="38"/>
      <c r="AZ2334" s="55"/>
      <c r="BA2334" s="38"/>
      <c r="BB2334" s="55"/>
      <c r="BC2334" s="38"/>
      <c r="BD2334" s="55"/>
      <c r="BE2334" s="38"/>
      <c r="BF2334" s="55"/>
    </row>
    <row r="2335">
      <c r="A2335" s="52"/>
      <c r="D2335" s="351"/>
      <c r="E2335" s="351"/>
      <c r="F2335" s="1949"/>
      <c r="G2335" s="353"/>
      <c r="H2335" s="353"/>
      <c r="I2335" s="55"/>
      <c r="J2335" s="55"/>
      <c r="K2335" s="55"/>
      <c r="L2335" s="961"/>
      <c r="M2335" s="55"/>
      <c r="N2335" s="55"/>
      <c r="O2335" s="27" t="str">
        <f t="shared" si="793"/>
        <v>#N/A</v>
      </c>
      <c r="P2335" s="55"/>
      <c r="Q2335" s="55"/>
      <c r="R2335" s="55"/>
      <c r="S2335" s="55"/>
      <c r="T2335" s="55"/>
      <c r="U2335" s="55"/>
      <c r="V2335" s="30"/>
      <c r="W2335" s="30"/>
      <c r="X2335" s="58"/>
      <c r="Y2335" s="58"/>
      <c r="Z2335" s="692"/>
      <c r="AA2335" s="665"/>
      <c r="AB2335" s="55"/>
      <c r="AC2335" s="55"/>
      <c r="AD2335" s="355"/>
      <c r="AE2335" s="38"/>
      <c r="AF2335" s="355"/>
      <c r="AG2335" s="38"/>
      <c r="AH2335" s="55"/>
      <c r="AI2335" s="38"/>
      <c r="AJ2335" s="55"/>
      <c r="AK2335" s="38"/>
      <c r="AL2335" s="55"/>
      <c r="AM2335" s="38"/>
      <c r="AN2335" s="55"/>
      <c r="AO2335" s="38"/>
      <c r="AP2335" s="356"/>
      <c r="AQ2335" s="38"/>
      <c r="AR2335" s="55"/>
      <c r="AS2335" s="38"/>
      <c r="AT2335" s="55"/>
      <c r="AU2335" s="38"/>
      <c r="AV2335" s="55"/>
      <c r="AW2335" s="38"/>
      <c r="AX2335" s="55"/>
      <c r="AY2335" s="38"/>
      <c r="AZ2335" s="55"/>
      <c r="BA2335" s="38"/>
      <c r="BB2335" s="55"/>
      <c r="BC2335" s="38"/>
      <c r="BD2335" s="55"/>
      <c r="BE2335" s="38"/>
      <c r="BF2335" s="55"/>
    </row>
    <row r="2336">
      <c r="A2336" s="52"/>
      <c r="D2336" s="351"/>
      <c r="E2336" s="351"/>
      <c r="F2336" s="1949"/>
      <c r="G2336" s="353"/>
      <c r="H2336" s="353"/>
      <c r="I2336" s="55"/>
      <c r="J2336" s="55"/>
      <c r="K2336" s="55"/>
      <c r="L2336" s="961"/>
      <c r="M2336" s="55"/>
      <c r="N2336" s="55"/>
      <c r="O2336" s="27" t="str">
        <f t="shared" si="793"/>
        <v>#N/A</v>
      </c>
      <c r="P2336" s="55"/>
      <c r="Q2336" s="55"/>
      <c r="R2336" s="55"/>
      <c r="S2336" s="55"/>
      <c r="T2336" s="55"/>
      <c r="U2336" s="55"/>
      <c r="V2336" s="30"/>
      <c r="W2336" s="30"/>
      <c r="X2336" s="58"/>
      <c r="Y2336" s="58"/>
      <c r="Z2336" s="692"/>
      <c r="AA2336" s="665"/>
      <c r="AB2336" s="55"/>
      <c r="AC2336" s="55"/>
      <c r="AD2336" s="355"/>
      <c r="AE2336" s="38"/>
      <c r="AF2336" s="355"/>
      <c r="AG2336" s="38"/>
      <c r="AH2336" s="55"/>
      <c r="AI2336" s="38"/>
      <c r="AJ2336" s="55"/>
      <c r="AK2336" s="38"/>
      <c r="AL2336" s="55"/>
      <c r="AM2336" s="38"/>
      <c r="AN2336" s="55"/>
      <c r="AO2336" s="38"/>
      <c r="AP2336" s="356"/>
      <c r="AQ2336" s="38"/>
      <c r="AR2336" s="55"/>
      <c r="AS2336" s="38"/>
      <c r="AT2336" s="55"/>
      <c r="AU2336" s="38"/>
      <c r="AV2336" s="55"/>
      <c r="AW2336" s="38"/>
      <c r="AX2336" s="55"/>
      <c r="AY2336" s="38"/>
      <c r="AZ2336" s="55"/>
      <c r="BA2336" s="38"/>
      <c r="BB2336" s="55"/>
      <c r="BC2336" s="38"/>
      <c r="BD2336" s="55"/>
      <c r="BE2336" s="38"/>
      <c r="BF2336" s="55"/>
    </row>
    <row r="2337">
      <c r="A2337" s="52"/>
      <c r="D2337" s="351"/>
      <c r="E2337" s="351"/>
      <c r="F2337" s="1949"/>
      <c r="G2337" s="353"/>
      <c r="H2337" s="353"/>
      <c r="I2337" s="55"/>
      <c r="J2337" s="55"/>
      <c r="K2337" s="55"/>
      <c r="L2337" s="961"/>
      <c r="M2337" s="55"/>
      <c r="N2337" s="55"/>
      <c r="O2337" s="27" t="str">
        <f t="shared" si="793"/>
        <v>#N/A</v>
      </c>
      <c r="P2337" s="55"/>
      <c r="Q2337" s="55"/>
      <c r="R2337" s="55"/>
      <c r="S2337" s="55"/>
      <c r="T2337" s="55"/>
      <c r="U2337" s="55"/>
      <c r="V2337" s="30"/>
      <c r="W2337" s="30"/>
      <c r="X2337" s="58"/>
      <c r="Y2337" s="58"/>
      <c r="Z2337" s="692"/>
      <c r="AA2337" s="665"/>
      <c r="AB2337" s="55"/>
      <c r="AC2337" s="55"/>
      <c r="AD2337" s="355"/>
      <c r="AE2337" s="38"/>
      <c r="AF2337" s="355"/>
      <c r="AG2337" s="38"/>
      <c r="AH2337" s="55"/>
      <c r="AI2337" s="38"/>
      <c r="AJ2337" s="55"/>
      <c r="AK2337" s="38"/>
      <c r="AL2337" s="55"/>
      <c r="AM2337" s="38"/>
      <c r="AN2337" s="55"/>
      <c r="AO2337" s="38"/>
      <c r="AP2337" s="356"/>
      <c r="AQ2337" s="38"/>
      <c r="AR2337" s="55"/>
      <c r="AS2337" s="38"/>
      <c r="AT2337" s="55"/>
      <c r="AU2337" s="38"/>
      <c r="AV2337" s="55"/>
      <c r="AW2337" s="38"/>
      <c r="AX2337" s="55"/>
      <c r="AY2337" s="38"/>
      <c r="AZ2337" s="55"/>
      <c r="BA2337" s="38"/>
      <c r="BB2337" s="55"/>
      <c r="BC2337" s="38"/>
      <c r="BD2337" s="55"/>
      <c r="BE2337" s="38"/>
      <c r="BF2337" s="55"/>
    </row>
    <row r="2338">
      <c r="A2338" s="52"/>
      <c r="D2338" s="351"/>
      <c r="E2338" s="351"/>
      <c r="F2338" s="1949"/>
      <c r="G2338" s="353"/>
      <c r="H2338" s="353"/>
      <c r="I2338" s="55"/>
      <c r="J2338" s="55"/>
      <c r="K2338" s="55"/>
      <c r="L2338" s="961"/>
      <c r="M2338" s="55"/>
      <c r="N2338" s="55"/>
      <c r="O2338" s="27" t="str">
        <f t="shared" si="793"/>
        <v>#N/A</v>
      </c>
      <c r="P2338" s="55"/>
      <c r="Q2338" s="55"/>
      <c r="R2338" s="55"/>
      <c r="S2338" s="55"/>
      <c r="T2338" s="55"/>
      <c r="U2338" s="55"/>
      <c r="V2338" s="30"/>
      <c r="W2338" s="30"/>
      <c r="X2338" s="58"/>
      <c r="Y2338" s="58"/>
      <c r="Z2338" s="692"/>
      <c r="AA2338" s="665"/>
      <c r="AB2338" s="55"/>
      <c r="AC2338" s="55"/>
      <c r="AD2338" s="355"/>
      <c r="AE2338" s="38"/>
      <c r="AF2338" s="355"/>
      <c r="AG2338" s="38"/>
      <c r="AH2338" s="55"/>
      <c r="AI2338" s="38"/>
      <c r="AJ2338" s="55"/>
      <c r="AK2338" s="38"/>
      <c r="AL2338" s="55"/>
      <c r="AM2338" s="38"/>
      <c r="AN2338" s="55"/>
      <c r="AO2338" s="38"/>
      <c r="AP2338" s="356"/>
      <c r="AQ2338" s="38"/>
      <c r="AR2338" s="55"/>
      <c r="AS2338" s="38"/>
      <c r="AT2338" s="55"/>
      <c r="AU2338" s="38"/>
      <c r="AV2338" s="55"/>
      <c r="AW2338" s="38"/>
      <c r="AX2338" s="55"/>
      <c r="AY2338" s="38"/>
      <c r="AZ2338" s="55"/>
      <c r="BA2338" s="38"/>
      <c r="BB2338" s="55"/>
      <c r="BC2338" s="38"/>
      <c r="BD2338" s="55"/>
      <c r="BE2338" s="38"/>
      <c r="BF2338" s="55"/>
    </row>
    <row r="2339">
      <c r="A2339" s="52"/>
      <c r="D2339" s="351"/>
      <c r="E2339" s="351"/>
      <c r="F2339" s="1949"/>
      <c r="G2339" s="353"/>
      <c r="H2339" s="353"/>
      <c r="I2339" s="55"/>
      <c r="J2339" s="55"/>
      <c r="K2339" s="55"/>
      <c r="L2339" s="961"/>
      <c r="M2339" s="55"/>
      <c r="N2339" s="55"/>
      <c r="O2339" s="27" t="str">
        <f t="shared" si="793"/>
        <v>#N/A</v>
      </c>
      <c r="P2339" s="55"/>
      <c r="Q2339" s="55"/>
      <c r="R2339" s="55"/>
      <c r="S2339" s="55"/>
      <c r="T2339" s="55"/>
      <c r="U2339" s="55"/>
      <c r="V2339" s="30"/>
      <c r="W2339" s="30"/>
      <c r="X2339" s="58"/>
      <c r="Y2339" s="58"/>
      <c r="Z2339" s="692"/>
      <c r="AA2339" s="665"/>
      <c r="AB2339" s="55"/>
      <c r="AC2339" s="55"/>
      <c r="AD2339" s="355"/>
      <c r="AE2339" s="38"/>
      <c r="AF2339" s="355"/>
      <c r="AG2339" s="38"/>
      <c r="AH2339" s="55"/>
      <c r="AI2339" s="38"/>
      <c r="AJ2339" s="55"/>
      <c r="AK2339" s="38"/>
      <c r="AL2339" s="55"/>
      <c r="AM2339" s="38"/>
      <c r="AN2339" s="55"/>
      <c r="AO2339" s="38"/>
      <c r="AP2339" s="356"/>
      <c r="AQ2339" s="38"/>
      <c r="AR2339" s="55"/>
      <c r="AS2339" s="38"/>
      <c r="AT2339" s="55"/>
      <c r="AU2339" s="38"/>
      <c r="AV2339" s="55"/>
      <c r="AW2339" s="38"/>
      <c r="AX2339" s="55"/>
      <c r="AY2339" s="38"/>
      <c r="AZ2339" s="55"/>
      <c r="BA2339" s="38"/>
      <c r="BB2339" s="55"/>
      <c r="BC2339" s="38"/>
      <c r="BD2339" s="55"/>
      <c r="BE2339" s="38"/>
      <c r="BF2339" s="55"/>
    </row>
    <row r="2340">
      <c r="A2340" s="52"/>
      <c r="D2340" s="351"/>
      <c r="E2340" s="351"/>
      <c r="F2340" s="1949"/>
      <c r="G2340" s="353"/>
      <c r="H2340" s="353"/>
      <c r="I2340" s="55"/>
      <c r="J2340" s="55"/>
      <c r="K2340" s="55"/>
      <c r="L2340" s="961"/>
      <c r="M2340" s="55"/>
      <c r="N2340" s="55"/>
      <c r="O2340" s="27" t="str">
        <f t="shared" si="793"/>
        <v>#N/A</v>
      </c>
      <c r="P2340" s="55"/>
      <c r="Q2340" s="55"/>
      <c r="R2340" s="55"/>
      <c r="S2340" s="55"/>
      <c r="T2340" s="55"/>
      <c r="U2340" s="55"/>
      <c r="V2340" s="30"/>
      <c r="W2340" s="30"/>
      <c r="X2340" s="58"/>
      <c r="Y2340" s="58"/>
      <c r="Z2340" s="692"/>
      <c r="AA2340" s="665"/>
      <c r="AB2340" s="55"/>
      <c r="AC2340" s="55"/>
      <c r="AD2340" s="355"/>
      <c r="AE2340" s="38"/>
      <c r="AF2340" s="355"/>
      <c r="AG2340" s="38"/>
      <c r="AH2340" s="55"/>
      <c r="AI2340" s="38"/>
      <c r="AJ2340" s="55"/>
      <c r="AK2340" s="38"/>
      <c r="AL2340" s="55"/>
      <c r="AM2340" s="38"/>
      <c r="AN2340" s="55"/>
      <c r="AO2340" s="38"/>
      <c r="AP2340" s="356"/>
      <c r="AQ2340" s="38"/>
      <c r="AR2340" s="55"/>
      <c r="AS2340" s="38"/>
      <c r="AT2340" s="55"/>
      <c r="AU2340" s="38"/>
      <c r="AV2340" s="55"/>
      <c r="AW2340" s="38"/>
      <c r="AX2340" s="55"/>
      <c r="AY2340" s="38"/>
      <c r="AZ2340" s="55"/>
      <c r="BA2340" s="38"/>
      <c r="BB2340" s="55"/>
      <c r="BC2340" s="38"/>
      <c r="BD2340" s="55"/>
      <c r="BE2340" s="38"/>
      <c r="BF2340" s="55"/>
    </row>
    <row r="2341">
      <c r="A2341" s="52"/>
      <c r="D2341" s="351"/>
      <c r="E2341" s="351"/>
      <c r="F2341" s="1949"/>
      <c r="G2341" s="353"/>
      <c r="H2341" s="353"/>
      <c r="I2341" s="55"/>
      <c r="J2341" s="55"/>
      <c r="K2341" s="55"/>
      <c r="L2341" s="961"/>
      <c r="M2341" s="55"/>
      <c r="N2341" s="55"/>
      <c r="O2341" s="27" t="str">
        <f t="shared" si="793"/>
        <v>#N/A</v>
      </c>
      <c r="P2341" s="55"/>
      <c r="Q2341" s="55"/>
      <c r="R2341" s="55"/>
      <c r="S2341" s="55"/>
      <c r="T2341" s="55"/>
      <c r="U2341" s="55"/>
      <c r="V2341" s="30"/>
      <c r="W2341" s="30"/>
      <c r="X2341" s="58"/>
      <c r="Y2341" s="58"/>
      <c r="Z2341" s="692"/>
      <c r="AA2341" s="665"/>
      <c r="AB2341" s="55"/>
      <c r="AC2341" s="55"/>
      <c r="AD2341" s="355"/>
      <c r="AE2341" s="38"/>
      <c r="AF2341" s="355"/>
      <c r="AG2341" s="38"/>
      <c r="AH2341" s="55"/>
      <c r="AI2341" s="38"/>
      <c r="AJ2341" s="55"/>
      <c r="AK2341" s="38"/>
      <c r="AL2341" s="55"/>
      <c r="AM2341" s="38"/>
      <c r="AN2341" s="55"/>
      <c r="AO2341" s="38"/>
      <c r="AP2341" s="356"/>
      <c r="AQ2341" s="38"/>
      <c r="AR2341" s="55"/>
      <c r="AS2341" s="38"/>
      <c r="AT2341" s="55"/>
      <c r="AU2341" s="38"/>
      <c r="AV2341" s="55"/>
      <c r="AW2341" s="38"/>
      <c r="AX2341" s="55"/>
      <c r="AY2341" s="38"/>
      <c r="AZ2341" s="55"/>
      <c r="BA2341" s="38"/>
      <c r="BB2341" s="55"/>
      <c r="BC2341" s="38"/>
      <c r="BD2341" s="55"/>
      <c r="BE2341" s="38"/>
      <c r="BF2341" s="55"/>
    </row>
    <row r="2342">
      <c r="A2342" s="52"/>
      <c r="D2342" s="351"/>
      <c r="E2342" s="351"/>
      <c r="F2342" s="1949"/>
      <c r="G2342" s="353"/>
      <c r="H2342" s="353"/>
      <c r="I2342" s="55"/>
      <c r="J2342" s="55"/>
      <c r="K2342" s="55"/>
      <c r="L2342" s="961"/>
      <c r="M2342" s="55"/>
      <c r="N2342" s="55"/>
      <c r="O2342" s="27" t="str">
        <f t="shared" si="793"/>
        <v>#N/A</v>
      </c>
      <c r="P2342" s="55"/>
      <c r="Q2342" s="55"/>
      <c r="R2342" s="55"/>
      <c r="S2342" s="55"/>
      <c r="T2342" s="55"/>
      <c r="U2342" s="55"/>
      <c r="V2342" s="30"/>
      <c r="W2342" s="30"/>
      <c r="X2342" s="58"/>
      <c r="Y2342" s="58"/>
      <c r="Z2342" s="692"/>
      <c r="AA2342" s="665"/>
      <c r="AB2342" s="55"/>
      <c r="AC2342" s="55"/>
      <c r="AD2342" s="355"/>
      <c r="AE2342" s="38"/>
      <c r="AF2342" s="355"/>
      <c r="AG2342" s="38"/>
      <c r="AH2342" s="55"/>
      <c r="AI2342" s="38"/>
      <c r="AJ2342" s="55"/>
      <c r="AK2342" s="38"/>
      <c r="AL2342" s="55"/>
      <c r="AM2342" s="38"/>
      <c r="AN2342" s="55"/>
      <c r="AO2342" s="38"/>
      <c r="AP2342" s="356"/>
      <c r="AQ2342" s="38"/>
      <c r="AR2342" s="55"/>
      <c r="AS2342" s="38"/>
      <c r="AT2342" s="55"/>
      <c r="AU2342" s="38"/>
      <c r="AV2342" s="55"/>
      <c r="AW2342" s="38"/>
      <c r="AX2342" s="55"/>
      <c r="AY2342" s="38"/>
      <c r="AZ2342" s="55"/>
      <c r="BA2342" s="38"/>
      <c r="BB2342" s="55"/>
      <c r="BC2342" s="38"/>
      <c r="BD2342" s="55"/>
      <c r="BE2342" s="38"/>
      <c r="BF2342" s="55"/>
    </row>
    <row r="2343">
      <c r="A2343" s="52"/>
      <c r="D2343" s="351"/>
      <c r="E2343" s="351"/>
      <c r="F2343" s="1949"/>
      <c r="G2343" s="353"/>
      <c r="H2343" s="353"/>
      <c r="I2343" s="55"/>
      <c r="J2343" s="55"/>
      <c r="K2343" s="55"/>
      <c r="L2343" s="961"/>
      <c r="M2343" s="55"/>
      <c r="N2343" s="55"/>
      <c r="O2343" s="27" t="str">
        <f t="shared" si="793"/>
        <v>#N/A</v>
      </c>
      <c r="P2343" s="55"/>
      <c r="Q2343" s="55"/>
      <c r="R2343" s="55"/>
      <c r="S2343" s="55"/>
      <c r="T2343" s="55"/>
      <c r="U2343" s="55"/>
      <c r="V2343" s="30"/>
      <c r="W2343" s="30"/>
      <c r="X2343" s="58"/>
      <c r="Y2343" s="58"/>
      <c r="Z2343" s="692"/>
      <c r="AA2343" s="665"/>
      <c r="AB2343" s="55"/>
      <c r="AC2343" s="55"/>
      <c r="AD2343" s="355"/>
      <c r="AE2343" s="38"/>
      <c r="AF2343" s="355"/>
      <c r="AG2343" s="38"/>
      <c r="AH2343" s="55"/>
      <c r="AI2343" s="38"/>
      <c r="AJ2343" s="55"/>
      <c r="AK2343" s="38"/>
      <c r="AL2343" s="55"/>
      <c r="AM2343" s="38"/>
      <c r="AN2343" s="55"/>
      <c r="AO2343" s="38"/>
      <c r="AP2343" s="356"/>
      <c r="AQ2343" s="38"/>
      <c r="AR2343" s="55"/>
      <c r="AS2343" s="38"/>
      <c r="AT2343" s="55"/>
      <c r="AU2343" s="38"/>
      <c r="AV2343" s="55"/>
      <c r="AW2343" s="38"/>
      <c r="AX2343" s="55"/>
      <c r="AY2343" s="38"/>
      <c r="AZ2343" s="55"/>
      <c r="BA2343" s="38"/>
      <c r="BB2343" s="55"/>
      <c r="BC2343" s="38"/>
      <c r="BD2343" s="55"/>
      <c r="BE2343" s="38"/>
      <c r="BF2343" s="55"/>
    </row>
    <row r="2344">
      <c r="A2344" s="52"/>
      <c r="D2344" s="351"/>
      <c r="E2344" s="351"/>
      <c r="F2344" s="1949"/>
      <c r="G2344" s="353"/>
      <c r="H2344" s="353"/>
      <c r="I2344" s="55"/>
      <c r="J2344" s="55"/>
      <c r="K2344" s="55"/>
      <c r="L2344" s="961"/>
      <c r="M2344" s="55"/>
      <c r="N2344" s="55"/>
      <c r="O2344" s="27" t="str">
        <f t="shared" si="793"/>
        <v>#N/A</v>
      </c>
      <c r="P2344" s="55"/>
      <c r="Q2344" s="55"/>
      <c r="R2344" s="55"/>
      <c r="S2344" s="55"/>
      <c r="T2344" s="55"/>
      <c r="U2344" s="55"/>
      <c r="V2344" s="30"/>
      <c r="W2344" s="30"/>
      <c r="X2344" s="58"/>
      <c r="Y2344" s="58"/>
      <c r="Z2344" s="692"/>
      <c r="AA2344" s="665"/>
      <c r="AB2344" s="55"/>
      <c r="AC2344" s="55"/>
      <c r="AD2344" s="355"/>
      <c r="AE2344" s="38"/>
      <c r="AF2344" s="355"/>
      <c r="AG2344" s="38"/>
      <c r="AH2344" s="55"/>
      <c r="AI2344" s="38"/>
      <c r="AJ2344" s="55"/>
      <c r="AK2344" s="38"/>
      <c r="AL2344" s="55"/>
      <c r="AM2344" s="38"/>
      <c r="AN2344" s="55"/>
      <c r="AO2344" s="38"/>
      <c r="AP2344" s="356"/>
      <c r="AQ2344" s="38"/>
      <c r="AR2344" s="55"/>
      <c r="AS2344" s="38"/>
      <c r="AT2344" s="55"/>
      <c r="AU2344" s="38"/>
      <c r="AV2344" s="55"/>
      <c r="AW2344" s="38"/>
      <c r="AX2344" s="55"/>
      <c r="AY2344" s="38"/>
      <c r="AZ2344" s="55"/>
      <c r="BA2344" s="38"/>
      <c r="BB2344" s="55"/>
      <c r="BC2344" s="38"/>
      <c r="BD2344" s="55"/>
      <c r="BE2344" s="38"/>
      <c r="BF2344" s="55"/>
    </row>
    <row r="2345">
      <c r="A2345" s="52"/>
      <c r="D2345" s="351"/>
      <c r="E2345" s="351"/>
      <c r="F2345" s="1949"/>
      <c r="G2345" s="353"/>
      <c r="H2345" s="353"/>
      <c r="I2345" s="55"/>
      <c r="J2345" s="55"/>
      <c r="K2345" s="55"/>
      <c r="L2345" s="961"/>
      <c r="M2345" s="55"/>
      <c r="N2345" s="55"/>
      <c r="O2345" s="27" t="str">
        <f t="shared" si="793"/>
        <v>#N/A</v>
      </c>
      <c r="P2345" s="55"/>
      <c r="Q2345" s="55"/>
      <c r="R2345" s="55"/>
      <c r="S2345" s="55"/>
      <c r="T2345" s="55"/>
      <c r="U2345" s="55"/>
      <c r="V2345" s="30"/>
      <c r="W2345" s="30"/>
      <c r="X2345" s="58"/>
      <c r="Y2345" s="58"/>
      <c r="Z2345" s="692"/>
      <c r="AA2345" s="665"/>
      <c r="AB2345" s="55"/>
      <c r="AC2345" s="55"/>
      <c r="AD2345" s="355"/>
      <c r="AE2345" s="38"/>
      <c r="AF2345" s="355"/>
      <c r="AG2345" s="38"/>
      <c r="AH2345" s="55"/>
      <c r="AI2345" s="38"/>
      <c r="AJ2345" s="55"/>
      <c r="AK2345" s="38"/>
      <c r="AL2345" s="55"/>
      <c r="AM2345" s="38"/>
      <c r="AN2345" s="55"/>
      <c r="AO2345" s="38"/>
      <c r="AP2345" s="356"/>
      <c r="AQ2345" s="38"/>
      <c r="AR2345" s="55"/>
      <c r="AS2345" s="38"/>
      <c r="AT2345" s="55"/>
      <c r="AU2345" s="38"/>
      <c r="AV2345" s="55"/>
      <c r="AW2345" s="38"/>
      <c r="AX2345" s="55"/>
      <c r="AY2345" s="38"/>
      <c r="AZ2345" s="55"/>
      <c r="BA2345" s="38"/>
      <c r="BB2345" s="55"/>
      <c r="BC2345" s="38"/>
      <c r="BD2345" s="55"/>
      <c r="BE2345" s="38"/>
      <c r="BF2345" s="55"/>
    </row>
    <row r="2346">
      <c r="A2346" s="52"/>
      <c r="D2346" s="351"/>
      <c r="E2346" s="351"/>
      <c r="F2346" s="1949"/>
      <c r="G2346" s="353"/>
      <c r="H2346" s="353"/>
      <c r="I2346" s="55"/>
      <c r="J2346" s="55"/>
      <c r="K2346" s="55"/>
      <c r="L2346" s="961"/>
      <c r="M2346" s="55"/>
      <c r="N2346" s="55"/>
      <c r="O2346" s="27" t="str">
        <f t="shared" si="793"/>
        <v>#N/A</v>
      </c>
      <c r="P2346" s="55"/>
      <c r="Q2346" s="55"/>
      <c r="R2346" s="55"/>
      <c r="S2346" s="55"/>
      <c r="T2346" s="55"/>
      <c r="U2346" s="55"/>
      <c r="V2346" s="30"/>
      <c r="W2346" s="30"/>
      <c r="X2346" s="58"/>
      <c r="Y2346" s="58"/>
      <c r="Z2346" s="692"/>
      <c r="AA2346" s="665"/>
      <c r="AB2346" s="55"/>
      <c r="AC2346" s="55"/>
      <c r="AD2346" s="355"/>
      <c r="AE2346" s="38"/>
      <c r="AF2346" s="355"/>
      <c r="AG2346" s="38"/>
      <c r="AH2346" s="55"/>
      <c r="AI2346" s="38"/>
      <c r="AJ2346" s="55"/>
      <c r="AK2346" s="38"/>
      <c r="AL2346" s="55"/>
      <c r="AM2346" s="38"/>
      <c r="AN2346" s="55"/>
      <c r="AO2346" s="38"/>
      <c r="AP2346" s="356"/>
      <c r="AQ2346" s="38"/>
      <c r="AR2346" s="55"/>
      <c r="AS2346" s="38"/>
      <c r="AT2346" s="55"/>
      <c r="AU2346" s="38"/>
      <c r="AV2346" s="55"/>
      <c r="AW2346" s="38"/>
      <c r="AX2346" s="55"/>
      <c r="AY2346" s="38"/>
      <c r="AZ2346" s="55"/>
      <c r="BA2346" s="38"/>
      <c r="BB2346" s="55"/>
      <c r="BC2346" s="38"/>
      <c r="BD2346" s="55"/>
      <c r="BE2346" s="38"/>
      <c r="BF2346" s="55"/>
    </row>
    <row r="2347">
      <c r="A2347" s="52"/>
      <c r="D2347" s="351"/>
      <c r="E2347" s="351"/>
      <c r="F2347" s="1949"/>
      <c r="G2347" s="353"/>
      <c r="H2347" s="353"/>
      <c r="I2347" s="55"/>
      <c r="J2347" s="55"/>
      <c r="K2347" s="55"/>
      <c r="L2347" s="961"/>
      <c r="M2347" s="55"/>
      <c r="N2347" s="55"/>
      <c r="O2347" s="27" t="str">
        <f t="shared" si="793"/>
        <v>#N/A</v>
      </c>
      <c r="P2347" s="55"/>
      <c r="Q2347" s="55"/>
      <c r="R2347" s="55"/>
      <c r="S2347" s="55"/>
      <c r="T2347" s="55"/>
      <c r="U2347" s="55"/>
      <c r="V2347" s="30"/>
      <c r="W2347" s="30"/>
      <c r="X2347" s="58"/>
      <c r="Y2347" s="58"/>
      <c r="Z2347" s="692"/>
      <c r="AA2347" s="665"/>
      <c r="AB2347" s="55"/>
      <c r="AC2347" s="55"/>
      <c r="AD2347" s="355"/>
      <c r="AE2347" s="38"/>
      <c r="AF2347" s="355"/>
      <c r="AG2347" s="38"/>
      <c r="AH2347" s="55"/>
      <c r="AI2347" s="38"/>
      <c r="AJ2347" s="55"/>
      <c r="AK2347" s="38"/>
      <c r="AL2347" s="55"/>
      <c r="AM2347" s="38"/>
      <c r="AN2347" s="55"/>
      <c r="AO2347" s="38"/>
      <c r="AP2347" s="356"/>
      <c r="AQ2347" s="38"/>
      <c r="AR2347" s="55"/>
      <c r="AS2347" s="38"/>
      <c r="AT2347" s="55"/>
      <c r="AU2347" s="38"/>
      <c r="AV2347" s="55"/>
      <c r="AW2347" s="38"/>
      <c r="AX2347" s="55"/>
      <c r="AY2347" s="38"/>
      <c r="AZ2347" s="55"/>
      <c r="BA2347" s="38"/>
      <c r="BB2347" s="55"/>
      <c r="BC2347" s="38"/>
      <c r="BD2347" s="55"/>
      <c r="BE2347" s="38"/>
      <c r="BF2347" s="55"/>
    </row>
    <row r="2348">
      <c r="A2348" s="52"/>
      <c r="D2348" s="351"/>
      <c r="E2348" s="351"/>
      <c r="F2348" s="1949"/>
      <c r="G2348" s="353"/>
      <c r="H2348" s="353"/>
      <c r="I2348" s="55"/>
      <c r="J2348" s="55"/>
      <c r="K2348" s="55"/>
      <c r="L2348" s="961"/>
      <c r="M2348" s="55"/>
      <c r="N2348" s="55"/>
      <c r="O2348" s="27" t="str">
        <f t="shared" si="793"/>
        <v>#N/A</v>
      </c>
      <c r="P2348" s="55"/>
      <c r="Q2348" s="55"/>
      <c r="R2348" s="55"/>
      <c r="S2348" s="55"/>
      <c r="T2348" s="55"/>
      <c r="U2348" s="55"/>
      <c r="V2348" s="30"/>
      <c r="W2348" s="30"/>
      <c r="X2348" s="58"/>
      <c r="Y2348" s="58"/>
      <c r="Z2348" s="692"/>
      <c r="AA2348" s="665"/>
      <c r="AB2348" s="55"/>
      <c r="AC2348" s="55"/>
      <c r="AD2348" s="355"/>
      <c r="AE2348" s="38"/>
      <c r="AF2348" s="355"/>
      <c r="AG2348" s="38"/>
      <c r="AH2348" s="55"/>
      <c r="AI2348" s="38"/>
      <c r="AJ2348" s="55"/>
      <c r="AK2348" s="38"/>
      <c r="AL2348" s="55"/>
      <c r="AM2348" s="38"/>
      <c r="AN2348" s="55"/>
      <c r="AO2348" s="38"/>
      <c r="AP2348" s="356"/>
      <c r="AQ2348" s="38"/>
      <c r="AR2348" s="55"/>
      <c r="AS2348" s="38"/>
      <c r="AT2348" s="55"/>
      <c r="AU2348" s="38"/>
      <c r="AV2348" s="55"/>
      <c r="AW2348" s="38"/>
      <c r="AX2348" s="55"/>
      <c r="AY2348" s="38"/>
      <c r="AZ2348" s="55"/>
      <c r="BA2348" s="38"/>
      <c r="BB2348" s="55"/>
      <c r="BC2348" s="38"/>
      <c r="BD2348" s="55"/>
      <c r="BE2348" s="38"/>
      <c r="BF2348" s="55"/>
    </row>
    <row r="2349">
      <c r="A2349" s="52"/>
      <c r="D2349" s="351"/>
      <c r="E2349" s="351"/>
      <c r="F2349" s="1949"/>
      <c r="G2349" s="353"/>
      <c r="H2349" s="353"/>
      <c r="I2349" s="55"/>
      <c r="J2349" s="55"/>
      <c r="K2349" s="55"/>
      <c r="L2349" s="961"/>
      <c r="M2349" s="55"/>
      <c r="N2349" s="55"/>
      <c r="O2349" s="27" t="str">
        <f t="shared" si="793"/>
        <v>#N/A</v>
      </c>
      <c r="P2349" s="55"/>
      <c r="Q2349" s="55"/>
      <c r="R2349" s="55"/>
      <c r="S2349" s="55"/>
      <c r="T2349" s="55"/>
      <c r="U2349" s="55"/>
      <c r="V2349" s="30"/>
      <c r="W2349" s="30"/>
      <c r="X2349" s="58"/>
      <c r="Y2349" s="58"/>
      <c r="Z2349" s="692"/>
      <c r="AA2349" s="665"/>
      <c r="AB2349" s="55"/>
      <c r="AC2349" s="55"/>
      <c r="AD2349" s="355"/>
      <c r="AE2349" s="38"/>
      <c r="AF2349" s="355"/>
      <c r="AG2349" s="38"/>
      <c r="AH2349" s="55"/>
      <c r="AI2349" s="38"/>
      <c r="AJ2349" s="55"/>
      <c r="AK2349" s="38"/>
      <c r="AL2349" s="55"/>
      <c r="AM2349" s="38"/>
      <c r="AN2349" s="55"/>
      <c r="AO2349" s="38"/>
      <c r="AP2349" s="356"/>
      <c r="AQ2349" s="38"/>
      <c r="AR2349" s="55"/>
      <c r="AS2349" s="38"/>
      <c r="AT2349" s="55"/>
      <c r="AU2349" s="38"/>
      <c r="AV2349" s="55"/>
      <c r="AW2349" s="38"/>
      <c r="AX2349" s="55"/>
      <c r="AY2349" s="38"/>
      <c r="AZ2349" s="55"/>
      <c r="BA2349" s="38"/>
      <c r="BB2349" s="55"/>
      <c r="BC2349" s="38"/>
      <c r="BD2349" s="55"/>
      <c r="BE2349" s="38"/>
      <c r="BF2349" s="55"/>
    </row>
    <row r="2350">
      <c r="A2350" s="52"/>
      <c r="D2350" s="351"/>
      <c r="E2350" s="351"/>
      <c r="F2350" s="1949"/>
      <c r="G2350" s="353"/>
      <c r="H2350" s="353"/>
      <c r="I2350" s="55"/>
      <c r="J2350" s="55"/>
      <c r="K2350" s="55"/>
      <c r="L2350" s="961"/>
      <c r="M2350" s="55"/>
      <c r="N2350" s="55"/>
      <c r="O2350" s="27" t="str">
        <f t="shared" si="793"/>
        <v>#N/A</v>
      </c>
      <c r="P2350" s="55"/>
      <c r="Q2350" s="55"/>
      <c r="R2350" s="55"/>
      <c r="S2350" s="55"/>
      <c r="T2350" s="55"/>
      <c r="U2350" s="55"/>
      <c r="V2350" s="30"/>
      <c r="W2350" s="30"/>
      <c r="X2350" s="58"/>
      <c r="Y2350" s="58"/>
      <c r="Z2350" s="692"/>
      <c r="AA2350" s="665"/>
      <c r="AB2350" s="55"/>
      <c r="AC2350" s="55"/>
      <c r="AD2350" s="355"/>
      <c r="AE2350" s="38"/>
      <c r="AF2350" s="355"/>
      <c r="AG2350" s="38"/>
      <c r="AH2350" s="55"/>
      <c r="AI2350" s="38"/>
      <c r="AJ2350" s="55"/>
      <c r="AK2350" s="38"/>
      <c r="AL2350" s="55"/>
      <c r="AM2350" s="38"/>
      <c r="AN2350" s="55"/>
      <c r="AO2350" s="38"/>
      <c r="AP2350" s="356"/>
      <c r="AQ2350" s="38"/>
      <c r="AR2350" s="55"/>
      <c r="AS2350" s="38"/>
      <c r="AT2350" s="55"/>
      <c r="AU2350" s="38"/>
      <c r="AV2350" s="55"/>
      <c r="AW2350" s="38"/>
      <c r="AX2350" s="55"/>
      <c r="AY2350" s="38"/>
      <c r="AZ2350" s="55"/>
      <c r="BA2350" s="38"/>
      <c r="BB2350" s="55"/>
      <c r="BC2350" s="38"/>
      <c r="BD2350" s="55"/>
      <c r="BE2350" s="38"/>
      <c r="BF2350" s="55"/>
    </row>
    <row r="2351">
      <c r="A2351" s="52"/>
      <c r="D2351" s="351"/>
      <c r="E2351" s="351"/>
      <c r="F2351" s="1949"/>
      <c r="G2351" s="353"/>
      <c r="H2351" s="353"/>
      <c r="I2351" s="55"/>
      <c r="J2351" s="55"/>
      <c r="K2351" s="55"/>
      <c r="L2351" s="961"/>
      <c r="M2351" s="55"/>
      <c r="N2351" s="55"/>
      <c r="O2351" s="27" t="str">
        <f t="shared" si="793"/>
        <v>#N/A</v>
      </c>
      <c r="P2351" s="55"/>
      <c r="Q2351" s="55"/>
      <c r="R2351" s="55"/>
      <c r="S2351" s="55"/>
      <c r="T2351" s="55"/>
      <c r="U2351" s="55"/>
      <c r="V2351" s="30"/>
      <c r="W2351" s="30"/>
      <c r="X2351" s="58"/>
      <c r="Y2351" s="58"/>
      <c r="Z2351" s="692"/>
      <c r="AA2351" s="665"/>
      <c r="AB2351" s="55"/>
      <c r="AC2351" s="55"/>
      <c r="AD2351" s="355"/>
      <c r="AE2351" s="38"/>
      <c r="AF2351" s="355"/>
      <c r="AG2351" s="38"/>
      <c r="AH2351" s="55"/>
      <c r="AI2351" s="38"/>
      <c r="AJ2351" s="55"/>
      <c r="AK2351" s="38"/>
      <c r="AL2351" s="55"/>
      <c r="AM2351" s="38"/>
      <c r="AN2351" s="55"/>
      <c r="AO2351" s="38"/>
      <c r="AP2351" s="356"/>
      <c r="AQ2351" s="38"/>
      <c r="AR2351" s="55"/>
      <c r="AS2351" s="38"/>
      <c r="AT2351" s="55"/>
      <c r="AU2351" s="38"/>
      <c r="AV2351" s="55"/>
      <c r="AW2351" s="38"/>
      <c r="AX2351" s="55"/>
      <c r="AY2351" s="38"/>
      <c r="AZ2351" s="55"/>
      <c r="BA2351" s="38"/>
      <c r="BB2351" s="55"/>
      <c r="BC2351" s="38"/>
      <c r="BD2351" s="55"/>
      <c r="BE2351" s="38"/>
      <c r="BF2351" s="55"/>
    </row>
    <row r="2352">
      <c r="A2352" s="52"/>
      <c r="D2352" s="351"/>
      <c r="E2352" s="351"/>
      <c r="F2352" s="1949"/>
      <c r="G2352" s="353"/>
      <c r="H2352" s="353"/>
      <c r="I2352" s="55"/>
      <c r="J2352" s="55"/>
      <c r="K2352" s="55"/>
      <c r="L2352" s="961"/>
      <c r="M2352" s="55"/>
      <c r="N2352" s="55"/>
      <c r="O2352" s="27" t="str">
        <f t="shared" si="793"/>
        <v>#N/A</v>
      </c>
      <c r="P2352" s="55"/>
      <c r="Q2352" s="55"/>
      <c r="R2352" s="55"/>
      <c r="S2352" s="55"/>
      <c r="T2352" s="55"/>
      <c r="U2352" s="55"/>
      <c r="V2352" s="30"/>
      <c r="W2352" s="30"/>
      <c r="X2352" s="58"/>
      <c r="Y2352" s="58"/>
      <c r="Z2352" s="692"/>
      <c r="AA2352" s="665"/>
      <c r="AB2352" s="55"/>
      <c r="AC2352" s="55"/>
      <c r="AD2352" s="355"/>
      <c r="AE2352" s="38"/>
      <c r="AF2352" s="355"/>
      <c r="AG2352" s="38"/>
      <c r="AH2352" s="55"/>
      <c r="AI2352" s="38"/>
      <c r="AJ2352" s="55"/>
      <c r="AK2352" s="38"/>
      <c r="AL2352" s="55"/>
      <c r="AM2352" s="38"/>
      <c r="AN2352" s="55"/>
      <c r="AO2352" s="38"/>
      <c r="AP2352" s="356"/>
      <c r="AQ2352" s="38"/>
      <c r="AR2352" s="55"/>
      <c r="AS2352" s="38"/>
      <c r="AT2352" s="55"/>
      <c r="AU2352" s="38"/>
      <c r="AV2352" s="55"/>
      <c r="AW2352" s="38"/>
      <c r="AX2352" s="55"/>
      <c r="AY2352" s="38"/>
      <c r="AZ2352" s="55"/>
      <c r="BA2352" s="38"/>
      <c r="BB2352" s="55"/>
      <c r="BC2352" s="38"/>
      <c r="BD2352" s="55"/>
      <c r="BE2352" s="38"/>
      <c r="BF2352" s="55"/>
    </row>
    <row r="2353">
      <c r="A2353" s="52"/>
      <c r="D2353" s="351"/>
      <c r="E2353" s="351"/>
      <c r="F2353" s="1949"/>
      <c r="G2353" s="353"/>
      <c r="H2353" s="353"/>
      <c r="I2353" s="55"/>
      <c r="J2353" s="55"/>
      <c r="K2353" s="55"/>
      <c r="L2353" s="961"/>
      <c r="M2353" s="55"/>
      <c r="N2353" s="55"/>
      <c r="O2353" s="27" t="str">
        <f t="shared" si="793"/>
        <v>#N/A</v>
      </c>
      <c r="P2353" s="55"/>
      <c r="Q2353" s="55"/>
      <c r="R2353" s="55"/>
      <c r="S2353" s="55"/>
      <c r="T2353" s="55"/>
      <c r="U2353" s="55"/>
      <c r="V2353" s="30"/>
      <c r="W2353" s="30"/>
      <c r="X2353" s="58"/>
      <c r="Y2353" s="58"/>
      <c r="Z2353" s="692"/>
      <c r="AA2353" s="665"/>
      <c r="AB2353" s="55"/>
      <c r="AC2353" s="55"/>
      <c r="AD2353" s="355"/>
      <c r="AE2353" s="38"/>
      <c r="AF2353" s="355"/>
      <c r="AG2353" s="38"/>
      <c r="AH2353" s="55"/>
      <c r="AI2353" s="38"/>
      <c r="AJ2353" s="55"/>
      <c r="AK2353" s="38"/>
      <c r="AL2353" s="55"/>
      <c r="AM2353" s="38"/>
      <c r="AN2353" s="55"/>
      <c r="AO2353" s="38"/>
      <c r="AP2353" s="356"/>
      <c r="AQ2353" s="38"/>
      <c r="AR2353" s="55"/>
      <c r="AS2353" s="38"/>
      <c r="AT2353" s="55"/>
      <c r="AU2353" s="38"/>
      <c r="AV2353" s="55"/>
      <c r="AW2353" s="38"/>
      <c r="AX2353" s="55"/>
      <c r="AY2353" s="38"/>
      <c r="AZ2353" s="55"/>
      <c r="BA2353" s="38"/>
      <c r="BB2353" s="55"/>
      <c r="BC2353" s="38"/>
      <c r="BD2353" s="55"/>
      <c r="BE2353" s="38"/>
      <c r="BF2353" s="55"/>
    </row>
    <row r="2354">
      <c r="A2354" s="52"/>
      <c r="D2354" s="351"/>
      <c r="E2354" s="351"/>
      <c r="F2354" s="1949"/>
      <c r="G2354" s="353"/>
      <c r="H2354" s="353"/>
      <c r="I2354" s="55"/>
      <c r="J2354" s="55"/>
      <c r="K2354" s="55"/>
      <c r="L2354" s="961"/>
      <c r="M2354" s="55"/>
      <c r="N2354" s="55"/>
      <c r="O2354" s="27" t="str">
        <f t="shared" si="793"/>
        <v>#N/A</v>
      </c>
      <c r="P2354" s="55"/>
      <c r="Q2354" s="55"/>
      <c r="R2354" s="55"/>
      <c r="S2354" s="55"/>
      <c r="T2354" s="55"/>
      <c r="U2354" s="55"/>
      <c r="V2354" s="30"/>
      <c r="W2354" s="30"/>
      <c r="X2354" s="58"/>
      <c r="Y2354" s="58"/>
      <c r="Z2354" s="692"/>
      <c r="AA2354" s="665"/>
      <c r="AB2354" s="55"/>
      <c r="AC2354" s="55"/>
      <c r="AD2354" s="355"/>
      <c r="AE2354" s="38"/>
      <c r="AF2354" s="355"/>
      <c r="AG2354" s="38"/>
      <c r="AH2354" s="55"/>
      <c r="AI2354" s="38"/>
      <c r="AJ2354" s="55"/>
      <c r="AK2354" s="38"/>
      <c r="AL2354" s="55"/>
      <c r="AM2354" s="38"/>
      <c r="AN2354" s="55"/>
      <c r="AO2354" s="38"/>
      <c r="AP2354" s="356"/>
      <c r="AQ2354" s="38"/>
      <c r="AR2354" s="55"/>
      <c r="AS2354" s="38"/>
      <c r="AT2354" s="55"/>
      <c r="AU2354" s="38"/>
      <c r="AV2354" s="55"/>
      <c r="AW2354" s="38"/>
      <c r="AX2354" s="55"/>
      <c r="AY2354" s="38"/>
      <c r="AZ2354" s="55"/>
      <c r="BA2354" s="38"/>
      <c r="BB2354" s="55"/>
      <c r="BC2354" s="38"/>
      <c r="BD2354" s="55"/>
      <c r="BE2354" s="38"/>
      <c r="BF2354" s="55"/>
    </row>
    <row r="2355">
      <c r="A2355" s="52"/>
      <c r="D2355" s="351"/>
      <c r="E2355" s="351"/>
      <c r="F2355" s="1949"/>
      <c r="G2355" s="353"/>
      <c r="H2355" s="353"/>
      <c r="I2355" s="55"/>
      <c r="J2355" s="55"/>
      <c r="K2355" s="55"/>
      <c r="L2355" s="961"/>
      <c r="M2355" s="55"/>
      <c r="N2355" s="55"/>
      <c r="O2355" s="27" t="str">
        <f t="shared" si="793"/>
        <v>#N/A</v>
      </c>
      <c r="P2355" s="55"/>
      <c r="Q2355" s="55"/>
      <c r="R2355" s="55"/>
      <c r="S2355" s="55"/>
      <c r="T2355" s="55"/>
      <c r="U2355" s="55"/>
      <c r="V2355" s="30"/>
      <c r="W2355" s="30"/>
      <c r="X2355" s="58"/>
      <c r="Y2355" s="58"/>
      <c r="Z2355" s="692"/>
      <c r="AA2355" s="665"/>
      <c r="AB2355" s="55"/>
      <c r="AC2355" s="55"/>
      <c r="AD2355" s="355"/>
      <c r="AE2355" s="38"/>
      <c r="AF2355" s="355"/>
      <c r="AG2355" s="38"/>
      <c r="AH2355" s="55"/>
      <c r="AI2355" s="38"/>
      <c r="AJ2355" s="55"/>
      <c r="AK2355" s="38"/>
      <c r="AL2355" s="55"/>
      <c r="AM2355" s="38"/>
      <c r="AN2355" s="55"/>
      <c r="AO2355" s="38"/>
      <c r="AP2355" s="356"/>
      <c r="AQ2355" s="38"/>
      <c r="AR2355" s="55"/>
      <c r="AS2355" s="38"/>
      <c r="AT2355" s="55"/>
      <c r="AU2355" s="38"/>
      <c r="AV2355" s="55"/>
      <c r="AW2355" s="38"/>
      <c r="AX2355" s="55"/>
      <c r="AY2355" s="38"/>
      <c r="AZ2355" s="55"/>
      <c r="BA2355" s="38"/>
      <c r="BB2355" s="55"/>
      <c r="BC2355" s="38"/>
      <c r="BD2355" s="55"/>
      <c r="BE2355" s="38"/>
      <c r="BF2355" s="55"/>
    </row>
    <row r="2356">
      <c r="A2356" s="52"/>
      <c r="D2356" s="351"/>
      <c r="E2356" s="351"/>
      <c r="F2356" s="1949"/>
      <c r="G2356" s="353"/>
      <c r="H2356" s="353"/>
      <c r="I2356" s="55"/>
      <c r="J2356" s="55"/>
      <c r="K2356" s="55"/>
      <c r="L2356" s="961"/>
      <c r="M2356" s="55"/>
      <c r="N2356" s="55"/>
      <c r="O2356" s="27" t="str">
        <f t="shared" si="793"/>
        <v>#N/A</v>
      </c>
      <c r="P2356" s="55"/>
      <c r="Q2356" s="55"/>
      <c r="R2356" s="55"/>
      <c r="S2356" s="55"/>
      <c r="T2356" s="55"/>
      <c r="U2356" s="55"/>
      <c r="V2356" s="30"/>
      <c r="W2356" s="30"/>
      <c r="X2356" s="58"/>
      <c r="Y2356" s="58"/>
      <c r="Z2356" s="692"/>
      <c r="AA2356" s="665"/>
      <c r="AB2356" s="55"/>
      <c r="AC2356" s="55"/>
      <c r="AD2356" s="355"/>
      <c r="AE2356" s="38"/>
      <c r="AF2356" s="355"/>
      <c r="AG2356" s="38"/>
      <c r="AH2356" s="55"/>
      <c r="AI2356" s="38"/>
      <c r="AJ2356" s="55"/>
      <c r="AK2356" s="38"/>
      <c r="AL2356" s="55"/>
      <c r="AM2356" s="38"/>
      <c r="AN2356" s="55"/>
      <c r="AO2356" s="38"/>
      <c r="AP2356" s="356"/>
      <c r="AQ2356" s="38"/>
      <c r="AR2356" s="55"/>
      <c r="AS2356" s="38"/>
      <c r="AT2356" s="55"/>
      <c r="AU2356" s="38"/>
      <c r="AV2356" s="55"/>
      <c r="AW2356" s="38"/>
      <c r="AX2356" s="55"/>
      <c r="AY2356" s="38"/>
      <c r="AZ2356" s="55"/>
      <c r="BA2356" s="38"/>
      <c r="BB2356" s="55"/>
      <c r="BC2356" s="38"/>
      <c r="BD2356" s="55"/>
      <c r="BE2356" s="38"/>
      <c r="BF2356" s="55"/>
    </row>
    <row r="2357">
      <c r="A2357" s="52"/>
      <c r="D2357" s="351"/>
      <c r="E2357" s="351"/>
      <c r="F2357" s="1949"/>
      <c r="G2357" s="353"/>
      <c r="H2357" s="353"/>
      <c r="I2357" s="55"/>
      <c r="J2357" s="55"/>
      <c r="K2357" s="55"/>
      <c r="L2357" s="961"/>
      <c r="M2357" s="55"/>
      <c r="N2357" s="55"/>
      <c r="O2357" s="27" t="str">
        <f t="shared" si="793"/>
        <v>#N/A</v>
      </c>
      <c r="P2357" s="55"/>
      <c r="Q2357" s="55"/>
      <c r="R2357" s="55"/>
      <c r="S2357" s="55"/>
      <c r="T2357" s="55"/>
      <c r="U2357" s="55"/>
      <c r="V2357" s="30"/>
      <c r="W2357" s="30"/>
      <c r="X2357" s="58"/>
      <c r="Y2357" s="58"/>
      <c r="Z2357" s="692"/>
      <c r="AA2357" s="665"/>
      <c r="AB2357" s="55"/>
      <c r="AC2357" s="55"/>
      <c r="AD2357" s="355"/>
      <c r="AE2357" s="38"/>
      <c r="AF2357" s="355"/>
      <c r="AG2357" s="38"/>
      <c r="AH2357" s="55"/>
      <c r="AI2357" s="38"/>
      <c r="AJ2357" s="55"/>
      <c r="AK2357" s="38"/>
      <c r="AL2357" s="55"/>
      <c r="AM2357" s="38"/>
      <c r="AN2357" s="55"/>
      <c r="AO2357" s="38"/>
      <c r="AP2357" s="356"/>
      <c r="AQ2357" s="38"/>
      <c r="AR2357" s="55"/>
      <c r="AS2357" s="38"/>
      <c r="AT2357" s="55"/>
      <c r="AU2357" s="38"/>
      <c r="AV2357" s="55"/>
      <c r="AW2357" s="38"/>
      <c r="AX2357" s="55"/>
      <c r="AY2357" s="38"/>
      <c r="AZ2357" s="55"/>
      <c r="BA2357" s="38"/>
      <c r="BB2357" s="55"/>
      <c r="BC2357" s="38"/>
      <c r="BD2357" s="55"/>
      <c r="BE2357" s="38"/>
      <c r="BF2357" s="55"/>
    </row>
    <row r="2358">
      <c r="A2358" s="52"/>
      <c r="D2358" s="351"/>
      <c r="E2358" s="351"/>
      <c r="F2358" s="1949"/>
      <c r="G2358" s="353"/>
      <c r="H2358" s="353"/>
      <c r="I2358" s="55"/>
      <c r="J2358" s="55"/>
      <c r="K2358" s="55"/>
      <c r="L2358" s="961"/>
      <c r="M2358" s="55"/>
      <c r="N2358" s="55"/>
      <c r="O2358" s="27" t="str">
        <f t="shared" si="793"/>
        <v>#N/A</v>
      </c>
      <c r="P2358" s="55"/>
      <c r="Q2358" s="55"/>
      <c r="R2358" s="55"/>
      <c r="S2358" s="55"/>
      <c r="T2358" s="55"/>
      <c r="U2358" s="55"/>
      <c r="V2358" s="30"/>
      <c r="W2358" s="30"/>
      <c r="X2358" s="58"/>
      <c r="Y2358" s="58"/>
      <c r="Z2358" s="692"/>
      <c r="AA2358" s="665"/>
      <c r="AB2358" s="55"/>
      <c r="AC2358" s="55"/>
      <c r="AD2358" s="355"/>
      <c r="AE2358" s="38"/>
      <c r="AF2358" s="355"/>
      <c r="AG2358" s="38"/>
      <c r="AH2358" s="55"/>
      <c r="AI2358" s="38"/>
      <c r="AJ2358" s="55"/>
      <c r="AK2358" s="38"/>
      <c r="AL2358" s="55"/>
      <c r="AM2358" s="38"/>
      <c r="AN2358" s="55"/>
      <c r="AO2358" s="38"/>
      <c r="AP2358" s="356"/>
      <c r="AQ2358" s="38"/>
      <c r="AR2358" s="55"/>
      <c r="AS2358" s="38"/>
      <c r="AT2358" s="55"/>
      <c r="AU2358" s="38"/>
      <c r="AV2358" s="55"/>
      <c r="AW2358" s="38"/>
      <c r="AX2358" s="55"/>
      <c r="AY2358" s="38"/>
      <c r="AZ2358" s="55"/>
      <c r="BA2358" s="38"/>
      <c r="BB2358" s="55"/>
      <c r="BC2358" s="38"/>
      <c r="BD2358" s="55"/>
      <c r="BE2358" s="38"/>
      <c r="BF2358" s="55"/>
    </row>
    <row r="2359">
      <c r="A2359" s="52"/>
      <c r="D2359" s="351"/>
      <c r="E2359" s="351"/>
      <c r="F2359" s="1949"/>
      <c r="G2359" s="353"/>
      <c r="H2359" s="353"/>
      <c r="I2359" s="55"/>
      <c r="J2359" s="55"/>
      <c r="K2359" s="55"/>
      <c r="L2359" s="961"/>
      <c r="M2359" s="55"/>
      <c r="N2359" s="55"/>
      <c r="O2359" s="27" t="str">
        <f t="shared" si="793"/>
        <v>#N/A</v>
      </c>
      <c r="P2359" s="55"/>
      <c r="Q2359" s="55"/>
      <c r="R2359" s="55"/>
      <c r="S2359" s="55"/>
      <c r="T2359" s="55"/>
      <c r="U2359" s="55"/>
      <c r="V2359" s="30"/>
      <c r="W2359" s="30"/>
      <c r="X2359" s="58"/>
      <c r="Y2359" s="58"/>
      <c r="Z2359" s="692"/>
      <c r="AA2359" s="665"/>
      <c r="AB2359" s="55"/>
      <c r="AC2359" s="55"/>
      <c r="AD2359" s="355"/>
      <c r="AE2359" s="38"/>
      <c r="AF2359" s="355"/>
      <c r="AG2359" s="38"/>
      <c r="AH2359" s="55"/>
      <c r="AI2359" s="38"/>
      <c r="AJ2359" s="55"/>
      <c r="AK2359" s="38"/>
      <c r="AL2359" s="55"/>
      <c r="AM2359" s="38"/>
      <c r="AN2359" s="55"/>
      <c r="AO2359" s="38"/>
      <c r="AP2359" s="356"/>
      <c r="AQ2359" s="38"/>
      <c r="AR2359" s="55"/>
      <c r="AS2359" s="38"/>
      <c r="AT2359" s="55"/>
      <c r="AU2359" s="38"/>
      <c r="AV2359" s="55"/>
      <c r="AW2359" s="38"/>
      <c r="AX2359" s="55"/>
      <c r="AY2359" s="38"/>
      <c r="AZ2359" s="55"/>
      <c r="BA2359" s="38"/>
      <c r="BB2359" s="55"/>
      <c r="BC2359" s="38"/>
      <c r="BD2359" s="55"/>
      <c r="BE2359" s="38"/>
      <c r="BF2359" s="55"/>
    </row>
    <row r="2360">
      <c r="A2360" s="52"/>
      <c r="D2360" s="351"/>
      <c r="E2360" s="351"/>
      <c r="F2360" s="1949"/>
      <c r="G2360" s="353"/>
      <c r="H2360" s="353"/>
      <c r="I2360" s="55"/>
      <c r="J2360" s="55"/>
      <c r="K2360" s="55"/>
      <c r="L2360" s="961"/>
      <c r="M2360" s="55"/>
      <c r="N2360" s="55"/>
      <c r="O2360" s="27" t="str">
        <f t="shared" si="793"/>
        <v>#N/A</v>
      </c>
      <c r="P2360" s="55"/>
      <c r="Q2360" s="55"/>
      <c r="R2360" s="55"/>
      <c r="S2360" s="55"/>
      <c r="T2360" s="55"/>
      <c r="U2360" s="55"/>
      <c r="V2360" s="30"/>
      <c r="W2360" s="30"/>
      <c r="X2360" s="58"/>
      <c r="Y2360" s="58"/>
      <c r="Z2360" s="692"/>
      <c r="AA2360" s="665"/>
      <c r="AB2360" s="55"/>
      <c r="AC2360" s="55"/>
      <c r="AD2360" s="355"/>
      <c r="AE2360" s="38"/>
      <c r="AF2360" s="355"/>
      <c r="AG2360" s="38"/>
      <c r="AH2360" s="55"/>
      <c r="AI2360" s="38"/>
      <c r="AJ2360" s="55"/>
      <c r="AK2360" s="38"/>
      <c r="AL2360" s="55"/>
      <c r="AM2360" s="38"/>
      <c r="AN2360" s="55"/>
      <c r="AO2360" s="38"/>
      <c r="AP2360" s="356"/>
      <c r="AQ2360" s="38"/>
      <c r="AR2360" s="55"/>
      <c r="AS2360" s="38"/>
      <c r="AT2360" s="55"/>
      <c r="AU2360" s="38"/>
      <c r="AV2360" s="55"/>
      <c r="AW2360" s="38"/>
      <c r="AX2360" s="55"/>
      <c r="AY2360" s="38"/>
      <c r="AZ2360" s="55"/>
      <c r="BA2360" s="38"/>
      <c r="BB2360" s="55"/>
      <c r="BC2360" s="38"/>
      <c r="BD2360" s="55"/>
      <c r="BE2360" s="38"/>
      <c r="BF2360" s="55"/>
    </row>
    <row r="2361">
      <c r="A2361" s="52"/>
      <c r="D2361" s="351"/>
      <c r="E2361" s="351"/>
      <c r="F2361" s="1949"/>
      <c r="G2361" s="353"/>
      <c r="H2361" s="353"/>
      <c r="I2361" s="55"/>
      <c r="J2361" s="55"/>
      <c r="K2361" s="55"/>
      <c r="L2361" s="961"/>
      <c r="M2361" s="55"/>
      <c r="N2361" s="55"/>
      <c r="O2361" s="27" t="str">
        <f t="shared" si="793"/>
        <v>#N/A</v>
      </c>
      <c r="P2361" s="55"/>
      <c r="Q2361" s="55"/>
      <c r="R2361" s="55"/>
      <c r="S2361" s="55"/>
      <c r="T2361" s="55"/>
      <c r="U2361" s="55"/>
      <c r="V2361" s="30"/>
      <c r="W2361" s="30"/>
      <c r="X2361" s="58"/>
      <c r="Y2361" s="58"/>
      <c r="Z2361" s="692"/>
      <c r="AA2361" s="665"/>
      <c r="AB2361" s="55"/>
      <c r="AC2361" s="55"/>
      <c r="AD2361" s="355"/>
      <c r="AE2361" s="38"/>
      <c r="AF2361" s="355"/>
      <c r="AG2361" s="38"/>
      <c r="AH2361" s="55"/>
      <c r="AI2361" s="38"/>
      <c r="AJ2361" s="55"/>
      <c r="AK2361" s="38"/>
      <c r="AL2361" s="55"/>
      <c r="AM2361" s="38"/>
      <c r="AN2361" s="55"/>
      <c r="AO2361" s="38"/>
      <c r="AP2361" s="356"/>
      <c r="AQ2361" s="38"/>
      <c r="AR2361" s="55"/>
      <c r="AS2361" s="38"/>
      <c r="AT2361" s="55"/>
      <c r="AU2361" s="38"/>
      <c r="AV2361" s="55"/>
      <c r="AW2361" s="38"/>
      <c r="AX2361" s="55"/>
      <c r="AY2361" s="38"/>
      <c r="AZ2361" s="55"/>
      <c r="BA2361" s="38"/>
      <c r="BB2361" s="55"/>
      <c r="BC2361" s="38"/>
      <c r="BD2361" s="55"/>
      <c r="BE2361" s="38"/>
      <c r="BF2361" s="55"/>
    </row>
    <row r="2362">
      <c r="A2362" s="52"/>
      <c r="D2362" s="351"/>
      <c r="E2362" s="351"/>
      <c r="F2362" s="1949"/>
      <c r="G2362" s="353"/>
      <c r="H2362" s="353"/>
      <c r="I2362" s="55"/>
      <c r="J2362" s="55"/>
      <c r="K2362" s="55"/>
      <c r="L2362" s="961"/>
      <c r="M2362" s="55"/>
      <c r="N2362" s="55"/>
      <c r="O2362" s="27" t="str">
        <f t="shared" si="793"/>
        <v>#N/A</v>
      </c>
      <c r="P2362" s="55"/>
      <c r="Q2362" s="55"/>
      <c r="R2362" s="55"/>
      <c r="S2362" s="55"/>
      <c r="T2362" s="55"/>
      <c r="U2362" s="55"/>
      <c r="V2362" s="30"/>
      <c r="W2362" s="30"/>
      <c r="X2362" s="58"/>
      <c r="Y2362" s="58"/>
      <c r="Z2362" s="692"/>
      <c r="AA2362" s="665"/>
      <c r="AB2362" s="55"/>
      <c r="AC2362" s="55"/>
      <c r="AD2362" s="355"/>
      <c r="AE2362" s="38"/>
      <c r="AF2362" s="355"/>
      <c r="AG2362" s="38"/>
      <c r="AH2362" s="55"/>
      <c r="AI2362" s="38"/>
      <c r="AJ2362" s="55"/>
      <c r="AK2362" s="38"/>
      <c r="AL2362" s="55"/>
      <c r="AM2362" s="38"/>
      <c r="AN2362" s="55"/>
      <c r="AO2362" s="38"/>
      <c r="AP2362" s="356"/>
      <c r="AQ2362" s="38"/>
      <c r="AR2362" s="55"/>
      <c r="AS2362" s="38"/>
      <c r="AT2362" s="55"/>
      <c r="AU2362" s="38"/>
      <c r="AV2362" s="55"/>
      <c r="AW2362" s="38"/>
      <c r="AX2362" s="55"/>
      <c r="AY2362" s="38"/>
      <c r="AZ2362" s="55"/>
      <c r="BA2362" s="38"/>
      <c r="BB2362" s="55"/>
      <c r="BC2362" s="38"/>
      <c r="BD2362" s="55"/>
      <c r="BE2362" s="38"/>
      <c r="BF2362" s="55"/>
    </row>
    <row r="2363">
      <c r="A2363" s="52"/>
      <c r="D2363" s="351"/>
      <c r="E2363" s="351"/>
      <c r="F2363" s="1949"/>
      <c r="G2363" s="353"/>
      <c r="H2363" s="353"/>
      <c r="I2363" s="55"/>
      <c r="J2363" s="55"/>
      <c r="K2363" s="55"/>
      <c r="L2363" s="961"/>
      <c r="M2363" s="55"/>
      <c r="N2363" s="55"/>
      <c r="O2363" s="27" t="str">
        <f t="shared" si="793"/>
        <v>#N/A</v>
      </c>
      <c r="P2363" s="55"/>
      <c r="Q2363" s="55"/>
      <c r="R2363" s="55"/>
      <c r="S2363" s="55"/>
      <c r="T2363" s="55"/>
      <c r="U2363" s="55"/>
      <c r="V2363" s="30"/>
      <c r="W2363" s="30"/>
      <c r="X2363" s="58"/>
      <c r="Y2363" s="58"/>
      <c r="Z2363" s="692"/>
      <c r="AA2363" s="665"/>
      <c r="AB2363" s="55"/>
      <c r="AC2363" s="55"/>
      <c r="AD2363" s="355"/>
      <c r="AE2363" s="38"/>
      <c r="AF2363" s="355"/>
      <c r="AG2363" s="38"/>
      <c r="AH2363" s="55"/>
      <c r="AI2363" s="38"/>
      <c r="AJ2363" s="55"/>
      <c r="AK2363" s="38"/>
      <c r="AL2363" s="55"/>
      <c r="AM2363" s="38"/>
      <c r="AN2363" s="55"/>
      <c r="AO2363" s="38"/>
      <c r="AP2363" s="356"/>
      <c r="AQ2363" s="38"/>
      <c r="AR2363" s="55"/>
      <c r="AS2363" s="38"/>
      <c r="AT2363" s="55"/>
      <c r="AU2363" s="38"/>
      <c r="AV2363" s="55"/>
      <c r="AW2363" s="38"/>
      <c r="AX2363" s="55"/>
      <c r="AY2363" s="38"/>
      <c r="AZ2363" s="55"/>
      <c r="BA2363" s="38"/>
      <c r="BB2363" s="55"/>
      <c r="BC2363" s="38"/>
      <c r="BD2363" s="55"/>
      <c r="BE2363" s="38"/>
      <c r="BF2363" s="55"/>
    </row>
    <row r="2364">
      <c r="A2364" s="52"/>
      <c r="D2364" s="351"/>
      <c r="E2364" s="351"/>
      <c r="F2364" s="1949"/>
      <c r="G2364" s="353"/>
      <c r="H2364" s="353"/>
      <c r="I2364" s="55"/>
      <c r="J2364" s="55"/>
      <c r="K2364" s="55"/>
      <c r="L2364" s="961"/>
      <c r="M2364" s="55"/>
      <c r="N2364" s="55"/>
      <c r="O2364" s="27" t="str">
        <f t="shared" si="793"/>
        <v>#N/A</v>
      </c>
      <c r="P2364" s="55"/>
      <c r="Q2364" s="55"/>
      <c r="R2364" s="55"/>
      <c r="S2364" s="55"/>
      <c r="T2364" s="55"/>
      <c r="U2364" s="55"/>
      <c r="V2364" s="30"/>
      <c r="W2364" s="30"/>
      <c r="X2364" s="58"/>
      <c r="Y2364" s="58"/>
      <c r="Z2364" s="692"/>
      <c r="AA2364" s="665"/>
      <c r="AB2364" s="55"/>
      <c r="AC2364" s="55"/>
      <c r="AD2364" s="355"/>
      <c r="AE2364" s="38"/>
      <c r="AF2364" s="355"/>
      <c r="AG2364" s="38"/>
      <c r="AH2364" s="55"/>
      <c r="AI2364" s="38"/>
      <c r="AJ2364" s="55"/>
      <c r="AK2364" s="38"/>
      <c r="AL2364" s="55"/>
      <c r="AM2364" s="38"/>
      <c r="AN2364" s="55"/>
      <c r="AO2364" s="38"/>
      <c r="AP2364" s="356"/>
      <c r="AQ2364" s="38"/>
      <c r="AR2364" s="55"/>
      <c r="AS2364" s="38"/>
      <c r="AT2364" s="55"/>
      <c r="AU2364" s="38"/>
      <c r="AV2364" s="55"/>
      <c r="AW2364" s="38"/>
      <c r="AX2364" s="55"/>
      <c r="AY2364" s="38"/>
      <c r="AZ2364" s="55"/>
      <c r="BA2364" s="38"/>
      <c r="BB2364" s="55"/>
      <c r="BC2364" s="38"/>
      <c r="BD2364" s="55"/>
      <c r="BE2364" s="38"/>
      <c r="BF2364" s="55"/>
    </row>
    <row r="2365">
      <c r="A2365" s="52"/>
      <c r="D2365" s="351"/>
      <c r="E2365" s="351"/>
      <c r="F2365" s="1949"/>
      <c r="G2365" s="353"/>
      <c r="H2365" s="353"/>
      <c r="I2365" s="55"/>
      <c r="J2365" s="55"/>
      <c r="K2365" s="55"/>
      <c r="L2365" s="961"/>
      <c r="M2365" s="55"/>
      <c r="N2365" s="55"/>
      <c r="O2365" s="27" t="str">
        <f t="shared" si="793"/>
        <v>#N/A</v>
      </c>
      <c r="P2365" s="55"/>
      <c r="Q2365" s="55"/>
      <c r="R2365" s="55"/>
      <c r="S2365" s="55"/>
      <c r="T2365" s="55"/>
      <c r="U2365" s="55"/>
      <c r="V2365" s="30"/>
      <c r="W2365" s="30"/>
      <c r="X2365" s="58"/>
      <c r="Y2365" s="58"/>
      <c r="Z2365" s="692"/>
      <c r="AA2365" s="665"/>
      <c r="AB2365" s="55"/>
      <c r="AC2365" s="55"/>
      <c r="AD2365" s="355"/>
      <c r="AE2365" s="38"/>
      <c r="AF2365" s="355"/>
      <c r="AG2365" s="38"/>
      <c r="AH2365" s="55"/>
      <c r="AI2365" s="38"/>
      <c r="AJ2365" s="55"/>
      <c r="AK2365" s="38"/>
      <c r="AL2365" s="55"/>
      <c r="AM2365" s="38"/>
      <c r="AN2365" s="55"/>
      <c r="AO2365" s="38"/>
      <c r="AP2365" s="356"/>
      <c r="AQ2365" s="38"/>
      <c r="AR2365" s="55"/>
      <c r="AS2365" s="38"/>
      <c r="AT2365" s="55"/>
      <c r="AU2365" s="38"/>
      <c r="AV2365" s="55"/>
      <c r="AW2365" s="38"/>
      <c r="AX2365" s="55"/>
      <c r="AY2365" s="38"/>
      <c r="AZ2365" s="55"/>
      <c r="BA2365" s="38"/>
      <c r="BB2365" s="55"/>
      <c r="BC2365" s="38"/>
      <c r="BD2365" s="55"/>
      <c r="BE2365" s="38"/>
      <c r="BF2365" s="55"/>
    </row>
    <row r="2366">
      <c r="A2366" s="52"/>
      <c r="D2366" s="351"/>
      <c r="E2366" s="351"/>
      <c r="F2366" s="1949"/>
      <c r="G2366" s="353"/>
      <c r="H2366" s="353"/>
      <c r="I2366" s="55"/>
      <c r="J2366" s="55"/>
      <c r="K2366" s="55"/>
      <c r="L2366" s="961"/>
      <c r="M2366" s="55"/>
      <c r="N2366" s="55"/>
      <c r="O2366" s="27" t="str">
        <f t="shared" si="793"/>
        <v>#N/A</v>
      </c>
      <c r="P2366" s="55"/>
      <c r="Q2366" s="55"/>
      <c r="R2366" s="55"/>
      <c r="S2366" s="55"/>
      <c r="T2366" s="55"/>
      <c r="U2366" s="55"/>
      <c r="V2366" s="30"/>
      <c r="W2366" s="30"/>
      <c r="X2366" s="58"/>
      <c r="Y2366" s="58"/>
      <c r="Z2366" s="692"/>
      <c r="AA2366" s="665"/>
      <c r="AB2366" s="55"/>
      <c r="AC2366" s="55"/>
      <c r="AD2366" s="355"/>
      <c r="AE2366" s="38"/>
      <c r="AF2366" s="355"/>
      <c r="AG2366" s="38"/>
      <c r="AH2366" s="55"/>
      <c r="AI2366" s="38"/>
      <c r="AJ2366" s="55"/>
      <c r="AK2366" s="38"/>
      <c r="AL2366" s="55"/>
      <c r="AM2366" s="38"/>
      <c r="AN2366" s="55"/>
      <c r="AO2366" s="38"/>
      <c r="AP2366" s="356"/>
      <c r="AQ2366" s="38"/>
      <c r="AR2366" s="55"/>
      <c r="AS2366" s="38"/>
      <c r="AT2366" s="55"/>
      <c r="AU2366" s="38"/>
      <c r="AV2366" s="55"/>
      <c r="AW2366" s="38"/>
      <c r="AX2366" s="55"/>
      <c r="AY2366" s="38"/>
      <c r="AZ2366" s="55"/>
      <c r="BA2366" s="38"/>
      <c r="BB2366" s="55"/>
      <c r="BC2366" s="38"/>
      <c r="BD2366" s="55"/>
      <c r="BE2366" s="38"/>
      <c r="BF2366" s="55"/>
    </row>
    <row r="2367">
      <c r="A2367" s="52"/>
      <c r="D2367" s="351"/>
      <c r="E2367" s="351"/>
      <c r="F2367" s="1949"/>
      <c r="G2367" s="353"/>
      <c r="H2367" s="353"/>
      <c r="I2367" s="55"/>
      <c r="J2367" s="55"/>
      <c r="K2367" s="55"/>
      <c r="L2367" s="961"/>
      <c r="M2367" s="55"/>
      <c r="N2367" s="55"/>
      <c r="O2367" s="27" t="str">
        <f t="shared" si="793"/>
        <v>#N/A</v>
      </c>
      <c r="P2367" s="55"/>
      <c r="Q2367" s="55"/>
      <c r="R2367" s="55"/>
      <c r="S2367" s="55"/>
      <c r="T2367" s="55"/>
      <c r="U2367" s="55"/>
      <c r="V2367" s="30"/>
      <c r="W2367" s="30"/>
      <c r="X2367" s="58"/>
      <c r="Y2367" s="58"/>
      <c r="Z2367" s="692"/>
      <c r="AA2367" s="665"/>
      <c r="AB2367" s="55"/>
      <c r="AC2367" s="55"/>
      <c r="AD2367" s="355"/>
      <c r="AE2367" s="38"/>
      <c r="AF2367" s="355"/>
      <c r="AG2367" s="38"/>
      <c r="AH2367" s="55"/>
      <c r="AI2367" s="38"/>
      <c r="AJ2367" s="55"/>
      <c r="AK2367" s="38"/>
      <c r="AL2367" s="55"/>
      <c r="AM2367" s="38"/>
      <c r="AN2367" s="55"/>
      <c r="AO2367" s="38"/>
      <c r="AP2367" s="356"/>
      <c r="AQ2367" s="38"/>
      <c r="AR2367" s="55"/>
      <c r="AS2367" s="38"/>
      <c r="AT2367" s="55"/>
      <c r="AU2367" s="38"/>
      <c r="AV2367" s="55"/>
      <c r="AW2367" s="38"/>
      <c r="AX2367" s="55"/>
      <c r="AY2367" s="38"/>
      <c r="AZ2367" s="55"/>
      <c r="BA2367" s="38"/>
      <c r="BB2367" s="55"/>
      <c r="BC2367" s="38"/>
      <c r="BD2367" s="55"/>
      <c r="BE2367" s="38"/>
      <c r="BF2367" s="55"/>
    </row>
    <row r="2368">
      <c r="A2368" s="52"/>
      <c r="D2368" s="351"/>
      <c r="E2368" s="351"/>
      <c r="F2368" s="1949"/>
      <c r="G2368" s="353"/>
      <c r="H2368" s="353"/>
      <c r="I2368" s="55"/>
      <c r="J2368" s="55"/>
      <c r="K2368" s="55"/>
      <c r="L2368" s="961"/>
      <c r="M2368" s="55"/>
      <c r="N2368" s="55"/>
      <c r="O2368" s="27" t="str">
        <f t="shared" si="793"/>
        <v>#N/A</v>
      </c>
      <c r="P2368" s="55"/>
      <c r="Q2368" s="55"/>
      <c r="R2368" s="55"/>
      <c r="S2368" s="55"/>
      <c r="T2368" s="55"/>
      <c r="U2368" s="55"/>
      <c r="V2368" s="30"/>
      <c r="W2368" s="30"/>
      <c r="X2368" s="58"/>
      <c r="Y2368" s="58"/>
      <c r="Z2368" s="692"/>
      <c r="AA2368" s="665"/>
      <c r="AB2368" s="55"/>
      <c r="AC2368" s="55"/>
      <c r="AD2368" s="355"/>
      <c r="AE2368" s="38"/>
      <c r="AF2368" s="355"/>
      <c r="AG2368" s="38"/>
      <c r="AH2368" s="55"/>
      <c r="AI2368" s="38"/>
      <c r="AJ2368" s="55"/>
      <c r="AK2368" s="38"/>
      <c r="AL2368" s="55"/>
      <c r="AM2368" s="38"/>
      <c r="AN2368" s="55"/>
      <c r="AO2368" s="38"/>
      <c r="AP2368" s="356"/>
      <c r="AQ2368" s="38"/>
      <c r="AR2368" s="55"/>
      <c r="AS2368" s="38"/>
      <c r="AT2368" s="55"/>
      <c r="AU2368" s="38"/>
      <c r="AV2368" s="55"/>
      <c r="AW2368" s="38"/>
      <c r="AX2368" s="55"/>
      <c r="AY2368" s="38"/>
      <c r="AZ2368" s="55"/>
      <c r="BA2368" s="38"/>
      <c r="BB2368" s="55"/>
      <c r="BC2368" s="38"/>
      <c r="BD2368" s="55"/>
      <c r="BE2368" s="38"/>
      <c r="BF2368" s="55"/>
    </row>
    <row r="2369">
      <c r="A2369" s="52"/>
      <c r="D2369" s="351"/>
      <c r="E2369" s="351"/>
      <c r="F2369" s="1949"/>
      <c r="G2369" s="353"/>
      <c r="H2369" s="353"/>
      <c r="I2369" s="55"/>
      <c r="J2369" s="55"/>
      <c r="K2369" s="55"/>
      <c r="L2369" s="961"/>
      <c r="M2369" s="55"/>
      <c r="N2369" s="55"/>
      <c r="O2369" s="27" t="str">
        <f t="shared" si="793"/>
        <v>#N/A</v>
      </c>
      <c r="P2369" s="55"/>
      <c r="Q2369" s="55"/>
      <c r="R2369" s="55"/>
      <c r="S2369" s="55"/>
      <c r="T2369" s="55"/>
      <c r="U2369" s="55"/>
      <c r="V2369" s="30"/>
      <c r="W2369" s="30"/>
      <c r="X2369" s="58"/>
      <c r="Y2369" s="58"/>
      <c r="Z2369" s="692"/>
      <c r="AA2369" s="665"/>
      <c r="AB2369" s="55"/>
      <c r="AC2369" s="55"/>
      <c r="AD2369" s="355"/>
      <c r="AE2369" s="38"/>
      <c r="AF2369" s="355"/>
      <c r="AG2369" s="38"/>
      <c r="AH2369" s="55"/>
      <c r="AI2369" s="38"/>
      <c r="AJ2369" s="55"/>
      <c r="AK2369" s="38"/>
      <c r="AL2369" s="55"/>
      <c r="AM2369" s="38"/>
      <c r="AN2369" s="55"/>
      <c r="AO2369" s="38"/>
      <c r="AP2369" s="356"/>
      <c r="AQ2369" s="38"/>
      <c r="AR2369" s="55"/>
      <c r="AS2369" s="38"/>
      <c r="AT2369" s="55"/>
      <c r="AU2369" s="38"/>
      <c r="AV2369" s="55"/>
      <c r="AW2369" s="38"/>
      <c r="AX2369" s="55"/>
      <c r="AY2369" s="38"/>
      <c r="AZ2369" s="55"/>
      <c r="BA2369" s="38"/>
      <c r="BB2369" s="55"/>
      <c r="BC2369" s="38"/>
      <c r="BD2369" s="55"/>
      <c r="BE2369" s="38"/>
      <c r="BF2369" s="55"/>
    </row>
    <row r="2370">
      <c r="A2370" s="52"/>
      <c r="D2370" s="351"/>
      <c r="E2370" s="351"/>
      <c r="F2370" s="1949"/>
      <c r="G2370" s="353"/>
      <c r="H2370" s="353"/>
      <c r="I2370" s="55"/>
      <c r="J2370" s="55"/>
      <c r="K2370" s="55"/>
      <c r="L2370" s="961"/>
      <c r="M2370" s="55"/>
      <c r="N2370" s="55"/>
      <c r="O2370" s="27" t="str">
        <f t="shared" si="793"/>
        <v>#N/A</v>
      </c>
      <c r="P2370" s="55"/>
      <c r="Q2370" s="55"/>
      <c r="R2370" s="55"/>
      <c r="S2370" s="55"/>
      <c r="T2370" s="55"/>
      <c r="U2370" s="55"/>
      <c r="V2370" s="30"/>
      <c r="W2370" s="30"/>
      <c r="X2370" s="58"/>
      <c r="Y2370" s="58"/>
      <c r="Z2370" s="692"/>
      <c r="AA2370" s="665"/>
      <c r="AB2370" s="55"/>
      <c r="AC2370" s="55"/>
      <c r="AD2370" s="355"/>
      <c r="AE2370" s="38"/>
      <c r="AF2370" s="355"/>
      <c r="AG2370" s="38"/>
      <c r="AH2370" s="55"/>
      <c r="AI2370" s="38"/>
      <c r="AJ2370" s="55"/>
      <c r="AK2370" s="38"/>
      <c r="AL2370" s="55"/>
      <c r="AM2370" s="38"/>
      <c r="AN2370" s="55"/>
      <c r="AO2370" s="38"/>
      <c r="AP2370" s="356"/>
      <c r="AQ2370" s="38"/>
      <c r="AR2370" s="55"/>
      <c r="AS2370" s="38"/>
      <c r="AT2370" s="55"/>
      <c r="AU2370" s="38"/>
      <c r="AV2370" s="55"/>
      <c r="AW2370" s="38"/>
      <c r="AX2370" s="55"/>
      <c r="AY2370" s="38"/>
      <c r="AZ2370" s="55"/>
      <c r="BA2370" s="38"/>
      <c r="BB2370" s="55"/>
      <c r="BC2370" s="38"/>
      <c r="BD2370" s="55"/>
      <c r="BE2370" s="38"/>
      <c r="BF2370" s="55"/>
    </row>
    <row r="2371">
      <c r="A2371" s="52"/>
      <c r="D2371" s="351"/>
      <c r="E2371" s="351"/>
      <c r="F2371" s="1949"/>
      <c r="G2371" s="353"/>
      <c r="H2371" s="353"/>
      <c r="I2371" s="55"/>
      <c r="J2371" s="55"/>
      <c r="K2371" s="55"/>
      <c r="L2371" s="961"/>
      <c r="M2371" s="55"/>
      <c r="N2371" s="55"/>
      <c r="O2371" s="27" t="str">
        <f t="shared" si="793"/>
        <v>#N/A</v>
      </c>
      <c r="P2371" s="55"/>
      <c r="Q2371" s="55"/>
      <c r="R2371" s="55"/>
      <c r="S2371" s="55"/>
      <c r="T2371" s="55"/>
      <c r="U2371" s="55"/>
      <c r="V2371" s="30"/>
      <c r="W2371" s="30"/>
      <c r="X2371" s="58"/>
      <c r="Y2371" s="58"/>
      <c r="Z2371" s="692"/>
      <c r="AA2371" s="665"/>
      <c r="AB2371" s="55"/>
      <c r="AC2371" s="55"/>
      <c r="AD2371" s="355"/>
      <c r="AE2371" s="38"/>
      <c r="AF2371" s="355"/>
      <c r="AG2371" s="38"/>
      <c r="AH2371" s="55"/>
      <c r="AI2371" s="38"/>
      <c r="AJ2371" s="55"/>
      <c r="AK2371" s="38"/>
      <c r="AL2371" s="55"/>
      <c r="AM2371" s="38"/>
      <c r="AN2371" s="55"/>
      <c r="AO2371" s="38"/>
      <c r="AP2371" s="356"/>
      <c r="AQ2371" s="38"/>
      <c r="AR2371" s="55"/>
      <c r="AS2371" s="38"/>
      <c r="AT2371" s="55"/>
      <c r="AU2371" s="38"/>
      <c r="AV2371" s="55"/>
      <c r="AW2371" s="38"/>
      <c r="AX2371" s="55"/>
      <c r="AY2371" s="38"/>
      <c r="AZ2371" s="55"/>
      <c r="BA2371" s="38"/>
      <c r="BB2371" s="55"/>
      <c r="BC2371" s="38"/>
      <c r="BD2371" s="55"/>
      <c r="BE2371" s="38"/>
      <c r="BF2371" s="55"/>
    </row>
    <row r="2372">
      <c r="A2372" s="52"/>
      <c r="D2372" s="351"/>
      <c r="E2372" s="351"/>
      <c r="F2372" s="1949"/>
      <c r="G2372" s="353"/>
      <c r="H2372" s="353"/>
      <c r="I2372" s="55"/>
      <c r="J2372" s="55"/>
      <c r="K2372" s="55"/>
      <c r="L2372" s="961"/>
      <c r="M2372" s="55"/>
      <c r="N2372" s="55"/>
      <c r="O2372" s="27" t="str">
        <f t="shared" si="793"/>
        <v>#N/A</v>
      </c>
      <c r="P2372" s="55"/>
      <c r="Q2372" s="55"/>
      <c r="R2372" s="55"/>
      <c r="S2372" s="55"/>
      <c r="T2372" s="55"/>
      <c r="U2372" s="55"/>
      <c r="V2372" s="30"/>
      <c r="W2372" s="30"/>
      <c r="X2372" s="58"/>
      <c r="Y2372" s="58"/>
      <c r="Z2372" s="692"/>
      <c r="AA2372" s="665"/>
      <c r="AB2372" s="55"/>
      <c r="AC2372" s="55"/>
      <c r="AD2372" s="355"/>
      <c r="AE2372" s="38"/>
      <c r="AF2372" s="355"/>
      <c r="AG2372" s="38"/>
      <c r="AH2372" s="55"/>
      <c r="AI2372" s="38"/>
      <c r="AJ2372" s="55"/>
      <c r="AK2372" s="38"/>
      <c r="AL2372" s="55"/>
      <c r="AM2372" s="38"/>
      <c r="AN2372" s="55"/>
      <c r="AO2372" s="38"/>
      <c r="AP2372" s="356"/>
      <c r="AQ2372" s="38"/>
      <c r="AR2372" s="55"/>
      <c r="AS2372" s="38"/>
      <c r="AT2372" s="55"/>
      <c r="AU2372" s="38"/>
      <c r="AV2372" s="55"/>
      <c r="AW2372" s="38"/>
      <c r="AX2372" s="55"/>
      <c r="AY2372" s="38"/>
      <c r="AZ2372" s="55"/>
      <c r="BA2372" s="38"/>
      <c r="BB2372" s="55"/>
      <c r="BC2372" s="38"/>
      <c r="BD2372" s="55"/>
      <c r="BE2372" s="38"/>
      <c r="BF2372" s="55"/>
    </row>
    <row r="2373">
      <c r="A2373" s="52"/>
      <c r="D2373" s="351"/>
      <c r="E2373" s="351"/>
      <c r="F2373" s="1949"/>
      <c r="G2373" s="353"/>
      <c r="H2373" s="353"/>
      <c r="I2373" s="55"/>
      <c r="J2373" s="55"/>
      <c r="K2373" s="55"/>
      <c r="L2373" s="961"/>
      <c r="M2373" s="55"/>
      <c r="N2373" s="55"/>
      <c r="O2373" s="27" t="str">
        <f t="shared" si="793"/>
        <v>#N/A</v>
      </c>
      <c r="P2373" s="55"/>
      <c r="Q2373" s="55"/>
      <c r="R2373" s="55"/>
      <c r="S2373" s="55"/>
      <c r="T2373" s="55"/>
      <c r="U2373" s="55"/>
      <c r="V2373" s="30"/>
      <c r="W2373" s="30"/>
      <c r="X2373" s="58"/>
      <c r="Y2373" s="58"/>
      <c r="Z2373" s="692"/>
      <c r="AA2373" s="665"/>
      <c r="AB2373" s="55"/>
      <c r="AC2373" s="55"/>
      <c r="AD2373" s="355"/>
      <c r="AE2373" s="38"/>
      <c r="AF2373" s="355"/>
      <c r="AG2373" s="38"/>
      <c r="AH2373" s="55"/>
      <c r="AI2373" s="38"/>
      <c r="AJ2373" s="55"/>
      <c r="AK2373" s="38"/>
      <c r="AL2373" s="55"/>
      <c r="AM2373" s="38"/>
      <c r="AN2373" s="55"/>
      <c r="AO2373" s="38"/>
      <c r="AP2373" s="356"/>
      <c r="AQ2373" s="38"/>
      <c r="AR2373" s="55"/>
      <c r="AS2373" s="38"/>
      <c r="AT2373" s="55"/>
      <c r="AU2373" s="38"/>
      <c r="AV2373" s="55"/>
      <c r="AW2373" s="38"/>
      <c r="AX2373" s="55"/>
      <c r="AY2373" s="38"/>
      <c r="AZ2373" s="55"/>
      <c r="BA2373" s="38"/>
      <c r="BB2373" s="55"/>
      <c r="BC2373" s="38"/>
      <c r="BD2373" s="55"/>
      <c r="BE2373" s="38"/>
      <c r="BF2373" s="55"/>
    </row>
    <row r="2374">
      <c r="A2374" s="52"/>
      <c r="D2374" s="351"/>
      <c r="E2374" s="351"/>
      <c r="F2374" s="1949"/>
      <c r="G2374" s="353"/>
      <c r="H2374" s="353"/>
      <c r="I2374" s="55"/>
      <c r="J2374" s="55"/>
      <c r="K2374" s="55"/>
      <c r="L2374" s="961"/>
      <c r="M2374" s="55"/>
      <c r="N2374" s="55"/>
      <c r="O2374" s="27" t="str">
        <f t="shared" si="793"/>
        <v>#N/A</v>
      </c>
      <c r="P2374" s="55"/>
      <c r="Q2374" s="55"/>
      <c r="R2374" s="55"/>
      <c r="S2374" s="55"/>
      <c r="T2374" s="55"/>
      <c r="U2374" s="55"/>
      <c r="V2374" s="30"/>
      <c r="W2374" s="30"/>
      <c r="X2374" s="58"/>
      <c r="Y2374" s="58"/>
      <c r="Z2374" s="692"/>
      <c r="AA2374" s="665"/>
      <c r="AB2374" s="55"/>
      <c r="AC2374" s="55"/>
      <c r="AD2374" s="355"/>
      <c r="AE2374" s="38"/>
      <c r="AF2374" s="355"/>
      <c r="AG2374" s="38"/>
      <c r="AH2374" s="55"/>
      <c r="AI2374" s="38"/>
      <c r="AJ2374" s="55"/>
      <c r="AK2374" s="38"/>
      <c r="AL2374" s="55"/>
      <c r="AM2374" s="38"/>
      <c r="AN2374" s="55"/>
      <c r="AO2374" s="38"/>
      <c r="AP2374" s="356"/>
      <c r="AQ2374" s="38"/>
      <c r="AR2374" s="55"/>
      <c r="AS2374" s="38"/>
      <c r="AT2374" s="55"/>
      <c r="AU2374" s="38"/>
      <c r="AV2374" s="55"/>
      <c r="AW2374" s="38"/>
      <c r="AX2374" s="55"/>
      <c r="AY2374" s="38"/>
      <c r="AZ2374" s="55"/>
      <c r="BA2374" s="38"/>
      <c r="BB2374" s="55"/>
      <c r="BC2374" s="38"/>
      <c r="BD2374" s="55"/>
      <c r="BE2374" s="38"/>
      <c r="BF2374" s="55"/>
    </row>
    <row r="2375">
      <c r="A2375" s="52"/>
      <c r="D2375" s="351"/>
      <c r="E2375" s="351"/>
      <c r="F2375" s="1949"/>
      <c r="G2375" s="353"/>
      <c r="H2375" s="353"/>
      <c r="I2375" s="55"/>
      <c r="J2375" s="55"/>
      <c r="K2375" s="55"/>
      <c r="L2375" s="961"/>
      <c r="M2375" s="55"/>
      <c r="N2375" s="55"/>
      <c r="O2375" s="27" t="str">
        <f t="shared" si="793"/>
        <v>#N/A</v>
      </c>
      <c r="P2375" s="55"/>
      <c r="Q2375" s="55"/>
      <c r="R2375" s="55"/>
      <c r="S2375" s="55"/>
      <c r="T2375" s="55"/>
      <c r="U2375" s="55"/>
      <c r="V2375" s="30"/>
      <c r="W2375" s="30"/>
      <c r="X2375" s="58"/>
      <c r="Y2375" s="58"/>
      <c r="Z2375" s="692"/>
      <c r="AA2375" s="665"/>
      <c r="AB2375" s="55"/>
      <c r="AC2375" s="55"/>
      <c r="AD2375" s="355"/>
      <c r="AE2375" s="38"/>
      <c r="AF2375" s="355"/>
      <c r="AG2375" s="38"/>
      <c r="AH2375" s="55"/>
      <c r="AI2375" s="38"/>
      <c r="AJ2375" s="55"/>
      <c r="AK2375" s="38"/>
      <c r="AL2375" s="55"/>
      <c r="AM2375" s="38"/>
      <c r="AN2375" s="55"/>
      <c r="AO2375" s="38"/>
      <c r="AP2375" s="356"/>
      <c r="AQ2375" s="38"/>
      <c r="AR2375" s="55"/>
      <c r="AS2375" s="38"/>
      <c r="AT2375" s="55"/>
      <c r="AU2375" s="38"/>
      <c r="AV2375" s="55"/>
      <c r="AW2375" s="38"/>
      <c r="AX2375" s="55"/>
      <c r="AY2375" s="38"/>
      <c r="AZ2375" s="55"/>
      <c r="BA2375" s="38"/>
      <c r="BB2375" s="55"/>
      <c r="BC2375" s="38"/>
      <c r="BD2375" s="55"/>
      <c r="BE2375" s="38"/>
      <c r="BF2375" s="55"/>
    </row>
    <row r="2376">
      <c r="A2376" s="52"/>
      <c r="D2376" s="351"/>
      <c r="E2376" s="351"/>
      <c r="F2376" s="1949"/>
      <c r="G2376" s="353"/>
      <c r="H2376" s="353"/>
      <c r="I2376" s="55"/>
      <c r="J2376" s="55"/>
      <c r="K2376" s="55"/>
      <c r="L2376" s="961"/>
      <c r="M2376" s="55"/>
      <c r="N2376" s="55"/>
      <c r="O2376" s="27" t="str">
        <f t="shared" si="793"/>
        <v>#N/A</v>
      </c>
      <c r="P2376" s="55"/>
      <c r="Q2376" s="55"/>
      <c r="R2376" s="55"/>
      <c r="S2376" s="55"/>
      <c r="T2376" s="55"/>
      <c r="U2376" s="55"/>
      <c r="V2376" s="30"/>
      <c r="W2376" s="30"/>
      <c r="X2376" s="58"/>
      <c r="Y2376" s="58"/>
      <c r="Z2376" s="692"/>
      <c r="AA2376" s="665"/>
      <c r="AB2376" s="55"/>
      <c r="AC2376" s="55"/>
      <c r="AD2376" s="355"/>
      <c r="AE2376" s="38"/>
      <c r="AF2376" s="355"/>
      <c r="AG2376" s="38"/>
      <c r="AH2376" s="55"/>
      <c r="AI2376" s="38"/>
      <c r="AJ2376" s="55"/>
      <c r="AK2376" s="38"/>
      <c r="AL2376" s="55"/>
      <c r="AM2376" s="38"/>
      <c r="AN2376" s="55"/>
      <c r="AO2376" s="38"/>
      <c r="AP2376" s="356"/>
      <c r="AQ2376" s="38"/>
      <c r="AR2376" s="55"/>
      <c r="AS2376" s="38"/>
      <c r="AT2376" s="55"/>
      <c r="AU2376" s="38"/>
      <c r="AV2376" s="55"/>
      <c r="AW2376" s="38"/>
      <c r="AX2376" s="55"/>
      <c r="AY2376" s="38"/>
      <c r="AZ2376" s="55"/>
      <c r="BA2376" s="38"/>
      <c r="BB2376" s="55"/>
      <c r="BC2376" s="38"/>
      <c r="BD2376" s="55"/>
      <c r="BE2376" s="38"/>
      <c r="BF2376" s="55"/>
    </row>
    <row r="2377">
      <c r="A2377" s="52"/>
      <c r="D2377" s="351"/>
      <c r="E2377" s="351"/>
      <c r="F2377" s="1949"/>
      <c r="G2377" s="353"/>
      <c r="H2377" s="353"/>
      <c r="I2377" s="55"/>
      <c r="J2377" s="55"/>
      <c r="K2377" s="55"/>
      <c r="L2377" s="961"/>
      <c r="M2377" s="55"/>
      <c r="N2377" s="55"/>
      <c r="O2377" s="27" t="str">
        <f t="shared" si="793"/>
        <v>#N/A</v>
      </c>
      <c r="P2377" s="55"/>
      <c r="Q2377" s="55"/>
      <c r="R2377" s="55"/>
      <c r="S2377" s="55"/>
      <c r="T2377" s="55"/>
      <c r="U2377" s="55"/>
      <c r="V2377" s="30"/>
      <c r="W2377" s="30"/>
      <c r="X2377" s="58"/>
      <c r="Y2377" s="58"/>
      <c r="Z2377" s="692"/>
      <c r="AA2377" s="665"/>
      <c r="AB2377" s="55"/>
      <c r="AC2377" s="55"/>
      <c r="AD2377" s="355"/>
      <c r="AE2377" s="38"/>
      <c r="AF2377" s="355"/>
      <c r="AG2377" s="38"/>
      <c r="AH2377" s="55"/>
      <c r="AI2377" s="38"/>
      <c r="AJ2377" s="55"/>
      <c r="AK2377" s="38"/>
      <c r="AL2377" s="55"/>
      <c r="AM2377" s="38"/>
      <c r="AN2377" s="55"/>
      <c r="AO2377" s="38"/>
      <c r="AP2377" s="356"/>
      <c r="AQ2377" s="38"/>
      <c r="AR2377" s="55"/>
      <c r="AS2377" s="38"/>
      <c r="AT2377" s="55"/>
      <c r="AU2377" s="38"/>
      <c r="AV2377" s="55"/>
      <c r="AW2377" s="38"/>
      <c r="AX2377" s="55"/>
      <c r="AY2377" s="38"/>
      <c r="AZ2377" s="55"/>
      <c r="BA2377" s="38"/>
      <c r="BB2377" s="55"/>
      <c r="BC2377" s="38"/>
      <c r="BD2377" s="55"/>
      <c r="BE2377" s="38"/>
      <c r="BF2377" s="55"/>
    </row>
    <row r="2378">
      <c r="A2378" s="52"/>
      <c r="D2378" s="351"/>
      <c r="E2378" s="351"/>
      <c r="F2378" s="1949"/>
      <c r="G2378" s="353"/>
      <c r="H2378" s="353"/>
      <c r="I2378" s="55"/>
      <c r="J2378" s="55"/>
      <c r="K2378" s="55"/>
      <c r="L2378" s="961"/>
      <c r="M2378" s="55"/>
      <c r="N2378" s="55"/>
      <c r="O2378" s="27" t="str">
        <f t="shared" si="793"/>
        <v>#N/A</v>
      </c>
      <c r="P2378" s="55"/>
      <c r="Q2378" s="55"/>
      <c r="R2378" s="55"/>
      <c r="S2378" s="55"/>
      <c r="T2378" s="55"/>
      <c r="U2378" s="55"/>
      <c r="V2378" s="30"/>
      <c r="W2378" s="30"/>
      <c r="X2378" s="58"/>
      <c r="Y2378" s="58"/>
      <c r="Z2378" s="692"/>
      <c r="AA2378" s="665"/>
      <c r="AB2378" s="55"/>
      <c r="AC2378" s="55"/>
      <c r="AD2378" s="355"/>
      <c r="AE2378" s="38"/>
      <c r="AF2378" s="355"/>
      <c r="AG2378" s="38"/>
      <c r="AH2378" s="55"/>
      <c r="AI2378" s="38"/>
      <c r="AJ2378" s="55"/>
      <c r="AK2378" s="38"/>
      <c r="AL2378" s="55"/>
      <c r="AM2378" s="38"/>
      <c r="AN2378" s="55"/>
      <c r="AO2378" s="38"/>
      <c r="AP2378" s="356"/>
      <c r="AQ2378" s="38"/>
      <c r="AR2378" s="55"/>
      <c r="AS2378" s="38"/>
      <c r="AT2378" s="55"/>
      <c r="AU2378" s="38"/>
      <c r="AV2378" s="55"/>
      <c r="AW2378" s="38"/>
      <c r="AX2378" s="55"/>
      <c r="AY2378" s="38"/>
      <c r="AZ2378" s="55"/>
      <c r="BA2378" s="38"/>
      <c r="BB2378" s="55"/>
      <c r="BC2378" s="38"/>
      <c r="BD2378" s="55"/>
      <c r="BE2378" s="38"/>
      <c r="BF2378" s="55"/>
    </row>
    <row r="2379">
      <c r="A2379" s="52"/>
      <c r="D2379" s="351"/>
      <c r="E2379" s="351"/>
      <c r="F2379" s="1949"/>
      <c r="G2379" s="353"/>
      <c r="H2379" s="353"/>
      <c r="I2379" s="55"/>
      <c r="J2379" s="55"/>
      <c r="K2379" s="55"/>
      <c r="L2379" s="961"/>
      <c r="M2379" s="55"/>
      <c r="N2379" s="55"/>
      <c r="O2379" s="27" t="str">
        <f t="shared" si="793"/>
        <v>#N/A</v>
      </c>
      <c r="P2379" s="55"/>
      <c r="Q2379" s="55"/>
      <c r="R2379" s="55"/>
      <c r="S2379" s="55"/>
      <c r="T2379" s="55"/>
      <c r="U2379" s="55"/>
      <c r="V2379" s="30"/>
      <c r="W2379" s="30"/>
      <c r="X2379" s="58"/>
      <c r="Y2379" s="58"/>
      <c r="Z2379" s="692"/>
      <c r="AA2379" s="665"/>
      <c r="AB2379" s="55"/>
      <c r="AC2379" s="55"/>
      <c r="AD2379" s="355"/>
      <c r="AE2379" s="38"/>
      <c r="AF2379" s="355"/>
      <c r="AG2379" s="38"/>
      <c r="AH2379" s="55"/>
      <c r="AI2379" s="38"/>
      <c r="AJ2379" s="55"/>
      <c r="AK2379" s="38"/>
      <c r="AL2379" s="55"/>
      <c r="AM2379" s="38"/>
      <c r="AN2379" s="55"/>
      <c r="AO2379" s="38"/>
      <c r="AP2379" s="356"/>
      <c r="AQ2379" s="38"/>
      <c r="AR2379" s="55"/>
      <c r="AS2379" s="38"/>
      <c r="AT2379" s="55"/>
      <c r="AU2379" s="38"/>
      <c r="AV2379" s="55"/>
      <c r="AW2379" s="38"/>
      <c r="AX2379" s="55"/>
      <c r="AY2379" s="38"/>
      <c r="AZ2379" s="55"/>
      <c r="BA2379" s="38"/>
      <c r="BB2379" s="55"/>
      <c r="BC2379" s="38"/>
      <c r="BD2379" s="55"/>
      <c r="BE2379" s="38"/>
      <c r="BF2379" s="55"/>
    </row>
    <row r="2380">
      <c r="A2380" s="52"/>
      <c r="D2380" s="351"/>
      <c r="E2380" s="351"/>
      <c r="F2380" s="1949"/>
      <c r="G2380" s="353"/>
      <c r="H2380" s="353"/>
      <c r="I2380" s="55"/>
      <c r="J2380" s="55"/>
      <c r="K2380" s="55"/>
      <c r="L2380" s="961"/>
      <c r="M2380" s="55"/>
      <c r="N2380" s="55"/>
      <c r="O2380" s="27" t="str">
        <f t="shared" si="793"/>
        <v>#N/A</v>
      </c>
      <c r="P2380" s="55"/>
      <c r="Q2380" s="55"/>
      <c r="R2380" s="55"/>
      <c r="S2380" s="55"/>
      <c r="T2380" s="55"/>
      <c r="U2380" s="55"/>
      <c r="V2380" s="30"/>
      <c r="W2380" s="30"/>
      <c r="X2380" s="58"/>
      <c r="Y2380" s="58"/>
      <c r="Z2380" s="692"/>
      <c r="AA2380" s="665"/>
      <c r="AB2380" s="55"/>
      <c r="AC2380" s="55"/>
      <c r="AD2380" s="355"/>
      <c r="AE2380" s="38"/>
      <c r="AF2380" s="355"/>
      <c r="AG2380" s="38"/>
      <c r="AH2380" s="55"/>
      <c r="AI2380" s="38"/>
      <c r="AJ2380" s="55"/>
      <c r="AK2380" s="38"/>
      <c r="AL2380" s="55"/>
      <c r="AM2380" s="38"/>
      <c r="AN2380" s="55"/>
      <c r="AO2380" s="38"/>
      <c r="AP2380" s="356"/>
      <c r="AQ2380" s="38"/>
      <c r="AR2380" s="55"/>
      <c r="AS2380" s="38"/>
      <c r="AT2380" s="55"/>
      <c r="AU2380" s="38"/>
      <c r="AV2380" s="55"/>
      <c r="AW2380" s="38"/>
      <c r="AX2380" s="55"/>
      <c r="AY2380" s="38"/>
      <c r="AZ2380" s="55"/>
      <c r="BA2380" s="38"/>
      <c r="BB2380" s="55"/>
      <c r="BC2380" s="38"/>
      <c r="BD2380" s="55"/>
      <c r="BE2380" s="38"/>
      <c r="BF2380" s="55"/>
    </row>
    <row r="2381">
      <c r="A2381" s="52"/>
      <c r="D2381" s="351"/>
      <c r="E2381" s="351"/>
      <c r="F2381" s="1949"/>
      <c r="G2381" s="353"/>
      <c r="H2381" s="353"/>
      <c r="I2381" s="55"/>
      <c r="J2381" s="55"/>
      <c r="K2381" s="55"/>
      <c r="L2381" s="961"/>
      <c r="M2381" s="55"/>
      <c r="N2381" s="55"/>
      <c r="O2381" s="27" t="str">
        <f t="shared" si="793"/>
        <v>#N/A</v>
      </c>
      <c r="P2381" s="55"/>
      <c r="Q2381" s="55"/>
      <c r="R2381" s="55"/>
      <c r="S2381" s="55"/>
      <c r="T2381" s="55"/>
      <c r="U2381" s="55"/>
      <c r="V2381" s="30"/>
      <c r="W2381" s="30"/>
      <c r="X2381" s="58"/>
      <c r="Y2381" s="58"/>
      <c r="Z2381" s="692"/>
      <c r="AA2381" s="665"/>
      <c r="AB2381" s="55"/>
      <c r="AC2381" s="55"/>
      <c r="AD2381" s="355"/>
      <c r="AE2381" s="38"/>
      <c r="AF2381" s="355"/>
      <c r="AG2381" s="38"/>
      <c r="AH2381" s="55"/>
      <c r="AI2381" s="38"/>
      <c r="AJ2381" s="55"/>
      <c r="AK2381" s="38"/>
      <c r="AL2381" s="55"/>
      <c r="AM2381" s="38"/>
      <c r="AN2381" s="55"/>
      <c r="AO2381" s="38"/>
      <c r="AP2381" s="356"/>
      <c r="AQ2381" s="38"/>
      <c r="AR2381" s="55"/>
      <c r="AS2381" s="38"/>
      <c r="AT2381" s="55"/>
      <c r="AU2381" s="38"/>
      <c r="AV2381" s="55"/>
      <c r="AW2381" s="38"/>
      <c r="AX2381" s="55"/>
      <c r="AY2381" s="38"/>
      <c r="AZ2381" s="55"/>
      <c r="BA2381" s="38"/>
      <c r="BB2381" s="55"/>
      <c r="BC2381" s="38"/>
      <c r="BD2381" s="55"/>
      <c r="BE2381" s="38"/>
      <c r="BF2381" s="55"/>
    </row>
    <row r="2382">
      <c r="A2382" s="52"/>
      <c r="D2382" s="351"/>
      <c r="E2382" s="351"/>
      <c r="F2382" s="1949"/>
      <c r="G2382" s="353"/>
      <c r="H2382" s="353"/>
      <c r="I2382" s="55"/>
      <c r="J2382" s="55"/>
      <c r="K2382" s="55"/>
      <c r="L2382" s="961"/>
      <c r="M2382" s="55"/>
      <c r="N2382" s="55"/>
      <c r="O2382" s="27" t="str">
        <f t="shared" si="793"/>
        <v>#N/A</v>
      </c>
      <c r="P2382" s="55"/>
      <c r="Q2382" s="55"/>
      <c r="R2382" s="55"/>
      <c r="S2382" s="55"/>
      <c r="T2382" s="55"/>
      <c r="U2382" s="55"/>
      <c r="V2382" s="30"/>
      <c r="W2382" s="30"/>
      <c r="X2382" s="58"/>
      <c r="Y2382" s="58"/>
      <c r="Z2382" s="692"/>
      <c r="AA2382" s="665"/>
      <c r="AB2382" s="55"/>
      <c r="AC2382" s="55"/>
      <c r="AD2382" s="355"/>
      <c r="AE2382" s="38"/>
      <c r="AF2382" s="355"/>
      <c r="AG2382" s="38"/>
      <c r="AH2382" s="55"/>
      <c r="AI2382" s="38"/>
      <c r="AJ2382" s="55"/>
      <c r="AK2382" s="38"/>
      <c r="AL2382" s="55"/>
      <c r="AM2382" s="38"/>
      <c r="AN2382" s="55"/>
      <c r="AO2382" s="38"/>
      <c r="AP2382" s="356"/>
      <c r="AQ2382" s="38"/>
      <c r="AR2382" s="55"/>
      <c r="AS2382" s="38"/>
      <c r="AT2382" s="55"/>
      <c r="AU2382" s="38"/>
      <c r="AV2382" s="55"/>
      <c r="AW2382" s="38"/>
      <c r="AX2382" s="55"/>
      <c r="AY2382" s="38"/>
      <c r="AZ2382" s="55"/>
      <c r="BA2382" s="38"/>
      <c r="BB2382" s="55"/>
      <c r="BC2382" s="38"/>
      <c r="BD2382" s="55"/>
      <c r="BE2382" s="38"/>
      <c r="BF2382" s="55"/>
    </row>
    <row r="2383">
      <c r="A2383" s="52"/>
      <c r="D2383" s="351"/>
      <c r="E2383" s="351"/>
      <c r="F2383" s="1949"/>
      <c r="G2383" s="353"/>
      <c r="H2383" s="353"/>
      <c r="I2383" s="55"/>
      <c r="J2383" s="55"/>
      <c r="K2383" s="55"/>
      <c r="L2383" s="961"/>
      <c r="M2383" s="55"/>
      <c r="N2383" s="55"/>
      <c r="O2383" s="27" t="str">
        <f t="shared" si="793"/>
        <v>#N/A</v>
      </c>
      <c r="P2383" s="55"/>
      <c r="Q2383" s="55"/>
      <c r="R2383" s="55"/>
      <c r="S2383" s="55"/>
      <c r="T2383" s="55"/>
      <c r="U2383" s="55"/>
      <c r="V2383" s="30"/>
      <c r="W2383" s="30"/>
      <c r="X2383" s="58"/>
      <c r="Y2383" s="58"/>
      <c r="Z2383" s="692"/>
      <c r="AA2383" s="665"/>
      <c r="AB2383" s="55"/>
      <c r="AC2383" s="55"/>
      <c r="AD2383" s="355"/>
      <c r="AE2383" s="38"/>
      <c r="AF2383" s="355"/>
      <c r="AG2383" s="38"/>
      <c r="AH2383" s="55"/>
      <c r="AI2383" s="38"/>
      <c r="AJ2383" s="55"/>
      <c r="AK2383" s="38"/>
      <c r="AL2383" s="55"/>
      <c r="AM2383" s="38"/>
      <c r="AN2383" s="55"/>
      <c r="AO2383" s="38"/>
      <c r="AP2383" s="356"/>
      <c r="AQ2383" s="38"/>
      <c r="AR2383" s="55"/>
      <c r="AS2383" s="38"/>
      <c r="AT2383" s="55"/>
      <c r="AU2383" s="38"/>
      <c r="AV2383" s="55"/>
      <c r="AW2383" s="38"/>
      <c r="AX2383" s="55"/>
      <c r="AY2383" s="38"/>
      <c r="AZ2383" s="55"/>
      <c r="BA2383" s="38"/>
      <c r="BB2383" s="55"/>
      <c r="BC2383" s="38"/>
      <c r="BD2383" s="55"/>
      <c r="BE2383" s="38"/>
      <c r="BF2383" s="55"/>
    </row>
    <row r="2384">
      <c r="A2384" s="52"/>
      <c r="D2384" s="351"/>
      <c r="E2384" s="351"/>
      <c r="F2384" s="1949"/>
      <c r="G2384" s="353"/>
      <c r="H2384" s="353"/>
      <c r="I2384" s="55"/>
      <c r="J2384" s="55"/>
      <c r="K2384" s="55"/>
      <c r="L2384" s="961"/>
      <c r="M2384" s="55"/>
      <c r="N2384" s="55"/>
      <c r="O2384" s="27" t="str">
        <f t="shared" si="793"/>
        <v>#N/A</v>
      </c>
      <c r="P2384" s="55"/>
      <c r="Q2384" s="55"/>
      <c r="R2384" s="55"/>
      <c r="S2384" s="55"/>
      <c r="T2384" s="55"/>
      <c r="U2384" s="55"/>
      <c r="V2384" s="30"/>
      <c r="W2384" s="30"/>
      <c r="X2384" s="58"/>
      <c r="Y2384" s="58"/>
      <c r="Z2384" s="692"/>
      <c r="AA2384" s="665"/>
      <c r="AB2384" s="55"/>
      <c r="AC2384" s="55"/>
      <c r="AD2384" s="355"/>
      <c r="AE2384" s="38"/>
      <c r="AF2384" s="355"/>
      <c r="AG2384" s="38"/>
      <c r="AH2384" s="55"/>
      <c r="AI2384" s="38"/>
      <c r="AJ2384" s="55"/>
      <c r="AK2384" s="38"/>
      <c r="AL2384" s="55"/>
      <c r="AM2384" s="38"/>
      <c r="AN2384" s="55"/>
      <c r="AO2384" s="38"/>
      <c r="AP2384" s="356"/>
      <c r="AQ2384" s="38"/>
      <c r="AR2384" s="55"/>
      <c r="AS2384" s="38"/>
      <c r="AT2384" s="55"/>
      <c r="AU2384" s="38"/>
      <c r="AV2384" s="55"/>
      <c r="AW2384" s="38"/>
      <c r="AX2384" s="55"/>
      <c r="AY2384" s="38"/>
      <c r="AZ2384" s="55"/>
      <c r="BA2384" s="38"/>
      <c r="BB2384" s="55"/>
      <c r="BC2384" s="38"/>
      <c r="BD2384" s="55"/>
      <c r="BE2384" s="38"/>
      <c r="BF2384" s="55"/>
    </row>
    <row r="2385">
      <c r="A2385" s="52"/>
      <c r="D2385" s="351"/>
      <c r="E2385" s="351"/>
      <c r="F2385" s="1949"/>
      <c r="G2385" s="353"/>
      <c r="H2385" s="353"/>
      <c r="I2385" s="55"/>
      <c r="J2385" s="55"/>
      <c r="K2385" s="55"/>
      <c r="L2385" s="961"/>
      <c r="M2385" s="55"/>
      <c r="N2385" s="55"/>
      <c r="O2385" s="27" t="str">
        <f t="shared" si="793"/>
        <v>#N/A</v>
      </c>
      <c r="P2385" s="55"/>
      <c r="Q2385" s="55"/>
      <c r="R2385" s="55"/>
      <c r="S2385" s="55"/>
      <c r="T2385" s="55"/>
      <c r="U2385" s="55"/>
      <c r="V2385" s="30"/>
      <c r="W2385" s="30"/>
      <c r="X2385" s="58"/>
      <c r="Y2385" s="58"/>
      <c r="Z2385" s="692"/>
      <c r="AA2385" s="665"/>
      <c r="AB2385" s="55"/>
      <c r="AC2385" s="55"/>
      <c r="AD2385" s="355"/>
      <c r="AE2385" s="38"/>
      <c r="AF2385" s="355"/>
      <c r="AG2385" s="38"/>
      <c r="AH2385" s="55"/>
      <c r="AI2385" s="38"/>
      <c r="AJ2385" s="55"/>
      <c r="AK2385" s="38"/>
      <c r="AL2385" s="55"/>
      <c r="AM2385" s="38"/>
      <c r="AN2385" s="55"/>
      <c r="AO2385" s="38"/>
      <c r="AP2385" s="356"/>
      <c r="AQ2385" s="38"/>
      <c r="AR2385" s="55"/>
      <c r="AS2385" s="38"/>
      <c r="AT2385" s="55"/>
      <c r="AU2385" s="38"/>
      <c r="AV2385" s="55"/>
      <c r="AW2385" s="38"/>
      <c r="AX2385" s="55"/>
      <c r="AY2385" s="38"/>
      <c r="AZ2385" s="55"/>
      <c r="BA2385" s="38"/>
      <c r="BB2385" s="55"/>
      <c r="BC2385" s="38"/>
      <c r="BD2385" s="55"/>
      <c r="BE2385" s="38"/>
      <c r="BF2385" s="55"/>
    </row>
    <row r="2386">
      <c r="A2386" s="52"/>
      <c r="D2386" s="351"/>
      <c r="E2386" s="351"/>
      <c r="F2386" s="1949"/>
      <c r="G2386" s="353"/>
      <c r="H2386" s="353"/>
      <c r="I2386" s="55"/>
      <c r="J2386" s="55"/>
      <c r="K2386" s="55"/>
      <c r="L2386" s="961"/>
      <c r="M2386" s="55"/>
      <c r="N2386" s="55"/>
      <c r="O2386" s="27" t="str">
        <f t="shared" si="793"/>
        <v>#N/A</v>
      </c>
      <c r="P2386" s="55"/>
      <c r="Q2386" s="55"/>
      <c r="R2386" s="55"/>
      <c r="S2386" s="55"/>
      <c r="T2386" s="55"/>
      <c r="U2386" s="55"/>
      <c r="V2386" s="30"/>
      <c r="W2386" s="30"/>
      <c r="X2386" s="58"/>
      <c r="Y2386" s="58"/>
      <c r="Z2386" s="692"/>
      <c r="AA2386" s="665"/>
      <c r="AB2386" s="55"/>
      <c r="AC2386" s="55"/>
      <c r="AD2386" s="355"/>
      <c r="AE2386" s="38"/>
      <c r="AF2386" s="355"/>
      <c r="AG2386" s="38"/>
      <c r="AH2386" s="55"/>
      <c r="AI2386" s="38"/>
      <c r="AJ2386" s="55"/>
      <c r="AK2386" s="38"/>
      <c r="AL2386" s="55"/>
      <c r="AM2386" s="38"/>
      <c r="AN2386" s="55"/>
      <c r="AO2386" s="38"/>
      <c r="AP2386" s="356"/>
      <c r="AQ2386" s="38"/>
      <c r="AR2386" s="55"/>
      <c r="AS2386" s="38"/>
      <c r="AT2386" s="55"/>
      <c r="AU2386" s="38"/>
      <c r="AV2386" s="55"/>
      <c r="AW2386" s="38"/>
      <c r="AX2386" s="55"/>
      <c r="AY2386" s="38"/>
      <c r="AZ2386" s="55"/>
      <c r="BA2386" s="38"/>
      <c r="BB2386" s="55"/>
      <c r="BC2386" s="38"/>
      <c r="BD2386" s="55"/>
      <c r="BE2386" s="38"/>
      <c r="BF2386" s="55"/>
    </row>
    <row r="2387">
      <c r="A2387" s="52"/>
      <c r="D2387" s="351"/>
      <c r="E2387" s="351"/>
      <c r="F2387" s="1949"/>
      <c r="G2387" s="353"/>
      <c r="H2387" s="353"/>
      <c r="I2387" s="55"/>
      <c r="J2387" s="55"/>
      <c r="K2387" s="55"/>
      <c r="L2387" s="961"/>
      <c r="M2387" s="55"/>
      <c r="N2387" s="55"/>
      <c r="O2387" s="27" t="str">
        <f t="shared" si="793"/>
        <v>#N/A</v>
      </c>
      <c r="P2387" s="55"/>
      <c r="Q2387" s="55"/>
      <c r="R2387" s="55"/>
      <c r="S2387" s="55"/>
      <c r="T2387" s="55"/>
      <c r="U2387" s="55"/>
      <c r="V2387" s="30"/>
      <c r="W2387" s="30"/>
      <c r="X2387" s="58"/>
      <c r="Y2387" s="58"/>
      <c r="Z2387" s="692"/>
      <c r="AA2387" s="665"/>
      <c r="AB2387" s="55"/>
      <c r="AC2387" s="55"/>
      <c r="AD2387" s="355"/>
      <c r="AE2387" s="38"/>
      <c r="AF2387" s="355"/>
      <c r="AG2387" s="38"/>
      <c r="AH2387" s="55"/>
      <c r="AI2387" s="38"/>
      <c r="AJ2387" s="55"/>
      <c r="AK2387" s="38"/>
      <c r="AL2387" s="55"/>
      <c r="AM2387" s="38"/>
      <c r="AN2387" s="55"/>
      <c r="AO2387" s="38"/>
      <c r="AP2387" s="356"/>
      <c r="AQ2387" s="38"/>
      <c r="AR2387" s="55"/>
      <c r="AS2387" s="38"/>
      <c r="AT2387" s="55"/>
      <c r="AU2387" s="38"/>
      <c r="AV2387" s="55"/>
      <c r="AW2387" s="38"/>
      <c r="AX2387" s="55"/>
      <c r="AY2387" s="38"/>
      <c r="AZ2387" s="55"/>
      <c r="BA2387" s="38"/>
      <c r="BB2387" s="55"/>
      <c r="BC2387" s="38"/>
      <c r="BD2387" s="55"/>
      <c r="BE2387" s="38"/>
      <c r="BF2387" s="55"/>
    </row>
    <row r="2388">
      <c r="A2388" s="52"/>
      <c r="D2388" s="351"/>
      <c r="E2388" s="351"/>
      <c r="F2388" s="1949"/>
      <c r="G2388" s="353"/>
      <c r="H2388" s="353"/>
      <c r="I2388" s="55"/>
      <c r="J2388" s="55"/>
      <c r="K2388" s="55"/>
      <c r="L2388" s="961"/>
      <c r="M2388" s="55"/>
      <c r="N2388" s="55"/>
      <c r="O2388" s="27" t="str">
        <f t="shared" si="793"/>
        <v>#N/A</v>
      </c>
      <c r="P2388" s="55"/>
      <c r="Q2388" s="55"/>
      <c r="R2388" s="55"/>
      <c r="S2388" s="55"/>
      <c r="T2388" s="55"/>
      <c r="U2388" s="55"/>
      <c r="V2388" s="30"/>
      <c r="W2388" s="30"/>
      <c r="X2388" s="58"/>
      <c r="Y2388" s="58"/>
      <c r="Z2388" s="692"/>
      <c r="AA2388" s="665"/>
      <c r="AB2388" s="55"/>
      <c r="AC2388" s="55"/>
      <c r="AD2388" s="355"/>
      <c r="AE2388" s="38"/>
      <c r="AF2388" s="355"/>
      <c r="AG2388" s="38"/>
      <c r="AH2388" s="55"/>
      <c r="AI2388" s="38"/>
      <c r="AJ2388" s="55"/>
      <c r="AK2388" s="38"/>
      <c r="AL2388" s="55"/>
      <c r="AM2388" s="38"/>
      <c r="AN2388" s="55"/>
      <c r="AO2388" s="38"/>
      <c r="AP2388" s="356"/>
      <c r="AQ2388" s="38"/>
      <c r="AR2388" s="55"/>
      <c r="AS2388" s="38"/>
      <c r="AT2388" s="55"/>
      <c r="AU2388" s="38"/>
      <c r="AV2388" s="55"/>
      <c r="AW2388" s="38"/>
      <c r="AX2388" s="55"/>
      <c r="AY2388" s="38"/>
      <c r="AZ2388" s="55"/>
      <c r="BA2388" s="38"/>
      <c r="BB2388" s="55"/>
      <c r="BC2388" s="38"/>
      <c r="BD2388" s="55"/>
      <c r="BE2388" s="38"/>
      <c r="BF2388" s="55"/>
    </row>
    <row r="2389">
      <c r="A2389" s="52"/>
      <c r="D2389" s="351"/>
      <c r="E2389" s="351"/>
      <c r="F2389" s="1949"/>
      <c r="G2389" s="353"/>
      <c r="H2389" s="353"/>
      <c r="I2389" s="55"/>
      <c r="J2389" s="55"/>
      <c r="K2389" s="55"/>
      <c r="L2389" s="961"/>
      <c r="M2389" s="55"/>
      <c r="N2389" s="55"/>
      <c r="O2389" s="27" t="str">
        <f t="shared" si="793"/>
        <v>#N/A</v>
      </c>
      <c r="P2389" s="55"/>
      <c r="Q2389" s="55"/>
      <c r="R2389" s="55"/>
      <c r="S2389" s="55"/>
      <c r="T2389" s="55"/>
      <c r="U2389" s="55"/>
      <c r="V2389" s="30"/>
      <c r="W2389" s="30"/>
      <c r="X2389" s="58"/>
      <c r="Y2389" s="58"/>
      <c r="Z2389" s="692"/>
      <c r="AA2389" s="665"/>
      <c r="AB2389" s="55"/>
      <c r="AC2389" s="55"/>
      <c r="AD2389" s="355"/>
      <c r="AE2389" s="38"/>
      <c r="AF2389" s="355"/>
      <c r="AG2389" s="38"/>
      <c r="AH2389" s="55"/>
      <c r="AI2389" s="38"/>
      <c r="AJ2389" s="55"/>
      <c r="AK2389" s="38"/>
      <c r="AL2389" s="55"/>
      <c r="AM2389" s="38"/>
      <c r="AN2389" s="55"/>
      <c r="AO2389" s="38"/>
      <c r="AP2389" s="356"/>
      <c r="AQ2389" s="38"/>
      <c r="AR2389" s="55"/>
      <c r="AS2389" s="38"/>
      <c r="AT2389" s="55"/>
      <c r="AU2389" s="38"/>
      <c r="AV2389" s="55"/>
      <c r="AW2389" s="38"/>
      <c r="AX2389" s="55"/>
      <c r="AY2389" s="38"/>
      <c r="AZ2389" s="55"/>
      <c r="BA2389" s="38"/>
      <c r="BB2389" s="55"/>
      <c r="BC2389" s="38"/>
      <c r="BD2389" s="55"/>
      <c r="BE2389" s="38"/>
      <c r="BF2389" s="55"/>
    </row>
    <row r="2390">
      <c r="A2390" s="52"/>
      <c r="D2390" s="351"/>
      <c r="E2390" s="351"/>
      <c r="F2390" s="1949"/>
      <c r="G2390" s="353"/>
      <c r="H2390" s="353"/>
      <c r="I2390" s="55"/>
      <c r="J2390" s="55"/>
      <c r="K2390" s="55"/>
      <c r="L2390" s="961"/>
      <c r="M2390" s="55"/>
      <c r="N2390" s="55"/>
      <c r="O2390" s="27" t="str">
        <f t="shared" si="793"/>
        <v>#N/A</v>
      </c>
      <c r="P2390" s="55"/>
      <c r="Q2390" s="55"/>
      <c r="R2390" s="55"/>
      <c r="S2390" s="55"/>
      <c r="T2390" s="55"/>
      <c r="U2390" s="55"/>
      <c r="V2390" s="30"/>
      <c r="W2390" s="30"/>
      <c r="X2390" s="58"/>
      <c r="Y2390" s="58"/>
      <c r="Z2390" s="692"/>
      <c r="AA2390" s="665"/>
      <c r="AB2390" s="55"/>
      <c r="AC2390" s="55"/>
      <c r="AD2390" s="355"/>
      <c r="AE2390" s="38"/>
      <c r="AF2390" s="355"/>
      <c r="AG2390" s="38"/>
      <c r="AH2390" s="55"/>
      <c r="AI2390" s="38"/>
      <c r="AJ2390" s="55"/>
      <c r="AK2390" s="38"/>
      <c r="AL2390" s="55"/>
      <c r="AM2390" s="38"/>
      <c r="AN2390" s="55"/>
      <c r="AO2390" s="38"/>
      <c r="AP2390" s="356"/>
      <c r="AQ2390" s="38"/>
      <c r="AR2390" s="55"/>
      <c r="AS2390" s="38"/>
      <c r="AT2390" s="55"/>
      <c r="AU2390" s="38"/>
      <c r="AV2390" s="55"/>
      <c r="AW2390" s="38"/>
      <c r="AX2390" s="55"/>
      <c r="AY2390" s="38"/>
      <c r="AZ2390" s="55"/>
      <c r="BA2390" s="38"/>
      <c r="BB2390" s="55"/>
      <c r="BC2390" s="38"/>
      <c r="BD2390" s="55"/>
      <c r="BE2390" s="38"/>
      <c r="BF2390" s="55"/>
    </row>
    <row r="2391">
      <c r="A2391" s="52"/>
      <c r="D2391" s="351"/>
      <c r="E2391" s="351"/>
      <c r="F2391" s="1949"/>
      <c r="G2391" s="353"/>
      <c r="H2391" s="353"/>
      <c r="I2391" s="55"/>
      <c r="J2391" s="55"/>
      <c r="K2391" s="55"/>
      <c r="L2391" s="961"/>
      <c r="M2391" s="55"/>
      <c r="N2391" s="55"/>
      <c r="O2391" s="27" t="str">
        <f t="shared" si="793"/>
        <v>#N/A</v>
      </c>
      <c r="P2391" s="55"/>
      <c r="Q2391" s="55"/>
      <c r="R2391" s="55"/>
      <c r="S2391" s="55"/>
      <c r="T2391" s="55"/>
      <c r="U2391" s="55"/>
      <c r="V2391" s="30"/>
      <c r="W2391" s="30"/>
      <c r="X2391" s="58"/>
      <c r="Y2391" s="58"/>
      <c r="Z2391" s="692"/>
      <c r="AA2391" s="665"/>
      <c r="AB2391" s="55"/>
      <c r="AC2391" s="55"/>
      <c r="AD2391" s="355"/>
      <c r="AE2391" s="38"/>
      <c r="AF2391" s="355"/>
      <c r="AG2391" s="38"/>
      <c r="AH2391" s="55"/>
      <c r="AI2391" s="38"/>
      <c r="AJ2391" s="55"/>
      <c r="AK2391" s="38"/>
      <c r="AL2391" s="55"/>
      <c r="AM2391" s="38"/>
      <c r="AN2391" s="55"/>
      <c r="AO2391" s="38"/>
      <c r="AP2391" s="356"/>
      <c r="AQ2391" s="38"/>
      <c r="AR2391" s="55"/>
      <c r="AS2391" s="38"/>
      <c r="AT2391" s="55"/>
      <c r="AU2391" s="38"/>
      <c r="AV2391" s="55"/>
      <c r="AW2391" s="38"/>
      <c r="AX2391" s="55"/>
      <c r="AY2391" s="38"/>
      <c r="AZ2391" s="55"/>
      <c r="BA2391" s="38"/>
      <c r="BB2391" s="55"/>
      <c r="BC2391" s="38"/>
      <c r="BD2391" s="55"/>
      <c r="BE2391" s="38"/>
      <c r="BF2391" s="55"/>
    </row>
    <row r="2392">
      <c r="A2392" s="52"/>
      <c r="D2392" s="351"/>
      <c r="E2392" s="351"/>
      <c r="F2392" s="1949"/>
      <c r="G2392" s="353"/>
      <c r="H2392" s="353"/>
      <c r="I2392" s="55"/>
      <c r="J2392" s="55"/>
      <c r="K2392" s="55"/>
      <c r="L2392" s="961"/>
      <c r="M2392" s="55"/>
      <c r="N2392" s="55"/>
      <c r="O2392" s="27" t="str">
        <f t="shared" si="793"/>
        <v>#N/A</v>
      </c>
      <c r="P2392" s="55"/>
      <c r="Q2392" s="55"/>
      <c r="R2392" s="55"/>
      <c r="S2392" s="55"/>
      <c r="T2392" s="55"/>
      <c r="U2392" s="55"/>
      <c r="V2392" s="30"/>
      <c r="W2392" s="30"/>
      <c r="X2392" s="58"/>
      <c r="Y2392" s="58"/>
      <c r="Z2392" s="692"/>
      <c r="AA2392" s="665"/>
      <c r="AB2392" s="55"/>
      <c r="AC2392" s="55"/>
      <c r="AD2392" s="355"/>
      <c r="AE2392" s="38"/>
      <c r="AF2392" s="355"/>
      <c r="AG2392" s="38"/>
      <c r="AH2392" s="55"/>
      <c r="AI2392" s="38"/>
      <c r="AJ2392" s="55"/>
      <c r="AK2392" s="38"/>
      <c r="AL2392" s="55"/>
      <c r="AM2392" s="38"/>
      <c r="AN2392" s="55"/>
      <c r="AO2392" s="38"/>
      <c r="AP2392" s="356"/>
      <c r="AQ2392" s="38"/>
      <c r="AR2392" s="55"/>
      <c r="AS2392" s="38"/>
      <c r="AT2392" s="55"/>
      <c r="AU2392" s="38"/>
      <c r="AV2392" s="55"/>
      <c r="AW2392" s="38"/>
      <c r="AX2392" s="55"/>
      <c r="AY2392" s="38"/>
      <c r="AZ2392" s="55"/>
      <c r="BA2392" s="38"/>
      <c r="BB2392" s="55"/>
      <c r="BC2392" s="38"/>
      <c r="BD2392" s="55"/>
      <c r="BE2392" s="38"/>
      <c r="BF2392" s="55"/>
    </row>
    <row r="2393">
      <c r="A2393" s="52"/>
      <c r="D2393" s="351"/>
      <c r="E2393" s="351"/>
      <c r="F2393" s="1949"/>
      <c r="G2393" s="353"/>
      <c r="H2393" s="353"/>
      <c r="I2393" s="55"/>
      <c r="J2393" s="55"/>
      <c r="K2393" s="55"/>
      <c r="L2393" s="961"/>
      <c r="M2393" s="55"/>
      <c r="N2393" s="55"/>
      <c r="O2393" s="27" t="str">
        <f t="shared" si="793"/>
        <v>#N/A</v>
      </c>
      <c r="P2393" s="55"/>
      <c r="Q2393" s="55"/>
      <c r="R2393" s="55"/>
      <c r="S2393" s="55"/>
      <c r="T2393" s="55"/>
      <c r="U2393" s="55"/>
      <c r="V2393" s="30"/>
      <c r="W2393" s="30"/>
      <c r="X2393" s="58"/>
      <c r="Y2393" s="58"/>
      <c r="Z2393" s="692"/>
      <c r="AA2393" s="665"/>
      <c r="AB2393" s="55"/>
      <c r="AC2393" s="55"/>
      <c r="AD2393" s="355"/>
      <c r="AE2393" s="38"/>
      <c r="AF2393" s="355"/>
      <c r="AG2393" s="38"/>
      <c r="AH2393" s="55"/>
      <c r="AI2393" s="38"/>
      <c r="AJ2393" s="55"/>
      <c r="AK2393" s="38"/>
      <c r="AL2393" s="55"/>
      <c r="AM2393" s="38"/>
      <c r="AN2393" s="55"/>
      <c r="AO2393" s="38"/>
      <c r="AP2393" s="356"/>
      <c r="AQ2393" s="38"/>
      <c r="AR2393" s="55"/>
      <c r="AS2393" s="38"/>
      <c r="AT2393" s="55"/>
      <c r="AU2393" s="38"/>
      <c r="AV2393" s="55"/>
      <c r="AW2393" s="38"/>
      <c r="AX2393" s="55"/>
      <c r="AY2393" s="38"/>
      <c r="AZ2393" s="55"/>
      <c r="BA2393" s="38"/>
      <c r="BB2393" s="55"/>
      <c r="BC2393" s="38"/>
      <c r="BD2393" s="55"/>
      <c r="BE2393" s="38"/>
      <c r="BF2393" s="55"/>
    </row>
    <row r="2394">
      <c r="A2394" s="52"/>
      <c r="D2394" s="351"/>
      <c r="E2394" s="351"/>
      <c r="F2394" s="1949"/>
      <c r="G2394" s="353"/>
      <c r="H2394" s="353"/>
      <c r="I2394" s="55"/>
      <c r="J2394" s="55"/>
      <c r="K2394" s="55"/>
      <c r="L2394" s="961"/>
      <c r="M2394" s="55"/>
      <c r="N2394" s="55"/>
      <c r="O2394" s="27" t="str">
        <f t="shared" si="793"/>
        <v>#N/A</v>
      </c>
      <c r="P2394" s="55"/>
      <c r="Q2394" s="55"/>
      <c r="R2394" s="55"/>
      <c r="S2394" s="55"/>
      <c r="T2394" s="55"/>
      <c r="U2394" s="55"/>
      <c r="V2394" s="30"/>
      <c r="W2394" s="30"/>
      <c r="X2394" s="58"/>
      <c r="Y2394" s="58"/>
      <c r="Z2394" s="692"/>
      <c r="AA2394" s="665"/>
      <c r="AB2394" s="55"/>
      <c r="AC2394" s="55"/>
      <c r="AD2394" s="355"/>
      <c r="AE2394" s="38"/>
      <c r="AF2394" s="355"/>
      <c r="AG2394" s="38"/>
      <c r="AH2394" s="55"/>
      <c r="AI2394" s="38"/>
      <c r="AJ2394" s="55"/>
      <c r="AK2394" s="38"/>
      <c r="AL2394" s="55"/>
      <c r="AM2394" s="38"/>
      <c r="AN2394" s="55"/>
      <c r="AO2394" s="38"/>
      <c r="AP2394" s="356"/>
      <c r="AQ2394" s="38"/>
      <c r="AR2394" s="55"/>
      <c r="AS2394" s="38"/>
      <c r="AT2394" s="55"/>
      <c r="AU2394" s="38"/>
      <c r="AV2394" s="55"/>
      <c r="AW2394" s="38"/>
      <c r="AX2394" s="55"/>
      <c r="AY2394" s="38"/>
      <c r="AZ2394" s="55"/>
      <c r="BA2394" s="38"/>
      <c r="BB2394" s="55"/>
      <c r="BC2394" s="38"/>
      <c r="BD2394" s="55"/>
      <c r="BE2394" s="38"/>
      <c r="BF2394" s="55"/>
    </row>
    <row r="2395">
      <c r="A2395" s="52"/>
      <c r="D2395" s="351"/>
      <c r="E2395" s="351"/>
      <c r="F2395" s="1949"/>
      <c r="G2395" s="353"/>
      <c r="H2395" s="353"/>
      <c r="I2395" s="55"/>
      <c r="J2395" s="55"/>
      <c r="K2395" s="55"/>
      <c r="L2395" s="961"/>
      <c r="M2395" s="55"/>
      <c r="N2395" s="55"/>
      <c r="O2395" s="27" t="str">
        <f t="shared" si="793"/>
        <v>#N/A</v>
      </c>
      <c r="P2395" s="55"/>
      <c r="Q2395" s="55"/>
      <c r="R2395" s="55"/>
      <c r="S2395" s="55"/>
      <c r="T2395" s="55"/>
      <c r="U2395" s="55"/>
      <c r="V2395" s="30"/>
      <c r="W2395" s="30"/>
      <c r="X2395" s="58"/>
      <c r="Y2395" s="58"/>
      <c r="Z2395" s="692"/>
      <c r="AA2395" s="665"/>
      <c r="AB2395" s="55"/>
      <c r="AC2395" s="55"/>
      <c r="AD2395" s="355"/>
      <c r="AE2395" s="38"/>
      <c r="AF2395" s="355"/>
      <c r="AG2395" s="38"/>
      <c r="AH2395" s="55"/>
      <c r="AI2395" s="38"/>
      <c r="AJ2395" s="55"/>
      <c r="AK2395" s="38"/>
      <c r="AL2395" s="55"/>
      <c r="AM2395" s="38"/>
      <c r="AN2395" s="55"/>
      <c r="AO2395" s="38"/>
      <c r="AP2395" s="356"/>
      <c r="AQ2395" s="38"/>
      <c r="AR2395" s="55"/>
      <c r="AS2395" s="38"/>
      <c r="AT2395" s="55"/>
      <c r="AU2395" s="38"/>
      <c r="AV2395" s="55"/>
      <c r="AW2395" s="38"/>
      <c r="AX2395" s="55"/>
      <c r="AY2395" s="38"/>
      <c r="AZ2395" s="55"/>
      <c r="BA2395" s="38"/>
      <c r="BB2395" s="55"/>
      <c r="BC2395" s="38"/>
      <c r="BD2395" s="55"/>
      <c r="BE2395" s="38"/>
      <c r="BF2395" s="55"/>
    </row>
    <row r="2396">
      <c r="A2396" s="52"/>
      <c r="D2396" s="351"/>
      <c r="E2396" s="351"/>
      <c r="F2396" s="1949"/>
      <c r="G2396" s="353"/>
      <c r="H2396" s="353"/>
      <c r="I2396" s="55"/>
      <c r="J2396" s="55"/>
      <c r="K2396" s="55"/>
      <c r="L2396" s="961"/>
      <c r="M2396" s="55"/>
      <c r="N2396" s="55"/>
      <c r="O2396" s="27" t="str">
        <f t="shared" si="793"/>
        <v>#N/A</v>
      </c>
      <c r="P2396" s="55"/>
      <c r="Q2396" s="55"/>
      <c r="R2396" s="55"/>
      <c r="S2396" s="55"/>
      <c r="T2396" s="55"/>
      <c r="U2396" s="55"/>
      <c r="V2396" s="30"/>
      <c r="W2396" s="30"/>
      <c r="X2396" s="58"/>
      <c r="Y2396" s="58"/>
      <c r="Z2396" s="692"/>
      <c r="AA2396" s="665"/>
      <c r="AB2396" s="55"/>
      <c r="AC2396" s="55"/>
      <c r="AD2396" s="355"/>
      <c r="AE2396" s="38"/>
      <c r="AF2396" s="355"/>
      <c r="AG2396" s="38"/>
      <c r="AH2396" s="55"/>
      <c r="AI2396" s="38"/>
      <c r="AJ2396" s="55"/>
      <c r="AK2396" s="38"/>
      <c r="AL2396" s="55"/>
      <c r="AM2396" s="38"/>
      <c r="AN2396" s="55"/>
      <c r="AO2396" s="38"/>
      <c r="AP2396" s="356"/>
      <c r="AQ2396" s="38"/>
      <c r="AR2396" s="55"/>
      <c r="AS2396" s="38"/>
      <c r="AT2396" s="55"/>
      <c r="AU2396" s="38"/>
      <c r="AV2396" s="55"/>
      <c r="AW2396" s="38"/>
      <c r="AX2396" s="55"/>
      <c r="AY2396" s="38"/>
      <c r="AZ2396" s="55"/>
      <c r="BA2396" s="38"/>
      <c r="BB2396" s="55"/>
      <c r="BC2396" s="38"/>
      <c r="BD2396" s="55"/>
      <c r="BE2396" s="38"/>
      <c r="BF2396" s="55"/>
    </row>
    <row r="2397">
      <c r="A2397" s="52"/>
      <c r="D2397" s="351"/>
      <c r="E2397" s="351"/>
      <c r="F2397" s="1949"/>
      <c r="G2397" s="353"/>
      <c r="H2397" s="353"/>
      <c r="I2397" s="55"/>
      <c r="J2397" s="55"/>
      <c r="K2397" s="55"/>
      <c r="L2397" s="961"/>
      <c r="M2397" s="55"/>
      <c r="N2397" s="55"/>
      <c r="O2397" s="27" t="str">
        <f t="shared" si="793"/>
        <v>#N/A</v>
      </c>
      <c r="P2397" s="55"/>
      <c r="Q2397" s="55"/>
      <c r="R2397" s="55"/>
      <c r="S2397" s="55"/>
      <c r="T2397" s="55"/>
      <c r="U2397" s="55"/>
      <c r="V2397" s="30"/>
      <c r="W2397" s="30"/>
      <c r="X2397" s="58"/>
      <c r="Y2397" s="58"/>
      <c r="Z2397" s="692"/>
      <c r="AA2397" s="665"/>
      <c r="AB2397" s="55"/>
      <c r="AC2397" s="55"/>
      <c r="AD2397" s="355"/>
      <c r="AE2397" s="38"/>
      <c r="AF2397" s="355"/>
      <c r="AG2397" s="38"/>
      <c r="AH2397" s="55"/>
      <c r="AI2397" s="38"/>
      <c r="AJ2397" s="55"/>
      <c r="AK2397" s="38"/>
      <c r="AL2397" s="55"/>
      <c r="AM2397" s="38"/>
      <c r="AN2397" s="55"/>
      <c r="AO2397" s="38"/>
      <c r="AP2397" s="356"/>
      <c r="AQ2397" s="38"/>
      <c r="AR2397" s="55"/>
      <c r="AS2397" s="38"/>
      <c r="AT2397" s="55"/>
      <c r="AU2397" s="38"/>
      <c r="AV2397" s="55"/>
      <c r="AW2397" s="38"/>
      <c r="AX2397" s="55"/>
      <c r="AY2397" s="38"/>
      <c r="AZ2397" s="55"/>
      <c r="BA2397" s="38"/>
      <c r="BB2397" s="55"/>
      <c r="BC2397" s="38"/>
      <c r="BD2397" s="55"/>
      <c r="BE2397" s="38"/>
      <c r="BF2397" s="55"/>
    </row>
    <row r="2398">
      <c r="A2398" s="52"/>
      <c r="D2398" s="351"/>
      <c r="E2398" s="351"/>
      <c r="F2398" s="1949"/>
      <c r="G2398" s="353"/>
      <c r="H2398" s="353"/>
      <c r="I2398" s="55"/>
      <c r="J2398" s="55"/>
      <c r="K2398" s="55"/>
      <c r="L2398" s="961"/>
      <c r="M2398" s="55"/>
      <c r="N2398" s="55"/>
      <c r="O2398" s="27" t="str">
        <f t="shared" si="793"/>
        <v>#N/A</v>
      </c>
      <c r="P2398" s="55"/>
      <c r="Q2398" s="55"/>
      <c r="R2398" s="55"/>
      <c r="S2398" s="55"/>
      <c r="T2398" s="55"/>
      <c r="U2398" s="55"/>
      <c r="V2398" s="30"/>
      <c r="W2398" s="30"/>
      <c r="X2398" s="58"/>
      <c r="Y2398" s="58"/>
      <c r="Z2398" s="692"/>
      <c r="AA2398" s="665"/>
      <c r="AB2398" s="55"/>
      <c r="AC2398" s="55"/>
      <c r="AD2398" s="355"/>
      <c r="AE2398" s="38"/>
      <c r="AF2398" s="355"/>
      <c r="AG2398" s="38"/>
      <c r="AH2398" s="55"/>
      <c r="AI2398" s="38"/>
      <c r="AJ2398" s="55"/>
      <c r="AK2398" s="38"/>
      <c r="AL2398" s="55"/>
      <c r="AM2398" s="38"/>
      <c r="AN2398" s="55"/>
      <c r="AO2398" s="38"/>
      <c r="AP2398" s="356"/>
      <c r="AQ2398" s="38"/>
      <c r="AR2398" s="55"/>
      <c r="AS2398" s="38"/>
      <c r="AT2398" s="55"/>
      <c r="AU2398" s="38"/>
      <c r="AV2398" s="55"/>
      <c r="AW2398" s="38"/>
      <c r="AX2398" s="55"/>
      <c r="AY2398" s="38"/>
      <c r="AZ2398" s="55"/>
      <c r="BA2398" s="38"/>
      <c r="BB2398" s="55"/>
      <c r="BC2398" s="38"/>
      <c r="BD2398" s="55"/>
      <c r="BE2398" s="38"/>
      <c r="BF2398" s="55"/>
    </row>
    <row r="2399">
      <c r="A2399" s="52"/>
      <c r="D2399" s="351"/>
      <c r="E2399" s="351"/>
      <c r="F2399" s="1949"/>
      <c r="G2399" s="353"/>
      <c r="H2399" s="353"/>
      <c r="I2399" s="55"/>
      <c r="J2399" s="55"/>
      <c r="K2399" s="55"/>
      <c r="L2399" s="961"/>
      <c r="M2399" s="55"/>
      <c r="N2399" s="55"/>
      <c r="O2399" s="27" t="str">
        <f t="shared" si="793"/>
        <v>#N/A</v>
      </c>
      <c r="P2399" s="55"/>
      <c r="Q2399" s="55"/>
      <c r="R2399" s="55"/>
      <c r="S2399" s="55"/>
      <c r="T2399" s="55"/>
      <c r="U2399" s="55"/>
      <c r="V2399" s="30"/>
      <c r="W2399" s="30"/>
      <c r="X2399" s="58"/>
      <c r="Y2399" s="58"/>
      <c r="Z2399" s="692"/>
      <c r="AA2399" s="665"/>
      <c r="AB2399" s="55"/>
      <c r="AC2399" s="55"/>
      <c r="AD2399" s="355"/>
      <c r="AE2399" s="38"/>
      <c r="AF2399" s="355"/>
      <c r="AG2399" s="38"/>
      <c r="AH2399" s="55"/>
      <c r="AI2399" s="38"/>
      <c r="AJ2399" s="55"/>
      <c r="AK2399" s="38"/>
      <c r="AL2399" s="55"/>
      <c r="AM2399" s="38"/>
      <c r="AN2399" s="55"/>
      <c r="AO2399" s="38"/>
      <c r="AP2399" s="356"/>
      <c r="AQ2399" s="38"/>
      <c r="AR2399" s="55"/>
      <c r="AS2399" s="38"/>
      <c r="AT2399" s="55"/>
      <c r="AU2399" s="38"/>
      <c r="AV2399" s="55"/>
      <c r="AW2399" s="38"/>
      <c r="AX2399" s="55"/>
      <c r="AY2399" s="38"/>
      <c r="AZ2399" s="55"/>
      <c r="BA2399" s="38"/>
      <c r="BB2399" s="55"/>
      <c r="BC2399" s="38"/>
      <c r="BD2399" s="55"/>
      <c r="BE2399" s="38"/>
      <c r="BF2399" s="55"/>
    </row>
    <row r="2400">
      <c r="A2400" s="52"/>
      <c r="D2400" s="351"/>
      <c r="E2400" s="351"/>
      <c r="F2400" s="1949"/>
      <c r="G2400" s="353"/>
      <c r="H2400" s="353"/>
      <c r="I2400" s="55"/>
      <c r="J2400" s="55"/>
      <c r="K2400" s="55"/>
      <c r="L2400" s="961"/>
      <c r="M2400" s="55"/>
      <c r="N2400" s="55"/>
      <c r="O2400" s="27" t="str">
        <f t="shared" si="793"/>
        <v>#N/A</v>
      </c>
      <c r="P2400" s="55"/>
      <c r="Q2400" s="55"/>
      <c r="R2400" s="55"/>
      <c r="S2400" s="55"/>
      <c r="T2400" s="55"/>
      <c r="U2400" s="55"/>
      <c r="V2400" s="30"/>
      <c r="W2400" s="30"/>
      <c r="X2400" s="58"/>
      <c r="Y2400" s="58"/>
      <c r="Z2400" s="692"/>
      <c r="AA2400" s="665"/>
      <c r="AB2400" s="55"/>
      <c r="AC2400" s="55"/>
      <c r="AD2400" s="355"/>
      <c r="AE2400" s="38"/>
      <c r="AF2400" s="355"/>
      <c r="AG2400" s="38"/>
      <c r="AH2400" s="55"/>
      <c r="AI2400" s="38"/>
      <c r="AJ2400" s="55"/>
      <c r="AK2400" s="38"/>
      <c r="AL2400" s="55"/>
      <c r="AM2400" s="38"/>
      <c r="AN2400" s="55"/>
      <c r="AO2400" s="38"/>
      <c r="AP2400" s="356"/>
      <c r="AQ2400" s="38"/>
      <c r="AR2400" s="55"/>
      <c r="AS2400" s="38"/>
      <c r="AT2400" s="55"/>
      <c r="AU2400" s="38"/>
      <c r="AV2400" s="55"/>
      <c r="AW2400" s="38"/>
      <c r="AX2400" s="55"/>
      <c r="AY2400" s="38"/>
      <c r="AZ2400" s="55"/>
      <c r="BA2400" s="38"/>
      <c r="BB2400" s="55"/>
      <c r="BC2400" s="38"/>
      <c r="BD2400" s="55"/>
      <c r="BE2400" s="38"/>
      <c r="BF2400" s="55"/>
    </row>
    <row r="2401">
      <c r="A2401" s="52"/>
      <c r="D2401" s="351"/>
      <c r="E2401" s="351"/>
      <c r="F2401" s="1949"/>
      <c r="G2401" s="353"/>
      <c r="H2401" s="353"/>
      <c r="I2401" s="55"/>
      <c r="J2401" s="55"/>
      <c r="K2401" s="55"/>
      <c r="L2401" s="961"/>
      <c r="M2401" s="55"/>
      <c r="N2401" s="55"/>
      <c r="O2401" s="27" t="str">
        <f t="shared" si="793"/>
        <v>#N/A</v>
      </c>
      <c r="P2401" s="55"/>
      <c r="Q2401" s="55"/>
      <c r="R2401" s="55"/>
      <c r="S2401" s="55"/>
      <c r="T2401" s="55"/>
      <c r="U2401" s="55"/>
      <c r="V2401" s="30"/>
      <c r="W2401" s="30"/>
      <c r="X2401" s="58"/>
      <c r="Y2401" s="58"/>
      <c r="Z2401" s="692"/>
      <c r="AA2401" s="665"/>
      <c r="AB2401" s="55"/>
      <c r="AC2401" s="55"/>
      <c r="AD2401" s="355"/>
      <c r="AE2401" s="38"/>
      <c r="AF2401" s="355"/>
      <c r="AG2401" s="38"/>
      <c r="AH2401" s="55"/>
      <c r="AI2401" s="38"/>
      <c r="AJ2401" s="55"/>
      <c r="AK2401" s="38"/>
      <c r="AL2401" s="55"/>
      <c r="AM2401" s="38"/>
      <c r="AN2401" s="55"/>
      <c r="AO2401" s="38"/>
      <c r="AP2401" s="356"/>
      <c r="AQ2401" s="38"/>
      <c r="AR2401" s="55"/>
      <c r="AS2401" s="38"/>
      <c r="AT2401" s="55"/>
      <c r="AU2401" s="38"/>
      <c r="AV2401" s="55"/>
      <c r="AW2401" s="38"/>
      <c r="AX2401" s="55"/>
      <c r="AY2401" s="38"/>
      <c r="AZ2401" s="55"/>
      <c r="BA2401" s="38"/>
      <c r="BB2401" s="55"/>
      <c r="BC2401" s="38"/>
      <c r="BD2401" s="55"/>
      <c r="BE2401" s="38"/>
      <c r="BF2401" s="55"/>
    </row>
    <row r="2402">
      <c r="A2402" s="52"/>
      <c r="D2402" s="351"/>
      <c r="E2402" s="351"/>
      <c r="F2402" s="1949"/>
      <c r="G2402" s="353"/>
      <c r="H2402" s="353"/>
      <c r="I2402" s="55"/>
      <c r="J2402" s="55"/>
      <c r="K2402" s="55"/>
      <c r="L2402" s="961"/>
      <c r="M2402" s="55"/>
      <c r="N2402" s="55"/>
      <c r="O2402" s="27" t="str">
        <f t="shared" si="793"/>
        <v>#N/A</v>
      </c>
      <c r="P2402" s="55"/>
      <c r="Q2402" s="55"/>
      <c r="R2402" s="55"/>
      <c r="S2402" s="55"/>
      <c r="T2402" s="55"/>
      <c r="U2402" s="55"/>
      <c r="V2402" s="30"/>
      <c r="W2402" s="30"/>
      <c r="X2402" s="58"/>
      <c r="Y2402" s="58"/>
      <c r="Z2402" s="692"/>
      <c r="AA2402" s="665"/>
      <c r="AB2402" s="55"/>
      <c r="AC2402" s="55"/>
      <c r="AD2402" s="355"/>
      <c r="AE2402" s="38"/>
      <c r="AF2402" s="355"/>
      <c r="AG2402" s="38"/>
      <c r="AH2402" s="55"/>
      <c r="AI2402" s="38"/>
      <c r="AJ2402" s="55"/>
      <c r="AK2402" s="38"/>
      <c r="AL2402" s="55"/>
      <c r="AM2402" s="38"/>
      <c r="AN2402" s="55"/>
      <c r="AO2402" s="38"/>
      <c r="AP2402" s="356"/>
      <c r="AQ2402" s="38"/>
      <c r="AR2402" s="55"/>
      <c r="AS2402" s="38"/>
      <c r="AT2402" s="55"/>
      <c r="AU2402" s="38"/>
      <c r="AV2402" s="55"/>
      <c r="AW2402" s="38"/>
      <c r="AX2402" s="55"/>
      <c r="AY2402" s="38"/>
      <c r="AZ2402" s="55"/>
      <c r="BA2402" s="38"/>
      <c r="BB2402" s="55"/>
      <c r="BC2402" s="38"/>
      <c r="BD2402" s="55"/>
      <c r="BE2402" s="38"/>
      <c r="BF2402" s="55"/>
    </row>
    <row r="2403">
      <c r="A2403" s="52"/>
      <c r="D2403" s="351"/>
      <c r="E2403" s="351"/>
      <c r="F2403" s="1949"/>
      <c r="G2403" s="353"/>
      <c r="H2403" s="353"/>
      <c r="I2403" s="55"/>
      <c r="J2403" s="55"/>
      <c r="K2403" s="55"/>
      <c r="L2403" s="961"/>
      <c r="M2403" s="55"/>
      <c r="N2403" s="55"/>
      <c r="O2403" s="27" t="str">
        <f t="shared" si="793"/>
        <v>#N/A</v>
      </c>
      <c r="P2403" s="55"/>
      <c r="Q2403" s="55"/>
      <c r="R2403" s="55"/>
      <c r="S2403" s="55"/>
      <c r="T2403" s="55"/>
      <c r="U2403" s="55"/>
      <c r="V2403" s="30"/>
      <c r="W2403" s="30"/>
      <c r="X2403" s="58"/>
      <c r="Y2403" s="58"/>
      <c r="Z2403" s="692"/>
      <c r="AA2403" s="665"/>
      <c r="AB2403" s="55"/>
      <c r="AC2403" s="55"/>
      <c r="AD2403" s="355"/>
      <c r="AE2403" s="38"/>
      <c r="AF2403" s="355"/>
      <c r="AG2403" s="38"/>
      <c r="AH2403" s="55"/>
      <c r="AI2403" s="38"/>
      <c r="AJ2403" s="55"/>
      <c r="AK2403" s="38"/>
      <c r="AL2403" s="55"/>
      <c r="AM2403" s="38"/>
      <c r="AN2403" s="55"/>
      <c r="AO2403" s="38"/>
      <c r="AP2403" s="356"/>
      <c r="AQ2403" s="38"/>
      <c r="AR2403" s="55"/>
      <c r="AS2403" s="38"/>
      <c r="AT2403" s="55"/>
      <c r="AU2403" s="38"/>
      <c r="AV2403" s="55"/>
      <c r="AW2403" s="38"/>
      <c r="AX2403" s="55"/>
      <c r="AY2403" s="38"/>
      <c r="AZ2403" s="55"/>
      <c r="BA2403" s="38"/>
      <c r="BB2403" s="55"/>
      <c r="BC2403" s="38"/>
      <c r="BD2403" s="55"/>
      <c r="BE2403" s="38"/>
      <c r="BF2403" s="55"/>
    </row>
    <row r="2404">
      <c r="A2404" s="52"/>
      <c r="D2404" s="351"/>
      <c r="E2404" s="351"/>
      <c r="F2404" s="1949"/>
      <c r="G2404" s="353"/>
      <c r="H2404" s="353"/>
      <c r="I2404" s="55"/>
      <c r="J2404" s="55"/>
      <c r="K2404" s="55"/>
      <c r="L2404" s="961"/>
      <c r="M2404" s="55"/>
      <c r="N2404" s="55"/>
      <c r="O2404" s="27" t="str">
        <f t="shared" si="793"/>
        <v>#N/A</v>
      </c>
      <c r="P2404" s="55"/>
      <c r="Q2404" s="55"/>
      <c r="R2404" s="55"/>
      <c r="S2404" s="55"/>
      <c r="T2404" s="55"/>
      <c r="U2404" s="55"/>
      <c r="V2404" s="30"/>
      <c r="W2404" s="30"/>
      <c r="X2404" s="58"/>
      <c r="Y2404" s="58"/>
      <c r="Z2404" s="692"/>
      <c r="AA2404" s="665"/>
      <c r="AB2404" s="55"/>
      <c r="AC2404" s="55"/>
      <c r="AD2404" s="355"/>
      <c r="AE2404" s="38"/>
      <c r="AF2404" s="355"/>
      <c r="AG2404" s="38"/>
      <c r="AH2404" s="55"/>
      <c r="AI2404" s="38"/>
      <c r="AJ2404" s="55"/>
      <c r="AK2404" s="38"/>
      <c r="AL2404" s="55"/>
      <c r="AM2404" s="38"/>
      <c r="AN2404" s="55"/>
      <c r="AO2404" s="38"/>
      <c r="AP2404" s="356"/>
      <c r="AQ2404" s="38"/>
      <c r="AR2404" s="55"/>
      <c r="AS2404" s="38"/>
      <c r="AT2404" s="55"/>
      <c r="AU2404" s="38"/>
      <c r="AV2404" s="55"/>
      <c r="AW2404" s="38"/>
      <c r="AX2404" s="55"/>
      <c r="AY2404" s="38"/>
      <c r="AZ2404" s="55"/>
      <c r="BA2404" s="38"/>
      <c r="BB2404" s="55"/>
      <c r="BC2404" s="38"/>
      <c r="BD2404" s="55"/>
      <c r="BE2404" s="38"/>
      <c r="BF2404" s="55"/>
    </row>
    <row r="2405">
      <c r="A2405" s="52"/>
      <c r="D2405" s="351"/>
      <c r="E2405" s="351"/>
      <c r="F2405" s="1949"/>
      <c r="G2405" s="353"/>
      <c r="H2405" s="353"/>
      <c r="I2405" s="55"/>
      <c r="J2405" s="55"/>
      <c r="K2405" s="55"/>
      <c r="L2405" s="961"/>
      <c r="M2405" s="55"/>
      <c r="N2405" s="55"/>
      <c r="O2405" s="27" t="str">
        <f t="shared" si="793"/>
        <v>#N/A</v>
      </c>
      <c r="P2405" s="55"/>
      <c r="Q2405" s="55"/>
      <c r="R2405" s="55"/>
      <c r="S2405" s="55"/>
      <c r="T2405" s="55"/>
      <c r="U2405" s="55"/>
      <c r="V2405" s="30"/>
      <c r="W2405" s="30"/>
      <c r="X2405" s="58"/>
      <c r="Y2405" s="58"/>
      <c r="Z2405" s="692"/>
      <c r="AA2405" s="665"/>
      <c r="AB2405" s="55"/>
      <c r="AC2405" s="55"/>
      <c r="AD2405" s="355"/>
      <c r="AE2405" s="38"/>
      <c r="AF2405" s="355"/>
      <c r="AG2405" s="38"/>
      <c r="AH2405" s="55"/>
      <c r="AI2405" s="38"/>
      <c r="AJ2405" s="55"/>
      <c r="AK2405" s="38"/>
      <c r="AL2405" s="55"/>
      <c r="AM2405" s="38"/>
      <c r="AN2405" s="55"/>
      <c r="AO2405" s="38"/>
      <c r="AP2405" s="356"/>
      <c r="AQ2405" s="38"/>
      <c r="AR2405" s="55"/>
      <c r="AS2405" s="38"/>
      <c r="AT2405" s="55"/>
      <c r="AU2405" s="38"/>
      <c r="AV2405" s="55"/>
      <c r="AW2405" s="38"/>
      <c r="AX2405" s="55"/>
      <c r="AY2405" s="38"/>
      <c r="AZ2405" s="55"/>
      <c r="BA2405" s="38"/>
      <c r="BB2405" s="55"/>
      <c r="BC2405" s="38"/>
      <c r="BD2405" s="55"/>
      <c r="BE2405" s="38"/>
      <c r="BF2405" s="55"/>
    </row>
    <row r="2406">
      <c r="A2406" s="52"/>
      <c r="D2406" s="351"/>
      <c r="E2406" s="351"/>
      <c r="F2406" s="1949"/>
      <c r="G2406" s="353"/>
      <c r="H2406" s="353"/>
      <c r="I2406" s="55"/>
      <c r="J2406" s="55"/>
      <c r="K2406" s="55"/>
      <c r="L2406" s="961"/>
      <c r="M2406" s="55"/>
      <c r="N2406" s="55"/>
      <c r="O2406" s="27" t="str">
        <f t="shared" si="793"/>
        <v>#N/A</v>
      </c>
      <c r="P2406" s="55"/>
      <c r="Q2406" s="55"/>
      <c r="R2406" s="55"/>
      <c r="S2406" s="55"/>
      <c r="T2406" s="55"/>
      <c r="U2406" s="55"/>
      <c r="V2406" s="30"/>
      <c r="W2406" s="30"/>
      <c r="X2406" s="58"/>
      <c r="Y2406" s="58"/>
      <c r="Z2406" s="692"/>
      <c r="AA2406" s="665"/>
      <c r="AB2406" s="55"/>
      <c r="AC2406" s="55"/>
      <c r="AD2406" s="355"/>
      <c r="AE2406" s="38"/>
      <c r="AF2406" s="355"/>
      <c r="AG2406" s="38"/>
      <c r="AH2406" s="55"/>
      <c r="AI2406" s="38"/>
      <c r="AJ2406" s="55"/>
      <c r="AK2406" s="38"/>
      <c r="AL2406" s="55"/>
      <c r="AM2406" s="38"/>
      <c r="AN2406" s="55"/>
      <c r="AO2406" s="38"/>
      <c r="AP2406" s="356"/>
      <c r="AQ2406" s="38"/>
      <c r="AR2406" s="55"/>
      <c r="AS2406" s="38"/>
      <c r="AT2406" s="55"/>
      <c r="AU2406" s="38"/>
      <c r="AV2406" s="55"/>
      <c r="AW2406" s="38"/>
      <c r="AX2406" s="55"/>
      <c r="AY2406" s="38"/>
      <c r="AZ2406" s="55"/>
      <c r="BA2406" s="38"/>
      <c r="BB2406" s="55"/>
      <c r="BC2406" s="38"/>
      <c r="BD2406" s="55"/>
      <c r="BE2406" s="38"/>
      <c r="BF2406" s="55"/>
    </row>
    <row r="2407">
      <c r="A2407" s="52"/>
      <c r="D2407" s="351"/>
      <c r="E2407" s="351"/>
      <c r="F2407" s="1949"/>
      <c r="G2407" s="353"/>
      <c r="H2407" s="353"/>
      <c r="I2407" s="55"/>
      <c r="J2407" s="55"/>
      <c r="K2407" s="55"/>
      <c r="L2407" s="961"/>
      <c r="M2407" s="55"/>
      <c r="N2407" s="55"/>
      <c r="O2407" s="27" t="str">
        <f t="shared" si="793"/>
        <v>#N/A</v>
      </c>
      <c r="P2407" s="55"/>
      <c r="Q2407" s="55"/>
      <c r="R2407" s="55"/>
      <c r="S2407" s="55"/>
      <c r="T2407" s="55"/>
      <c r="U2407" s="55"/>
      <c r="V2407" s="30"/>
      <c r="W2407" s="30"/>
      <c r="X2407" s="58"/>
      <c r="Y2407" s="58"/>
      <c r="Z2407" s="692"/>
      <c r="AA2407" s="665"/>
      <c r="AB2407" s="55"/>
      <c r="AC2407" s="55"/>
      <c r="AD2407" s="355"/>
      <c r="AE2407" s="38"/>
      <c r="AF2407" s="355"/>
      <c r="AG2407" s="38"/>
      <c r="AH2407" s="55"/>
      <c r="AI2407" s="38"/>
      <c r="AJ2407" s="55"/>
      <c r="AK2407" s="38"/>
      <c r="AL2407" s="55"/>
      <c r="AM2407" s="38"/>
      <c r="AN2407" s="55"/>
      <c r="AO2407" s="38"/>
      <c r="AP2407" s="356"/>
      <c r="AQ2407" s="38"/>
      <c r="AR2407" s="55"/>
      <c r="AS2407" s="38"/>
      <c r="AT2407" s="55"/>
      <c r="AU2407" s="38"/>
      <c r="AV2407" s="55"/>
      <c r="AW2407" s="38"/>
      <c r="AX2407" s="55"/>
      <c r="AY2407" s="38"/>
      <c r="AZ2407" s="55"/>
      <c r="BA2407" s="38"/>
      <c r="BB2407" s="55"/>
      <c r="BC2407" s="38"/>
      <c r="BD2407" s="55"/>
      <c r="BE2407" s="38"/>
      <c r="BF2407" s="55"/>
    </row>
    <row r="2408">
      <c r="A2408" s="52"/>
      <c r="D2408" s="351"/>
      <c r="E2408" s="351"/>
      <c r="F2408" s="1949"/>
      <c r="G2408" s="353"/>
      <c r="H2408" s="353"/>
      <c r="I2408" s="55"/>
      <c r="J2408" s="55"/>
      <c r="K2408" s="55"/>
      <c r="L2408" s="961"/>
      <c r="M2408" s="55"/>
      <c r="N2408" s="55"/>
      <c r="O2408" s="27" t="str">
        <f t="shared" si="793"/>
        <v>#N/A</v>
      </c>
      <c r="P2408" s="55"/>
      <c r="Q2408" s="55"/>
      <c r="R2408" s="55"/>
      <c r="S2408" s="55"/>
      <c r="T2408" s="55"/>
      <c r="U2408" s="55"/>
      <c r="V2408" s="30"/>
      <c r="W2408" s="30"/>
      <c r="X2408" s="58"/>
      <c r="Y2408" s="58"/>
      <c r="Z2408" s="692"/>
      <c r="AA2408" s="665"/>
      <c r="AB2408" s="55"/>
      <c r="AC2408" s="55"/>
      <c r="AD2408" s="355"/>
      <c r="AE2408" s="38"/>
      <c r="AF2408" s="355"/>
      <c r="AG2408" s="38"/>
      <c r="AH2408" s="55"/>
      <c r="AI2408" s="38"/>
      <c r="AJ2408" s="55"/>
      <c r="AK2408" s="38"/>
      <c r="AL2408" s="55"/>
      <c r="AM2408" s="38"/>
      <c r="AN2408" s="55"/>
      <c r="AO2408" s="38"/>
      <c r="AP2408" s="356"/>
      <c r="AQ2408" s="38"/>
      <c r="AR2408" s="55"/>
      <c r="AS2408" s="38"/>
      <c r="AT2408" s="55"/>
      <c r="AU2408" s="38"/>
      <c r="AV2408" s="55"/>
      <c r="AW2408" s="38"/>
      <c r="AX2408" s="55"/>
      <c r="AY2408" s="38"/>
      <c r="AZ2408" s="55"/>
      <c r="BA2408" s="38"/>
      <c r="BB2408" s="55"/>
      <c r="BC2408" s="38"/>
      <c r="BD2408" s="55"/>
      <c r="BE2408" s="38"/>
      <c r="BF2408" s="55"/>
    </row>
    <row r="2409">
      <c r="A2409" s="52"/>
      <c r="D2409" s="351"/>
      <c r="E2409" s="351"/>
      <c r="F2409" s="1949"/>
      <c r="G2409" s="353"/>
      <c r="H2409" s="353"/>
      <c r="I2409" s="55"/>
      <c r="J2409" s="55"/>
      <c r="K2409" s="55"/>
      <c r="L2409" s="961"/>
      <c r="M2409" s="55"/>
      <c r="N2409" s="55"/>
      <c r="O2409" s="27" t="str">
        <f t="shared" si="793"/>
        <v>#N/A</v>
      </c>
      <c r="P2409" s="55"/>
      <c r="Q2409" s="55"/>
      <c r="R2409" s="55"/>
      <c r="S2409" s="55"/>
      <c r="T2409" s="55"/>
      <c r="U2409" s="55"/>
      <c r="V2409" s="30"/>
      <c r="W2409" s="30"/>
      <c r="X2409" s="58"/>
      <c r="Y2409" s="58"/>
      <c r="Z2409" s="692"/>
      <c r="AA2409" s="665"/>
      <c r="AB2409" s="55"/>
      <c r="AC2409" s="55"/>
      <c r="AD2409" s="355"/>
      <c r="AE2409" s="38"/>
      <c r="AF2409" s="355"/>
      <c r="AG2409" s="38"/>
      <c r="AH2409" s="55"/>
      <c r="AI2409" s="38"/>
      <c r="AJ2409" s="55"/>
      <c r="AK2409" s="38"/>
      <c r="AL2409" s="55"/>
      <c r="AM2409" s="38"/>
      <c r="AN2409" s="55"/>
      <c r="AO2409" s="38"/>
      <c r="AP2409" s="356"/>
      <c r="AQ2409" s="38"/>
      <c r="AR2409" s="55"/>
      <c r="AS2409" s="38"/>
      <c r="AT2409" s="55"/>
      <c r="AU2409" s="38"/>
      <c r="AV2409" s="55"/>
      <c r="AW2409" s="38"/>
      <c r="AX2409" s="55"/>
      <c r="AY2409" s="38"/>
      <c r="AZ2409" s="55"/>
      <c r="BA2409" s="38"/>
      <c r="BB2409" s="55"/>
      <c r="BC2409" s="38"/>
      <c r="BD2409" s="55"/>
      <c r="BE2409" s="38"/>
      <c r="BF2409" s="55"/>
    </row>
    <row r="2410">
      <c r="A2410" s="52"/>
      <c r="D2410" s="351"/>
      <c r="E2410" s="351"/>
      <c r="F2410" s="1949"/>
      <c r="G2410" s="353"/>
      <c r="H2410" s="353"/>
      <c r="I2410" s="55"/>
      <c r="J2410" s="55"/>
      <c r="K2410" s="55"/>
      <c r="L2410" s="961"/>
      <c r="M2410" s="55"/>
      <c r="N2410" s="55"/>
      <c r="O2410" s="27" t="str">
        <f t="shared" si="793"/>
        <v>#N/A</v>
      </c>
      <c r="P2410" s="55"/>
      <c r="Q2410" s="55"/>
      <c r="R2410" s="55"/>
      <c r="S2410" s="55"/>
      <c r="T2410" s="55"/>
      <c r="U2410" s="55"/>
      <c r="V2410" s="30"/>
      <c r="W2410" s="30"/>
      <c r="X2410" s="58"/>
      <c r="Y2410" s="58"/>
      <c r="Z2410" s="692"/>
      <c r="AA2410" s="665"/>
      <c r="AB2410" s="55"/>
      <c r="AC2410" s="55"/>
      <c r="AD2410" s="355"/>
      <c r="AE2410" s="38"/>
      <c r="AF2410" s="355"/>
      <c r="AG2410" s="38"/>
      <c r="AH2410" s="55"/>
      <c r="AI2410" s="38"/>
      <c r="AJ2410" s="55"/>
      <c r="AK2410" s="38"/>
      <c r="AL2410" s="55"/>
      <c r="AM2410" s="38"/>
      <c r="AN2410" s="55"/>
      <c r="AO2410" s="38"/>
      <c r="AP2410" s="356"/>
      <c r="AQ2410" s="38"/>
      <c r="AR2410" s="55"/>
      <c r="AS2410" s="38"/>
      <c r="AT2410" s="55"/>
      <c r="AU2410" s="38"/>
      <c r="AV2410" s="55"/>
      <c r="AW2410" s="38"/>
      <c r="AX2410" s="55"/>
      <c r="AY2410" s="38"/>
      <c r="AZ2410" s="55"/>
      <c r="BA2410" s="38"/>
      <c r="BB2410" s="55"/>
      <c r="BC2410" s="38"/>
      <c r="BD2410" s="55"/>
      <c r="BE2410" s="38"/>
      <c r="BF2410" s="55"/>
    </row>
    <row r="2411">
      <c r="A2411" s="52"/>
      <c r="D2411" s="351"/>
      <c r="E2411" s="351"/>
      <c r="F2411" s="1949"/>
      <c r="G2411" s="353"/>
      <c r="H2411" s="353"/>
      <c r="I2411" s="55"/>
      <c r="J2411" s="55"/>
      <c r="K2411" s="55"/>
      <c r="L2411" s="961"/>
      <c r="M2411" s="55"/>
      <c r="N2411" s="55"/>
      <c r="O2411" s="27" t="str">
        <f t="shared" si="793"/>
        <v>#N/A</v>
      </c>
      <c r="P2411" s="55"/>
      <c r="Q2411" s="55"/>
      <c r="R2411" s="55"/>
      <c r="S2411" s="55"/>
      <c r="T2411" s="55"/>
      <c r="U2411" s="55"/>
      <c r="V2411" s="30"/>
      <c r="W2411" s="30"/>
      <c r="X2411" s="58"/>
      <c r="Y2411" s="58"/>
      <c r="Z2411" s="692"/>
      <c r="AA2411" s="665"/>
      <c r="AB2411" s="55"/>
      <c r="AC2411" s="55"/>
      <c r="AD2411" s="355"/>
      <c r="AE2411" s="38"/>
      <c r="AF2411" s="355"/>
      <c r="AG2411" s="38"/>
      <c r="AH2411" s="55"/>
      <c r="AI2411" s="38"/>
      <c r="AJ2411" s="55"/>
      <c r="AK2411" s="38"/>
      <c r="AL2411" s="55"/>
      <c r="AM2411" s="38"/>
      <c r="AN2411" s="55"/>
      <c r="AO2411" s="38"/>
      <c r="AP2411" s="356"/>
      <c r="AQ2411" s="38"/>
      <c r="AR2411" s="55"/>
      <c r="AS2411" s="38"/>
      <c r="AT2411" s="55"/>
      <c r="AU2411" s="38"/>
      <c r="AV2411" s="55"/>
      <c r="AW2411" s="38"/>
      <c r="AX2411" s="55"/>
      <c r="AY2411" s="38"/>
      <c r="AZ2411" s="55"/>
      <c r="BA2411" s="38"/>
      <c r="BB2411" s="55"/>
      <c r="BC2411" s="38"/>
      <c r="BD2411" s="55"/>
      <c r="BE2411" s="38"/>
      <c r="BF2411" s="55"/>
    </row>
    <row r="2412">
      <c r="A2412" s="52"/>
      <c r="D2412" s="351"/>
      <c r="E2412" s="351"/>
      <c r="F2412" s="1949"/>
      <c r="G2412" s="353"/>
      <c r="H2412" s="353"/>
      <c r="I2412" s="55"/>
      <c r="J2412" s="55"/>
      <c r="K2412" s="55"/>
      <c r="L2412" s="961"/>
      <c r="M2412" s="55"/>
      <c r="N2412" s="55"/>
      <c r="O2412" s="27" t="str">
        <f t="shared" si="793"/>
        <v>#N/A</v>
      </c>
      <c r="P2412" s="55"/>
      <c r="Q2412" s="55"/>
      <c r="R2412" s="55"/>
      <c r="S2412" s="55"/>
      <c r="T2412" s="55"/>
      <c r="U2412" s="55"/>
      <c r="V2412" s="30"/>
      <c r="W2412" s="30"/>
      <c r="X2412" s="58"/>
      <c r="Y2412" s="58"/>
      <c r="Z2412" s="692"/>
      <c r="AA2412" s="665"/>
      <c r="AB2412" s="55"/>
      <c r="AC2412" s="55"/>
      <c r="AD2412" s="355"/>
      <c r="AE2412" s="38"/>
      <c r="AF2412" s="355"/>
      <c r="AG2412" s="38"/>
      <c r="AH2412" s="55"/>
      <c r="AI2412" s="38"/>
      <c r="AJ2412" s="55"/>
      <c r="AK2412" s="38"/>
      <c r="AL2412" s="55"/>
      <c r="AM2412" s="38"/>
      <c r="AN2412" s="55"/>
      <c r="AO2412" s="38"/>
      <c r="AP2412" s="356"/>
      <c r="AQ2412" s="38"/>
      <c r="AR2412" s="55"/>
      <c r="AS2412" s="38"/>
      <c r="AT2412" s="55"/>
      <c r="AU2412" s="38"/>
      <c r="AV2412" s="55"/>
      <c r="AW2412" s="38"/>
      <c r="AX2412" s="55"/>
      <c r="AY2412" s="38"/>
      <c r="AZ2412" s="55"/>
      <c r="BA2412" s="38"/>
      <c r="BB2412" s="55"/>
      <c r="BC2412" s="38"/>
      <c r="BD2412" s="55"/>
      <c r="BE2412" s="38"/>
      <c r="BF2412" s="55"/>
    </row>
    <row r="2413">
      <c r="A2413" s="52"/>
      <c r="D2413" s="351"/>
      <c r="E2413" s="351"/>
      <c r="F2413" s="1949"/>
      <c r="G2413" s="353"/>
      <c r="H2413" s="353"/>
      <c r="I2413" s="55"/>
      <c r="J2413" s="55"/>
      <c r="K2413" s="55"/>
      <c r="L2413" s="961"/>
      <c r="M2413" s="55"/>
      <c r="N2413" s="55"/>
      <c r="O2413" s="27" t="str">
        <f t="shared" si="793"/>
        <v>#N/A</v>
      </c>
      <c r="P2413" s="55"/>
      <c r="Q2413" s="55"/>
      <c r="R2413" s="55"/>
      <c r="S2413" s="55"/>
      <c r="T2413" s="55"/>
      <c r="U2413" s="55"/>
      <c r="V2413" s="30"/>
      <c r="W2413" s="30"/>
      <c r="X2413" s="58"/>
      <c r="Y2413" s="58"/>
      <c r="Z2413" s="692"/>
      <c r="AA2413" s="665"/>
      <c r="AB2413" s="55"/>
      <c r="AC2413" s="55"/>
      <c r="AD2413" s="355"/>
      <c r="AE2413" s="38"/>
      <c r="AF2413" s="355"/>
      <c r="AG2413" s="38"/>
      <c r="AH2413" s="55"/>
      <c r="AI2413" s="38"/>
      <c r="AJ2413" s="55"/>
      <c r="AK2413" s="38"/>
      <c r="AL2413" s="55"/>
      <c r="AM2413" s="38"/>
      <c r="AN2413" s="55"/>
      <c r="AO2413" s="38"/>
      <c r="AP2413" s="356"/>
      <c r="AQ2413" s="38"/>
      <c r="AR2413" s="55"/>
      <c r="AS2413" s="38"/>
      <c r="AT2413" s="55"/>
      <c r="AU2413" s="38"/>
      <c r="AV2413" s="55"/>
      <c r="AW2413" s="38"/>
      <c r="AX2413" s="55"/>
      <c r="AY2413" s="38"/>
      <c r="AZ2413" s="55"/>
      <c r="BA2413" s="38"/>
      <c r="BB2413" s="55"/>
      <c r="BC2413" s="38"/>
      <c r="BD2413" s="55"/>
      <c r="BE2413" s="38"/>
      <c r="BF2413" s="55"/>
    </row>
    <row r="2414">
      <c r="A2414" s="52"/>
      <c r="D2414" s="351"/>
      <c r="E2414" s="351"/>
      <c r="F2414" s="1949"/>
      <c r="G2414" s="353"/>
      <c r="H2414" s="353"/>
      <c r="I2414" s="55"/>
      <c r="J2414" s="55"/>
      <c r="K2414" s="55"/>
      <c r="L2414" s="961"/>
      <c r="M2414" s="55"/>
      <c r="N2414" s="55"/>
      <c r="O2414" s="27" t="str">
        <f t="shared" si="793"/>
        <v>#N/A</v>
      </c>
      <c r="P2414" s="55"/>
      <c r="Q2414" s="55"/>
      <c r="R2414" s="55"/>
      <c r="S2414" s="55"/>
      <c r="T2414" s="55"/>
      <c r="U2414" s="55"/>
      <c r="V2414" s="30"/>
      <c r="W2414" s="30"/>
      <c r="X2414" s="58"/>
      <c r="Y2414" s="58"/>
      <c r="Z2414" s="692"/>
      <c r="AA2414" s="665"/>
      <c r="AB2414" s="55"/>
      <c r="AC2414" s="55"/>
      <c r="AD2414" s="355"/>
      <c r="AE2414" s="38"/>
      <c r="AF2414" s="355"/>
      <c r="AG2414" s="38"/>
      <c r="AH2414" s="55"/>
      <c r="AI2414" s="38"/>
      <c r="AJ2414" s="55"/>
      <c r="AK2414" s="38"/>
      <c r="AL2414" s="55"/>
      <c r="AM2414" s="38"/>
      <c r="AN2414" s="55"/>
      <c r="AO2414" s="38"/>
      <c r="AP2414" s="356"/>
      <c r="AQ2414" s="38"/>
      <c r="AR2414" s="55"/>
      <c r="AS2414" s="38"/>
      <c r="AT2414" s="55"/>
      <c r="AU2414" s="38"/>
      <c r="AV2414" s="55"/>
      <c r="AW2414" s="38"/>
      <c r="AX2414" s="55"/>
      <c r="AY2414" s="38"/>
      <c r="AZ2414" s="55"/>
      <c r="BA2414" s="38"/>
      <c r="BB2414" s="55"/>
      <c r="BC2414" s="38"/>
      <c r="BD2414" s="55"/>
      <c r="BE2414" s="38"/>
      <c r="BF2414" s="55"/>
    </row>
    <row r="2415">
      <c r="A2415" s="52"/>
      <c r="D2415" s="351"/>
      <c r="E2415" s="351"/>
      <c r="F2415" s="1949"/>
      <c r="G2415" s="353"/>
      <c r="H2415" s="353"/>
      <c r="I2415" s="55"/>
      <c r="J2415" s="55"/>
      <c r="K2415" s="55"/>
      <c r="L2415" s="961"/>
      <c r="M2415" s="55"/>
      <c r="N2415" s="55"/>
      <c r="O2415" s="27" t="str">
        <f t="shared" si="793"/>
        <v>#N/A</v>
      </c>
      <c r="P2415" s="55"/>
      <c r="Q2415" s="55"/>
      <c r="R2415" s="55"/>
      <c r="S2415" s="55"/>
      <c r="T2415" s="55"/>
      <c r="U2415" s="55"/>
      <c r="V2415" s="30"/>
      <c r="W2415" s="30"/>
      <c r="X2415" s="58"/>
      <c r="Y2415" s="58"/>
      <c r="Z2415" s="692"/>
      <c r="AA2415" s="665"/>
      <c r="AB2415" s="55"/>
      <c r="AC2415" s="55"/>
      <c r="AD2415" s="355"/>
      <c r="AE2415" s="38"/>
      <c r="AF2415" s="355"/>
      <c r="AG2415" s="38"/>
      <c r="AH2415" s="55"/>
      <c r="AI2415" s="38"/>
      <c r="AJ2415" s="55"/>
      <c r="AK2415" s="38"/>
      <c r="AL2415" s="55"/>
      <c r="AM2415" s="38"/>
      <c r="AN2415" s="55"/>
      <c r="AO2415" s="38"/>
      <c r="AP2415" s="356"/>
      <c r="AQ2415" s="38"/>
      <c r="AR2415" s="55"/>
      <c r="AS2415" s="38"/>
      <c r="AT2415" s="55"/>
      <c r="AU2415" s="38"/>
      <c r="AV2415" s="55"/>
      <c r="AW2415" s="38"/>
      <c r="AX2415" s="55"/>
      <c r="AY2415" s="38"/>
      <c r="AZ2415" s="55"/>
      <c r="BA2415" s="38"/>
      <c r="BB2415" s="55"/>
      <c r="BC2415" s="38"/>
      <c r="BD2415" s="55"/>
      <c r="BE2415" s="38"/>
      <c r="BF2415" s="55"/>
    </row>
    <row r="2416">
      <c r="A2416" s="52"/>
      <c r="D2416" s="351"/>
      <c r="E2416" s="351"/>
      <c r="F2416" s="1949"/>
      <c r="G2416" s="353"/>
      <c r="H2416" s="353"/>
      <c r="I2416" s="55"/>
      <c r="J2416" s="55"/>
      <c r="K2416" s="55"/>
      <c r="L2416" s="961"/>
      <c r="M2416" s="55"/>
      <c r="N2416" s="55"/>
      <c r="O2416" s="27" t="str">
        <f t="shared" si="793"/>
        <v>#N/A</v>
      </c>
      <c r="P2416" s="55"/>
      <c r="Q2416" s="55"/>
      <c r="R2416" s="55"/>
      <c r="S2416" s="55"/>
      <c r="T2416" s="55"/>
      <c r="U2416" s="55"/>
      <c r="V2416" s="30"/>
      <c r="W2416" s="30"/>
      <c r="X2416" s="58"/>
      <c r="Y2416" s="58"/>
      <c r="Z2416" s="692"/>
      <c r="AA2416" s="665"/>
      <c r="AB2416" s="55"/>
      <c r="AC2416" s="55"/>
      <c r="AD2416" s="355"/>
      <c r="AE2416" s="38"/>
      <c r="AF2416" s="355"/>
      <c r="AG2416" s="38"/>
      <c r="AH2416" s="55"/>
      <c r="AI2416" s="38"/>
      <c r="AJ2416" s="55"/>
      <c r="AK2416" s="38"/>
      <c r="AL2416" s="55"/>
      <c r="AM2416" s="38"/>
      <c r="AN2416" s="55"/>
      <c r="AO2416" s="38"/>
      <c r="AP2416" s="356"/>
      <c r="AQ2416" s="38"/>
      <c r="AR2416" s="55"/>
      <c r="AS2416" s="38"/>
      <c r="AT2416" s="55"/>
      <c r="AU2416" s="38"/>
      <c r="AV2416" s="55"/>
      <c r="AW2416" s="38"/>
      <c r="AX2416" s="55"/>
      <c r="AY2416" s="38"/>
      <c r="AZ2416" s="55"/>
      <c r="BA2416" s="38"/>
      <c r="BB2416" s="55"/>
      <c r="BC2416" s="38"/>
      <c r="BD2416" s="55"/>
      <c r="BE2416" s="38"/>
      <c r="BF2416" s="55"/>
    </row>
    <row r="2417">
      <c r="A2417" s="52"/>
      <c r="D2417" s="351"/>
      <c r="E2417" s="351"/>
      <c r="F2417" s="1949"/>
      <c r="G2417" s="353"/>
      <c r="H2417" s="353"/>
      <c r="I2417" s="55"/>
      <c r="J2417" s="55"/>
      <c r="K2417" s="55"/>
      <c r="L2417" s="961"/>
      <c r="M2417" s="55"/>
      <c r="N2417" s="55"/>
      <c r="O2417" s="27" t="str">
        <f t="shared" si="793"/>
        <v>#N/A</v>
      </c>
      <c r="P2417" s="55"/>
      <c r="Q2417" s="55"/>
      <c r="R2417" s="55"/>
      <c r="S2417" s="55"/>
      <c r="T2417" s="55"/>
      <c r="U2417" s="55"/>
      <c r="V2417" s="30"/>
      <c r="W2417" s="30"/>
      <c r="X2417" s="58"/>
      <c r="Y2417" s="58"/>
      <c r="Z2417" s="692"/>
      <c r="AA2417" s="665"/>
      <c r="AB2417" s="55"/>
      <c r="AC2417" s="55"/>
      <c r="AD2417" s="355"/>
      <c r="AE2417" s="38"/>
      <c r="AF2417" s="355"/>
      <c r="AG2417" s="38"/>
      <c r="AH2417" s="55"/>
      <c r="AI2417" s="38"/>
      <c r="AJ2417" s="55"/>
      <c r="AK2417" s="38"/>
      <c r="AL2417" s="55"/>
      <c r="AM2417" s="38"/>
      <c r="AN2417" s="55"/>
      <c r="AO2417" s="38"/>
      <c r="AP2417" s="356"/>
      <c r="AQ2417" s="38"/>
      <c r="AR2417" s="55"/>
      <c r="AS2417" s="38"/>
      <c r="AT2417" s="55"/>
      <c r="AU2417" s="38"/>
      <c r="AV2417" s="55"/>
      <c r="AW2417" s="38"/>
      <c r="AX2417" s="55"/>
      <c r="AY2417" s="38"/>
      <c r="AZ2417" s="55"/>
      <c r="BA2417" s="38"/>
      <c r="BB2417" s="55"/>
      <c r="BC2417" s="38"/>
      <c r="BD2417" s="55"/>
      <c r="BE2417" s="38"/>
      <c r="BF2417" s="55"/>
    </row>
    <row r="2418">
      <c r="A2418" s="52"/>
      <c r="D2418" s="351"/>
      <c r="E2418" s="351"/>
      <c r="F2418" s="1949"/>
      <c r="G2418" s="353"/>
      <c r="H2418" s="353"/>
      <c r="I2418" s="55"/>
      <c r="J2418" s="55"/>
      <c r="K2418" s="55"/>
      <c r="L2418" s="961"/>
      <c r="M2418" s="55"/>
      <c r="N2418" s="55"/>
      <c r="O2418" s="27" t="str">
        <f t="shared" si="793"/>
        <v>#N/A</v>
      </c>
      <c r="P2418" s="55"/>
      <c r="Q2418" s="55"/>
      <c r="R2418" s="55"/>
      <c r="S2418" s="55"/>
      <c r="T2418" s="55"/>
      <c r="U2418" s="55"/>
      <c r="V2418" s="30"/>
      <c r="W2418" s="30"/>
      <c r="X2418" s="58"/>
      <c r="Y2418" s="58"/>
      <c r="Z2418" s="692"/>
      <c r="AA2418" s="665"/>
      <c r="AB2418" s="55"/>
      <c r="AC2418" s="55"/>
      <c r="AD2418" s="355"/>
      <c r="AE2418" s="38"/>
      <c r="AF2418" s="355"/>
      <c r="AG2418" s="38"/>
      <c r="AH2418" s="55"/>
      <c r="AI2418" s="38"/>
      <c r="AJ2418" s="55"/>
      <c r="AK2418" s="38"/>
      <c r="AL2418" s="55"/>
      <c r="AM2418" s="38"/>
      <c r="AN2418" s="55"/>
      <c r="AO2418" s="38"/>
      <c r="AP2418" s="356"/>
      <c r="AQ2418" s="38"/>
      <c r="AR2418" s="55"/>
      <c r="AS2418" s="38"/>
      <c r="AT2418" s="55"/>
      <c r="AU2418" s="38"/>
      <c r="AV2418" s="55"/>
      <c r="AW2418" s="38"/>
      <c r="AX2418" s="55"/>
      <c r="AY2418" s="38"/>
      <c r="AZ2418" s="55"/>
      <c r="BA2418" s="38"/>
      <c r="BB2418" s="55"/>
      <c r="BC2418" s="38"/>
      <c r="BD2418" s="55"/>
      <c r="BE2418" s="38"/>
      <c r="BF2418" s="55"/>
    </row>
    <row r="2419">
      <c r="A2419" s="52"/>
      <c r="D2419" s="351"/>
      <c r="E2419" s="351"/>
      <c r="F2419" s="1949"/>
      <c r="G2419" s="353"/>
      <c r="H2419" s="353"/>
      <c r="I2419" s="55"/>
      <c r="J2419" s="55"/>
      <c r="K2419" s="55"/>
      <c r="L2419" s="961"/>
      <c r="M2419" s="55"/>
      <c r="N2419" s="55"/>
      <c r="O2419" s="27" t="str">
        <f t="shared" si="793"/>
        <v>#N/A</v>
      </c>
      <c r="P2419" s="55"/>
      <c r="Q2419" s="55"/>
      <c r="R2419" s="55"/>
      <c r="S2419" s="55"/>
      <c r="T2419" s="55"/>
      <c r="U2419" s="55"/>
      <c r="V2419" s="30"/>
      <c r="W2419" s="30"/>
      <c r="X2419" s="58"/>
      <c r="Y2419" s="58"/>
      <c r="Z2419" s="692"/>
      <c r="AA2419" s="665"/>
      <c r="AB2419" s="55"/>
      <c r="AC2419" s="55"/>
      <c r="AD2419" s="355"/>
      <c r="AE2419" s="38"/>
      <c r="AF2419" s="355"/>
      <c r="AG2419" s="38"/>
      <c r="AH2419" s="55"/>
      <c r="AI2419" s="38"/>
      <c r="AJ2419" s="55"/>
      <c r="AK2419" s="38"/>
      <c r="AL2419" s="55"/>
      <c r="AM2419" s="38"/>
      <c r="AN2419" s="55"/>
      <c r="AO2419" s="38"/>
      <c r="AP2419" s="356"/>
      <c r="AQ2419" s="38"/>
      <c r="AR2419" s="55"/>
      <c r="AS2419" s="38"/>
      <c r="AT2419" s="55"/>
      <c r="AU2419" s="38"/>
      <c r="AV2419" s="55"/>
      <c r="AW2419" s="38"/>
      <c r="AX2419" s="55"/>
      <c r="AY2419" s="38"/>
      <c r="AZ2419" s="55"/>
      <c r="BA2419" s="38"/>
      <c r="BB2419" s="55"/>
      <c r="BC2419" s="38"/>
      <c r="BD2419" s="55"/>
      <c r="BE2419" s="38"/>
      <c r="BF2419" s="55"/>
    </row>
    <row r="2420">
      <c r="A2420" s="52"/>
      <c r="D2420" s="351"/>
      <c r="E2420" s="351"/>
      <c r="F2420" s="1949"/>
      <c r="G2420" s="353"/>
      <c r="H2420" s="353"/>
      <c r="I2420" s="55"/>
      <c r="J2420" s="55"/>
      <c r="K2420" s="55"/>
      <c r="L2420" s="961"/>
      <c r="M2420" s="55"/>
      <c r="N2420" s="55"/>
      <c r="O2420" s="27" t="str">
        <f t="shared" si="793"/>
        <v>#N/A</v>
      </c>
      <c r="P2420" s="55"/>
      <c r="Q2420" s="55"/>
      <c r="R2420" s="55"/>
      <c r="S2420" s="55"/>
      <c r="T2420" s="55"/>
      <c r="U2420" s="55"/>
      <c r="V2420" s="30"/>
      <c r="W2420" s="30"/>
      <c r="X2420" s="58"/>
      <c r="Y2420" s="58"/>
      <c r="Z2420" s="692"/>
      <c r="AA2420" s="665"/>
      <c r="AB2420" s="55"/>
      <c r="AC2420" s="55"/>
      <c r="AD2420" s="355"/>
      <c r="AE2420" s="38"/>
      <c r="AF2420" s="355"/>
      <c r="AG2420" s="38"/>
      <c r="AH2420" s="55"/>
      <c r="AI2420" s="38"/>
      <c r="AJ2420" s="55"/>
      <c r="AK2420" s="38"/>
      <c r="AL2420" s="55"/>
      <c r="AM2420" s="38"/>
      <c r="AN2420" s="55"/>
      <c r="AO2420" s="38"/>
      <c r="AP2420" s="356"/>
      <c r="AQ2420" s="38"/>
      <c r="AR2420" s="55"/>
      <c r="AS2420" s="38"/>
      <c r="AT2420" s="55"/>
      <c r="AU2420" s="38"/>
      <c r="AV2420" s="55"/>
      <c r="AW2420" s="38"/>
      <c r="AX2420" s="55"/>
      <c r="AY2420" s="38"/>
      <c r="AZ2420" s="55"/>
      <c r="BA2420" s="38"/>
      <c r="BB2420" s="55"/>
      <c r="BC2420" s="38"/>
      <c r="BD2420" s="55"/>
      <c r="BE2420" s="38"/>
      <c r="BF2420" s="55"/>
    </row>
    <row r="2421">
      <c r="A2421" s="52"/>
      <c r="D2421" s="351"/>
      <c r="E2421" s="351"/>
      <c r="F2421" s="1949"/>
      <c r="G2421" s="353"/>
      <c r="H2421" s="353"/>
      <c r="I2421" s="55"/>
      <c r="J2421" s="55"/>
      <c r="K2421" s="55"/>
      <c r="L2421" s="961"/>
      <c r="M2421" s="55"/>
      <c r="N2421" s="55"/>
      <c r="O2421" s="27" t="str">
        <f t="shared" si="793"/>
        <v>#N/A</v>
      </c>
      <c r="P2421" s="55"/>
      <c r="Q2421" s="55"/>
      <c r="R2421" s="55"/>
      <c r="S2421" s="55"/>
      <c r="T2421" s="55"/>
      <c r="U2421" s="55"/>
      <c r="V2421" s="30"/>
      <c r="W2421" s="30"/>
      <c r="X2421" s="58"/>
      <c r="Y2421" s="58"/>
      <c r="Z2421" s="692"/>
      <c r="AA2421" s="665"/>
      <c r="AB2421" s="55"/>
      <c r="AC2421" s="55"/>
      <c r="AD2421" s="355"/>
      <c r="AE2421" s="38"/>
      <c r="AF2421" s="355"/>
      <c r="AG2421" s="38"/>
      <c r="AH2421" s="55"/>
      <c r="AI2421" s="38"/>
      <c r="AJ2421" s="55"/>
      <c r="AK2421" s="38"/>
      <c r="AL2421" s="55"/>
      <c r="AM2421" s="38"/>
      <c r="AN2421" s="55"/>
      <c r="AO2421" s="38"/>
      <c r="AP2421" s="356"/>
      <c r="AQ2421" s="38"/>
      <c r="AR2421" s="55"/>
      <c r="AS2421" s="38"/>
      <c r="AT2421" s="55"/>
      <c r="AU2421" s="38"/>
      <c r="AV2421" s="55"/>
      <c r="AW2421" s="38"/>
      <c r="AX2421" s="55"/>
      <c r="AY2421" s="38"/>
      <c r="AZ2421" s="55"/>
      <c r="BA2421" s="38"/>
      <c r="BB2421" s="55"/>
      <c r="BC2421" s="38"/>
      <c r="BD2421" s="55"/>
      <c r="BE2421" s="38"/>
      <c r="BF2421" s="55"/>
    </row>
    <row r="2422">
      <c r="A2422" s="52"/>
      <c r="D2422" s="351"/>
      <c r="E2422" s="351"/>
      <c r="F2422" s="1949"/>
      <c r="G2422" s="353"/>
      <c r="H2422" s="353"/>
      <c r="I2422" s="55"/>
      <c r="J2422" s="55"/>
      <c r="K2422" s="55"/>
      <c r="L2422" s="961"/>
      <c r="M2422" s="55"/>
      <c r="N2422" s="55"/>
      <c r="O2422" s="27" t="str">
        <f t="shared" si="793"/>
        <v>#N/A</v>
      </c>
      <c r="P2422" s="55"/>
      <c r="Q2422" s="55"/>
      <c r="R2422" s="55"/>
      <c r="S2422" s="55"/>
      <c r="T2422" s="55"/>
      <c r="U2422" s="55"/>
      <c r="V2422" s="30"/>
      <c r="W2422" s="30"/>
      <c r="X2422" s="58"/>
      <c r="Y2422" s="58"/>
      <c r="Z2422" s="692"/>
      <c r="AA2422" s="665"/>
      <c r="AB2422" s="55"/>
      <c r="AC2422" s="55"/>
      <c r="AD2422" s="355"/>
      <c r="AE2422" s="38"/>
      <c r="AF2422" s="355"/>
      <c r="AG2422" s="38"/>
      <c r="AH2422" s="55"/>
      <c r="AI2422" s="38"/>
      <c r="AJ2422" s="55"/>
      <c r="AK2422" s="38"/>
      <c r="AL2422" s="55"/>
      <c r="AM2422" s="38"/>
      <c r="AN2422" s="55"/>
      <c r="AO2422" s="38"/>
      <c r="AP2422" s="356"/>
      <c r="AQ2422" s="38"/>
      <c r="AR2422" s="55"/>
      <c r="AS2422" s="38"/>
      <c r="AT2422" s="55"/>
      <c r="AU2422" s="38"/>
      <c r="AV2422" s="55"/>
      <c r="AW2422" s="38"/>
      <c r="AX2422" s="55"/>
      <c r="AY2422" s="38"/>
      <c r="AZ2422" s="55"/>
      <c r="BA2422" s="38"/>
      <c r="BB2422" s="55"/>
      <c r="BC2422" s="38"/>
      <c r="BD2422" s="55"/>
      <c r="BE2422" s="38"/>
      <c r="BF2422" s="55"/>
    </row>
    <row r="2423">
      <c r="A2423" s="52"/>
      <c r="D2423" s="351"/>
      <c r="E2423" s="351"/>
      <c r="F2423" s="1949"/>
      <c r="G2423" s="353"/>
      <c r="H2423" s="353"/>
      <c r="I2423" s="55"/>
      <c r="J2423" s="55"/>
      <c r="K2423" s="55"/>
      <c r="L2423" s="961"/>
      <c r="M2423" s="55"/>
      <c r="N2423" s="55"/>
      <c r="O2423" s="27" t="str">
        <f t="shared" si="793"/>
        <v>#N/A</v>
      </c>
      <c r="P2423" s="55"/>
      <c r="Q2423" s="55"/>
      <c r="R2423" s="55"/>
      <c r="S2423" s="55"/>
      <c r="T2423" s="55"/>
      <c r="U2423" s="55"/>
      <c r="V2423" s="30"/>
      <c r="W2423" s="30"/>
      <c r="X2423" s="58"/>
      <c r="Y2423" s="58"/>
      <c r="Z2423" s="692"/>
      <c r="AA2423" s="665"/>
      <c r="AB2423" s="55"/>
      <c r="AC2423" s="55"/>
      <c r="AD2423" s="355"/>
      <c r="AE2423" s="38"/>
      <c r="AF2423" s="355"/>
      <c r="AG2423" s="38"/>
      <c r="AH2423" s="55"/>
      <c r="AI2423" s="38"/>
      <c r="AJ2423" s="55"/>
      <c r="AK2423" s="38"/>
      <c r="AL2423" s="55"/>
      <c r="AM2423" s="38"/>
      <c r="AN2423" s="55"/>
      <c r="AO2423" s="38"/>
      <c r="AP2423" s="356"/>
      <c r="AQ2423" s="38"/>
      <c r="AR2423" s="55"/>
      <c r="AS2423" s="38"/>
      <c r="AT2423" s="55"/>
      <c r="AU2423" s="38"/>
      <c r="AV2423" s="55"/>
      <c r="AW2423" s="38"/>
      <c r="AX2423" s="55"/>
      <c r="AY2423" s="38"/>
      <c r="AZ2423" s="55"/>
      <c r="BA2423" s="38"/>
      <c r="BB2423" s="55"/>
      <c r="BC2423" s="38"/>
      <c r="BD2423" s="55"/>
      <c r="BE2423" s="38"/>
      <c r="BF2423" s="55"/>
    </row>
    <row r="2424">
      <c r="A2424" s="52"/>
      <c r="D2424" s="351"/>
      <c r="E2424" s="351"/>
      <c r="F2424" s="1949"/>
      <c r="G2424" s="353"/>
      <c r="H2424" s="353"/>
      <c r="I2424" s="55"/>
      <c r="J2424" s="55"/>
      <c r="K2424" s="55"/>
      <c r="L2424" s="961"/>
      <c r="M2424" s="55"/>
      <c r="N2424" s="55"/>
      <c r="O2424" s="27" t="str">
        <f t="shared" si="793"/>
        <v>#N/A</v>
      </c>
      <c r="P2424" s="55"/>
      <c r="Q2424" s="55"/>
      <c r="R2424" s="55"/>
      <c r="S2424" s="55"/>
      <c r="T2424" s="55"/>
      <c r="U2424" s="55"/>
      <c r="V2424" s="30"/>
      <c r="W2424" s="30"/>
      <c r="X2424" s="58"/>
      <c r="Y2424" s="58"/>
      <c r="Z2424" s="692"/>
      <c r="AA2424" s="665"/>
      <c r="AB2424" s="55"/>
      <c r="AC2424" s="55"/>
      <c r="AD2424" s="355"/>
      <c r="AE2424" s="38"/>
      <c r="AF2424" s="355"/>
      <c r="AG2424" s="38"/>
      <c r="AH2424" s="55"/>
      <c r="AI2424" s="38"/>
      <c r="AJ2424" s="55"/>
      <c r="AK2424" s="38"/>
      <c r="AL2424" s="55"/>
      <c r="AM2424" s="38"/>
      <c r="AN2424" s="55"/>
      <c r="AO2424" s="38"/>
      <c r="AP2424" s="356"/>
      <c r="AQ2424" s="38"/>
      <c r="AR2424" s="55"/>
      <c r="AS2424" s="38"/>
      <c r="AT2424" s="55"/>
      <c r="AU2424" s="38"/>
      <c r="AV2424" s="55"/>
      <c r="AW2424" s="38"/>
      <c r="AX2424" s="55"/>
      <c r="AY2424" s="38"/>
      <c r="AZ2424" s="55"/>
      <c r="BA2424" s="38"/>
      <c r="BB2424" s="55"/>
      <c r="BC2424" s="38"/>
      <c r="BD2424" s="55"/>
      <c r="BE2424" s="38"/>
      <c r="BF2424" s="55"/>
    </row>
    <row r="2425">
      <c r="A2425" s="52"/>
      <c r="D2425" s="351"/>
      <c r="E2425" s="351"/>
      <c r="F2425" s="1949"/>
      <c r="G2425" s="353"/>
      <c r="H2425" s="353"/>
      <c r="I2425" s="55"/>
      <c r="J2425" s="55"/>
      <c r="K2425" s="55"/>
      <c r="L2425" s="961"/>
      <c r="M2425" s="55"/>
      <c r="N2425" s="55"/>
      <c r="O2425" s="27" t="str">
        <f t="shared" si="793"/>
        <v>#N/A</v>
      </c>
      <c r="P2425" s="55"/>
      <c r="Q2425" s="55"/>
      <c r="R2425" s="55"/>
      <c r="S2425" s="55"/>
      <c r="T2425" s="55"/>
      <c r="U2425" s="55"/>
      <c r="V2425" s="30"/>
      <c r="W2425" s="30"/>
      <c r="X2425" s="58"/>
      <c r="Y2425" s="58"/>
      <c r="Z2425" s="692"/>
      <c r="AA2425" s="665"/>
      <c r="AB2425" s="55"/>
      <c r="AC2425" s="55"/>
      <c r="AD2425" s="355"/>
      <c r="AE2425" s="38"/>
      <c r="AF2425" s="355"/>
      <c r="AG2425" s="38"/>
      <c r="AH2425" s="55"/>
      <c r="AI2425" s="38"/>
      <c r="AJ2425" s="55"/>
      <c r="AK2425" s="38"/>
      <c r="AL2425" s="55"/>
      <c r="AM2425" s="38"/>
      <c r="AN2425" s="55"/>
      <c r="AO2425" s="38"/>
      <c r="AP2425" s="356"/>
      <c r="AQ2425" s="38"/>
      <c r="AR2425" s="55"/>
      <c r="AS2425" s="38"/>
      <c r="AT2425" s="55"/>
      <c r="AU2425" s="38"/>
      <c r="AV2425" s="55"/>
      <c r="AW2425" s="38"/>
      <c r="AX2425" s="55"/>
      <c r="AY2425" s="38"/>
      <c r="AZ2425" s="55"/>
      <c r="BA2425" s="38"/>
      <c r="BB2425" s="55"/>
      <c r="BC2425" s="38"/>
      <c r="BD2425" s="55"/>
      <c r="BE2425" s="38"/>
      <c r="BF2425" s="55"/>
    </row>
    <row r="2426">
      <c r="A2426" s="52"/>
      <c r="D2426" s="351"/>
      <c r="E2426" s="351"/>
      <c r="F2426" s="1949"/>
      <c r="G2426" s="353"/>
      <c r="H2426" s="353"/>
      <c r="I2426" s="55"/>
      <c r="J2426" s="55"/>
      <c r="K2426" s="55"/>
      <c r="L2426" s="961"/>
      <c r="M2426" s="55"/>
      <c r="N2426" s="55"/>
      <c r="O2426" s="27" t="str">
        <f t="shared" si="793"/>
        <v>#N/A</v>
      </c>
      <c r="P2426" s="55"/>
      <c r="Q2426" s="55"/>
      <c r="R2426" s="55"/>
      <c r="S2426" s="55"/>
      <c r="T2426" s="55"/>
      <c r="U2426" s="55"/>
      <c r="V2426" s="30"/>
      <c r="W2426" s="30"/>
      <c r="X2426" s="58"/>
      <c r="Y2426" s="58"/>
      <c r="Z2426" s="692"/>
      <c r="AA2426" s="665"/>
      <c r="AB2426" s="55"/>
      <c r="AC2426" s="55"/>
      <c r="AD2426" s="355"/>
      <c r="AE2426" s="38"/>
      <c r="AF2426" s="355"/>
      <c r="AG2426" s="38"/>
      <c r="AH2426" s="55"/>
      <c r="AI2426" s="38"/>
      <c r="AJ2426" s="55"/>
      <c r="AK2426" s="38"/>
      <c r="AL2426" s="55"/>
      <c r="AM2426" s="38"/>
      <c r="AN2426" s="55"/>
      <c r="AO2426" s="38"/>
      <c r="AP2426" s="356"/>
      <c r="AQ2426" s="38"/>
      <c r="AR2426" s="55"/>
      <c r="AS2426" s="38"/>
      <c r="AT2426" s="55"/>
      <c r="AU2426" s="38"/>
      <c r="AV2426" s="55"/>
      <c r="AW2426" s="38"/>
      <c r="AX2426" s="55"/>
      <c r="AY2426" s="38"/>
      <c r="AZ2426" s="55"/>
      <c r="BA2426" s="38"/>
      <c r="BB2426" s="55"/>
      <c r="BC2426" s="38"/>
      <c r="BD2426" s="55"/>
      <c r="BE2426" s="38"/>
      <c r="BF2426" s="55"/>
    </row>
    <row r="2427">
      <c r="A2427" s="52"/>
      <c r="D2427" s="351"/>
      <c r="E2427" s="351"/>
      <c r="F2427" s="1949"/>
      <c r="G2427" s="353"/>
      <c r="H2427" s="353"/>
      <c r="I2427" s="55"/>
      <c r="J2427" s="55"/>
      <c r="K2427" s="55"/>
      <c r="L2427" s="961"/>
      <c r="M2427" s="55"/>
      <c r="N2427" s="55"/>
      <c r="O2427" s="27" t="str">
        <f t="shared" si="793"/>
        <v>#N/A</v>
      </c>
      <c r="P2427" s="55"/>
      <c r="Q2427" s="55"/>
      <c r="R2427" s="55"/>
      <c r="S2427" s="55"/>
      <c r="T2427" s="55"/>
      <c r="U2427" s="55"/>
      <c r="V2427" s="30"/>
      <c r="W2427" s="30"/>
      <c r="X2427" s="58"/>
      <c r="Y2427" s="58"/>
      <c r="Z2427" s="692"/>
      <c r="AA2427" s="665"/>
      <c r="AB2427" s="55"/>
      <c r="AC2427" s="55"/>
      <c r="AD2427" s="355"/>
      <c r="AE2427" s="38"/>
      <c r="AF2427" s="355"/>
      <c r="AG2427" s="38"/>
      <c r="AH2427" s="531"/>
      <c r="AI2427" s="38"/>
      <c r="AJ2427" s="531"/>
      <c r="AK2427" s="38"/>
      <c r="AL2427" s="531"/>
      <c r="AM2427" s="38"/>
      <c r="AN2427" s="531"/>
      <c r="AO2427" s="38"/>
      <c r="AP2427" s="1950"/>
      <c r="AQ2427" s="38"/>
      <c r="AR2427" s="531"/>
      <c r="AS2427" s="38"/>
      <c r="AT2427" s="531"/>
      <c r="AU2427" s="38"/>
      <c r="AV2427" s="531"/>
      <c r="AW2427" s="38"/>
      <c r="AX2427" s="531"/>
      <c r="AY2427" s="38"/>
      <c r="AZ2427" s="531"/>
      <c r="BA2427" s="38"/>
      <c r="BB2427" s="55"/>
      <c r="BC2427" s="38"/>
      <c r="BD2427" s="55"/>
      <c r="BE2427" s="38"/>
      <c r="BF2427" s="55"/>
    </row>
    <row r="2428">
      <c r="A2428" s="52"/>
      <c r="D2428" s="351"/>
      <c r="E2428" s="351"/>
      <c r="F2428" s="1949"/>
      <c r="G2428" s="353"/>
      <c r="H2428" s="353"/>
      <c r="I2428" s="55"/>
      <c r="J2428" s="55"/>
      <c r="K2428" s="55"/>
      <c r="L2428" s="961"/>
      <c r="M2428" s="55"/>
      <c r="N2428" s="55"/>
      <c r="O2428" s="27" t="str">
        <f t="shared" si="793"/>
        <v>#N/A</v>
      </c>
      <c r="P2428" s="55"/>
      <c r="Q2428" s="55"/>
      <c r="R2428" s="55"/>
      <c r="S2428" s="55"/>
      <c r="T2428" s="55"/>
      <c r="U2428" s="55"/>
      <c r="V2428" s="30"/>
      <c r="W2428" s="30"/>
      <c r="X2428" s="58"/>
      <c r="Y2428" s="58"/>
      <c r="Z2428" s="692"/>
      <c r="AA2428" s="665"/>
      <c r="AB2428" s="55"/>
      <c r="AC2428" s="55"/>
      <c r="AD2428" s="355"/>
      <c r="AE2428" s="38"/>
      <c r="AF2428" s="355"/>
      <c r="AG2428" s="38"/>
      <c r="AH2428" s="55"/>
      <c r="AI2428" s="38"/>
      <c r="AJ2428" s="55"/>
      <c r="AK2428" s="38"/>
      <c r="AL2428" s="55"/>
      <c r="AM2428" s="38"/>
      <c r="AN2428" s="55"/>
      <c r="AO2428" s="38"/>
      <c r="AP2428" s="356"/>
      <c r="AQ2428" s="38"/>
      <c r="AR2428" s="55"/>
      <c r="AS2428" s="38"/>
      <c r="AT2428" s="55"/>
      <c r="AU2428" s="38"/>
      <c r="AV2428" s="55"/>
      <c r="AW2428" s="38"/>
      <c r="AX2428" s="55"/>
      <c r="AY2428" s="38"/>
      <c r="AZ2428" s="55"/>
      <c r="BA2428" s="38"/>
      <c r="BB2428" s="55"/>
      <c r="BC2428" s="38"/>
      <c r="BD2428" s="55"/>
      <c r="BE2428" s="38"/>
      <c r="BF2428" s="55"/>
    </row>
    <row r="2429">
      <c r="A2429" s="52"/>
      <c r="D2429" s="351"/>
      <c r="E2429" s="351"/>
      <c r="F2429" s="1949"/>
      <c r="G2429" s="353"/>
      <c r="H2429" s="353"/>
      <c r="I2429" s="55"/>
      <c r="J2429" s="55"/>
      <c r="K2429" s="55"/>
      <c r="L2429" s="961"/>
      <c r="M2429" s="55"/>
      <c r="N2429" s="55"/>
      <c r="O2429" s="27" t="str">
        <f t="shared" si="793"/>
        <v>#N/A</v>
      </c>
      <c r="P2429" s="55"/>
      <c r="Q2429" s="55"/>
      <c r="R2429" s="55"/>
      <c r="S2429" s="55"/>
      <c r="T2429" s="55"/>
      <c r="U2429" s="55"/>
      <c r="V2429" s="30"/>
      <c r="W2429" s="30"/>
      <c r="X2429" s="58"/>
      <c r="Y2429" s="58"/>
      <c r="Z2429" s="692"/>
      <c r="AA2429" s="665"/>
      <c r="AB2429" s="55"/>
      <c r="AC2429" s="55"/>
      <c r="AD2429" s="355"/>
      <c r="AE2429" s="38"/>
      <c r="AF2429" s="355"/>
      <c r="AG2429" s="38"/>
      <c r="AH2429" s="55"/>
      <c r="AI2429" s="38"/>
      <c r="AJ2429" s="55"/>
      <c r="AK2429" s="38"/>
      <c r="AL2429" s="55"/>
      <c r="AM2429" s="38"/>
      <c r="AN2429" s="55"/>
      <c r="AO2429" s="38"/>
      <c r="AP2429" s="356"/>
      <c r="AQ2429" s="38"/>
      <c r="AR2429" s="55"/>
      <c r="AS2429" s="38"/>
      <c r="AT2429" s="55"/>
      <c r="AU2429" s="38"/>
      <c r="AV2429" s="55"/>
      <c r="AW2429" s="38"/>
      <c r="AX2429" s="55"/>
      <c r="AY2429" s="38"/>
      <c r="AZ2429" s="55"/>
      <c r="BA2429" s="38"/>
      <c r="BB2429" s="55"/>
      <c r="BC2429" s="38"/>
      <c r="BD2429" s="55"/>
      <c r="BE2429" s="38"/>
      <c r="BF2429" s="55"/>
    </row>
    <row r="2430">
      <c r="A2430" s="52"/>
      <c r="D2430" s="351"/>
      <c r="E2430" s="351"/>
      <c r="F2430" s="1949"/>
      <c r="G2430" s="353"/>
      <c r="H2430" s="353"/>
      <c r="I2430" s="55"/>
      <c r="J2430" s="55"/>
      <c r="K2430" s="55"/>
      <c r="L2430" s="961"/>
      <c r="M2430" s="55"/>
      <c r="N2430" s="55"/>
      <c r="O2430" s="27" t="str">
        <f t="shared" si="793"/>
        <v>#N/A</v>
      </c>
      <c r="P2430" s="55"/>
      <c r="Q2430" s="55"/>
      <c r="R2430" s="55"/>
      <c r="S2430" s="55"/>
      <c r="T2430" s="55"/>
      <c r="U2430" s="55"/>
      <c r="V2430" s="30"/>
      <c r="W2430" s="30"/>
      <c r="X2430" s="58"/>
      <c r="Y2430" s="58"/>
      <c r="Z2430" s="692"/>
      <c r="AA2430" s="665"/>
      <c r="AB2430" s="55"/>
      <c r="AC2430" s="55"/>
      <c r="AD2430" s="355"/>
      <c r="AE2430" s="38"/>
      <c r="AF2430" s="355"/>
      <c r="AG2430" s="38"/>
      <c r="AH2430" s="55"/>
      <c r="AI2430" s="38"/>
      <c r="AJ2430" s="55"/>
      <c r="AK2430" s="38"/>
      <c r="AL2430" s="55"/>
      <c r="AM2430" s="38"/>
      <c r="AN2430" s="55"/>
      <c r="AO2430" s="38"/>
      <c r="AP2430" s="356"/>
      <c r="AQ2430" s="38"/>
      <c r="AR2430" s="55"/>
      <c r="AS2430" s="38"/>
      <c r="AT2430" s="55"/>
      <c r="AU2430" s="38"/>
      <c r="AV2430" s="55"/>
      <c r="AW2430" s="38"/>
      <c r="AX2430" s="55"/>
      <c r="AY2430" s="38"/>
      <c r="AZ2430" s="55"/>
      <c r="BA2430" s="38"/>
      <c r="BB2430" s="55"/>
      <c r="BC2430" s="38"/>
      <c r="BD2430" s="55"/>
      <c r="BE2430" s="38"/>
      <c r="BF2430" s="55"/>
    </row>
    <row r="2431">
      <c r="A2431" s="52"/>
      <c r="D2431" s="351"/>
      <c r="E2431" s="351"/>
      <c r="F2431" s="1949"/>
      <c r="G2431" s="353"/>
      <c r="H2431" s="353"/>
      <c r="I2431" s="55"/>
      <c r="J2431" s="55"/>
      <c r="K2431" s="55"/>
      <c r="L2431" s="961"/>
      <c r="M2431" s="55"/>
      <c r="N2431" s="55"/>
      <c r="O2431" s="27" t="str">
        <f t="shared" si="793"/>
        <v>#N/A</v>
      </c>
      <c r="P2431" s="55"/>
      <c r="Q2431" s="55"/>
      <c r="R2431" s="55"/>
      <c r="S2431" s="55"/>
      <c r="T2431" s="55"/>
      <c r="U2431" s="55"/>
      <c r="V2431" s="30"/>
      <c r="W2431" s="30"/>
      <c r="X2431" s="58"/>
      <c r="Y2431" s="58"/>
      <c r="Z2431" s="692"/>
      <c r="AA2431" s="665"/>
      <c r="AB2431" s="55"/>
      <c r="AC2431" s="55"/>
      <c r="AD2431" s="355"/>
      <c r="AE2431" s="38"/>
      <c r="AF2431" s="355"/>
      <c r="AG2431" s="38"/>
      <c r="AH2431" s="55"/>
      <c r="AI2431" s="38"/>
      <c r="AJ2431" s="55"/>
      <c r="AK2431" s="38"/>
      <c r="AL2431" s="55"/>
      <c r="AM2431" s="38"/>
      <c r="AN2431" s="55"/>
      <c r="AO2431" s="38"/>
      <c r="AP2431" s="356"/>
      <c r="AQ2431" s="38"/>
      <c r="AR2431" s="55"/>
      <c r="AS2431" s="38"/>
      <c r="AT2431" s="55"/>
      <c r="AU2431" s="38"/>
      <c r="AV2431" s="55"/>
      <c r="AW2431" s="38"/>
      <c r="AX2431" s="55"/>
      <c r="AY2431" s="38"/>
      <c r="AZ2431" s="55"/>
      <c r="BA2431" s="38"/>
      <c r="BB2431" s="55"/>
      <c r="BC2431" s="38"/>
      <c r="BD2431" s="55"/>
      <c r="BE2431" s="38"/>
      <c r="BF2431" s="55"/>
    </row>
    <row r="2432">
      <c r="A2432" s="52"/>
      <c r="D2432" s="351"/>
      <c r="E2432" s="351"/>
      <c r="F2432" s="1949"/>
      <c r="G2432" s="353"/>
      <c r="H2432" s="353"/>
      <c r="I2432" s="55"/>
      <c r="J2432" s="55"/>
      <c r="K2432" s="55"/>
      <c r="L2432" s="961"/>
      <c r="M2432" s="55"/>
      <c r="N2432" s="55"/>
      <c r="O2432" s="27" t="str">
        <f t="shared" si="793"/>
        <v>#N/A</v>
      </c>
      <c r="P2432" s="55"/>
      <c r="Q2432" s="55"/>
      <c r="R2432" s="55"/>
      <c r="S2432" s="55"/>
      <c r="T2432" s="55"/>
      <c r="U2432" s="55"/>
      <c r="V2432" s="30"/>
      <c r="W2432" s="30"/>
      <c r="X2432" s="58"/>
      <c r="Y2432" s="58"/>
      <c r="Z2432" s="692"/>
      <c r="AA2432" s="665"/>
      <c r="AB2432" s="55"/>
      <c r="AC2432" s="55"/>
      <c r="AD2432" s="355"/>
      <c r="AE2432" s="38"/>
      <c r="AF2432" s="355"/>
      <c r="AG2432" s="38"/>
      <c r="AH2432" s="55"/>
      <c r="AI2432" s="38"/>
      <c r="AJ2432" s="55"/>
      <c r="AK2432" s="38"/>
      <c r="AL2432" s="55"/>
      <c r="AM2432" s="38"/>
      <c r="AN2432" s="55"/>
      <c r="AO2432" s="38"/>
      <c r="AP2432" s="356"/>
      <c r="AQ2432" s="38"/>
      <c r="AR2432" s="55"/>
      <c r="AS2432" s="38"/>
      <c r="AT2432" s="55"/>
      <c r="AU2432" s="38"/>
      <c r="AV2432" s="55"/>
      <c r="AW2432" s="38"/>
      <c r="AX2432" s="55"/>
      <c r="AY2432" s="38"/>
      <c r="AZ2432" s="55"/>
      <c r="BA2432" s="38"/>
      <c r="BB2432" s="55"/>
      <c r="BC2432" s="38"/>
      <c r="BD2432" s="55"/>
      <c r="BE2432" s="38"/>
      <c r="BF2432" s="55"/>
    </row>
    <row r="2433">
      <c r="A2433" s="52"/>
      <c r="D2433" s="351"/>
      <c r="E2433" s="351"/>
      <c r="F2433" s="1949"/>
      <c r="G2433" s="353"/>
      <c r="H2433" s="353"/>
      <c r="I2433" s="55"/>
      <c r="J2433" s="55"/>
      <c r="K2433" s="55"/>
      <c r="L2433" s="961"/>
      <c r="M2433" s="55"/>
      <c r="N2433" s="55"/>
      <c r="O2433" s="27" t="str">
        <f t="shared" si="793"/>
        <v>#N/A</v>
      </c>
      <c r="P2433" s="55"/>
      <c r="Q2433" s="55"/>
      <c r="R2433" s="55"/>
      <c r="S2433" s="55"/>
      <c r="T2433" s="55"/>
      <c r="U2433" s="55"/>
      <c r="V2433" s="30"/>
      <c r="W2433" s="30"/>
      <c r="X2433" s="58"/>
      <c r="Y2433" s="58"/>
      <c r="Z2433" s="692"/>
      <c r="AA2433" s="665"/>
      <c r="AB2433" s="55"/>
      <c r="AC2433" s="55"/>
      <c r="AD2433" s="355"/>
      <c r="AE2433" s="38"/>
      <c r="AF2433" s="355"/>
      <c r="AG2433" s="38"/>
      <c r="AH2433" s="55"/>
      <c r="AI2433" s="38"/>
      <c r="AJ2433" s="55"/>
      <c r="AK2433" s="38"/>
      <c r="AL2433" s="55"/>
      <c r="AM2433" s="38"/>
      <c r="AN2433" s="55"/>
      <c r="AO2433" s="38"/>
      <c r="AP2433" s="356"/>
      <c r="AQ2433" s="38"/>
      <c r="AR2433" s="55"/>
      <c r="AS2433" s="38"/>
      <c r="AT2433" s="55"/>
      <c r="AU2433" s="38"/>
      <c r="AV2433" s="55"/>
      <c r="AW2433" s="38"/>
      <c r="AX2433" s="55"/>
      <c r="AY2433" s="38"/>
      <c r="AZ2433" s="55"/>
      <c r="BA2433" s="38"/>
      <c r="BB2433" s="55"/>
      <c r="BC2433" s="38"/>
      <c r="BD2433" s="55"/>
      <c r="BE2433" s="38"/>
      <c r="BF2433" s="55"/>
    </row>
    <row r="2434">
      <c r="A2434" s="52"/>
      <c r="D2434" s="351"/>
      <c r="E2434" s="351"/>
      <c r="F2434" s="1949"/>
      <c r="G2434" s="353"/>
      <c r="H2434" s="353"/>
      <c r="I2434" s="55"/>
      <c r="J2434" s="55"/>
      <c r="K2434" s="55"/>
      <c r="L2434" s="961"/>
      <c r="M2434" s="55"/>
      <c r="N2434" s="55"/>
      <c r="O2434" s="27" t="str">
        <f t="shared" si="793"/>
        <v>#N/A</v>
      </c>
      <c r="P2434" s="55"/>
      <c r="Q2434" s="55"/>
      <c r="R2434" s="55"/>
      <c r="S2434" s="55"/>
      <c r="T2434" s="55"/>
      <c r="U2434" s="55"/>
      <c r="V2434" s="30"/>
      <c r="W2434" s="30"/>
      <c r="X2434" s="58"/>
      <c r="Y2434" s="58"/>
      <c r="Z2434" s="692"/>
      <c r="AA2434" s="665"/>
      <c r="AB2434" s="55"/>
      <c r="AC2434" s="55"/>
      <c r="AD2434" s="355"/>
      <c r="AE2434" s="38"/>
      <c r="AF2434" s="355"/>
      <c r="AG2434" s="38"/>
      <c r="AH2434" s="55"/>
      <c r="AI2434" s="38"/>
      <c r="AJ2434" s="55"/>
      <c r="AK2434" s="38"/>
      <c r="AL2434" s="55"/>
      <c r="AM2434" s="38"/>
      <c r="AN2434" s="55"/>
      <c r="AO2434" s="38"/>
      <c r="AP2434" s="356"/>
      <c r="AQ2434" s="38"/>
      <c r="AR2434" s="55"/>
      <c r="AS2434" s="38"/>
      <c r="AT2434" s="55"/>
      <c r="AU2434" s="38"/>
      <c r="AV2434" s="55"/>
      <c r="AW2434" s="38"/>
      <c r="AX2434" s="55"/>
      <c r="AY2434" s="38"/>
      <c r="AZ2434" s="55"/>
      <c r="BA2434" s="38"/>
      <c r="BB2434" s="55"/>
      <c r="BC2434" s="38"/>
      <c r="BD2434" s="55"/>
      <c r="BE2434" s="38"/>
      <c r="BF2434" s="55"/>
    </row>
    <row r="2435">
      <c r="A2435" s="52"/>
      <c r="D2435" s="351"/>
      <c r="E2435" s="351"/>
      <c r="F2435" s="1949"/>
      <c r="G2435" s="353"/>
      <c r="H2435" s="353"/>
      <c r="I2435" s="55"/>
      <c r="J2435" s="55"/>
      <c r="K2435" s="55"/>
      <c r="L2435" s="961"/>
      <c r="M2435" s="55"/>
      <c r="N2435" s="55"/>
      <c r="O2435" s="27" t="str">
        <f t="shared" si="793"/>
        <v>#N/A</v>
      </c>
      <c r="P2435" s="55"/>
      <c r="Q2435" s="55"/>
      <c r="R2435" s="55"/>
      <c r="S2435" s="55"/>
      <c r="T2435" s="55"/>
      <c r="U2435" s="55"/>
      <c r="V2435" s="30"/>
      <c r="W2435" s="30"/>
      <c r="X2435" s="58"/>
      <c r="Y2435" s="58"/>
      <c r="Z2435" s="692"/>
      <c r="AA2435" s="665"/>
      <c r="AB2435" s="55"/>
      <c r="AC2435" s="55"/>
      <c r="AD2435" s="355"/>
      <c r="AE2435" s="38"/>
      <c r="AF2435" s="355"/>
      <c r="AG2435" s="38"/>
      <c r="AH2435" s="55"/>
      <c r="AI2435" s="38"/>
      <c r="AJ2435" s="55"/>
      <c r="AK2435" s="38"/>
      <c r="AL2435" s="55"/>
      <c r="AM2435" s="38"/>
      <c r="AN2435" s="55"/>
      <c r="AO2435" s="38"/>
      <c r="AP2435" s="356"/>
      <c r="AQ2435" s="38"/>
      <c r="AR2435" s="55"/>
      <c r="AS2435" s="38"/>
      <c r="AT2435" s="55"/>
      <c r="AU2435" s="38"/>
      <c r="AV2435" s="55"/>
      <c r="AW2435" s="38"/>
      <c r="AX2435" s="55"/>
      <c r="AY2435" s="38"/>
      <c r="AZ2435" s="55"/>
      <c r="BA2435" s="38"/>
      <c r="BB2435" s="55"/>
      <c r="BC2435" s="38"/>
      <c r="BD2435" s="55"/>
      <c r="BE2435" s="38"/>
      <c r="BF2435" s="55"/>
    </row>
    <row r="2436">
      <c r="A2436" s="52"/>
      <c r="D2436" s="351"/>
      <c r="E2436" s="351"/>
      <c r="F2436" s="1949"/>
      <c r="G2436" s="353"/>
      <c r="H2436" s="353"/>
      <c r="I2436" s="55"/>
      <c r="J2436" s="55"/>
      <c r="K2436" s="55"/>
      <c r="L2436" s="961"/>
      <c r="M2436" s="55"/>
      <c r="N2436" s="55"/>
      <c r="O2436" s="27" t="str">
        <f t="shared" si="793"/>
        <v>#N/A</v>
      </c>
      <c r="P2436" s="55"/>
      <c r="Q2436" s="55"/>
      <c r="R2436" s="55"/>
      <c r="S2436" s="55"/>
      <c r="T2436" s="55"/>
      <c r="U2436" s="55"/>
      <c r="V2436" s="30"/>
      <c r="W2436" s="30"/>
      <c r="X2436" s="58"/>
      <c r="Y2436" s="58"/>
      <c r="Z2436" s="692"/>
      <c r="AA2436" s="665"/>
      <c r="AB2436" s="55"/>
      <c r="AC2436" s="55"/>
      <c r="AD2436" s="355"/>
      <c r="AE2436" s="38"/>
      <c r="AF2436" s="355"/>
      <c r="AG2436" s="38"/>
      <c r="AH2436" s="55"/>
      <c r="AI2436" s="38"/>
      <c r="AJ2436" s="55"/>
      <c r="AK2436" s="38"/>
      <c r="AL2436" s="55"/>
      <c r="AM2436" s="38"/>
      <c r="AN2436" s="55"/>
      <c r="AO2436" s="38"/>
      <c r="AP2436" s="356"/>
      <c r="AQ2436" s="38"/>
      <c r="AR2436" s="55"/>
      <c r="AS2436" s="38"/>
      <c r="AT2436" s="55"/>
      <c r="AU2436" s="38"/>
      <c r="AV2436" s="55"/>
      <c r="AW2436" s="38"/>
      <c r="AX2436" s="55"/>
      <c r="AY2436" s="38"/>
      <c r="AZ2436" s="55"/>
      <c r="BA2436" s="38"/>
      <c r="BB2436" s="55"/>
      <c r="BC2436" s="38"/>
      <c r="BD2436" s="55"/>
      <c r="BE2436" s="38"/>
      <c r="BF2436" s="55"/>
    </row>
    <row r="2437">
      <c r="A2437" s="52"/>
      <c r="D2437" s="351"/>
      <c r="E2437" s="351"/>
      <c r="F2437" s="1949"/>
      <c r="G2437" s="353"/>
      <c r="H2437" s="353"/>
      <c r="I2437" s="55"/>
      <c r="J2437" s="55"/>
      <c r="K2437" s="55"/>
      <c r="L2437" s="961"/>
      <c r="M2437" s="55"/>
      <c r="N2437" s="55"/>
      <c r="O2437" s="27" t="str">
        <f t="shared" si="793"/>
        <v>#N/A</v>
      </c>
      <c r="P2437" s="55"/>
      <c r="Q2437" s="55"/>
      <c r="R2437" s="55"/>
      <c r="S2437" s="55"/>
      <c r="T2437" s="55"/>
      <c r="U2437" s="55"/>
      <c r="V2437" s="30"/>
      <c r="W2437" s="30"/>
      <c r="X2437" s="58"/>
      <c r="Y2437" s="58"/>
      <c r="Z2437" s="692"/>
      <c r="AA2437" s="665"/>
      <c r="AB2437" s="55"/>
      <c r="AC2437" s="55"/>
      <c r="AD2437" s="355"/>
      <c r="AE2437" s="38"/>
      <c r="AF2437" s="355"/>
      <c r="AG2437" s="38"/>
      <c r="AH2437" s="55"/>
      <c r="AI2437" s="38"/>
      <c r="AJ2437" s="55"/>
      <c r="AK2437" s="38"/>
      <c r="AL2437" s="55"/>
      <c r="AM2437" s="38"/>
      <c r="AN2437" s="55"/>
      <c r="AO2437" s="38"/>
      <c r="AP2437" s="356"/>
      <c r="AQ2437" s="38"/>
      <c r="AR2437" s="55"/>
      <c r="AS2437" s="38"/>
      <c r="AT2437" s="55"/>
      <c r="AU2437" s="38"/>
      <c r="AV2437" s="55"/>
      <c r="AW2437" s="38"/>
      <c r="AX2437" s="55"/>
      <c r="AY2437" s="38"/>
      <c r="AZ2437" s="55"/>
      <c r="BA2437" s="38"/>
      <c r="BB2437" s="55"/>
      <c r="BC2437" s="38"/>
      <c r="BD2437" s="55"/>
      <c r="BE2437" s="38"/>
      <c r="BF2437" s="55"/>
    </row>
    <row r="2438">
      <c r="A2438" s="52"/>
      <c r="D2438" s="351"/>
      <c r="E2438" s="351"/>
      <c r="F2438" s="1949"/>
      <c r="G2438" s="353"/>
      <c r="H2438" s="353"/>
      <c r="I2438" s="55"/>
      <c r="J2438" s="55"/>
      <c r="K2438" s="55"/>
      <c r="L2438" s="961"/>
      <c r="M2438" s="55"/>
      <c r="N2438" s="55"/>
      <c r="O2438" s="27" t="str">
        <f t="shared" si="793"/>
        <v>#N/A</v>
      </c>
      <c r="P2438" s="55"/>
      <c r="Q2438" s="55"/>
      <c r="R2438" s="55"/>
      <c r="S2438" s="55"/>
      <c r="T2438" s="55"/>
      <c r="U2438" s="55"/>
      <c r="V2438" s="30"/>
      <c r="W2438" s="30"/>
      <c r="X2438" s="58"/>
      <c r="Y2438" s="58"/>
      <c r="Z2438" s="692"/>
      <c r="AA2438" s="665"/>
      <c r="AB2438" s="55"/>
      <c r="AC2438" s="55"/>
      <c r="AD2438" s="355"/>
      <c r="AE2438" s="38"/>
      <c r="AF2438" s="355"/>
      <c r="AG2438" s="38"/>
      <c r="AH2438" s="55"/>
      <c r="AI2438" s="38"/>
      <c r="AJ2438" s="55"/>
      <c r="AK2438" s="38"/>
      <c r="AL2438" s="55"/>
      <c r="AM2438" s="38"/>
      <c r="AN2438" s="55"/>
      <c r="AO2438" s="38"/>
      <c r="AP2438" s="356"/>
      <c r="AQ2438" s="38"/>
      <c r="AR2438" s="55"/>
      <c r="AS2438" s="38"/>
      <c r="AT2438" s="55"/>
      <c r="AU2438" s="38"/>
      <c r="AV2438" s="55"/>
      <c r="AW2438" s="38"/>
      <c r="AX2438" s="55"/>
      <c r="AY2438" s="38"/>
      <c r="AZ2438" s="55"/>
      <c r="BA2438" s="38"/>
      <c r="BB2438" s="55"/>
      <c r="BC2438" s="38"/>
      <c r="BD2438" s="55"/>
      <c r="BE2438" s="38"/>
      <c r="BF2438" s="55"/>
    </row>
    <row r="2439">
      <c r="A2439" s="52"/>
      <c r="D2439" s="351"/>
      <c r="E2439" s="351"/>
      <c r="F2439" s="1949"/>
      <c r="G2439" s="353"/>
      <c r="H2439" s="353"/>
      <c r="I2439" s="55"/>
      <c r="J2439" s="55"/>
      <c r="K2439" s="55"/>
      <c r="L2439" s="961"/>
      <c r="M2439" s="55"/>
      <c r="N2439" s="55"/>
      <c r="O2439" s="27" t="str">
        <f t="shared" si="793"/>
        <v>#N/A</v>
      </c>
      <c r="P2439" s="55"/>
      <c r="Q2439" s="55"/>
      <c r="R2439" s="55"/>
      <c r="S2439" s="55"/>
      <c r="T2439" s="55"/>
      <c r="U2439" s="55"/>
      <c r="V2439" s="30"/>
      <c r="W2439" s="30"/>
      <c r="X2439" s="58"/>
      <c r="Y2439" s="58"/>
      <c r="Z2439" s="692"/>
      <c r="AA2439" s="665"/>
      <c r="AB2439" s="55"/>
      <c r="AC2439" s="55"/>
      <c r="AD2439" s="355"/>
      <c r="AE2439" s="38"/>
      <c r="AF2439" s="355"/>
      <c r="AG2439" s="38"/>
      <c r="AH2439" s="55"/>
      <c r="AI2439" s="38"/>
      <c r="AJ2439" s="55"/>
      <c r="AK2439" s="38"/>
      <c r="AL2439" s="55"/>
      <c r="AM2439" s="38"/>
      <c r="AN2439" s="55"/>
      <c r="AO2439" s="38"/>
      <c r="AP2439" s="356"/>
      <c r="AQ2439" s="38"/>
      <c r="AR2439" s="55"/>
      <c r="AS2439" s="38"/>
      <c r="AT2439" s="55"/>
      <c r="AU2439" s="38"/>
      <c r="AV2439" s="55"/>
      <c r="AW2439" s="38"/>
      <c r="AX2439" s="55"/>
      <c r="AY2439" s="38"/>
      <c r="AZ2439" s="55"/>
      <c r="BA2439" s="38"/>
      <c r="BB2439" s="55"/>
      <c r="BC2439" s="38"/>
      <c r="BD2439" s="55"/>
      <c r="BE2439" s="38"/>
      <c r="BF2439" s="55"/>
    </row>
    <row r="2440">
      <c r="A2440" s="52"/>
      <c r="D2440" s="351"/>
      <c r="E2440" s="351"/>
      <c r="F2440" s="1949"/>
      <c r="G2440" s="353"/>
      <c r="H2440" s="353"/>
      <c r="I2440" s="55"/>
      <c r="J2440" s="55"/>
      <c r="K2440" s="55"/>
      <c r="L2440" s="961"/>
      <c r="M2440" s="55"/>
      <c r="N2440" s="55"/>
      <c r="O2440" s="27" t="str">
        <f t="shared" si="793"/>
        <v>#N/A</v>
      </c>
      <c r="P2440" s="55"/>
      <c r="Q2440" s="55"/>
      <c r="R2440" s="55"/>
      <c r="S2440" s="55"/>
      <c r="T2440" s="55"/>
      <c r="U2440" s="55"/>
      <c r="V2440" s="30"/>
      <c r="W2440" s="30"/>
      <c r="X2440" s="58"/>
      <c r="Y2440" s="58"/>
      <c r="Z2440" s="692"/>
      <c r="AA2440" s="665"/>
      <c r="AB2440" s="55"/>
      <c r="AC2440" s="55"/>
      <c r="AD2440" s="355"/>
      <c r="AE2440" s="38"/>
      <c r="AF2440" s="355"/>
      <c r="AG2440" s="38"/>
      <c r="AH2440" s="55"/>
      <c r="AI2440" s="38"/>
      <c r="AJ2440" s="55"/>
      <c r="AK2440" s="38"/>
      <c r="AL2440" s="55"/>
      <c r="AM2440" s="38"/>
      <c r="AN2440" s="55"/>
      <c r="AO2440" s="38"/>
      <c r="AP2440" s="356"/>
      <c r="AQ2440" s="38"/>
      <c r="AR2440" s="55"/>
      <c r="AS2440" s="38"/>
      <c r="AT2440" s="55"/>
      <c r="AU2440" s="38"/>
      <c r="AV2440" s="55"/>
      <c r="AW2440" s="38"/>
      <c r="AX2440" s="55"/>
      <c r="AY2440" s="38"/>
      <c r="AZ2440" s="55"/>
      <c r="BA2440" s="38"/>
      <c r="BB2440" s="55"/>
      <c r="BC2440" s="38"/>
      <c r="BD2440" s="55"/>
      <c r="BE2440" s="38"/>
      <c r="BF2440" s="55"/>
    </row>
    <row r="2441">
      <c r="A2441" s="52"/>
      <c r="D2441" s="351"/>
      <c r="E2441" s="351"/>
      <c r="F2441" s="1949"/>
      <c r="G2441" s="353"/>
      <c r="H2441" s="353"/>
      <c r="I2441" s="55"/>
      <c r="J2441" s="55"/>
      <c r="K2441" s="55"/>
      <c r="L2441" s="961"/>
      <c r="M2441" s="55"/>
      <c r="N2441" s="55"/>
      <c r="O2441" s="27" t="str">
        <f t="shared" si="793"/>
        <v>#N/A</v>
      </c>
      <c r="P2441" s="55"/>
      <c r="Q2441" s="55"/>
      <c r="R2441" s="55"/>
      <c r="S2441" s="55"/>
      <c r="T2441" s="55"/>
      <c r="U2441" s="55"/>
      <c r="V2441" s="30"/>
      <c r="W2441" s="30"/>
      <c r="X2441" s="58"/>
      <c r="Y2441" s="58"/>
      <c r="Z2441" s="692"/>
      <c r="AA2441" s="665"/>
      <c r="AB2441" s="55"/>
      <c r="AC2441" s="55"/>
      <c r="AD2441" s="355"/>
      <c r="AE2441" s="38"/>
      <c r="AF2441" s="355"/>
      <c r="AG2441" s="38"/>
      <c r="AH2441" s="55"/>
      <c r="AI2441" s="38"/>
      <c r="AJ2441" s="55"/>
      <c r="AK2441" s="38"/>
      <c r="AL2441" s="55"/>
      <c r="AM2441" s="38"/>
      <c r="AN2441" s="55"/>
      <c r="AO2441" s="38"/>
      <c r="AP2441" s="356"/>
      <c r="AQ2441" s="38"/>
      <c r="AR2441" s="55"/>
      <c r="AS2441" s="38"/>
      <c r="AT2441" s="55"/>
      <c r="AU2441" s="38"/>
      <c r="AV2441" s="55"/>
      <c r="AW2441" s="38"/>
      <c r="AX2441" s="55"/>
      <c r="AY2441" s="38"/>
      <c r="AZ2441" s="55"/>
      <c r="BA2441" s="38"/>
      <c r="BB2441" s="55"/>
      <c r="BC2441" s="38"/>
      <c r="BD2441" s="55"/>
      <c r="BE2441" s="38"/>
      <c r="BF2441" s="55"/>
    </row>
    <row r="2442">
      <c r="A2442" s="52"/>
      <c r="D2442" s="351"/>
      <c r="E2442" s="351"/>
      <c r="F2442" s="1949"/>
      <c r="G2442" s="353"/>
      <c r="H2442" s="353"/>
      <c r="I2442" s="55"/>
      <c r="J2442" s="55"/>
      <c r="K2442" s="55"/>
      <c r="L2442" s="961"/>
      <c r="M2442" s="55"/>
      <c r="N2442" s="55"/>
      <c r="O2442" s="27" t="str">
        <f t="shared" si="793"/>
        <v>#N/A</v>
      </c>
      <c r="P2442" s="55"/>
      <c r="Q2442" s="55"/>
      <c r="R2442" s="55"/>
      <c r="S2442" s="55"/>
      <c r="T2442" s="55"/>
      <c r="U2442" s="55"/>
      <c r="V2442" s="30"/>
      <c r="W2442" s="30"/>
      <c r="X2442" s="58"/>
      <c r="Y2442" s="58"/>
      <c r="Z2442" s="692"/>
      <c r="AA2442" s="665"/>
      <c r="AB2442" s="55"/>
      <c r="AC2442" s="55"/>
      <c r="AD2442" s="355"/>
      <c r="AE2442" s="38"/>
      <c r="AF2442" s="355"/>
      <c r="AG2442" s="38"/>
      <c r="AH2442" s="55"/>
      <c r="AI2442" s="38"/>
      <c r="AJ2442" s="55"/>
      <c r="AK2442" s="38"/>
      <c r="AL2442" s="55"/>
      <c r="AM2442" s="38"/>
      <c r="AN2442" s="55"/>
      <c r="AO2442" s="38"/>
      <c r="AP2442" s="356"/>
      <c r="AQ2442" s="38"/>
      <c r="AR2442" s="55"/>
      <c r="AS2442" s="38"/>
      <c r="AT2442" s="55"/>
      <c r="AU2442" s="38"/>
      <c r="AV2442" s="55"/>
      <c r="AW2442" s="38"/>
      <c r="AX2442" s="55"/>
      <c r="AY2442" s="38"/>
      <c r="AZ2442" s="55"/>
      <c r="BA2442" s="38"/>
      <c r="BB2442" s="55"/>
      <c r="BC2442" s="38"/>
      <c r="BD2442" s="55"/>
      <c r="BE2442" s="38"/>
      <c r="BF2442" s="55"/>
    </row>
    <row r="2443">
      <c r="A2443" s="52"/>
      <c r="D2443" s="351"/>
      <c r="E2443" s="351"/>
      <c r="F2443" s="1949"/>
      <c r="G2443" s="353"/>
      <c r="H2443" s="353"/>
      <c r="I2443" s="55"/>
      <c r="J2443" s="55"/>
      <c r="K2443" s="55"/>
      <c r="L2443" s="961"/>
      <c r="M2443" s="55"/>
      <c r="N2443" s="55"/>
      <c r="O2443" s="27" t="str">
        <f t="shared" si="793"/>
        <v>#N/A</v>
      </c>
      <c r="P2443" s="55"/>
      <c r="Q2443" s="55"/>
      <c r="R2443" s="55"/>
      <c r="S2443" s="55"/>
      <c r="T2443" s="55"/>
      <c r="U2443" s="55"/>
      <c r="V2443" s="30"/>
      <c r="W2443" s="30"/>
      <c r="X2443" s="58"/>
      <c r="Y2443" s="58"/>
      <c r="Z2443" s="692"/>
      <c r="AA2443" s="665"/>
      <c r="AB2443" s="55"/>
      <c r="AC2443" s="55"/>
      <c r="AD2443" s="355"/>
      <c r="AE2443" s="38"/>
      <c r="AF2443" s="355"/>
      <c r="AG2443" s="38"/>
      <c r="AH2443" s="55"/>
      <c r="AI2443" s="38"/>
      <c r="AJ2443" s="55"/>
      <c r="AK2443" s="38"/>
      <c r="AL2443" s="55"/>
      <c r="AM2443" s="38"/>
      <c r="AN2443" s="55"/>
      <c r="AO2443" s="38"/>
      <c r="AP2443" s="356"/>
      <c r="AQ2443" s="38"/>
      <c r="AR2443" s="55"/>
      <c r="AS2443" s="38"/>
      <c r="AT2443" s="55"/>
      <c r="AU2443" s="38"/>
      <c r="AV2443" s="55"/>
      <c r="AW2443" s="38"/>
      <c r="AX2443" s="55"/>
      <c r="AY2443" s="38"/>
      <c r="AZ2443" s="55"/>
      <c r="BA2443" s="38"/>
      <c r="BB2443" s="55"/>
      <c r="BC2443" s="38"/>
      <c r="BD2443" s="55"/>
      <c r="BE2443" s="38"/>
      <c r="BF2443" s="55"/>
    </row>
    <row r="2444">
      <c r="A2444" s="52"/>
      <c r="D2444" s="351"/>
      <c r="E2444" s="351"/>
      <c r="F2444" s="1949"/>
      <c r="G2444" s="353"/>
      <c r="H2444" s="353"/>
      <c r="I2444" s="55"/>
      <c r="J2444" s="55"/>
      <c r="K2444" s="55"/>
      <c r="L2444" s="961"/>
      <c r="M2444" s="55"/>
      <c r="N2444" s="55"/>
      <c r="O2444" s="27" t="str">
        <f t="shared" si="793"/>
        <v>#N/A</v>
      </c>
      <c r="P2444" s="55"/>
      <c r="Q2444" s="55"/>
      <c r="R2444" s="55"/>
      <c r="S2444" s="55"/>
      <c r="T2444" s="55"/>
      <c r="U2444" s="55"/>
      <c r="V2444" s="30"/>
      <c r="W2444" s="30"/>
      <c r="X2444" s="58"/>
      <c r="Y2444" s="58"/>
      <c r="Z2444" s="692"/>
      <c r="AA2444" s="665"/>
      <c r="AB2444" s="55"/>
      <c r="AC2444" s="55"/>
      <c r="AD2444" s="355"/>
      <c r="AE2444" s="38"/>
      <c r="AF2444" s="355"/>
      <c r="AG2444" s="38"/>
      <c r="AH2444" s="55"/>
      <c r="AI2444" s="38"/>
      <c r="AJ2444" s="55"/>
      <c r="AK2444" s="38"/>
      <c r="AL2444" s="55"/>
      <c r="AM2444" s="38"/>
      <c r="AN2444" s="55"/>
      <c r="AO2444" s="38"/>
      <c r="AP2444" s="356"/>
      <c r="AQ2444" s="38"/>
      <c r="AR2444" s="55"/>
      <c r="AS2444" s="38"/>
      <c r="AT2444" s="55"/>
      <c r="AU2444" s="38"/>
      <c r="AV2444" s="55"/>
      <c r="AW2444" s="38"/>
      <c r="AX2444" s="55"/>
      <c r="AY2444" s="38"/>
      <c r="AZ2444" s="55"/>
      <c r="BA2444" s="38"/>
      <c r="BB2444" s="55"/>
      <c r="BC2444" s="38"/>
      <c r="BD2444" s="55"/>
      <c r="BE2444" s="38"/>
      <c r="BF2444" s="55"/>
    </row>
    <row r="2445">
      <c r="A2445" s="52"/>
      <c r="D2445" s="351"/>
      <c r="E2445" s="351"/>
      <c r="F2445" s="1949"/>
      <c r="G2445" s="353"/>
      <c r="H2445" s="353"/>
      <c r="I2445" s="55"/>
      <c r="J2445" s="55"/>
      <c r="K2445" s="55"/>
      <c r="L2445" s="961"/>
      <c r="M2445" s="55"/>
      <c r="N2445" s="55"/>
      <c r="O2445" s="27" t="str">
        <f t="shared" si="793"/>
        <v>#N/A</v>
      </c>
      <c r="P2445" s="55"/>
      <c r="Q2445" s="55"/>
      <c r="R2445" s="55"/>
      <c r="S2445" s="55"/>
      <c r="T2445" s="55"/>
      <c r="U2445" s="55"/>
      <c r="V2445" s="30"/>
      <c r="W2445" s="30"/>
      <c r="X2445" s="58"/>
      <c r="Y2445" s="58"/>
      <c r="Z2445" s="692"/>
      <c r="AA2445" s="665"/>
      <c r="AB2445" s="55"/>
      <c r="AC2445" s="55"/>
      <c r="AD2445" s="355"/>
      <c r="AE2445" s="38"/>
      <c r="AF2445" s="355"/>
      <c r="AG2445" s="38"/>
      <c r="AH2445" s="55"/>
      <c r="AI2445" s="38"/>
      <c r="AJ2445" s="55"/>
      <c r="AK2445" s="38"/>
      <c r="AL2445" s="55"/>
      <c r="AM2445" s="38"/>
      <c r="AN2445" s="55"/>
      <c r="AO2445" s="38"/>
      <c r="AP2445" s="356"/>
      <c r="AQ2445" s="38"/>
      <c r="AR2445" s="55"/>
      <c r="AS2445" s="38"/>
      <c r="AT2445" s="55"/>
      <c r="AU2445" s="38"/>
      <c r="AV2445" s="55"/>
      <c r="AW2445" s="38"/>
      <c r="AX2445" s="55"/>
      <c r="AY2445" s="38"/>
      <c r="AZ2445" s="55"/>
      <c r="BA2445" s="38"/>
      <c r="BB2445" s="55"/>
      <c r="BC2445" s="38"/>
      <c r="BD2445" s="55"/>
      <c r="BE2445" s="38"/>
      <c r="BF2445" s="55"/>
    </row>
    <row r="2446">
      <c r="A2446" s="52"/>
      <c r="D2446" s="351"/>
      <c r="E2446" s="351"/>
      <c r="F2446" s="1949"/>
      <c r="G2446" s="353"/>
      <c r="H2446" s="353"/>
      <c r="I2446" s="55"/>
      <c r="J2446" s="55"/>
      <c r="K2446" s="55"/>
      <c r="L2446" s="961"/>
      <c r="M2446" s="55"/>
      <c r="N2446" s="55"/>
      <c r="O2446" s="27" t="str">
        <f t="shared" si="793"/>
        <v>#N/A</v>
      </c>
      <c r="P2446" s="55"/>
      <c r="Q2446" s="55"/>
      <c r="R2446" s="55"/>
      <c r="S2446" s="55"/>
      <c r="T2446" s="55"/>
      <c r="U2446" s="55"/>
      <c r="V2446" s="30"/>
      <c r="W2446" s="30"/>
      <c r="X2446" s="58"/>
      <c r="Y2446" s="58"/>
      <c r="Z2446" s="692"/>
      <c r="AA2446" s="665"/>
      <c r="AB2446" s="55"/>
      <c r="AC2446" s="55"/>
      <c r="AD2446" s="355"/>
      <c r="AE2446" s="38"/>
      <c r="AF2446" s="355"/>
      <c r="AG2446" s="38"/>
      <c r="AH2446" s="55"/>
      <c r="AI2446" s="38"/>
      <c r="AJ2446" s="55"/>
      <c r="AK2446" s="38"/>
      <c r="AL2446" s="55"/>
      <c r="AM2446" s="38"/>
      <c r="AN2446" s="55"/>
      <c r="AO2446" s="38"/>
      <c r="AP2446" s="356"/>
      <c r="AQ2446" s="38"/>
      <c r="AR2446" s="55"/>
      <c r="AS2446" s="38"/>
      <c r="AT2446" s="55"/>
      <c r="AU2446" s="38"/>
      <c r="AV2446" s="55"/>
      <c r="AW2446" s="38"/>
      <c r="AX2446" s="55"/>
      <c r="AY2446" s="38"/>
      <c r="AZ2446" s="55"/>
      <c r="BA2446" s="38"/>
      <c r="BB2446" s="55"/>
      <c r="BC2446" s="38"/>
      <c r="BD2446" s="55"/>
      <c r="BE2446" s="38"/>
      <c r="BF2446" s="55"/>
    </row>
    <row r="2447">
      <c r="A2447" s="52"/>
      <c r="D2447" s="351"/>
      <c r="E2447" s="351"/>
      <c r="F2447" s="1949"/>
      <c r="G2447" s="353"/>
      <c r="H2447" s="353"/>
      <c r="I2447" s="55"/>
      <c r="J2447" s="55"/>
      <c r="K2447" s="55"/>
      <c r="L2447" s="961"/>
      <c r="M2447" s="55"/>
      <c r="N2447" s="55"/>
      <c r="O2447" s="27" t="str">
        <f t="shared" si="793"/>
        <v>#N/A</v>
      </c>
      <c r="P2447" s="55"/>
      <c r="Q2447" s="55"/>
      <c r="R2447" s="55"/>
      <c r="S2447" s="55"/>
      <c r="T2447" s="55"/>
      <c r="U2447" s="55"/>
      <c r="V2447" s="30"/>
      <c r="W2447" s="30"/>
      <c r="X2447" s="58"/>
      <c r="Y2447" s="58"/>
      <c r="Z2447" s="692"/>
      <c r="AA2447" s="665"/>
      <c r="AB2447" s="55"/>
      <c r="AC2447" s="55"/>
      <c r="AD2447" s="355"/>
      <c r="AE2447" s="38"/>
      <c r="AF2447" s="355"/>
      <c r="AG2447" s="38"/>
      <c r="AH2447" s="55"/>
      <c r="AI2447" s="38"/>
      <c r="AJ2447" s="55"/>
      <c r="AK2447" s="38"/>
      <c r="AL2447" s="55"/>
      <c r="AM2447" s="38"/>
      <c r="AN2447" s="55"/>
      <c r="AO2447" s="38"/>
      <c r="AP2447" s="356"/>
      <c r="AQ2447" s="38"/>
      <c r="AR2447" s="55"/>
      <c r="AS2447" s="38"/>
      <c r="AT2447" s="55"/>
      <c r="AU2447" s="38"/>
      <c r="AV2447" s="55"/>
      <c r="AW2447" s="38"/>
      <c r="AX2447" s="55"/>
      <c r="AY2447" s="38"/>
      <c r="AZ2447" s="55"/>
      <c r="BA2447" s="38"/>
      <c r="BB2447" s="55"/>
      <c r="BC2447" s="38"/>
      <c r="BD2447" s="55"/>
      <c r="BE2447" s="38"/>
      <c r="BF2447" s="55"/>
    </row>
    <row r="2448">
      <c r="A2448" s="52"/>
      <c r="D2448" s="351"/>
      <c r="E2448" s="351"/>
      <c r="F2448" s="1949"/>
      <c r="G2448" s="353"/>
      <c r="H2448" s="353"/>
      <c r="I2448" s="55"/>
      <c r="J2448" s="55"/>
      <c r="K2448" s="55"/>
      <c r="L2448" s="961"/>
      <c r="M2448" s="55"/>
      <c r="N2448" s="55"/>
      <c r="O2448" s="27" t="str">
        <f t="shared" si="793"/>
        <v>#N/A</v>
      </c>
      <c r="P2448" s="55"/>
      <c r="Q2448" s="55"/>
      <c r="R2448" s="55"/>
      <c r="S2448" s="55"/>
      <c r="T2448" s="55"/>
      <c r="U2448" s="55"/>
      <c r="V2448" s="30"/>
      <c r="W2448" s="30"/>
      <c r="X2448" s="58"/>
      <c r="Y2448" s="58"/>
      <c r="Z2448" s="692"/>
      <c r="AA2448" s="665"/>
      <c r="AB2448" s="55"/>
      <c r="AC2448" s="55"/>
      <c r="AD2448" s="355"/>
      <c r="AE2448" s="38"/>
      <c r="AF2448" s="355"/>
      <c r="AG2448" s="38"/>
      <c r="AH2448" s="55"/>
      <c r="AI2448" s="38"/>
      <c r="AJ2448" s="55"/>
      <c r="AK2448" s="38"/>
      <c r="AL2448" s="55"/>
      <c r="AM2448" s="38"/>
      <c r="AN2448" s="55"/>
      <c r="AO2448" s="38"/>
      <c r="AP2448" s="356"/>
      <c r="AQ2448" s="38"/>
      <c r="AR2448" s="55"/>
      <c r="AS2448" s="38"/>
      <c r="AT2448" s="55"/>
      <c r="AU2448" s="38"/>
      <c r="AV2448" s="55"/>
      <c r="AW2448" s="38"/>
      <c r="AX2448" s="55"/>
      <c r="AY2448" s="38"/>
      <c r="AZ2448" s="55"/>
      <c r="BA2448" s="38"/>
      <c r="BB2448" s="55"/>
      <c r="BC2448" s="38"/>
      <c r="BD2448" s="55"/>
      <c r="BE2448" s="38"/>
      <c r="BF2448" s="55"/>
    </row>
    <row r="2449">
      <c r="A2449" s="52"/>
      <c r="D2449" s="351"/>
      <c r="E2449" s="351"/>
      <c r="F2449" s="1949"/>
      <c r="G2449" s="353"/>
      <c r="H2449" s="353"/>
      <c r="I2449" s="55"/>
      <c r="J2449" s="55"/>
      <c r="K2449" s="55"/>
      <c r="L2449" s="961"/>
      <c r="M2449" s="55"/>
      <c r="N2449" s="55"/>
      <c r="O2449" s="27" t="str">
        <f t="shared" si="793"/>
        <v>#N/A</v>
      </c>
      <c r="P2449" s="55"/>
      <c r="Q2449" s="55"/>
      <c r="R2449" s="55"/>
      <c r="S2449" s="55"/>
      <c r="T2449" s="55"/>
      <c r="U2449" s="55"/>
      <c r="V2449" s="30"/>
      <c r="W2449" s="30"/>
      <c r="X2449" s="58"/>
      <c r="Y2449" s="58"/>
      <c r="Z2449" s="692"/>
      <c r="AA2449" s="665"/>
      <c r="AB2449" s="55"/>
      <c r="AC2449" s="55"/>
      <c r="AD2449" s="355"/>
      <c r="AE2449" s="38"/>
      <c r="AF2449" s="355"/>
      <c r="AG2449" s="38"/>
      <c r="AH2449" s="55"/>
      <c r="AI2449" s="38"/>
      <c r="AJ2449" s="55"/>
      <c r="AK2449" s="38"/>
      <c r="AL2449" s="55"/>
      <c r="AM2449" s="38"/>
      <c r="AN2449" s="55"/>
      <c r="AO2449" s="38"/>
      <c r="AP2449" s="356"/>
      <c r="AQ2449" s="38"/>
      <c r="AR2449" s="55"/>
      <c r="AS2449" s="38"/>
      <c r="AT2449" s="55"/>
      <c r="AU2449" s="38"/>
      <c r="AV2449" s="55"/>
      <c r="AW2449" s="38"/>
      <c r="AX2449" s="55"/>
      <c r="AY2449" s="38"/>
      <c r="AZ2449" s="55"/>
      <c r="BA2449" s="38"/>
      <c r="BB2449" s="55"/>
      <c r="BC2449" s="38"/>
      <c r="BD2449" s="55"/>
      <c r="BE2449" s="38"/>
      <c r="BF2449" s="55"/>
    </row>
    <row r="2450">
      <c r="A2450" s="52"/>
      <c r="D2450" s="351"/>
      <c r="E2450" s="351"/>
      <c r="F2450" s="1949"/>
      <c r="G2450" s="353"/>
      <c r="H2450" s="353"/>
      <c r="I2450" s="55"/>
      <c r="J2450" s="55"/>
      <c r="K2450" s="55"/>
      <c r="L2450" s="961"/>
      <c r="M2450" s="55"/>
      <c r="N2450" s="55"/>
      <c r="O2450" s="27" t="str">
        <f t="shared" si="793"/>
        <v>#N/A</v>
      </c>
      <c r="P2450" s="55"/>
      <c r="Q2450" s="55"/>
      <c r="R2450" s="55"/>
      <c r="S2450" s="55"/>
      <c r="T2450" s="55"/>
      <c r="U2450" s="55"/>
      <c r="V2450" s="30"/>
      <c r="W2450" s="30"/>
      <c r="X2450" s="58"/>
      <c r="Y2450" s="58"/>
      <c r="Z2450" s="692"/>
      <c r="AA2450" s="665"/>
      <c r="AB2450" s="55"/>
      <c r="AC2450" s="55"/>
      <c r="AD2450" s="355"/>
      <c r="AE2450" s="38"/>
      <c r="AF2450" s="355"/>
      <c r="AG2450" s="38"/>
      <c r="AH2450" s="55"/>
      <c r="AI2450" s="38"/>
      <c r="AJ2450" s="55"/>
      <c r="AK2450" s="38"/>
      <c r="AL2450" s="55"/>
      <c r="AM2450" s="38"/>
      <c r="AN2450" s="55"/>
      <c r="AO2450" s="38"/>
      <c r="AP2450" s="356"/>
      <c r="AQ2450" s="38"/>
      <c r="AR2450" s="55"/>
      <c r="AS2450" s="38"/>
      <c r="AT2450" s="55"/>
      <c r="AU2450" s="38"/>
      <c r="AV2450" s="55"/>
      <c r="AW2450" s="38"/>
      <c r="AX2450" s="55"/>
      <c r="AY2450" s="38"/>
      <c r="AZ2450" s="55"/>
      <c r="BA2450" s="38"/>
      <c r="BB2450" s="55"/>
      <c r="BC2450" s="38"/>
      <c r="BD2450" s="55"/>
      <c r="BE2450" s="38"/>
      <c r="BF2450" s="55"/>
    </row>
    <row r="2451">
      <c r="A2451" s="52"/>
      <c r="D2451" s="351"/>
      <c r="E2451" s="351"/>
      <c r="F2451" s="1949"/>
      <c r="G2451" s="353"/>
      <c r="H2451" s="353"/>
      <c r="I2451" s="55"/>
      <c r="J2451" s="55"/>
      <c r="K2451" s="55"/>
      <c r="L2451" s="961"/>
      <c r="M2451" s="55"/>
      <c r="N2451" s="55"/>
      <c r="O2451" s="27" t="str">
        <f t="shared" si="793"/>
        <v>#N/A</v>
      </c>
      <c r="P2451" s="55"/>
      <c r="Q2451" s="55"/>
      <c r="R2451" s="55"/>
      <c r="S2451" s="55"/>
      <c r="T2451" s="55"/>
      <c r="U2451" s="55"/>
      <c r="V2451" s="30"/>
      <c r="W2451" s="30"/>
      <c r="X2451" s="58"/>
      <c r="Y2451" s="58"/>
      <c r="Z2451" s="692"/>
      <c r="AA2451" s="665"/>
      <c r="AB2451" s="55"/>
      <c r="AC2451" s="55"/>
      <c r="AD2451" s="355"/>
      <c r="AE2451" s="38"/>
      <c r="AF2451" s="355"/>
      <c r="AG2451" s="38"/>
      <c r="AH2451" s="55"/>
      <c r="AI2451" s="38"/>
      <c r="AJ2451" s="55"/>
      <c r="AK2451" s="38"/>
      <c r="AL2451" s="55"/>
      <c r="AM2451" s="38"/>
      <c r="AN2451" s="55"/>
      <c r="AO2451" s="38"/>
      <c r="AP2451" s="356"/>
      <c r="AQ2451" s="38"/>
      <c r="AR2451" s="55"/>
      <c r="AS2451" s="38"/>
      <c r="AT2451" s="55"/>
      <c r="AU2451" s="38"/>
      <c r="AV2451" s="55"/>
      <c r="AW2451" s="38"/>
      <c r="AX2451" s="55"/>
      <c r="AY2451" s="38"/>
      <c r="AZ2451" s="55"/>
      <c r="BA2451" s="38"/>
      <c r="BB2451" s="55"/>
      <c r="BC2451" s="38"/>
      <c r="BD2451" s="55"/>
      <c r="BE2451" s="38"/>
      <c r="BF2451" s="55"/>
    </row>
    <row r="2452">
      <c r="A2452" s="52"/>
      <c r="D2452" s="351"/>
      <c r="E2452" s="351"/>
      <c r="F2452" s="1949"/>
      <c r="G2452" s="353"/>
      <c r="H2452" s="353"/>
      <c r="I2452" s="55"/>
      <c r="J2452" s="55"/>
      <c r="K2452" s="55"/>
      <c r="L2452" s="961"/>
      <c r="M2452" s="55"/>
      <c r="N2452" s="55"/>
      <c r="O2452" s="27" t="str">
        <f t="shared" si="793"/>
        <v>#N/A</v>
      </c>
      <c r="P2452" s="55"/>
      <c r="Q2452" s="55"/>
      <c r="R2452" s="55"/>
      <c r="S2452" s="55"/>
      <c r="T2452" s="55"/>
      <c r="U2452" s="55"/>
      <c r="V2452" s="30"/>
      <c r="W2452" s="30"/>
      <c r="X2452" s="58"/>
      <c r="Y2452" s="58"/>
      <c r="Z2452" s="692"/>
      <c r="AA2452" s="665"/>
      <c r="AB2452" s="55"/>
      <c r="AC2452" s="55"/>
      <c r="AD2452" s="355"/>
      <c r="AE2452" s="38"/>
      <c r="AF2452" s="355"/>
      <c r="AG2452" s="38"/>
      <c r="AH2452" s="55"/>
      <c r="AI2452" s="38"/>
      <c r="AJ2452" s="55"/>
      <c r="AK2452" s="38"/>
      <c r="AL2452" s="55"/>
      <c r="AM2452" s="38"/>
      <c r="AN2452" s="55"/>
      <c r="AO2452" s="38"/>
      <c r="AP2452" s="356"/>
      <c r="AQ2452" s="38"/>
      <c r="AR2452" s="55"/>
      <c r="AS2452" s="38"/>
      <c r="AT2452" s="55"/>
      <c r="AU2452" s="38"/>
      <c r="AV2452" s="55"/>
      <c r="AW2452" s="38"/>
      <c r="AX2452" s="55"/>
      <c r="AY2452" s="38"/>
      <c r="AZ2452" s="55"/>
      <c r="BA2452" s="38"/>
      <c r="BB2452" s="55"/>
      <c r="BC2452" s="38"/>
      <c r="BD2452" s="55"/>
      <c r="BE2452" s="38"/>
      <c r="BF2452" s="55"/>
    </row>
    <row r="2453">
      <c r="A2453" s="52"/>
      <c r="D2453" s="351"/>
      <c r="E2453" s="351"/>
      <c r="F2453" s="1949"/>
      <c r="G2453" s="353"/>
      <c r="H2453" s="353"/>
      <c r="I2453" s="55"/>
      <c r="J2453" s="55"/>
      <c r="K2453" s="55"/>
      <c r="L2453" s="961"/>
      <c r="M2453" s="55"/>
      <c r="N2453" s="55"/>
      <c r="O2453" s="27" t="str">
        <f t="shared" si="793"/>
        <v>#N/A</v>
      </c>
      <c r="P2453" s="55"/>
      <c r="Q2453" s="55"/>
      <c r="R2453" s="55"/>
      <c r="S2453" s="55"/>
      <c r="T2453" s="55"/>
      <c r="U2453" s="55"/>
      <c r="V2453" s="30"/>
      <c r="W2453" s="30"/>
      <c r="X2453" s="58"/>
      <c r="Y2453" s="58"/>
      <c r="Z2453" s="692"/>
      <c r="AA2453" s="665"/>
      <c r="AB2453" s="55"/>
      <c r="AC2453" s="55"/>
      <c r="AD2453" s="355"/>
      <c r="AE2453" s="38"/>
      <c r="AF2453" s="355"/>
      <c r="AG2453" s="38"/>
      <c r="AH2453" s="55"/>
      <c r="AI2453" s="38"/>
      <c r="AJ2453" s="55"/>
      <c r="AK2453" s="38"/>
      <c r="AL2453" s="55"/>
      <c r="AM2453" s="38"/>
      <c r="AN2453" s="55"/>
      <c r="AO2453" s="38"/>
      <c r="AP2453" s="356"/>
      <c r="AQ2453" s="38"/>
      <c r="AR2453" s="55"/>
      <c r="AS2453" s="38"/>
      <c r="AT2453" s="55"/>
      <c r="AU2453" s="38"/>
      <c r="AV2453" s="55"/>
      <c r="AW2453" s="38"/>
      <c r="AX2453" s="55"/>
      <c r="AY2453" s="38"/>
      <c r="AZ2453" s="55"/>
      <c r="BA2453" s="38"/>
      <c r="BB2453" s="55"/>
      <c r="BC2453" s="38"/>
      <c r="BD2453" s="55"/>
      <c r="BE2453" s="38"/>
      <c r="BF2453" s="55"/>
    </row>
    <row r="2454">
      <c r="A2454" s="52"/>
      <c r="D2454" s="351"/>
      <c r="E2454" s="351"/>
      <c r="F2454" s="1949"/>
      <c r="G2454" s="353"/>
      <c r="H2454" s="353"/>
      <c r="I2454" s="55"/>
      <c r="J2454" s="55"/>
      <c r="K2454" s="55"/>
      <c r="L2454" s="961"/>
      <c r="M2454" s="55"/>
      <c r="N2454" s="55"/>
      <c r="O2454" s="27" t="str">
        <f t="shared" si="793"/>
        <v>#N/A</v>
      </c>
      <c r="P2454" s="55"/>
      <c r="Q2454" s="55"/>
      <c r="R2454" s="55"/>
      <c r="S2454" s="55"/>
      <c r="T2454" s="55"/>
      <c r="U2454" s="55"/>
      <c r="V2454" s="30"/>
      <c r="W2454" s="30"/>
      <c r="X2454" s="58"/>
      <c r="Y2454" s="58"/>
      <c r="Z2454" s="692"/>
      <c r="AA2454" s="665"/>
      <c r="AB2454" s="55"/>
      <c r="AC2454" s="55"/>
      <c r="AD2454" s="355"/>
      <c r="AE2454" s="38"/>
      <c r="AF2454" s="355"/>
      <c r="AG2454" s="38"/>
      <c r="AH2454" s="55"/>
      <c r="AI2454" s="38"/>
      <c r="AJ2454" s="55"/>
      <c r="AK2454" s="38"/>
      <c r="AL2454" s="55"/>
      <c r="AM2454" s="38"/>
      <c r="AN2454" s="55"/>
      <c r="AO2454" s="38"/>
      <c r="AP2454" s="356"/>
      <c r="AQ2454" s="38"/>
      <c r="AR2454" s="55"/>
      <c r="AS2454" s="38"/>
      <c r="AT2454" s="55"/>
      <c r="AU2454" s="38"/>
      <c r="AV2454" s="55"/>
      <c r="AW2454" s="38"/>
      <c r="AX2454" s="55"/>
      <c r="AY2454" s="38"/>
      <c r="AZ2454" s="55"/>
      <c r="BA2454" s="38"/>
      <c r="BB2454" s="55"/>
      <c r="BC2454" s="38"/>
      <c r="BD2454" s="55"/>
      <c r="BE2454" s="38"/>
      <c r="BF2454" s="55"/>
    </row>
    <row r="2455">
      <c r="A2455" s="52"/>
      <c r="D2455" s="351"/>
      <c r="E2455" s="351"/>
      <c r="F2455" s="1949"/>
      <c r="G2455" s="353"/>
      <c r="H2455" s="353"/>
      <c r="I2455" s="55"/>
      <c r="J2455" s="55"/>
      <c r="K2455" s="55"/>
      <c r="L2455" s="961"/>
      <c r="M2455" s="55"/>
      <c r="N2455" s="55"/>
      <c r="O2455" s="27" t="str">
        <f t="shared" si="793"/>
        <v>#N/A</v>
      </c>
      <c r="P2455" s="55"/>
      <c r="Q2455" s="55"/>
      <c r="R2455" s="55"/>
      <c r="S2455" s="55"/>
      <c r="T2455" s="55"/>
      <c r="U2455" s="55"/>
      <c r="V2455" s="30"/>
      <c r="W2455" s="30"/>
      <c r="X2455" s="58"/>
      <c r="Y2455" s="58"/>
      <c r="Z2455" s="692"/>
      <c r="AA2455" s="665"/>
      <c r="AB2455" s="55"/>
      <c r="AC2455" s="55"/>
      <c r="AD2455" s="355"/>
      <c r="AE2455" s="38"/>
      <c r="AF2455" s="355"/>
      <c r="AG2455" s="38"/>
      <c r="AH2455" s="55"/>
      <c r="AI2455" s="38"/>
      <c r="AJ2455" s="55"/>
      <c r="AK2455" s="38"/>
      <c r="AL2455" s="55"/>
      <c r="AM2455" s="38"/>
      <c r="AN2455" s="55"/>
      <c r="AO2455" s="38"/>
      <c r="AP2455" s="356"/>
      <c r="AQ2455" s="38"/>
      <c r="AR2455" s="55"/>
      <c r="AS2455" s="38"/>
      <c r="AT2455" s="55"/>
      <c r="AU2455" s="38"/>
      <c r="AV2455" s="55"/>
      <c r="AW2455" s="38"/>
      <c r="AX2455" s="55"/>
      <c r="AY2455" s="38"/>
      <c r="AZ2455" s="55"/>
      <c r="BA2455" s="38"/>
      <c r="BB2455" s="55"/>
      <c r="BC2455" s="38"/>
      <c r="BD2455" s="55"/>
      <c r="BE2455" s="38"/>
      <c r="BF2455" s="55"/>
    </row>
    <row r="2456">
      <c r="A2456" s="52"/>
      <c r="D2456" s="351"/>
      <c r="E2456" s="351"/>
      <c r="F2456" s="1949"/>
      <c r="G2456" s="353"/>
      <c r="H2456" s="353"/>
      <c r="I2456" s="55"/>
      <c r="J2456" s="55"/>
      <c r="K2456" s="55"/>
      <c r="L2456" s="961"/>
      <c r="M2456" s="55"/>
      <c r="N2456" s="55"/>
      <c r="O2456" s="27" t="str">
        <f t="shared" si="793"/>
        <v>#N/A</v>
      </c>
      <c r="P2456" s="55"/>
      <c r="Q2456" s="55"/>
      <c r="R2456" s="55"/>
      <c r="S2456" s="55"/>
      <c r="T2456" s="55"/>
      <c r="U2456" s="55"/>
      <c r="V2456" s="30"/>
      <c r="W2456" s="30"/>
      <c r="X2456" s="58"/>
      <c r="Y2456" s="58"/>
      <c r="Z2456" s="692"/>
      <c r="AA2456" s="665"/>
      <c r="AB2456" s="55"/>
      <c r="AC2456" s="55"/>
      <c r="AD2456" s="355"/>
      <c r="AE2456" s="38"/>
      <c r="AF2456" s="355"/>
      <c r="AG2456" s="38"/>
      <c r="AH2456" s="55"/>
      <c r="AI2456" s="38"/>
      <c r="AJ2456" s="55"/>
      <c r="AK2456" s="38"/>
      <c r="AL2456" s="55"/>
      <c r="AM2456" s="38"/>
      <c r="AN2456" s="55"/>
      <c r="AO2456" s="38"/>
      <c r="AP2456" s="356"/>
      <c r="AQ2456" s="38"/>
      <c r="AR2456" s="55"/>
      <c r="AS2456" s="38"/>
      <c r="AT2456" s="55"/>
      <c r="AU2456" s="38"/>
      <c r="AV2456" s="55"/>
      <c r="AW2456" s="38"/>
      <c r="AX2456" s="55"/>
      <c r="AY2456" s="38"/>
      <c r="AZ2456" s="55"/>
      <c r="BA2456" s="38"/>
      <c r="BB2456" s="55"/>
      <c r="BC2456" s="38"/>
      <c r="BD2456" s="55"/>
      <c r="BE2456" s="38"/>
      <c r="BF2456" s="55"/>
    </row>
    <row r="2457">
      <c r="A2457" s="52"/>
      <c r="D2457" s="351"/>
      <c r="E2457" s="351"/>
      <c r="F2457" s="1949"/>
      <c r="G2457" s="353"/>
      <c r="H2457" s="353"/>
      <c r="I2457" s="55"/>
      <c r="J2457" s="55"/>
      <c r="K2457" s="55"/>
      <c r="L2457" s="961"/>
      <c r="M2457" s="55"/>
      <c r="N2457" s="55"/>
      <c r="O2457" s="27" t="str">
        <f t="shared" si="793"/>
        <v>#N/A</v>
      </c>
      <c r="P2457" s="55"/>
      <c r="Q2457" s="55"/>
      <c r="R2457" s="55"/>
      <c r="S2457" s="55"/>
      <c r="T2457" s="55"/>
      <c r="U2457" s="55"/>
      <c r="V2457" s="30"/>
      <c r="W2457" s="30"/>
      <c r="X2457" s="58"/>
      <c r="Y2457" s="58"/>
      <c r="Z2457" s="692"/>
      <c r="AA2457" s="665"/>
      <c r="AB2457" s="55"/>
      <c r="AC2457" s="55"/>
      <c r="AD2457" s="355"/>
      <c r="AE2457" s="38"/>
      <c r="AF2457" s="355"/>
      <c r="AG2457" s="38"/>
      <c r="AH2457" s="55"/>
      <c r="AI2457" s="38"/>
      <c r="AJ2457" s="55"/>
      <c r="AK2457" s="38"/>
      <c r="AL2457" s="55"/>
      <c r="AM2457" s="38"/>
      <c r="AN2457" s="55"/>
      <c r="AO2457" s="38"/>
      <c r="AP2457" s="356"/>
      <c r="AQ2457" s="38"/>
      <c r="AR2457" s="55"/>
      <c r="AS2457" s="38"/>
      <c r="AT2457" s="55"/>
      <c r="AU2457" s="38"/>
      <c r="AV2457" s="55"/>
      <c r="AW2457" s="38"/>
      <c r="AX2457" s="55"/>
      <c r="AY2457" s="38"/>
      <c r="AZ2457" s="55"/>
      <c r="BA2457" s="38"/>
      <c r="BB2457" s="55"/>
      <c r="BC2457" s="38"/>
      <c r="BD2457" s="55"/>
      <c r="BE2457" s="38"/>
      <c r="BF2457" s="55"/>
    </row>
    <row r="2458">
      <c r="A2458" s="52"/>
      <c r="D2458" s="351"/>
      <c r="E2458" s="351"/>
      <c r="F2458" s="1949"/>
      <c r="G2458" s="353"/>
      <c r="H2458" s="353"/>
      <c r="I2458" s="55"/>
      <c r="J2458" s="55"/>
      <c r="K2458" s="55"/>
      <c r="L2458" s="961"/>
      <c r="M2458" s="55"/>
      <c r="N2458" s="55"/>
      <c r="O2458" s="27" t="str">
        <f t="shared" si="793"/>
        <v>#N/A</v>
      </c>
      <c r="P2458" s="55"/>
      <c r="Q2458" s="55"/>
      <c r="R2458" s="55"/>
      <c r="S2458" s="55"/>
      <c r="T2458" s="55"/>
      <c r="U2458" s="55"/>
      <c r="V2458" s="30"/>
      <c r="W2458" s="30"/>
      <c r="X2458" s="58"/>
      <c r="Y2458" s="58"/>
      <c r="Z2458" s="692"/>
      <c r="AA2458" s="665"/>
      <c r="AB2458" s="55"/>
      <c r="AC2458" s="55"/>
      <c r="AD2458" s="355"/>
      <c r="AE2458" s="38"/>
      <c r="AF2458" s="355"/>
      <c r="AG2458" s="38"/>
      <c r="AH2458" s="55"/>
      <c r="AI2458" s="38"/>
      <c r="AJ2458" s="55"/>
      <c r="AK2458" s="38"/>
      <c r="AL2458" s="55"/>
      <c r="AM2458" s="38"/>
      <c r="AN2458" s="55"/>
      <c r="AO2458" s="38"/>
      <c r="AP2458" s="356"/>
      <c r="AQ2458" s="38"/>
      <c r="AR2458" s="55"/>
      <c r="AS2458" s="38"/>
      <c r="AT2458" s="55"/>
      <c r="AU2458" s="38"/>
      <c r="AV2458" s="55"/>
      <c r="AW2458" s="38"/>
      <c r="AX2458" s="55"/>
      <c r="AY2458" s="38"/>
      <c r="AZ2458" s="55"/>
      <c r="BA2458" s="38"/>
      <c r="BB2458" s="55"/>
      <c r="BC2458" s="38"/>
      <c r="BD2458" s="55"/>
      <c r="BE2458" s="38"/>
      <c r="BF2458" s="55"/>
    </row>
    <row r="2459">
      <c r="A2459" s="52"/>
      <c r="D2459" s="351"/>
      <c r="E2459" s="351"/>
      <c r="F2459" s="1949"/>
      <c r="G2459" s="353"/>
      <c r="H2459" s="353"/>
      <c r="I2459" s="55"/>
      <c r="J2459" s="55"/>
      <c r="K2459" s="55"/>
      <c r="L2459" s="961"/>
      <c r="M2459" s="55"/>
      <c r="N2459" s="55"/>
      <c r="O2459" s="27" t="str">
        <f t="shared" si="793"/>
        <v>#N/A</v>
      </c>
      <c r="P2459" s="55"/>
      <c r="Q2459" s="55"/>
      <c r="R2459" s="55"/>
      <c r="S2459" s="55"/>
      <c r="T2459" s="55"/>
      <c r="U2459" s="55"/>
      <c r="V2459" s="30"/>
      <c r="W2459" s="30"/>
      <c r="X2459" s="58"/>
      <c r="Y2459" s="58"/>
      <c r="Z2459" s="692"/>
      <c r="AA2459" s="665"/>
      <c r="AB2459" s="55"/>
      <c r="AC2459" s="55"/>
      <c r="AD2459" s="355"/>
      <c r="AE2459" s="38"/>
      <c r="AF2459" s="355"/>
      <c r="AG2459" s="38"/>
      <c r="AH2459" s="55"/>
      <c r="AI2459" s="38"/>
      <c r="AJ2459" s="55"/>
      <c r="AK2459" s="38"/>
      <c r="AL2459" s="55"/>
      <c r="AM2459" s="38"/>
      <c r="AN2459" s="55"/>
      <c r="AO2459" s="38"/>
      <c r="AP2459" s="356"/>
      <c r="AQ2459" s="38"/>
      <c r="AR2459" s="55"/>
      <c r="AS2459" s="38"/>
      <c r="AT2459" s="55"/>
      <c r="AU2459" s="38"/>
      <c r="AV2459" s="55"/>
      <c r="AW2459" s="38"/>
      <c r="AX2459" s="55"/>
      <c r="AY2459" s="38"/>
      <c r="AZ2459" s="55"/>
      <c r="BA2459" s="38"/>
      <c r="BB2459" s="55"/>
      <c r="BC2459" s="38"/>
      <c r="BD2459" s="55"/>
      <c r="BE2459" s="38"/>
      <c r="BF2459" s="55"/>
    </row>
    <row r="2460">
      <c r="A2460" s="52"/>
      <c r="D2460" s="351"/>
      <c r="E2460" s="351"/>
      <c r="F2460" s="1949"/>
      <c r="G2460" s="353"/>
      <c r="H2460" s="353"/>
      <c r="I2460" s="55"/>
      <c r="J2460" s="55"/>
      <c r="K2460" s="55"/>
      <c r="L2460" s="961"/>
      <c r="M2460" s="55"/>
      <c r="N2460" s="55"/>
      <c r="O2460" s="27" t="str">
        <f t="shared" si="793"/>
        <v>#N/A</v>
      </c>
      <c r="P2460" s="55"/>
      <c r="Q2460" s="55"/>
      <c r="R2460" s="55"/>
      <c r="S2460" s="55"/>
      <c r="T2460" s="55"/>
      <c r="U2460" s="55"/>
      <c r="V2460" s="30"/>
      <c r="W2460" s="30"/>
      <c r="X2460" s="58"/>
      <c r="Y2460" s="58"/>
      <c r="Z2460" s="692"/>
      <c r="AA2460" s="665"/>
      <c r="AB2460" s="55"/>
      <c r="AC2460" s="55"/>
      <c r="AD2460" s="355"/>
      <c r="AE2460" s="38"/>
      <c r="AF2460" s="355"/>
      <c r="AG2460" s="38"/>
      <c r="AH2460" s="55"/>
      <c r="AI2460" s="38"/>
      <c r="AJ2460" s="55"/>
      <c r="AK2460" s="38"/>
      <c r="AL2460" s="55"/>
      <c r="AM2460" s="38"/>
      <c r="AN2460" s="55"/>
      <c r="AO2460" s="38"/>
      <c r="AP2460" s="356"/>
      <c r="AQ2460" s="38"/>
      <c r="AR2460" s="55"/>
      <c r="AS2460" s="38"/>
      <c r="AT2460" s="55"/>
      <c r="AU2460" s="38"/>
      <c r="AV2460" s="55"/>
      <c r="AW2460" s="38"/>
      <c r="AX2460" s="55"/>
      <c r="AY2460" s="38"/>
      <c r="AZ2460" s="55"/>
      <c r="BA2460" s="38"/>
      <c r="BB2460" s="55"/>
      <c r="BC2460" s="38"/>
      <c r="BD2460" s="55"/>
      <c r="BE2460" s="38"/>
      <c r="BF2460" s="55"/>
    </row>
    <row r="2461">
      <c r="A2461" s="52"/>
      <c r="D2461" s="351"/>
      <c r="E2461" s="351"/>
      <c r="F2461" s="1949"/>
      <c r="G2461" s="353"/>
      <c r="H2461" s="353"/>
      <c r="I2461" s="55"/>
      <c r="J2461" s="55"/>
      <c r="K2461" s="55"/>
      <c r="L2461" s="961"/>
      <c r="M2461" s="55"/>
      <c r="N2461" s="55"/>
      <c r="O2461" s="27" t="str">
        <f t="shared" si="793"/>
        <v>#N/A</v>
      </c>
      <c r="P2461" s="55"/>
      <c r="Q2461" s="55"/>
      <c r="R2461" s="55"/>
      <c r="S2461" s="55"/>
      <c r="T2461" s="55"/>
      <c r="U2461" s="55"/>
      <c r="V2461" s="30"/>
      <c r="W2461" s="30"/>
      <c r="X2461" s="58"/>
      <c r="Y2461" s="58"/>
      <c r="Z2461" s="692"/>
      <c r="AA2461" s="665"/>
      <c r="AB2461" s="55"/>
      <c r="AC2461" s="55"/>
      <c r="AD2461" s="355"/>
      <c r="AE2461" s="38"/>
      <c r="AF2461" s="355"/>
      <c r="AG2461" s="38"/>
      <c r="AH2461" s="55"/>
      <c r="AI2461" s="38"/>
      <c r="AJ2461" s="55"/>
      <c r="AK2461" s="38"/>
      <c r="AL2461" s="55"/>
      <c r="AM2461" s="38"/>
      <c r="AN2461" s="55"/>
      <c r="AO2461" s="38"/>
      <c r="AP2461" s="356"/>
      <c r="AQ2461" s="38"/>
      <c r="AR2461" s="55"/>
      <c r="AS2461" s="38"/>
      <c r="AT2461" s="55"/>
      <c r="AU2461" s="38"/>
      <c r="AV2461" s="55"/>
      <c r="AW2461" s="38"/>
      <c r="AX2461" s="55"/>
      <c r="AY2461" s="38"/>
      <c r="AZ2461" s="55"/>
      <c r="BA2461" s="38"/>
      <c r="BB2461" s="55"/>
      <c r="BC2461" s="38"/>
      <c r="BD2461" s="55"/>
      <c r="BE2461" s="38"/>
      <c r="BF2461" s="55"/>
    </row>
    <row r="2462">
      <c r="A2462" s="52"/>
      <c r="D2462" s="351"/>
      <c r="E2462" s="351"/>
      <c r="F2462" s="1949"/>
      <c r="G2462" s="353"/>
      <c r="H2462" s="353"/>
      <c r="I2462" s="55"/>
      <c r="J2462" s="55"/>
      <c r="K2462" s="55"/>
      <c r="L2462" s="961"/>
      <c r="M2462" s="55"/>
      <c r="N2462" s="55"/>
      <c r="O2462" s="27" t="str">
        <f t="shared" si="793"/>
        <v>#N/A</v>
      </c>
      <c r="P2462" s="55"/>
      <c r="Q2462" s="55"/>
      <c r="R2462" s="55"/>
      <c r="S2462" s="55"/>
      <c r="T2462" s="55"/>
      <c r="U2462" s="55"/>
      <c r="V2462" s="30"/>
      <c r="W2462" s="30"/>
      <c r="X2462" s="58"/>
      <c r="Y2462" s="58"/>
      <c r="Z2462" s="692"/>
      <c r="AA2462" s="665"/>
      <c r="AB2462" s="55"/>
      <c r="AC2462" s="55"/>
      <c r="AD2462" s="355"/>
      <c r="AE2462" s="38"/>
      <c r="AF2462" s="355"/>
      <c r="AG2462" s="38"/>
      <c r="AH2462" s="55"/>
      <c r="AI2462" s="38"/>
      <c r="AJ2462" s="55"/>
      <c r="AK2462" s="38"/>
      <c r="AL2462" s="55"/>
      <c r="AM2462" s="38"/>
      <c r="AN2462" s="55"/>
      <c r="AO2462" s="38"/>
      <c r="AP2462" s="356"/>
      <c r="AQ2462" s="38"/>
      <c r="AR2462" s="55"/>
      <c r="AS2462" s="38"/>
      <c r="AT2462" s="55"/>
      <c r="AU2462" s="38"/>
      <c r="AV2462" s="55"/>
      <c r="AW2462" s="38"/>
      <c r="AX2462" s="55"/>
      <c r="AY2462" s="38"/>
      <c r="AZ2462" s="55"/>
      <c r="BA2462" s="38"/>
      <c r="BB2462" s="55"/>
      <c r="BC2462" s="38"/>
      <c r="BD2462" s="55"/>
      <c r="BE2462" s="38"/>
      <c r="BF2462" s="55"/>
    </row>
    <row r="2463">
      <c r="A2463" s="52"/>
      <c r="D2463" s="351"/>
      <c r="E2463" s="351"/>
      <c r="F2463" s="1949"/>
      <c r="G2463" s="353"/>
      <c r="H2463" s="353"/>
      <c r="I2463" s="55"/>
      <c r="J2463" s="55"/>
      <c r="K2463" s="55"/>
      <c r="L2463" s="961"/>
      <c r="M2463" s="55"/>
      <c r="N2463" s="55"/>
      <c r="O2463" s="27" t="str">
        <f t="shared" si="793"/>
        <v>#N/A</v>
      </c>
      <c r="P2463" s="55"/>
      <c r="Q2463" s="55"/>
      <c r="R2463" s="55"/>
      <c r="S2463" s="55"/>
      <c r="T2463" s="55"/>
      <c r="U2463" s="55"/>
      <c r="V2463" s="30"/>
      <c r="W2463" s="30"/>
      <c r="X2463" s="58"/>
      <c r="Y2463" s="58"/>
      <c r="Z2463" s="692"/>
      <c r="AA2463" s="665"/>
      <c r="AB2463" s="55"/>
      <c r="AC2463" s="55"/>
      <c r="AD2463" s="355"/>
      <c r="AE2463" s="38"/>
      <c r="AF2463" s="355"/>
      <c r="AG2463" s="38"/>
      <c r="AH2463" s="55"/>
      <c r="AI2463" s="38"/>
      <c r="AJ2463" s="55"/>
      <c r="AK2463" s="38"/>
      <c r="AL2463" s="55"/>
      <c r="AM2463" s="38"/>
      <c r="AN2463" s="55"/>
      <c r="AO2463" s="38"/>
      <c r="AP2463" s="356"/>
      <c r="AQ2463" s="38"/>
      <c r="AR2463" s="55"/>
      <c r="AS2463" s="38"/>
      <c r="AT2463" s="55"/>
      <c r="AU2463" s="38"/>
      <c r="AV2463" s="55"/>
      <c r="AW2463" s="38"/>
      <c r="AX2463" s="55"/>
      <c r="AY2463" s="38"/>
      <c r="AZ2463" s="55"/>
      <c r="BA2463" s="38"/>
      <c r="BB2463" s="55"/>
      <c r="BC2463" s="38"/>
      <c r="BD2463" s="55"/>
      <c r="BE2463" s="38"/>
      <c r="BF2463" s="55"/>
    </row>
    <row r="2464">
      <c r="A2464" s="52"/>
      <c r="D2464" s="351"/>
      <c r="E2464" s="351"/>
      <c r="F2464" s="1949"/>
      <c r="G2464" s="353"/>
      <c r="H2464" s="353"/>
      <c r="I2464" s="55"/>
      <c r="J2464" s="55"/>
      <c r="K2464" s="55"/>
      <c r="L2464" s="961"/>
      <c r="M2464" s="55"/>
      <c r="N2464" s="55"/>
      <c r="O2464" s="27" t="str">
        <f t="shared" si="793"/>
        <v>#N/A</v>
      </c>
      <c r="P2464" s="55"/>
      <c r="Q2464" s="55"/>
      <c r="R2464" s="55"/>
      <c r="S2464" s="55"/>
      <c r="T2464" s="55"/>
      <c r="U2464" s="55"/>
      <c r="V2464" s="30"/>
      <c r="W2464" s="30"/>
      <c r="X2464" s="58"/>
      <c r="Y2464" s="58"/>
      <c r="Z2464" s="692"/>
      <c r="AA2464" s="665"/>
      <c r="AB2464" s="55"/>
      <c r="AC2464" s="55"/>
      <c r="AD2464" s="355"/>
      <c r="AE2464" s="38"/>
      <c r="AF2464" s="355"/>
      <c r="AG2464" s="38"/>
      <c r="AH2464" s="55"/>
      <c r="AI2464" s="38"/>
      <c r="AJ2464" s="55"/>
      <c r="AK2464" s="38"/>
      <c r="AL2464" s="55"/>
      <c r="AM2464" s="38"/>
      <c r="AN2464" s="55"/>
      <c r="AO2464" s="38"/>
      <c r="AP2464" s="356"/>
      <c r="AQ2464" s="38"/>
      <c r="AR2464" s="55"/>
      <c r="AS2464" s="38"/>
      <c r="AT2464" s="55"/>
      <c r="AU2464" s="38"/>
      <c r="AV2464" s="55"/>
      <c r="AW2464" s="38"/>
      <c r="AX2464" s="55"/>
      <c r="AY2464" s="38"/>
      <c r="AZ2464" s="55"/>
      <c r="BA2464" s="38"/>
      <c r="BB2464" s="55"/>
      <c r="BC2464" s="38"/>
      <c r="BD2464" s="55"/>
      <c r="BE2464" s="38"/>
      <c r="BF2464" s="55"/>
    </row>
    <row r="2465">
      <c r="A2465" s="52"/>
      <c r="D2465" s="351"/>
      <c r="E2465" s="351"/>
      <c r="F2465" s="1949"/>
      <c r="G2465" s="353"/>
      <c r="H2465" s="353"/>
      <c r="I2465" s="55"/>
      <c r="J2465" s="55"/>
      <c r="K2465" s="55"/>
      <c r="L2465" s="961"/>
      <c r="M2465" s="55"/>
      <c r="N2465" s="55"/>
      <c r="O2465" s="27" t="str">
        <f t="shared" si="793"/>
        <v>#N/A</v>
      </c>
      <c r="P2465" s="55"/>
      <c r="Q2465" s="55"/>
      <c r="R2465" s="55"/>
      <c r="S2465" s="55"/>
      <c r="T2465" s="55"/>
      <c r="U2465" s="55"/>
      <c r="V2465" s="30"/>
      <c r="W2465" s="30"/>
      <c r="X2465" s="58"/>
      <c r="Y2465" s="58"/>
      <c r="Z2465" s="692"/>
      <c r="AA2465" s="665"/>
      <c r="AB2465" s="55"/>
      <c r="AC2465" s="55"/>
      <c r="AD2465" s="355"/>
      <c r="AE2465" s="38"/>
      <c r="AF2465" s="355"/>
      <c r="AG2465" s="38"/>
      <c r="AH2465" s="55"/>
      <c r="AI2465" s="38"/>
      <c r="AJ2465" s="55"/>
      <c r="AK2465" s="38"/>
      <c r="AL2465" s="55"/>
      <c r="AM2465" s="38"/>
      <c r="AN2465" s="55"/>
      <c r="AO2465" s="38"/>
      <c r="AP2465" s="356"/>
      <c r="AQ2465" s="38"/>
      <c r="AR2465" s="55"/>
      <c r="AS2465" s="38"/>
      <c r="AT2465" s="55"/>
      <c r="AU2465" s="38"/>
      <c r="AV2465" s="55"/>
      <c r="AW2465" s="38"/>
      <c r="AX2465" s="55"/>
      <c r="AY2465" s="38"/>
      <c r="AZ2465" s="55"/>
      <c r="BA2465" s="38"/>
      <c r="BB2465" s="55"/>
      <c r="BC2465" s="38"/>
      <c r="BD2465" s="55"/>
      <c r="BE2465" s="38"/>
      <c r="BF2465" s="55"/>
    </row>
    <row r="2466">
      <c r="A2466" s="52"/>
      <c r="D2466" s="351"/>
      <c r="E2466" s="351"/>
      <c r="F2466" s="1949"/>
      <c r="G2466" s="353"/>
      <c r="H2466" s="353"/>
      <c r="I2466" s="55"/>
      <c r="J2466" s="55"/>
      <c r="K2466" s="55"/>
      <c r="L2466" s="961"/>
      <c r="M2466" s="55"/>
      <c r="N2466" s="55"/>
      <c r="O2466" s="27" t="str">
        <f t="shared" si="793"/>
        <v>#N/A</v>
      </c>
      <c r="P2466" s="55"/>
      <c r="Q2466" s="55"/>
      <c r="R2466" s="55"/>
      <c r="S2466" s="55"/>
      <c r="T2466" s="55"/>
      <c r="U2466" s="55"/>
      <c r="V2466" s="30"/>
      <c r="W2466" s="30"/>
      <c r="X2466" s="58"/>
      <c r="Y2466" s="58"/>
      <c r="Z2466" s="692"/>
      <c r="AA2466" s="665"/>
      <c r="AB2466" s="55"/>
      <c r="AC2466" s="55"/>
      <c r="AD2466" s="355"/>
      <c r="AE2466" s="38"/>
      <c r="AF2466" s="355"/>
      <c r="AG2466" s="38"/>
      <c r="AH2466" s="55"/>
      <c r="AI2466" s="38"/>
      <c r="AJ2466" s="55"/>
      <c r="AK2466" s="38"/>
      <c r="AL2466" s="55"/>
      <c r="AM2466" s="38"/>
      <c r="AN2466" s="55"/>
      <c r="AO2466" s="38"/>
      <c r="AP2466" s="356"/>
      <c r="AQ2466" s="38"/>
      <c r="AR2466" s="55"/>
      <c r="AS2466" s="38"/>
      <c r="AT2466" s="55"/>
      <c r="AU2466" s="38"/>
      <c r="AV2466" s="55"/>
      <c r="AW2466" s="38"/>
      <c r="AX2466" s="55"/>
      <c r="AY2466" s="38"/>
      <c r="AZ2466" s="55"/>
      <c r="BA2466" s="38"/>
      <c r="BB2466" s="55"/>
      <c r="BC2466" s="38"/>
      <c r="BD2466" s="55"/>
      <c r="BE2466" s="38"/>
      <c r="BF2466" s="55"/>
    </row>
    <row r="2467">
      <c r="A2467" s="52"/>
      <c r="D2467" s="351"/>
      <c r="E2467" s="351"/>
      <c r="F2467" s="1949"/>
      <c r="G2467" s="353"/>
      <c r="H2467" s="353"/>
      <c r="I2467" s="55"/>
      <c r="J2467" s="55"/>
      <c r="K2467" s="55"/>
      <c r="L2467" s="961"/>
      <c r="M2467" s="55"/>
      <c r="N2467" s="55"/>
      <c r="O2467" s="27" t="str">
        <f t="shared" si="793"/>
        <v>#N/A</v>
      </c>
      <c r="P2467" s="55"/>
      <c r="Q2467" s="55"/>
      <c r="R2467" s="55"/>
      <c r="S2467" s="55"/>
      <c r="T2467" s="55"/>
      <c r="U2467" s="55"/>
      <c r="V2467" s="30"/>
      <c r="W2467" s="30"/>
      <c r="X2467" s="58"/>
      <c r="Y2467" s="58"/>
      <c r="Z2467" s="692"/>
      <c r="AA2467" s="665"/>
      <c r="AB2467" s="55"/>
      <c r="AC2467" s="55"/>
      <c r="AD2467" s="355"/>
      <c r="AE2467" s="38"/>
      <c r="AF2467" s="355"/>
      <c r="AG2467" s="38"/>
      <c r="AH2467" s="55"/>
      <c r="AI2467" s="38"/>
      <c r="AJ2467" s="55"/>
      <c r="AK2467" s="38"/>
      <c r="AL2467" s="55"/>
      <c r="AM2467" s="38"/>
      <c r="AN2467" s="55"/>
      <c r="AO2467" s="38"/>
      <c r="AP2467" s="356"/>
      <c r="AQ2467" s="38"/>
      <c r="AR2467" s="55"/>
      <c r="AS2467" s="38"/>
      <c r="AT2467" s="55"/>
      <c r="AU2467" s="38"/>
      <c r="AV2467" s="55"/>
      <c r="AW2467" s="38"/>
      <c r="AX2467" s="55"/>
      <c r="AY2467" s="38"/>
      <c r="AZ2467" s="55"/>
      <c r="BA2467" s="38"/>
      <c r="BB2467" s="55"/>
      <c r="BC2467" s="38"/>
      <c r="BD2467" s="55"/>
      <c r="BE2467" s="38"/>
      <c r="BF2467" s="55"/>
    </row>
    <row r="2468">
      <c r="A2468" s="52"/>
      <c r="D2468" s="351"/>
      <c r="E2468" s="351"/>
      <c r="F2468" s="1949"/>
      <c r="G2468" s="353"/>
      <c r="H2468" s="353"/>
      <c r="I2468" s="55"/>
      <c r="J2468" s="55"/>
      <c r="K2468" s="55"/>
      <c r="L2468" s="961"/>
      <c r="M2468" s="55"/>
      <c r="N2468" s="55"/>
      <c r="O2468" s="27" t="str">
        <f t="shared" si="793"/>
        <v>#N/A</v>
      </c>
      <c r="P2468" s="55"/>
      <c r="Q2468" s="55"/>
      <c r="R2468" s="55"/>
      <c r="S2468" s="55"/>
      <c r="T2468" s="55"/>
      <c r="U2468" s="55"/>
      <c r="V2468" s="30"/>
      <c r="W2468" s="30"/>
      <c r="X2468" s="58"/>
      <c r="Y2468" s="58"/>
      <c r="Z2468" s="692"/>
      <c r="AA2468" s="665"/>
      <c r="AB2468" s="55"/>
      <c r="AC2468" s="55"/>
      <c r="AD2468" s="355"/>
      <c r="AE2468" s="38"/>
      <c r="AF2468" s="355"/>
      <c r="AG2468" s="38"/>
      <c r="AH2468" s="55"/>
      <c r="AI2468" s="38"/>
      <c r="AJ2468" s="55"/>
      <c r="AK2468" s="38"/>
      <c r="AL2468" s="55"/>
      <c r="AM2468" s="38"/>
      <c r="AN2468" s="55"/>
      <c r="AO2468" s="38"/>
      <c r="AP2468" s="356"/>
      <c r="AQ2468" s="38"/>
      <c r="AR2468" s="55"/>
      <c r="AS2468" s="38"/>
      <c r="AT2468" s="55"/>
      <c r="AU2468" s="38"/>
      <c r="AV2468" s="55"/>
      <c r="AW2468" s="38"/>
      <c r="AX2468" s="55"/>
      <c r="AY2468" s="38"/>
      <c r="AZ2468" s="55"/>
      <c r="BA2468" s="38"/>
      <c r="BB2468" s="55"/>
      <c r="BC2468" s="38"/>
      <c r="BD2468" s="55"/>
      <c r="BE2468" s="38"/>
      <c r="BF2468" s="55"/>
    </row>
    <row r="2469">
      <c r="A2469" s="52"/>
      <c r="D2469" s="351"/>
      <c r="E2469" s="351"/>
      <c r="F2469" s="1949"/>
      <c r="G2469" s="353"/>
      <c r="H2469" s="353"/>
      <c r="I2469" s="55"/>
      <c r="J2469" s="55"/>
      <c r="K2469" s="55"/>
      <c r="L2469" s="961"/>
      <c r="M2469" s="55"/>
      <c r="N2469" s="55"/>
      <c r="O2469" s="27" t="str">
        <f t="shared" si="793"/>
        <v>#N/A</v>
      </c>
      <c r="P2469" s="55"/>
      <c r="Q2469" s="55"/>
      <c r="R2469" s="55"/>
      <c r="S2469" s="55"/>
      <c r="T2469" s="55"/>
      <c r="U2469" s="55"/>
      <c r="V2469" s="30"/>
      <c r="W2469" s="30"/>
      <c r="X2469" s="58"/>
      <c r="Y2469" s="58"/>
      <c r="Z2469" s="692"/>
      <c r="AA2469" s="665"/>
      <c r="AB2469" s="55"/>
      <c r="AC2469" s="55"/>
      <c r="AD2469" s="355"/>
      <c r="AE2469" s="38"/>
      <c r="AF2469" s="355"/>
      <c r="AG2469" s="38"/>
      <c r="AH2469" s="55"/>
      <c r="AI2469" s="38"/>
      <c r="AJ2469" s="55"/>
      <c r="AK2469" s="38"/>
      <c r="AL2469" s="55"/>
      <c r="AM2469" s="38"/>
      <c r="AN2469" s="55"/>
      <c r="AO2469" s="38"/>
      <c r="AP2469" s="356"/>
      <c r="AQ2469" s="38"/>
      <c r="AR2469" s="55"/>
      <c r="AS2469" s="38"/>
      <c r="AT2469" s="55"/>
      <c r="AU2469" s="38"/>
      <c r="AV2469" s="55"/>
      <c r="AW2469" s="38"/>
      <c r="AX2469" s="55"/>
      <c r="AY2469" s="38"/>
      <c r="AZ2469" s="55"/>
      <c r="BA2469" s="38"/>
      <c r="BB2469" s="55"/>
      <c r="BC2469" s="38"/>
      <c r="BD2469" s="55"/>
      <c r="BE2469" s="38"/>
      <c r="BF2469" s="55"/>
    </row>
    <row r="2470">
      <c r="A2470" s="52"/>
      <c r="D2470" s="351"/>
      <c r="E2470" s="351"/>
      <c r="F2470" s="1949"/>
      <c r="G2470" s="353"/>
      <c r="H2470" s="353"/>
      <c r="I2470" s="55"/>
      <c r="J2470" s="55"/>
      <c r="K2470" s="55"/>
      <c r="L2470" s="961"/>
      <c r="M2470" s="55"/>
      <c r="N2470" s="55"/>
      <c r="O2470" s="27" t="str">
        <f t="shared" si="793"/>
        <v>#N/A</v>
      </c>
      <c r="P2470" s="55"/>
      <c r="Q2470" s="55"/>
      <c r="R2470" s="55"/>
      <c r="S2470" s="55"/>
      <c r="T2470" s="55"/>
      <c r="U2470" s="55"/>
      <c r="V2470" s="30"/>
      <c r="W2470" s="30"/>
      <c r="X2470" s="58"/>
      <c r="Y2470" s="58"/>
      <c r="Z2470" s="692"/>
      <c r="AA2470" s="665"/>
      <c r="AB2470" s="55"/>
      <c r="AC2470" s="55"/>
      <c r="AD2470" s="355"/>
      <c r="AE2470" s="38"/>
      <c r="AF2470" s="355"/>
      <c r="AG2470" s="38"/>
      <c r="AH2470" s="55"/>
      <c r="AI2470" s="38"/>
      <c r="AJ2470" s="55"/>
      <c r="AK2470" s="38"/>
      <c r="AL2470" s="55"/>
      <c r="AM2470" s="38"/>
      <c r="AN2470" s="55"/>
      <c r="AO2470" s="38"/>
      <c r="AP2470" s="356"/>
      <c r="AQ2470" s="38"/>
      <c r="AR2470" s="55"/>
      <c r="AS2470" s="38"/>
      <c r="AT2470" s="55"/>
      <c r="AU2470" s="38"/>
      <c r="AV2470" s="55"/>
      <c r="AW2470" s="38"/>
      <c r="AX2470" s="55"/>
      <c r="AY2470" s="38"/>
      <c r="AZ2470" s="55"/>
      <c r="BA2470" s="38"/>
      <c r="BB2470" s="55"/>
      <c r="BC2470" s="38"/>
      <c r="BD2470" s="55"/>
      <c r="BE2470" s="38"/>
      <c r="BF2470" s="55"/>
    </row>
    <row r="2471">
      <c r="A2471" s="52"/>
      <c r="D2471" s="351"/>
      <c r="E2471" s="351"/>
      <c r="F2471" s="1949"/>
      <c r="G2471" s="353"/>
      <c r="H2471" s="353"/>
      <c r="I2471" s="55"/>
      <c r="J2471" s="55"/>
      <c r="K2471" s="55"/>
      <c r="L2471" s="961"/>
      <c r="M2471" s="55"/>
      <c r="N2471" s="55"/>
      <c r="O2471" s="27" t="str">
        <f t="shared" si="793"/>
        <v>#N/A</v>
      </c>
      <c r="P2471" s="55"/>
      <c r="Q2471" s="55"/>
      <c r="R2471" s="55"/>
      <c r="S2471" s="55"/>
      <c r="T2471" s="55"/>
      <c r="U2471" s="55"/>
      <c r="V2471" s="30"/>
      <c r="W2471" s="30"/>
      <c r="X2471" s="58"/>
      <c r="Y2471" s="58"/>
      <c r="Z2471" s="692"/>
      <c r="AA2471" s="665"/>
      <c r="AB2471" s="55"/>
      <c r="AC2471" s="55"/>
      <c r="AD2471" s="355"/>
      <c r="AE2471" s="38"/>
      <c r="AF2471" s="355"/>
      <c r="AG2471" s="38"/>
      <c r="AH2471" s="55"/>
      <c r="AI2471" s="38"/>
      <c r="AJ2471" s="55"/>
      <c r="AK2471" s="38"/>
      <c r="AL2471" s="55"/>
      <c r="AM2471" s="38"/>
      <c r="AN2471" s="55"/>
      <c r="AO2471" s="38"/>
      <c r="AP2471" s="356"/>
      <c r="AQ2471" s="38"/>
      <c r="AR2471" s="55"/>
      <c r="AS2471" s="38"/>
      <c r="AT2471" s="55"/>
      <c r="AU2471" s="38"/>
      <c r="AV2471" s="55"/>
      <c r="AW2471" s="38"/>
      <c r="AX2471" s="55"/>
      <c r="AY2471" s="38"/>
      <c r="AZ2471" s="55"/>
      <c r="BA2471" s="38"/>
      <c r="BB2471" s="55"/>
      <c r="BC2471" s="38"/>
      <c r="BD2471" s="55"/>
      <c r="BE2471" s="38"/>
      <c r="BF2471" s="55"/>
    </row>
    <row r="2472">
      <c r="A2472" s="52"/>
      <c r="D2472" s="351"/>
      <c r="E2472" s="351"/>
      <c r="F2472" s="1949"/>
      <c r="G2472" s="353"/>
      <c r="H2472" s="353"/>
      <c r="I2472" s="55"/>
      <c r="J2472" s="55"/>
      <c r="K2472" s="55"/>
      <c r="L2472" s="961"/>
      <c r="M2472" s="55"/>
      <c r="N2472" s="55"/>
      <c r="O2472" s="27" t="str">
        <f t="shared" si="793"/>
        <v>#N/A</v>
      </c>
      <c r="P2472" s="55"/>
      <c r="Q2472" s="55"/>
      <c r="R2472" s="55"/>
      <c r="S2472" s="55"/>
      <c r="T2472" s="55"/>
      <c r="U2472" s="55"/>
      <c r="V2472" s="30"/>
      <c r="W2472" s="30"/>
      <c r="X2472" s="58"/>
      <c r="Y2472" s="58"/>
      <c r="Z2472" s="692"/>
      <c r="AA2472" s="665"/>
      <c r="AB2472" s="55"/>
      <c r="AC2472" s="55"/>
      <c r="AD2472" s="355"/>
      <c r="AE2472" s="38"/>
      <c r="AF2472" s="355"/>
      <c r="AG2472" s="38"/>
      <c r="AH2472" s="55"/>
      <c r="AI2472" s="38"/>
      <c r="AJ2472" s="55"/>
      <c r="AK2472" s="38"/>
      <c r="AL2472" s="55"/>
      <c r="AM2472" s="38"/>
      <c r="AN2472" s="55"/>
      <c r="AO2472" s="38"/>
      <c r="AP2472" s="356"/>
      <c r="AQ2472" s="38"/>
      <c r="AR2472" s="55"/>
      <c r="AS2472" s="38"/>
      <c r="AT2472" s="55"/>
      <c r="AU2472" s="38"/>
      <c r="AV2472" s="55"/>
      <c r="AW2472" s="38"/>
      <c r="AX2472" s="55"/>
      <c r="AY2472" s="38"/>
      <c r="AZ2472" s="55"/>
      <c r="BA2472" s="38"/>
      <c r="BB2472" s="55"/>
      <c r="BC2472" s="38"/>
      <c r="BD2472" s="55"/>
      <c r="BE2472" s="38"/>
      <c r="BF2472" s="55"/>
    </row>
    <row r="2473">
      <c r="A2473" s="52"/>
      <c r="D2473" s="351"/>
      <c r="E2473" s="351"/>
      <c r="F2473" s="1949"/>
      <c r="G2473" s="353"/>
      <c r="H2473" s="353"/>
      <c r="I2473" s="55"/>
      <c r="J2473" s="55"/>
      <c r="K2473" s="55"/>
      <c r="L2473" s="961"/>
      <c r="M2473" s="55"/>
      <c r="N2473" s="55"/>
      <c r="O2473" s="27" t="str">
        <f t="shared" si="793"/>
        <v>#N/A</v>
      </c>
      <c r="P2473" s="55"/>
      <c r="Q2473" s="55"/>
      <c r="R2473" s="55"/>
      <c r="S2473" s="55"/>
      <c r="T2473" s="55"/>
      <c r="U2473" s="55"/>
      <c r="V2473" s="30"/>
      <c r="W2473" s="30"/>
      <c r="X2473" s="58"/>
      <c r="Y2473" s="58"/>
      <c r="Z2473" s="692"/>
      <c r="AA2473" s="665"/>
      <c r="AB2473" s="55"/>
      <c r="AC2473" s="55"/>
      <c r="AD2473" s="355"/>
      <c r="AE2473" s="38"/>
      <c r="AF2473" s="355"/>
      <c r="AG2473" s="38"/>
      <c r="AH2473" s="55"/>
      <c r="AI2473" s="38"/>
      <c r="AJ2473" s="55"/>
      <c r="AK2473" s="38"/>
      <c r="AL2473" s="55"/>
      <c r="AM2473" s="38"/>
      <c r="AN2473" s="55"/>
      <c r="AO2473" s="38"/>
      <c r="AP2473" s="356"/>
      <c r="AQ2473" s="38"/>
      <c r="AR2473" s="55"/>
      <c r="AS2473" s="38"/>
      <c r="AT2473" s="55"/>
      <c r="AU2473" s="38"/>
      <c r="AV2473" s="55"/>
      <c r="AW2473" s="38"/>
      <c r="AX2473" s="55"/>
      <c r="AY2473" s="38"/>
      <c r="AZ2473" s="55"/>
      <c r="BA2473" s="38"/>
      <c r="BB2473" s="55"/>
      <c r="BC2473" s="38"/>
      <c r="BD2473" s="55"/>
      <c r="BE2473" s="38"/>
      <c r="BF2473" s="55"/>
    </row>
    <row r="2474">
      <c r="A2474" s="52"/>
      <c r="D2474" s="351"/>
      <c r="E2474" s="351"/>
      <c r="F2474" s="1949"/>
      <c r="G2474" s="353"/>
      <c r="H2474" s="353"/>
      <c r="I2474" s="55"/>
      <c r="J2474" s="55"/>
      <c r="K2474" s="55"/>
      <c r="L2474" s="961"/>
      <c r="M2474" s="55"/>
      <c r="N2474" s="55"/>
      <c r="O2474" s="27" t="str">
        <f t="shared" si="793"/>
        <v>#N/A</v>
      </c>
      <c r="P2474" s="55"/>
      <c r="Q2474" s="55"/>
      <c r="R2474" s="55"/>
      <c r="S2474" s="55"/>
      <c r="T2474" s="55"/>
      <c r="U2474" s="55"/>
      <c r="V2474" s="30"/>
      <c r="W2474" s="30"/>
      <c r="X2474" s="58"/>
      <c r="Y2474" s="58"/>
      <c r="Z2474" s="692"/>
      <c r="AA2474" s="665"/>
      <c r="AB2474" s="55"/>
      <c r="AC2474" s="55"/>
      <c r="AD2474" s="355"/>
      <c r="AE2474" s="38"/>
      <c r="AF2474" s="355"/>
      <c r="AG2474" s="38"/>
      <c r="AH2474" s="55"/>
      <c r="AI2474" s="38"/>
      <c r="AJ2474" s="55"/>
      <c r="AK2474" s="38"/>
      <c r="AL2474" s="55"/>
      <c r="AM2474" s="38"/>
      <c r="AN2474" s="55"/>
      <c r="AO2474" s="38"/>
      <c r="AP2474" s="356"/>
      <c r="AQ2474" s="38"/>
      <c r="AR2474" s="55"/>
      <c r="AS2474" s="38"/>
      <c r="AT2474" s="55"/>
      <c r="AU2474" s="38"/>
      <c r="AV2474" s="55"/>
      <c r="AW2474" s="38"/>
      <c r="AX2474" s="55"/>
      <c r="AY2474" s="38"/>
      <c r="AZ2474" s="55"/>
      <c r="BA2474" s="38"/>
      <c r="BB2474" s="55"/>
      <c r="BC2474" s="38"/>
      <c r="BD2474" s="55"/>
      <c r="BE2474" s="38"/>
      <c r="BF2474" s="55"/>
    </row>
    <row r="2475">
      <c r="A2475" s="52"/>
      <c r="D2475" s="351"/>
      <c r="E2475" s="351"/>
      <c r="F2475" s="1949"/>
      <c r="G2475" s="353"/>
      <c r="H2475" s="353"/>
      <c r="I2475" s="55"/>
      <c r="J2475" s="55"/>
      <c r="K2475" s="55"/>
      <c r="L2475" s="961"/>
      <c r="M2475" s="55"/>
      <c r="N2475" s="55"/>
      <c r="O2475" s="27" t="str">
        <f t="shared" si="793"/>
        <v>#N/A</v>
      </c>
      <c r="P2475" s="55"/>
      <c r="Q2475" s="55"/>
      <c r="R2475" s="55"/>
      <c r="S2475" s="55"/>
      <c r="T2475" s="55"/>
      <c r="U2475" s="55"/>
      <c r="V2475" s="30"/>
      <c r="W2475" s="30"/>
      <c r="X2475" s="58"/>
      <c r="Y2475" s="58"/>
      <c r="Z2475" s="692"/>
      <c r="AA2475" s="665"/>
      <c r="AB2475" s="55"/>
      <c r="AC2475" s="55"/>
      <c r="AD2475" s="355"/>
      <c r="AE2475" s="38"/>
      <c r="AF2475" s="355"/>
      <c r="AG2475" s="38"/>
      <c r="AH2475" s="55"/>
      <c r="AI2475" s="38"/>
      <c r="AJ2475" s="55"/>
      <c r="AK2475" s="38"/>
      <c r="AL2475" s="55"/>
      <c r="AM2475" s="38"/>
      <c r="AN2475" s="55"/>
      <c r="AO2475" s="38"/>
      <c r="AP2475" s="356"/>
      <c r="AQ2475" s="38"/>
      <c r="AR2475" s="55"/>
      <c r="AS2475" s="38"/>
      <c r="AT2475" s="55"/>
      <c r="AU2475" s="38"/>
      <c r="AV2475" s="55"/>
      <c r="AW2475" s="38"/>
      <c r="AX2475" s="55"/>
      <c r="AY2475" s="38"/>
      <c r="AZ2475" s="55"/>
      <c r="BA2475" s="38"/>
      <c r="BB2475" s="55"/>
      <c r="BC2475" s="38"/>
      <c r="BD2475" s="55"/>
      <c r="BE2475" s="38"/>
      <c r="BF2475" s="55"/>
    </row>
    <row r="2476">
      <c r="A2476" s="52"/>
      <c r="D2476" s="351"/>
      <c r="E2476" s="351"/>
      <c r="F2476" s="1949"/>
      <c r="G2476" s="353"/>
      <c r="H2476" s="353"/>
      <c r="I2476" s="55"/>
      <c r="J2476" s="55"/>
      <c r="K2476" s="55"/>
      <c r="L2476" s="961"/>
      <c r="M2476" s="55"/>
      <c r="N2476" s="55"/>
      <c r="O2476" s="27" t="str">
        <f t="shared" si="793"/>
        <v>#N/A</v>
      </c>
      <c r="P2476" s="55"/>
      <c r="Q2476" s="55"/>
      <c r="R2476" s="55"/>
      <c r="S2476" s="55"/>
      <c r="T2476" s="55"/>
      <c r="U2476" s="55"/>
      <c r="V2476" s="30"/>
      <c r="W2476" s="30"/>
      <c r="X2476" s="58"/>
      <c r="Y2476" s="58"/>
      <c r="Z2476" s="692"/>
      <c r="AA2476" s="665"/>
      <c r="AB2476" s="55"/>
      <c r="AC2476" s="55"/>
      <c r="AD2476" s="355"/>
      <c r="AE2476" s="38"/>
      <c r="AF2476" s="355"/>
      <c r="AG2476" s="38"/>
      <c r="AH2476" s="55"/>
      <c r="AI2476" s="38"/>
      <c r="AJ2476" s="55"/>
      <c r="AK2476" s="38"/>
      <c r="AL2476" s="55"/>
      <c r="AM2476" s="38"/>
      <c r="AN2476" s="55"/>
      <c r="AO2476" s="38"/>
      <c r="AP2476" s="356"/>
      <c r="AQ2476" s="38"/>
      <c r="AR2476" s="55"/>
      <c r="AS2476" s="38"/>
      <c r="AT2476" s="55"/>
      <c r="AU2476" s="38"/>
      <c r="AV2476" s="55"/>
      <c r="AW2476" s="38"/>
      <c r="AX2476" s="55"/>
      <c r="AY2476" s="38"/>
      <c r="AZ2476" s="55"/>
      <c r="BA2476" s="38"/>
      <c r="BB2476" s="55"/>
      <c r="BC2476" s="38"/>
      <c r="BD2476" s="55"/>
      <c r="BE2476" s="38"/>
      <c r="BF2476" s="55"/>
    </row>
    <row r="2477">
      <c r="A2477" s="52"/>
      <c r="D2477" s="351"/>
      <c r="E2477" s="351"/>
      <c r="F2477" s="1949"/>
      <c r="G2477" s="353"/>
      <c r="H2477" s="353"/>
      <c r="I2477" s="55"/>
      <c r="J2477" s="55"/>
      <c r="K2477" s="55"/>
      <c r="L2477" s="961"/>
      <c r="M2477" s="55"/>
      <c r="N2477" s="55"/>
      <c r="O2477" s="27" t="str">
        <f t="shared" si="793"/>
        <v>#N/A</v>
      </c>
      <c r="P2477" s="55"/>
      <c r="Q2477" s="55"/>
      <c r="R2477" s="55"/>
      <c r="S2477" s="55"/>
      <c r="T2477" s="55"/>
      <c r="U2477" s="55"/>
      <c r="V2477" s="30"/>
      <c r="W2477" s="30"/>
      <c r="X2477" s="58"/>
      <c r="Y2477" s="58"/>
      <c r="Z2477" s="692"/>
      <c r="AA2477" s="665"/>
      <c r="AB2477" s="55"/>
      <c r="AC2477" s="55"/>
      <c r="AD2477" s="355"/>
      <c r="AE2477" s="38"/>
      <c r="AF2477" s="355"/>
      <c r="AG2477" s="38"/>
      <c r="AH2477" s="55"/>
      <c r="AI2477" s="38"/>
      <c r="AJ2477" s="55"/>
      <c r="AK2477" s="38"/>
      <c r="AL2477" s="55"/>
      <c r="AM2477" s="38"/>
      <c r="AN2477" s="55"/>
      <c r="AO2477" s="38"/>
      <c r="AP2477" s="356"/>
      <c r="AQ2477" s="38"/>
      <c r="AR2477" s="55"/>
      <c r="AS2477" s="38"/>
      <c r="AT2477" s="55"/>
      <c r="AU2477" s="38"/>
      <c r="AV2477" s="55"/>
      <c r="AW2477" s="38"/>
      <c r="AX2477" s="55"/>
      <c r="AY2477" s="38"/>
      <c r="AZ2477" s="55"/>
      <c r="BA2477" s="38"/>
      <c r="BB2477" s="55"/>
      <c r="BC2477" s="38"/>
      <c r="BD2477" s="55"/>
      <c r="BE2477" s="38"/>
      <c r="BF2477" s="55"/>
    </row>
    <row r="2478">
      <c r="A2478" s="52"/>
      <c r="D2478" s="351"/>
      <c r="E2478" s="351"/>
      <c r="F2478" s="1949"/>
      <c r="G2478" s="353"/>
      <c r="H2478" s="353"/>
      <c r="I2478" s="55"/>
      <c r="J2478" s="55"/>
      <c r="K2478" s="55"/>
      <c r="L2478" s="961"/>
      <c r="M2478" s="55"/>
      <c r="N2478" s="55"/>
      <c r="O2478" s="27" t="str">
        <f t="shared" si="793"/>
        <v>#N/A</v>
      </c>
      <c r="P2478" s="55"/>
      <c r="Q2478" s="55"/>
      <c r="R2478" s="55"/>
      <c r="S2478" s="55"/>
      <c r="T2478" s="55"/>
      <c r="U2478" s="55"/>
      <c r="V2478" s="30"/>
      <c r="W2478" s="30"/>
      <c r="X2478" s="58"/>
      <c r="Y2478" s="58"/>
      <c r="Z2478" s="692"/>
      <c r="AA2478" s="665"/>
      <c r="AB2478" s="55"/>
      <c r="AC2478" s="55"/>
      <c r="AD2478" s="355"/>
      <c r="AE2478" s="38"/>
      <c r="AF2478" s="355"/>
      <c r="AG2478" s="38"/>
      <c r="AH2478" s="55"/>
      <c r="AI2478" s="38"/>
      <c r="AJ2478" s="55"/>
      <c r="AK2478" s="38"/>
      <c r="AL2478" s="55"/>
      <c r="AM2478" s="38"/>
      <c r="AN2478" s="55"/>
      <c r="AO2478" s="38"/>
      <c r="AP2478" s="356"/>
      <c r="AQ2478" s="38"/>
      <c r="AR2478" s="55"/>
      <c r="AS2478" s="38"/>
      <c r="AT2478" s="55"/>
      <c r="AU2478" s="38"/>
      <c r="AV2478" s="55"/>
      <c r="AW2478" s="38"/>
      <c r="AX2478" s="55"/>
      <c r="AY2478" s="38"/>
      <c r="AZ2478" s="55"/>
      <c r="BA2478" s="38"/>
      <c r="BB2478" s="55"/>
      <c r="BC2478" s="38"/>
      <c r="BD2478" s="55"/>
      <c r="BE2478" s="38"/>
      <c r="BF2478" s="55"/>
    </row>
    <row r="2479">
      <c r="A2479" s="52"/>
      <c r="D2479" s="351"/>
      <c r="E2479" s="351"/>
      <c r="F2479" s="1949"/>
      <c r="G2479" s="353"/>
      <c r="H2479" s="353"/>
      <c r="I2479" s="55"/>
      <c r="J2479" s="55"/>
      <c r="K2479" s="55"/>
      <c r="L2479" s="961"/>
      <c r="M2479" s="55"/>
      <c r="N2479" s="55"/>
      <c r="O2479" s="27" t="str">
        <f t="shared" si="793"/>
        <v>#N/A</v>
      </c>
      <c r="P2479" s="55"/>
      <c r="Q2479" s="55"/>
      <c r="R2479" s="55"/>
      <c r="S2479" s="55"/>
      <c r="T2479" s="55"/>
      <c r="U2479" s="55"/>
      <c r="V2479" s="30"/>
      <c r="W2479" s="30"/>
      <c r="X2479" s="58"/>
      <c r="Y2479" s="58"/>
      <c r="Z2479" s="692"/>
      <c r="AA2479" s="665"/>
      <c r="AB2479" s="55"/>
      <c r="AC2479" s="55"/>
      <c r="AD2479" s="355"/>
      <c r="AE2479" s="38"/>
      <c r="AF2479" s="355"/>
      <c r="AG2479" s="38"/>
      <c r="AH2479" s="55"/>
      <c r="AI2479" s="38"/>
      <c r="AJ2479" s="55"/>
      <c r="AK2479" s="38"/>
      <c r="AL2479" s="55"/>
      <c r="AM2479" s="38"/>
      <c r="AN2479" s="55"/>
      <c r="AO2479" s="38"/>
      <c r="AP2479" s="356"/>
      <c r="AQ2479" s="38"/>
      <c r="AR2479" s="55"/>
      <c r="AS2479" s="38"/>
      <c r="AT2479" s="55"/>
      <c r="AU2479" s="38"/>
      <c r="AV2479" s="55"/>
      <c r="AW2479" s="38"/>
      <c r="AX2479" s="55"/>
      <c r="AY2479" s="38"/>
      <c r="AZ2479" s="55"/>
      <c r="BA2479" s="38"/>
      <c r="BB2479" s="55"/>
      <c r="BC2479" s="38"/>
      <c r="BD2479" s="55"/>
      <c r="BE2479" s="38"/>
      <c r="BF2479" s="55"/>
    </row>
    <row r="2480">
      <c r="A2480" s="52"/>
      <c r="D2480" s="351"/>
      <c r="E2480" s="351"/>
      <c r="F2480" s="1949"/>
      <c r="G2480" s="353"/>
      <c r="H2480" s="353"/>
      <c r="I2480" s="55"/>
      <c r="J2480" s="55"/>
      <c r="K2480" s="55"/>
      <c r="L2480" s="961"/>
      <c r="M2480" s="55"/>
      <c r="N2480" s="55"/>
      <c r="O2480" s="27" t="str">
        <f t="shared" si="793"/>
        <v>#N/A</v>
      </c>
      <c r="P2480" s="55"/>
      <c r="Q2480" s="55"/>
      <c r="R2480" s="55"/>
      <c r="S2480" s="55"/>
      <c r="T2480" s="55"/>
      <c r="U2480" s="55"/>
      <c r="V2480" s="30"/>
      <c r="W2480" s="30"/>
      <c r="X2480" s="58"/>
      <c r="Y2480" s="58"/>
      <c r="Z2480" s="692"/>
      <c r="AA2480" s="665"/>
      <c r="AB2480" s="55"/>
      <c r="AC2480" s="55"/>
      <c r="AD2480" s="355"/>
      <c r="AE2480" s="38"/>
      <c r="AF2480" s="355"/>
      <c r="AG2480" s="38"/>
      <c r="AH2480" s="55"/>
      <c r="AI2480" s="38"/>
      <c r="AJ2480" s="55"/>
      <c r="AK2480" s="38"/>
      <c r="AL2480" s="55"/>
      <c r="AM2480" s="38"/>
      <c r="AN2480" s="55"/>
      <c r="AO2480" s="38"/>
      <c r="AP2480" s="356"/>
      <c r="AQ2480" s="38"/>
      <c r="AR2480" s="55"/>
      <c r="AS2480" s="38"/>
      <c r="AT2480" s="55"/>
      <c r="AU2480" s="38"/>
      <c r="AV2480" s="55"/>
      <c r="AW2480" s="38"/>
      <c r="AX2480" s="55"/>
      <c r="AY2480" s="38"/>
      <c r="AZ2480" s="55"/>
      <c r="BA2480" s="38"/>
      <c r="BB2480" s="55"/>
      <c r="BC2480" s="38"/>
      <c r="BD2480" s="55"/>
      <c r="BE2480" s="38"/>
      <c r="BF2480" s="55"/>
    </row>
    <row r="2481">
      <c r="A2481" s="52"/>
      <c r="D2481" s="351"/>
      <c r="E2481" s="351"/>
      <c r="F2481" s="1949"/>
      <c r="G2481" s="353"/>
      <c r="H2481" s="353"/>
      <c r="I2481" s="55"/>
      <c r="J2481" s="55"/>
      <c r="K2481" s="55"/>
      <c r="L2481" s="961"/>
      <c r="M2481" s="55"/>
      <c r="N2481" s="55"/>
      <c r="O2481" s="27" t="str">
        <f t="shared" si="793"/>
        <v>#N/A</v>
      </c>
      <c r="P2481" s="55"/>
      <c r="Q2481" s="55"/>
      <c r="R2481" s="55"/>
      <c r="S2481" s="55"/>
      <c r="T2481" s="55"/>
      <c r="U2481" s="55"/>
      <c r="V2481" s="30"/>
      <c r="W2481" s="30"/>
      <c r="X2481" s="58"/>
      <c r="Y2481" s="58"/>
      <c r="Z2481" s="692"/>
      <c r="AA2481" s="665"/>
      <c r="AB2481" s="55"/>
      <c r="AC2481" s="55"/>
      <c r="AD2481" s="355"/>
      <c r="AE2481" s="38"/>
      <c r="AF2481" s="355"/>
      <c r="AG2481" s="38"/>
      <c r="AH2481" s="55"/>
      <c r="AI2481" s="38"/>
      <c r="AJ2481" s="55"/>
      <c r="AK2481" s="38"/>
      <c r="AL2481" s="55"/>
      <c r="AM2481" s="38"/>
      <c r="AN2481" s="55"/>
      <c r="AO2481" s="38"/>
      <c r="AP2481" s="356"/>
      <c r="AQ2481" s="38"/>
      <c r="AR2481" s="55"/>
      <c r="AS2481" s="38"/>
      <c r="AT2481" s="55"/>
      <c r="AU2481" s="38"/>
      <c r="AV2481" s="55"/>
      <c r="AW2481" s="38"/>
      <c r="AX2481" s="55"/>
      <c r="AY2481" s="38"/>
      <c r="AZ2481" s="55"/>
      <c r="BA2481" s="38"/>
      <c r="BB2481" s="55"/>
      <c r="BC2481" s="38"/>
      <c r="BD2481" s="55"/>
      <c r="BE2481" s="38"/>
      <c r="BF2481" s="55"/>
    </row>
    <row r="2482">
      <c r="A2482" s="52"/>
      <c r="D2482" s="351"/>
      <c r="E2482" s="351"/>
      <c r="F2482" s="1949"/>
      <c r="G2482" s="353"/>
      <c r="H2482" s="353"/>
      <c r="I2482" s="55"/>
      <c r="J2482" s="55"/>
      <c r="K2482" s="55"/>
      <c r="L2482" s="961"/>
      <c r="M2482" s="55"/>
      <c r="N2482" s="55"/>
      <c r="O2482" s="27" t="str">
        <f t="shared" si="793"/>
        <v>#N/A</v>
      </c>
      <c r="P2482" s="55"/>
      <c r="Q2482" s="55"/>
      <c r="R2482" s="55"/>
      <c r="S2482" s="55"/>
      <c r="T2482" s="55"/>
      <c r="U2482" s="55"/>
      <c r="V2482" s="30"/>
      <c r="W2482" s="30"/>
      <c r="X2482" s="58"/>
      <c r="Y2482" s="58"/>
      <c r="Z2482" s="692"/>
      <c r="AA2482" s="665"/>
      <c r="AB2482" s="55"/>
      <c r="AC2482" s="55"/>
      <c r="AD2482" s="355"/>
      <c r="AE2482" s="38"/>
      <c r="AF2482" s="355"/>
      <c r="AG2482" s="38"/>
      <c r="AH2482" s="55"/>
      <c r="AI2482" s="38"/>
      <c r="AJ2482" s="55"/>
      <c r="AK2482" s="38"/>
      <c r="AL2482" s="55"/>
      <c r="AM2482" s="38"/>
      <c r="AN2482" s="55"/>
      <c r="AO2482" s="38"/>
      <c r="AP2482" s="356"/>
      <c r="AQ2482" s="38"/>
      <c r="AR2482" s="55"/>
      <c r="AS2482" s="38"/>
      <c r="AT2482" s="55"/>
      <c r="AU2482" s="38"/>
      <c r="AV2482" s="55"/>
      <c r="AW2482" s="38"/>
      <c r="AX2482" s="55"/>
      <c r="AY2482" s="38"/>
      <c r="AZ2482" s="55"/>
      <c r="BA2482" s="38"/>
      <c r="BB2482" s="55"/>
      <c r="BC2482" s="38"/>
      <c r="BD2482" s="55"/>
      <c r="BE2482" s="38"/>
      <c r="BF2482" s="55"/>
    </row>
    <row r="2483">
      <c r="A2483" s="52"/>
      <c r="D2483" s="351"/>
      <c r="E2483" s="351"/>
      <c r="F2483" s="1949"/>
      <c r="G2483" s="353"/>
      <c r="H2483" s="353"/>
      <c r="I2483" s="55"/>
      <c r="J2483" s="55"/>
      <c r="K2483" s="55"/>
      <c r="L2483" s="961"/>
      <c r="M2483" s="55"/>
      <c r="N2483" s="55"/>
      <c r="O2483" s="27" t="str">
        <f t="shared" si="793"/>
        <v>#N/A</v>
      </c>
      <c r="P2483" s="55"/>
      <c r="Q2483" s="55"/>
      <c r="R2483" s="55"/>
      <c r="S2483" s="55"/>
      <c r="T2483" s="55"/>
      <c r="U2483" s="55"/>
      <c r="V2483" s="30"/>
      <c r="W2483" s="30"/>
      <c r="X2483" s="58"/>
      <c r="Y2483" s="58"/>
      <c r="Z2483" s="692"/>
      <c r="AA2483" s="665"/>
      <c r="AB2483" s="55"/>
      <c r="AC2483" s="55"/>
      <c r="AD2483" s="355"/>
      <c r="AE2483" s="38"/>
      <c r="AF2483" s="355"/>
      <c r="AG2483" s="38"/>
      <c r="AH2483" s="55"/>
      <c r="AI2483" s="38"/>
      <c r="AJ2483" s="55"/>
      <c r="AK2483" s="38"/>
      <c r="AL2483" s="55"/>
      <c r="AM2483" s="38"/>
      <c r="AN2483" s="55"/>
      <c r="AO2483" s="38"/>
      <c r="AP2483" s="356"/>
      <c r="AQ2483" s="38"/>
      <c r="AR2483" s="55"/>
      <c r="AS2483" s="38"/>
      <c r="AT2483" s="55"/>
      <c r="AU2483" s="38"/>
      <c r="AV2483" s="55"/>
      <c r="AW2483" s="38"/>
      <c r="AX2483" s="55"/>
      <c r="AY2483" s="38"/>
      <c r="AZ2483" s="55"/>
      <c r="BA2483" s="38"/>
      <c r="BB2483" s="55"/>
      <c r="BC2483" s="38"/>
      <c r="BD2483" s="55"/>
      <c r="BE2483" s="38"/>
      <c r="BF2483" s="55"/>
    </row>
    <row r="2484">
      <c r="A2484" s="52"/>
      <c r="D2484" s="351"/>
      <c r="E2484" s="351"/>
      <c r="F2484" s="1949"/>
      <c r="G2484" s="353"/>
      <c r="H2484" s="353"/>
      <c r="I2484" s="55"/>
      <c r="J2484" s="55"/>
      <c r="K2484" s="55"/>
      <c r="L2484" s="961"/>
      <c r="M2484" s="55"/>
      <c r="N2484" s="55"/>
      <c r="O2484" s="27" t="str">
        <f t="shared" si="793"/>
        <v>#N/A</v>
      </c>
      <c r="P2484" s="55"/>
      <c r="Q2484" s="55"/>
      <c r="R2484" s="55"/>
      <c r="S2484" s="55"/>
      <c r="T2484" s="55"/>
      <c r="U2484" s="55"/>
      <c r="V2484" s="30"/>
      <c r="W2484" s="30"/>
      <c r="X2484" s="58"/>
      <c r="Y2484" s="58"/>
      <c r="Z2484" s="692"/>
      <c r="AA2484" s="665"/>
      <c r="AB2484" s="55"/>
      <c r="AC2484" s="55"/>
      <c r="AD2484" s="355"/>
      <c r="AE2484" s="38"/>
      <c r="AF2484" s="355"/>
      <c r="AG2484" s="38"/>
      <c r="AH2484" s="55"/>
      <c r="AI2484" s="38"/>
      <c r="AJ2484" s="55"/>
      <c r="AK2484" s="38"/>
      <c r="AL2484" s="55"/>
      <c r="AM2484" s="38"/>
      <c r="AN2484" s="55"/>
      <c r="AO2484" s="38"/>
      <c r="AP2484" s="356"/>
      <c r="AQ2484" s="38"/>
      <c r="AR2484" s="55"/>
      <c r="AS2484" s="38"/>
      <c r="AT2484" s="55"/>
      <c r="AU2484" s="38"/>
      <c r="AV2484" s="55"/>
      <c r="AW2484" s="38"/>
      <c r="AX2484" s="55"/>
      <c r="AY2484" s="38"/>
      <c r="AZ2484" s="55"/>
      <c r="BA2484" s="38"/>
      <c r="BB2484" s="55"/>
      <c r="BC2484" s="38"/>
      <c r="BD2484" s="55"/>
      <c r="BE2484" s="38"/>
      <c r="BF2484" s="55"/>
    </row>
    <row r="2485">
      <c r="A2485" s="52"/>
      <c r="D2485" s="351"/>
      <c r="E2485" s="351"/>
      <c r="F2485" s="1949"/>
      <c r="G2485" s="353"/>
      <c r="H2485" s="353"/>
      <c r="I2485" s="55"/>
      <c r="J2485" s="55"/>
      <c r="K2485" s="55"/>
      <c r="L2485" s="961"/>
      <c r="M2485" s="55"/>
      <c r="N2485" s="55"/>
      <c r="O2485" s="27" t="str">
        <f t="shared" si="793"/>
        <v>#N/A</v>
      </c>
      <c r="P2485" s="55"/>
      <c r="Q2485" s="55"/>
      <c r="R2485" s="55"/>
      <c r="S2485" s="55"/>
      <c r="T2485" s="55"/>
      <c r="U2485" s="55"/>
      <c r="V2485" s="30"/>
      <c r="W2485" s="30"/>
      <c r="X2485" s="58"/>
      <c r="Y2485" s="58"/>
      <c r="Z2485" s="692"/>
      <c r="AA2485" s="665"/>
      <c r="AB2485" s="55"/>
      <c r="AC2485" s="55"/>
      <c r="AD2485" s="355"/>
      <c r="AE2485" s="38"/>
      <c r="AF2485" s="355"/>
      <c r="AG2485" s="38"/>
      <c r="AH2485" s="55"/>
      <c r="AI2485" s="38"/>
      <c r="AJ2485" s="55"/>
      <c r="AK2485" s="38"/>
      <c r="AL2485" s="55"/>
      <c r="AM2485" s="38"/>
      <c r="AN2485" s="55"/>
      <c r="AO2485" s="38"/>
      <c r="AP2485" s="356"/>
      <c r="AQ2485" s="38"/>
      <c r="AR2485" s="55"/>
      <c r="AS2485" s="38"/>
      <c r="AT2485" s="55"/>
      <c r="AU2485" s="38"/>
      <c r="AV2485" s="55"/>
      <c r="AW2485" s="38"/>
      <c r="AX2485" s="55"/>
      <c r="AY2485" s="38"/>
      <c r="AZ2485" s="55"/>
      <c r="BA2485" s="38"/>
      <c r="BB2485" s="55"/>
      <c r="BC2485" s="38"/>
      <c r="BD2485" s="55"/>
      <c r="BE2485" s="38"/>
      <c r="BF2485" s="55"/>
    </row>
    <row r="2486">
      <c r="A2486" s="52"/>
      <c r="D2486" s="351"/>
      <c r="E2486" s="351"/>
      <c r="F2486" s="1949"/>
      <c r="G2486" s="353"/>
      <c r="H2486" s="353"/>
      <c r="I2486" s="55"/>
      <c r="J2486" s="55"/>
      <c r="K2486" s="55"/>
      <c r="L2486" s="961"/>
      <c r="M2486" s="55"/>
      <c r="N2486" s="55"/>
      <c r="O2486" s="27" t="str">
        <f t="shared" si="793"/>
        <v>#N/A</v>
      </c>
      <c r="P2486" s="55"/>
      <c r="Q2486" s="55"/>
      <c r="R2486" s="55"/>
      <c r="S2486" s="55"/>
      <c r="T2486" s="55"/>
      <c r="U2486" s="55"/>
      <c r="V2486" s="30"/>
      <c r="W2486" s="30"/>
      <c r="X2486" s="58"/>
      <c r="Y2486" s="58"/>
      <c r="Z2486" s="692"/>
      <c r="AA2486" s="665"/>
      <c r="AB2486" s="55"/>
      <c r="AC2486" s="55"/>
      <c r="AD2486" s="355"/>
      <c r="AE2486" s="38"/>
      <c r="AF2486" s="355"/>
      <c r="AG2486" s="38"/>
      <c r="AH2486" s="55"/>
      <c r="AI2486" s="38"/>
      <c r="AJ2486" s="55"/>
      <c r="AK2486" s="38"/>
      <c r="AL2486" s="55"/>
      <c r="AM2486" s="38"/>
      <c r="AN2486" s="55"/>
      <c r="AO2486" s="38"/>
      <c r="AP2486" s="356"/>
      <c r="AQ2486" s="38"/>
      <c r="AR2486" s="55"/>
      <c r="AS2486" s="38"/>
      <c r="AT2486" s="55"/>
      <c r="AU2486" s="38"/>
      <c r="AV2486" s="55"/>
      <c r="AW2486" s="38"/>
      <c r="AX2486" s="55"/>
      <c r="AY2486" s="38"/>
      <c r="AZ2486" s="55"/>
      <c r="BA2486" s="38"/>
      <c r="BB2486" s="55"/>
      <c r="BC2486" s="38"/>
      <c r="BD2486" s="55"/>
      <c r="BE2486" s="38"/>
      <c r="BF2486" s="55"/>
    </row>
    <row r="2487">
      <c r="A2487" s="52"/>
      <c r="D2487" s="351"/>
      <c r="E2487" s="351"/>
      <c r="F2487" s="1949"/>
      <c r="G2487" s="353"/>
      <c r="H2487" s="353"/>
      <c r="I2487" s="55"/>
      <c r="J2487" s="55"/>
      <c r="K2487" s="55"/>
      <c r="L2487" s="961"/>
      <c r="M2487" s="55"/>
      <c r="N2487" s="55"/>
      <c r="O2487" s="27" t="str">
        <f t="shared" si="793"/>
        <v>#N/A</v>
      </c>
      <c r="P2487" s="55"/>
      <c r="Q2487" s="55"/>
      <c r="R2487" s="55"/>
      <c r="S2487" s="55"/>
      <c r="T2487" s="55"/>
      <c r="U2487" s="55"/>
      <c r="V2487" s="30"/>
      <c r="W2487" s="30"/>
      <c r="X2487" s="58"/>
      <c r="Y2487" s="58"/>
      <c r="Z2487" s="692"/>
      <c r="AA2487" s="665"/>
      <c r="AB2487" s="55"/>
      <c r="AC2487" s="55"/>
      <c r="AD2487" s="355"/>
      <c r="AE2487" s="38"/>
      <c r="AF2487" s="355"/>
      <c r="AG2487" s="38"/>
      <c r="AH2487" s="55"/>
      <c r="AI2487" s="38"/>
      <c r="AJ2487" s="55"/>
      <c r="AK2487" s="38"/>
      <c r="AL2487" s="55"/>
      <c r="AM2487" s="38"/>
      <c r="AN2487" s="55"/>
      <c r="AO2487" s="38"/>
      <c r="AP2487" s="356"/>
      <c r="AQ2487" s="38"/>
      <c r="AR2487" s="55"/>
      <c r="AS2487" s="38"/>
      <c r="AT2487" s="55"/>
      <c r="AU2487" s="38"/>
      <c r="AV2487" s="55"/>
      <c r="AW2487" s="38"/>
      <c r="AX2487" s="55"/>
      <c r="AY2487" s="38"/>
      <c r="AZ2487" s="55"/>
      <c r="BA2487" s="38"/>
      <c r="BB2487" s="55"/>
      <c r="BC2487" s="38"/>
      <c r="BD2487" s="55"/>
      <c r="BE2487" s="38"/>
      <c r="BF2487" s="55"/>
    </row>
    <row r="2488">
      <c r="A2488" s="52"/>
      <c r="D2488" s="351"/>
      <c r="E2488" s="351"/>
      <c r="F2488" s="1949"/>
      <c r="G2488" s="353"/>
      <c r="H2488" s="353"/>
      <c r="I2488" s="55"/>
      <c r="J2488" s="55"/>
      <c r="K2488" s="55"/>
      <c r="L2488" s="961"/>
      <c r="M2488" s="55"/>
      <c r="N2488" s="55"/>
      <c r="O2488" s="27" t="str">
        <f t="shared" si="793"/>
        <v>#N/A</v>
      </c>
      <c r="P2488" s="55"/>
      <c r="Q2488" s="55"/>
      <c r="R2488" s="55"/>
      <c r="S2488" s="55"/>
      <c r="T2488" s="55"/>
      <c r="U2488" s="55"/>
      <c r="V2488" s="30"/>
      <c r="W2488" s="30"/>
      <c r="X2488" s="58"/>
      <c r="Y2488" s="58"/>
      <c r="Z2488" s="692"/>
      <c r="AA2488" s="665"/>
      <c r="AB2488" s="55"/>
      <c r="AC2488" s="55"/>
      <c r="AD2488" s="355"/>
      <c r="AE2488" s="38"/>
      <c r="AF2488" s="355"/>
      <c r="AG2488" s="38"/>
      <c r="AH2488" s="55"/>
      <c r="AI2488" s="38"/>
      <c r="AJ2488" s="55"/>
      <c r="AK2488" s="38"/>
      <c r="AL2488" s="55"/>
      <c r="AM2488" s="38"/>
      <c r="AN2488" s="55"/>
      <c r="AO2488" s="38"/>
      <c r="AP2488" s="356"/>
      <c r="AQ2488" s="38"/>
      <c r="AR2488" s="55"/>
      <c r="AS2488" s="38"/>
      <c r="AT2488" s="55"/>
      <c r="AU2488" s="38"/>
      <c r="AV2488" s="55"/>
      <c r="AW2488" s="38"/>
      <c r="AX2488" s="55"/>
      <c r="AY2488" s="38"/>
      <c r="AZ2488" s="55"/>
      <c r="BA2488" s="38"/>
      <c r="BB2488" s="55"/>
      <c r="BC2488" s="38"/>
      <c r="BD2488" s="55"/>
      <c r="BE2488" s="38"/>
      <c r="BF2488" s="55"/>
    </row>
    <row r="2489">
      <c r="A2489" s="52"/>
      <c r="D2489" s="351"/>
      <c r="E2489" s="351"/>
      <c r="F2489" s="1949"/>
      <c r="G2489" s="353"/>
      <c r="H2489" s="353"/>
      <c r="I2489" s="55"/>
      <c r="J2489" s="55"/>
      <c r="K2489" s="55"/>
      <c r="L2489" s="961"/>
      <c r="M2489" s="55"/>
      <c r="N2489" s="55"/>
      <c r="O2489" s="27" t="str">
        <f t="shared" si="793"/>
        <v>#N/A</v>
      </c>
      <c r="P2489" s="55"/>
      <c r="Q2489" s="55"/>
      <c r="R2489" s="55"/>
      <c r="S2489" s="55"/>
      <c r="T2489" s="55"/>
      <c r="U2489" s="55"/>
      <c r="V2489" s="30"/>
      <c r="W2489" s="30"/>
      <c r="X2489" s="58"/>
      <c r="Y2489" s="58"/>
      <c r="Z2489" s="692"/>
      <c r="AA2489" s="665"/>
      <c r="AB2489" s="55"/>
      <c r="AC2489" s="55"/>
      <c r="AD2489" s="355"/>
      <c r="AE2489" s="38"/>
      <c r="AF2489" s="355"/>
      <c r="AG2489" s="38"/>
      <c r="AH2489" s="55"/>
      <c r="AI2489" s="38"/>
      <c r="AJ2489" s="55"/>
      <c r="AK2489" s="38"/>
      <c r="AL2489" s="55"/>
      <c r="AM2489" s="38"/>
      <c r="AN2489" s="55"/>
      <c r="AO2489" s="38"/>
      <c r="AP2489" s="356"/>
      <c r="AQ2489" s="38"/>
      <c r="AR2489" s="55"/>
      <c r="AS2489" s="38"/>
      <c r="AT2489" s="55"/>
      <c r="AU2489" s="38"/>
      <c r="AV2489" s="55"/>
      <c r="AW2489" s="38"/>
      <c r="AX2489" s="55"/>
      <c r="AY2489" s="38"/>
      <c r="AZ2489" s="55"/>
      <c r="BA2489" s="38"/>
      <c r="BB2489" s="55"/>
      <c r="BC2489" s="38"/>
      <c r="BD2489" s="55"/>
      <c r="BE2489" s="38"/>
      <c r="BF2489" s="55"/>
    </row>
    <row r="2490">
      <c r="A2490" s="52"/>
      <c r="D2490" s="351"/>
      <c r="E2490" s="351"/>
      <c r="F2490" s="1949"/>
      <c r="G2490" s="353"/>
      <c r="H2490" s="353"/>
      <c r="I2490" s="55"/>
      <c r="J2490" s="55"/>
      <c r="K2490" s="55"/>
      <c r="L2490" s="961"/>
      <c r="M2490" s="55"/>
      <c r="N2490" s="55"/>
      <c r="O2490" s="27" t="str">
        <f t="shared" si="793"/>
        <v>#N/A</v>
      </c>
      <c r="P2490" s="55"/>
      <c r="Q2490" s="55"/>
      <c r="R2490" s="55"/>
      <c r="S2490" s="55"/>
      <c r="T2490" s="55"/>
      <c r="U2490" s="55"/>
      <c r="V2490" s="30"/>
      <c r="W2490" s="30"/>
      <c r="X2490" s="58"/>
      <c r="Y2490" s="58"/>
      <c r="Z2490" s="692"/>
      <c r="AA2490" s="665"/>
      <c r="AB2490" s="55"/>
      <c r="AC2490" s="55"/>
      <c r="AD2490" s="355"/>
      <c r="AE2490" s="38"/>
      <c r="AF2490" s="355"/>
      <c r="AG2490" s="38"/>
      <c r="AH2490" s="55"/>
      <c r="AI2490" s="38"/>
      <c r="AJ2490" s="55"/>
      <c r="AK2490" s="38"/>
      <c r="AL2490" s="55"/>
      <c r="AM2490" s="38"/>
      <c r="AN2490" s="55"/>
      <c r="AO2490" s="38"/>
      <c r="AP2490" s="356"/>
      <c r="AQ2490" s="38"/>
      <c r="AR2490" s="55"/>
      <c r="AS2490" s="38"/>
      <c r="AT2490" s="55"/>
      <c r="AU2490" s="38"/>
      <c r="AV2490" s="55"/>
      <c r="AW2490" s="38"/>
      <c r="AX2490" s="55"/>
      <c r="AY2490" s="38"/>
      <c r="AZ2490" s="55"/>
      <c r="BA2490" s="38"/>
      <c r="BB2490" s="55"/>
      <c r="BC2490" s="38"/>
      <c r="BD2490" s="55"/>
      <c r="BE2490" s="38"/>
      <c r="BF2490" s="55"/>
    </row>
    <row r="2491">
      <c r="A2491" s="52"/>
      <c r="D2491" s="351"/>
      <c r="E2491" s="351"/>
      <c r="F2491" s="1949"/>
      <c r="G2491" s="353"/>
      <c r="H2491" s="353"/>
      <c r="I2491" s="55"/>
      <c r="J2491" s="55"/>
      <c r="K2491" s="55"/>
      <c r="L2491" s="961"/>
      <c r="M2491" s="55"/>
      <c r="N2491" s="55"/>
      <c r="O2491" s="27" t="str">
        <f t="shared" si="793"/>
        <v>#N/A</v>
      </c>
      <c r="P2491" s="55"/>
      <c r="Q2491" s="55"/>
      <c r="R2491" s="55"/>
      <c r="S2491" s="55"/>
      <c r="T2491" s="55"/>
      <c r="U2491" s="55"/>
      <c r="V2491" s="30"/>
      <c r="W2491" s="30"/>
      <c r="X2491" s="58"/>
      <c r="Y2491" s="58"/>
      <c r="Z2491" s="692"/>
      <c r="AA2491" s="665"/>
      <c r="AB2491" s="55"/>
      <c r="AC2491" s="55"/>
      <c r="AD2491" s="355"/>
      <c r="AE2491" s="38"/>
      <c r="AF2491" s="355"/>
      <c r="AG2491" s="38"/>
      <c r="AH2491" s="55"/>
      <c r="AI2491" s="38"/>
      <c r="AJ2491" s="55"/>
      <c r="AK2491" s="38"/>
      <c r="AL2491" s="55"/>
      <c r="AM2491" s="38"/>
      <c r="AN2491" s="55"/>
      <c r="AO2491" s="38"/>
      <c r="AP2491" s="356"/>
      <c r="AQ2491" s="38"/>
      <c r="AR2491" s="55"/>
      <c r="AS2491" s="38"/>
      <c r="AT2491" s="55"/>
      <c r="AU2491" s="38"/>
      <c r="AV2491" s="55"/>
      <c r="AW2491" s="38"/>
      <c r="AX2491" s="55"/>
      <c r="AY2491" s="38"/>
      <c r="AZ2491" s="55"/>
      <c r="BA2491" s="38"/>
      <c r="BB2491" s="55"/>
      <c r="BC2491" s="38"/>
      <c r="BD2491" s="55"/>
      <c r="BE2491" s="38"/>
      <c r="BF2491" s="55"/>
    </row>
    <row r="2492">
      <c r="A2492" s="52"/>
      <c r="D2492" s="351"/>
      <c r="E2492" s="351"/>
      <c r="F2492" s="1949"/>
      <c r="G2492" s="353"/>
      <c r="H2492" s="353"/>
      <c r="I2492" s="55"/>
      <c r="J2492" s="55"/>
      <c r="K2492" s="55"/>
      <c r="L2492" s="961"/>
      <c r="M2492" s="55"/>
      <c r="N2492" s="55"/>
      <c r="O2492" s="27" t="str">
        <f t="shared" si="793"/>
        <v>#N/A</v>
      </c>
      <c r="P2492" s="55"/>
      <c r="Q2492" s="55"/>
      <c r="R2492" s="55"/>
      <c r="S2492" s="55"/>
      <c r="T2492" s="55"/>
      <c r="U2492" s="55"/>
      <c r="V2492" s="30"/>
      <c r="W2492" s="30"/>
      <c r="X2492" s="58"/>
      <c r="Y2492" s="58"/>
      <c r="Z2492" s="692"/>
      <c r="AA2492" s="665"/>
      <c r="AB2492" s="55"/>
      <c r="AC2492" s="55"/>
      <c r="AD2492" s="355"/>
      <c r="AE2492" s="38"/>
      <c r="AF2492" s="355"/>
      <c r="AG2492" s="38"/>
      <c r="AH2492" s="55"/>
      <c r="AI2492" s="38"/>
      <c r="AJ2492" s="55"/>
      <c r="AK2492" s="38"/>
      <c r="AL2492" s="55"/>
      <c r="AM2492" s="38"/>
      <c r="AN2492" s="55"/>
      <c r="AO2492" s="38"/>
      <c r="AP2492" s="356"/>
      <c r="AQ2492" s="38"/>
      <c r="AR2492" s="55"/>
      <c r="AS2492" s="38"/>
      <c r="AT2492" s="55"/>
      <c r="AU2492" s="38"/>
      <c r="AV2492" s="55"/>
      <c r="AW2492" s="38"/>
      <c r="AX2492" s="55"/>
      <c r="AY2492" s="38"/>
      <c r="AZ2492" s="55"/>
      <c r="BA2492" s="38"/>
      <c r="BB2492" s="55"/>
      <c r="BC2492" s="38"/>
      <c r="BD2492" s="55"/>
      <c r="BE2492" s="38"/>
      <c r="BF2492" s="55"/>
    </row>
    <row r="2493">
      <c r="A2493" s="52"/>
      <c r="D2493" s="351"/>
      <c r="E2493" s="351"/>
      <c r="F2493" s="1949"/>
      <c r="G2493" s="353"/>
      <c r="H2493" s="353"/>
      <c r="I2493" s="55"/>
      <c r="J2493" s="55"/>
      <c r="K2493" s="55"/>
      <c r="L2493" s="961"/>
      <c r="M2493" s="55"/>
      <c r="N2493" s="55"/>
      <c r="O2493" s="27" t="str">
        <f t="shared" si="793"/>
        <v>#N/A</v>
      </c>
      <c r="P2493" s="55"/>
      <c r="Q2493" s="55"/>
      <c r="R2493" s="55"/>
      <c r="S2493" s="55"/>
      <c r="T2493" s="55"/>
      <c r="U2493" s="55"/>
      <c r="V2493" s="30"/>
      <c r="W2493" s="30"/>
      <c r="X2493" s="58"/>
      <c r="Y2493" s="58"/>
      <c r="Z2493" s="692"/>
      <c r="AA2493" s="665"/>
      <c r="AB2493" s="55"/>
      <c r="AC2493" s="55"/>
      <c r="AD2493" s="355"/>
      <c r="AE2493" s="38"/>
      <c r="AF2493" s="355"/>
      <c r="AG2493" s="38"/>
      <c r="AH2493" s="55"/>
      <c r="AI2493" s="38"/>
      <c r="AJ2493" s="55"/>
      <c r="AK2493" s="38"/>
      <c r="AL2493" s="55"/>
      <c r="AM2493" s="38"/>
      <c r="AN2493" s="55"/>
      <c r="AO2493" s="38"/>
      <c r="AP2493" s="356"/>
      <c r="AQ2493" s="38"/>
      <c r="AR2493" s="55"/>
      <c r="AS2493" s="38"/>
      <c r="AT2493" s="55"/>
      <c r="AU2493" s="38"/>
      <c r="AV2493" s="55"/>
      <c r="AW2493" s="38"/>
      <c r="AX2493" s="55"/>
      <c r="AY2493" s="38"/>
      <c r="AZ2493" s="55"/>
      <c r="BA2493" s="38"/>
      <c r="BB2493" s="55"/>
      <c r="BC2493" s="38"/>
      <c r="BD2493" s="55"/>
      <c r="BE2493" s="38"/>
      <c r="BF2493" s="55"/>
    </row>
    <row r="2494">
      <c r="A2494" s="52"/>
      <c r="D2494" s="351"/>
      <c r="E2494" s="351"/>
      <c r="F2494" s="1949"/>
      <c r="G2494" s="353"/>
      <c r="H2494" s="353"/>
      <c r="I2494" s="55"/>
      <c r="J2494" s="55"/>
      <c r="K2494" s="55"/>
      <c r="L2494" s="961"/>
      <c r="M2494" s="55"/>
      <c r="N2494" s="55"/>
      <c r="O2494" s="27" t="str">
        <f t="shared" si="793"/>
        <v>#N/A</v>
      </c>
      <c r="P2494" s="55"/>
      <c r="Q2494" s="55"/>
      <c r="R2494" s="55"/>
      <c r="S2494" s="55"/>
      <c r="T2494" s="55"/>
      <c r="U2494" s="55"/>
      <c r="V2494" s="30"/>
      <c r="W2494" s="30"/>
      <c r="X2494" s="58"/>
      <c r="Y2494" s="58"/>
      <c r="Z2494" s="692"/>
      <c r="AA2494" s="665"/>
      <c r="AB2494" s="55"/>
      <c r="AC2494" s="55"/>
      <c r="AD2494" s="355"/>
      <c r="AE2494" s="38"/>
      <c r="AF2494" s="355"/>
      <c r="AG2494" s="38"/>
      <c r="AH2494" s="55"/>
      <c r="AI2494" s="38"/>
      <c r="AJ2494" s="55"/>
      <c r="AK2494" s="38"/>
      <c r="AL2494" s="55"/>
      <c r="AM2494" s="38"/>
      <c r="AN2494" s="55"/>
      <c r="AO2494" s="38"/>
      <c r="AP2494" s="356"/>
      <c r="AQ2494" s="38"/>
      <c r="AR2494" s="55"/>
      <c r="AS2494" s="38"/>
      <c r="AT2494" s="55"/>
      <c r="AU2494" s="38"/>
      <c r="AV2494" s="55"/>
      <c r="AW2494" s="38"/>
      <c r="AX2494" s="55"/>
      <c r="AY2494" s="38"/>
      <c r="AZ2494" s="55"/>
      <c r="BA2494" s="38"/>
      <c r="BB2494" s="55"/>
      <c r="BC2494" s="38"/>
      <c r="BD2494" s="55"/>
      <c r="BE2494" s="38"/>
      <c r="BF2494" s="55"/>
    </row>
    <row r="2495">
      <c r="A2495" s="52"/>
      <c r="D2495" s="351"/>
      <c r="E2495" s="351"/>
      <c r="F2495" s="1949"/>
      <c r="G2495" s="353"/>
      <c r="H2495" s="353"/>
      <c r="I2495" s="55"/>
      <c r="J2495" s="55"/>
      <c r="K2495" s="55"/>
      <c r="L2495" s="961"/>
      <c r="M2495" s="55"/>
      <c r="N2495" s="55"/>
      <c r="O2495" s="27" t="str">
        <f t="shared" si="793"/>
        <v>#N/A</v>
      </c>
      <c r="P2495" s="55"/>
      <c r="Q2495" s="55"/>
      <c r="R2495" s="55"/>
      <c r="S2495" s="55"/>
      <c r="T2495" s="55"/>
      <c r="U2495" s="55"/>
      <c r="V2495" s="30"/>
      <c r="W2495" s="30"/>
      <c r="X2495" s="58"/>
      <c r="Y2495" s="58"/>
      <c r="Z2495" s="692"/>
      <c r="AA2495" s="665"/>
      <c r="AB2495" s="55"/>
      <c r="AC2495" s="55"/>
      <c r="AD2495" s="355"/>
      <c r="AE2495" s="38"/>
      <c r="AF2495" s="355"/>
      <c r="AG2495" s="38"/>
      <c r="AH2495" s="55"/>
      <c r="AI2495" s="38"/>
      <c r="AJ2495" s="55"/>
      <c r="AK2495" s="38"/>
      <c r="AL2495" s="55"/>
      <c r="AM2495" s="38"/>
      <c r="AN2495" s="55"/>
      <c r="AO2495" s="38"/>
      <c r="AP2495" s="356"/>
      <c r="AQ2495" s="38"/>
      <c r="AR2495" s="55"/>
      <c r="AS2495" s="38"/>
      <c r="AT2495" s="55"/>
      <c r="AU2495" s="38"/>
      <c r="AV2495" s="55"/>
      <c r="AW2495" s="38"/>
      <c r="AX2495" s="55"/>
      <c r="AY2495" s="38"/>
      <c r="AZ2495" s="55"/>
      <c r="BA2495" s="38"/>
      <c r="BB2495" s="55"/>
      <c r="BC2495" s="38"/>
      <c r="BD2495" s="55"/>
      <c r="BE2495" s="38"/>
      <c r="BF2495" s="55"/>
    </row>
    <row r="2496">
      <c r="A2496" s="52"/>
      <c r="D2496" s="351"/>
      <c r="E2496" s="351"/>
      <c r="F2496" s="1949"/>
      <c r="G2496" s="353"/>
      <c r="H2496" s="353"/>
      <c r="I2496" s="55"/>
      <c r="J2496" s="55"/>
      <c r="K2496" s="55"/>
      <c r="L2496" s="961"/>
      <c r="M2496" s="55"/>
      <c r="N2496" s="55"/>
      <c r="O2496" s="27" t="str">
        <f t="shared" si="793"/>
        <v>#N/A</v>
      </c>
      <c r="P2496" s="55"/>
      <c r="Q2496" s="55"/>
      <c r="R2496" s="55"/>
      <c r="S2496" s="55"/>
      <c r="T2496" s="55"/>
      <c r="U2496" s="55"/>
      <c r="V2496" s="30"/>
      <c r="W2496" s="30"/>
      <c r="X2496" s="58"/>
      <c r="Y2496" s="58"/>
      <c r="Z2496" s="692"/>
      <c r="AA2496" s="665"/>
      <c r="AB2496" s="55"/>
      <c r="AC2496" s="55"/>
      <c r="AD2496" s="355"/>
      <c r="AE2496" s="38"/>
      <c r="AF2496" s="355"/>
      <c r="AG2496" s="38"/>
      <c r="AH2496" s="55"/>
      <c r="AI2496" s="38"/>
      <c r="AJ2496" s="55"/>
      <c r="AK2496" s="38"/>
      <c r="AL2496" s="55"/>
      <c r="AM2496" s="38"/>
      <c r="AN2496" s="55"/>
      <c r="AO2496" s="38"/>
      <c r="AP2496" s="356"/>
      <c r="AQ2496" s="38"/>
      <c r="AR2496" s="55"/>
      <c r="AS2496" s="38"/>
      <c r="AT2496" s="55"/>
      <c r="AU2496" s="38"/>
      <c r="AV2496" s="55"/>
      <c r="AW2496" s="38"/>
      <c r="AX2496" s="55"/>
      <c r="AY2496" s="38"/>
      <c r="AZ2496" s="55"/>
      <c r="BA2496" s="38"/>
      <c r="BB2496" s="55"/>
      <c r="BC2496" s="38"/>
      <c r="BD2496" s="55"/>
      <c r="BE2496" s="38"/>
      <c r="BF2496" s="55"/>
    </row>
    <row r="2497">
      <c r="A2497" s="21"/>
      <c r="B2497" s="69"/>
      <c r="C2497" s="69"/>
      <c r="D2497" s="1773"/>
      <c r="E2497" s="1773"/>
      <c r="F2497" s="1951"/>
      <c r="G2497" s="71"/>
      <c r="H2497" s="71"/>
      <c r="I2497" s="26"/>
      <c r="J2497" s="72"/>
      <c r="K2497" s="26"/>
      <c r="L2497" s="26"/>
      <c r="M2497" s="25"/>
      <c r="N2497" s="26"/>
      <c r="O2497" s="27" t="str">
        <f t="shared" si="793"/>
        <v>#N/A</v>
      </c>
      <c r="P2497" s="273"/>
      <c r="Q2497" s="273"/>
      <c r="R2497" s="273"/>
      <c r="S2497" s="273"/>
      <c r="T2497" s="273"/>
      <c r="U2497" s="273"/>
      <c r="V2497" s="30"/>
      <c r="W2497" s="30"/>
      <c r="X2497" s="73"/>
      <c r="Y2497" s="33"/>
      <c r="Z2497" s="692"/>
      <c r="AA2497" s="665"/>
      <c r="AB2497" s="74"/>
      <c r="AC2497" s="74"/>
      <c r="AD2497" s="355"/>
      <c r="AE2497" s="38"/>
      <c r="AF2497" s="355"/>
      <c r="AG2497" s="38"/>
      <c r="AH2497" s="74"/>
      <c r="AI2497" s="38"/>
      <c r="AJ2497" s="79"/>
      <c r="AK2497" s="38"/>
      <c r="AL2497" s="279"/>
      <c r="AM2497" s="38"/>
      <c r="AN2497" s="79"/>
      <c r="AO2497" s="38"/>
      <c r="AP2497" s="79"/>
      <c r="AQ2497" s="38"/>
      <c r="AR2497" s="79"/>
      <c r="AS2497" s="38"/>
      <c r="AT2497" s="79"/>
      <c r="AU2497" s="38"/>
      <c r="AV2497" s="79"/>
      <c r="AW2497" s="38"/>
      <c r="AX2497" s="79"/>
      <c r="AY2497" s="38"/>
      <c r="AZ2497" s="79"/>
      <c r="BA2497" s="38"/>
      <c r="BB2497" s="79"/>
      <c r="BC2497" s="38"/>
      <c r="BD2497" s="79"/>
      <c r="BE2497" s="38"/>
      <c r="BF2497" s="74"/>
      <c r="BG2497" s="68"/>
      <c r="BH2497" s="68"/>
      <c r="BI2497" s="68"/>
      <c r="BJ2497" s="68"/>
      <c r="BK2497" s="68"/>
      <c r="BL2497" s="68"/>
      <c r="BM2497" s="68"/>
      <c r="BN2497" s="68"/>
      <c r="BO2497" s="68"/>
      <c r="BP2497" s="68"/>
      <c r="BQ2497" s="68"/>
      <c r="BR2497" s="68"/>
      <c r="BS2497" s="68"/>
      <c r="BT2497" s="68"/>
      <c r="BU2497" s="68"/>
      <c r="BV2497" s="68"/>
      <c r="BW2497" s="68"/>
      <c r="BX2497" s="68"/>
      <c r="BY2497" s="68"/>
      <c r="BZ2497" s="68"/>
      <c r="CA2497" s="68"/>
      <c r="CB2497" s="68"/>
      <c r="CC2497" s="68"/>
      <c r="CD2497" s="68"/>
      <c r="CE2497" s="68"/>
      <c r="CF2497" s="68"/>
      <c r="CG2497" s="68"/>
      <c r="CH2497" s="68"/>
      <c r="CI2497" s="68"/>
      <c r="CJ2497" s="68"/>
      <c r="CK2497" s="68"/>
      <c r="CL2497" s="68"/>
      <c r="CM2497" s="68"/>
      <c r="CN2497" s="68"/>
      <c r="CO2497" s="68"/>
      <c r="CP2497" s="68"/>
    </row>
  </sheetData>
  <autoFilter ref="$A$1:$BF$2497">
    <sortState ref="A1:BF2497">
      <sortCondition descending="1" ref="Z1:Z2497"/>
      <sortCondition descending="1" ref="V1:V2497"/>
    </sortState>
  </autoFilter>
  <conditionalFormatting sqref="A2:A90 A101:A106 A109:A111 A113 A116:A117 A125 A127 A136:A137 A142:A144 A153 A156 A158 A160 A168:A170 A172:A176 A184:A187 A189 A192:A200 A202 A206:A208 A210 A212 A215 A222:A223 A229:A230 A234 A241:A244 A251:A253 A260:A261 A268:A273 A275 A279:A282 A289:A290 A301 A305:A306 A319 A322:A323 A327:A328 A333 A341:A343 A348:A349 A351 A354:A356 A362 A367:A372 A379:A380 A382:A385 A387:A389 A396:A404 A408 A412:A416 A419:A420 A423:A428 A430 A432:A433 A436:A437 A439:A445 A449 A451:A454 A456:A458 A460:A466 A468:A469 A471:A476 A480:A484 A486:A491 A493:A495 A497 A500 A504:A511 A513:A515 A517:A519 A522:A524 A526:A533 A539 A541:A542 A545:A548 A552:A553 A555:A558 A565:A570 A572:A576 A578:A584 A587:A588 A591:A602 A608 A610:A618 A622:A628 A631 A634:A651 A653:A657 A660:A663 A665:A671 A682:A684 A688:A691 A694:A699 A701:A717 A719:A721 A724:A727 A729:A730 A735:A739 A741:A752 A754:A755 A757:A762 A767:A774 A779:A785 A788 A790 A792:A795 A797:A803 A807:A808 A812:A815 A824 A829 A831 A834:A838 A841:A845 A848:A854 A859:A862 A865:A893 A907:A908 A910:A912 A914:A915 A917:A918 A920 A925:A932 A935 A938:A943 A946:A949 A951:A962 A964:A965 A970:A972 A976:A980 A982:A984 A989 A993:A995 A998 A1007 A1010:A1013 A1016:A1018 A1021:A1024 A1028:A1048 A1052:A1057 A1060:A1063 A1066:A1067 A1069:A1076 A1078:A1082 A1085:A1086 A1095:A1096 A1099:A1100 A1103:A1110 A1112 A1117:A1128 A1130:A1131 A1135:A1136 A1140 A1146:A1149 A1154 A1161:A1162 A1166:A1169 A1172:A1174 A1176:A1177 A1180:A1184 A1186:A1188 A1194:A1197 A1199:A1200 A1204:A1205 A1207:A1212 A1214:A1216 A1218:A1222 A1230:A1231 A1235:A1244 A1248:A1251 A1257 A1271:A1272 A1274:A1282 A1290:A1291 A1294:A1297 A1299:A1302 A1306 A1309 A1311:A1312 A1322 A1327 A1329:A1342 A1352 A1359 A1368:A1373 A1377:A1383 A1385:A1387 A1393:A1396 A1401:A1402 A1405 A1411:A1413 A1417:A1419 A1423:A1424 A1426 A1429:A1432 A1435 A1440:A1443 A1449 A1451 A1455:A1458 A1464:A1465 A1468 A1472:A1473 A1476:A1482 A1487:A1489 A1492 A1494 A1496:A1497 A1500:A1501 A1503 A1505:A1507 A1511 A1515 A1521:A1525 A1529:A1533 A1536:A1539 A1541:A1544 A1547 A1549 A1551 A1553 A1558:A1571 A1575:A1578 A1583 A1586:A1587 A1591:A1595 A1597:A1601 A1606 A1617:A1618 A1620:A1621 A1625:A1627 A1629:A1636 A1638:A1645 A1648:A1649 A1652:A1663 A1667:A1671 A1673:A1701 A1705:A1712 A1714 A1721:A1732 A1734:A1743 A1747 A1751:A1752 A1754:A1762 A1764 A1767:A1774 A1781:A1783 A1785:A2102 AA1795 F1952 AJ2014 A2104:A2497">
    <cfRule type="expression" dxfId="0" priority="1">
      <formula>countif(A:A,A2)&gt;1</formula>
    </cfRule>
  </conditionalFormatting>
  <hyperlinks>
    <hyperlink r:id="rId2" ref="D2"/>
    <hyperlink r:id="rId3" ref="E2"/>
    <hyperlink r:id="rId4" ref="F2"/>
    <hyperlink r:id="rId5" ref="D3"/>
    <hyperlink r:id="rId6" ref="E3"/>
    <hyperlink r:id="rId7" ref="F3"/>
    <hyperlink r:id="rId8" ref="AA3"/>
    <hyperlink r:id="rId9" ref="AF3"/>
    <hyperlink r:id="rId10" ref="AJ3"/>
    <hyperlink r:id="rId11" ref="AL3"/>
    <hyperlink r:id="rId12" ref="AN3"/>
    <hyperlink r:id="rId13" ref="AP3"/>
    <hyperlink r:id="rId14" ref="AR3"/>
    <hyperlink r:id="rId15" ref="AZ3"/>
    <hyperlink r:id="rId16" ref="BB3"/>
    <hyperlink r:id="rId17" ref="D4"/>
    <hyperlink r:id="rId18" ref="E4"/>
    <hyperlink r:id="rId19" ref="F4"/>
    <hyperlink r:id="rId20" ref="AA4"/>
    <hyperlink r:id="rId21" ref="AF4"/>
    <hyperlink r:id="rId22" ref="AJ4"/>
    <hyperlink r:id="rId23" ref="AL4"/>
    <hyperlink r:id="rId24" ref="AN4"/>
    <hyperlink r:id="rId25" ref="AP4"/>
    <hyperlink r:id="rId26" ref="BB4"/>
    <hyperlink r:id="rId27" ref="E5"/>
    <hyperlink r:id="rId28" ref="F5"/>
    <hyperlink r:id="rId29" ref="AZ5"/>
    <hyperlink r:id="rId30" ref="E6"/>
    <hyperlink r:id="rId31" ref="F6"/>
    <hyperlink r:id="rId32" ref="AA6"/>
    <hyperlink r:id="rId33" ref="AL6"/>
    <hyperlink r:id="rId34" ref="AZ6"/>
    <hyperlink r:id="rId35" ref="D7"/>
    <hyperlink r:id="rId36" ref="E7"/>
    <hyperlink r:id="rId37" ref="F7"/>
    <hyperlink r:id="rId38" ref="Z7"/>
    <hyperlink r:id="rId39" ref="AD7"/>
    <hyperlink r:id="rId40" ref="AF7"/>
    <hyperlink r:id="rId41" ref="AJ7"/>
    <hyperlink r:id="rId42" ref="AL7"/>
    <hyperlink r:id="rId43" ref="AP7"/>
    <hyperlink r:id="rId44" ref="BB7"/>
    <hyperlink r:id="rId45" ref="E8"/>
    <hyperlink r:id="rId46" ref="F8"/>
    <hyperlink r:id="rId47" ref="Z8"/>
    <hyperlink r:id="rId48" ref="BB8"/>
    <hyperlink r:id="rId49" ref="D9"/>
    <hyperlink r:id="rId50" ref="E9"/>
    <hyperlink r:id="rId51" ref="F9"/>
    <hyperlink r:id="rId52" ref="AA9"/>
    <hyperlink r:id="rId53" ref="AL9"/>
    <hyperlink r:id="rId54" ref="AZ9"/>
    <hyperlink r:id="rId55" ref="D10"/>
    <hyperlink r:id="rId56" ref="E10"/>
    <hyperlink r:id="rId57" ref="F10"/>
    <hyperlink r:id="rId58" ref="AZ10"/>
    <hyperlink r:id="rId59" ref="D11"/>
    <hyperlink r:id="rId60" ref="E11"/>
    <hyperlink r:id="rId61" ref="F11"/>
    <hyperlink r:id="rId62" ref="AA11"/>
    <hyperlink r:id="rId63" ref="AN11"/>
    <hyperlink r:id="rId64" ref="AZ11"/>
    <hyperlink r:id="rId65" ref="D12"/>
    <hyperlink r:id="rId66" location="section-twitter" ref="E12"/>
    <hyperlink r:id="rId67" ref="F12"/>
    <hyperlink r:id="rId68" ref="AA12"/>
    <hyperlink r:id="rId69" ref="AR12"/>
    <hyperlink r:id="rId70" ref="BB12"/>
    <hyperlink r:id="rId71" ref="D13"/>
    <hyperlink r:id="rId72" ref="E13"/>
    <hyperlink r:id="rId73" ref="F13"/>
    <hyperlink r:id="rId74" ref="AA13"/>
    <hyperlink r:id="rId75" ref="AF13"/>
    <hyperlink r:id="rId76" ref="BB13"/>
    <hyperlink r:id="rId77" ref="D14"/>
    <hyperlink r:id="rId78" ref="E14"/>
    <hyperlink r:id="rId79" ref="F14"/>
    <hyperlink r:id="rId80" ref="AA14"/>
    <hyperlink r:id="rId81" ref="D15"/>
    <hyperlink r:id="rId82" ref="E15"/>
    <hyperlink r:id="rId83" ref="F15"/>
    <hyperlink r:id="rId84" ref="AA15"/>
    <hyperlink r:id="rId85" ref="BB15"/>
    <hyperlink r:id="rId86" ref="A16"/>
    <hyperlink r:id="rId87" ref="D16"/>
    <hyperlink r:id="rId88" ref="E16"/>
    <hyperlink r:id="rId89" ref="F16"/>
    <hyperlink r:id="rId90" ref="AZ16"/>
    <hyperlink r:id="rId91" ref="BB16"/>
    <hyperlink r:id="rId92" ref="D17"/>
    <hyperlink r:id="rId93" ref="E17"/>
    <hyperlink r:id="rId94" ref="F17"/>
    <hyperlink r:id="rId95" ref="Z17"/>
    <hyperlink r:id="rId96" ref="AZ17"/>
    <hyperlink r:id="rId97" ref="D18"/>
    <hyperlink r:id="rId98" ref="E18"/>
    <hyperlink r:id="rId99" ref="F18"/>
    <hyperlink r:id="rId100" ref="AA18"/>
    <hyperlink r:id="rId101" ref="AZ18"/>
    <hyperlink r:id="rId102" ref="BB18"/>
    <hyperlink r:id="rId103" ref="D19"/>
    <hyperlink r:id="rId104" ref="E19"/>
    <hyperlink r:id="rId105" ref="F19"/>
    <hyperlink r:id="rId106" location=":~:text=Built%20Technologies%20Reached%20More%20Than,Unicorn%20Status%20in%202021%20%7C%20Built" ref="AA19"/>
    <hyperlink r:id="rId107" ref="AZ19"/>
    <hyperlink r:id="rId108" ref="E20"/>
    <hyperlink r:id="rId109" ref="F20"/>
    <hyperlink r:id="rId110" ref="AA20"/>
    <hyperlink r:id="rId111" ref="AD20"/>
    <hyperlink r:id="rId112" ref="AF20"/>
    <hyperlink r:id="rId113" ref="AJ20"/>
    <hyperlink r:id="rId114" ref="AZ20"/>
    <hyperlink r:id="rId115" ref="D21"/>
    <hyperlink r:id="rId116" ref="E21"/>
    <hyperlink r:id="rId117" ref="F21"/>
    <hyperlink r:id="rId118" ref="AA21"/>
    <hyperlink r:id="rId119" ref="E22"/>
    <hyperlink r:id="rId120" ref="F22"/>
    <hyperlink r:id="rId121" ref="Z22"/>
    <hyperlink r:id="rId122" ref="AP22"/>
    <hyperlink r:id="rId123" ref="BB22"/>
    <hyperlink r:id="rId124" ref="D23"/>
    <hyperlink r:id="rId125" ref="E23"/>
    <hyperlink r:id="rId126" ref="F23"/>
    <hyperlink r:id="rId127" ref="AA23"/>
    <hyperlink r:id="rId128" ref="AZ23"/>
    <hyperlink r:id="rId129" ref="BB23"/>
    <hyperlink r:id="rId130" ref="E24"/>
    <hyperlink r:id="rId131" ref="F24"/>
    <hyperlink r:id="rId132" ref="Z24"/>
    <hyperlink r:id="rId133" ref="AJ24"/>
    <hyperlink r:id="rId134" ref="AZ24"/>
    <hyperlink r:id="rId135" ref="E25"/>
    <hyperlink r:id="rId136" ref="F25"/>
    <hyperlink r:id="rId137" ref="AA25"/>
    <hyperlink r:id="rId138" ref="AJ25"/>
    <hyperlink r:id="rId139" ref="AL25"/>
    <hyperlink r:id="rId140" ref="E26"/>
    <hyperlink r:id="rId141" ref="F26"/>
    <hyperlink r:id="rId142" ref="AA26"/>
    <hyperlink r:id="rId143" ref="D27"/>
    <hyperlink r:id="rId144" ref="E27"/>
    <hyperlink r:id="rId145" ref="F27"/>
    <hyperlink r:id="rId146" ref="AA27"/>
    <hyperlink r:id="rId147" ref="AZ27"/>
    <hyperlink r:id="rId148" ref="E28"/>
    <hyperlink r:id="rId149" ref="F28"/>
    <hyperlink r:id="rId150" ref="AJ28"/>
    <hyperlink r:id="rId151" ref="AL28"/>
    <hyperlink r:id="rId152" ref="BB28"/>
    <hyperlink r:id="rId153" ref="E29"/>
    <hyperlink r:id="rId154" ref="F29"/>
    <hyperlink r:id="rId155" ref="AA29"/>
    <hyperlink r:id="rId156" ref="E30"/>
    <hyperlink r:id="rId157" ref="F30"/>
    <hyperlink r:id="rId158" ref="AA30"/>
    <hyperlink r:id="rId159" ref="AJ30"/>
    <hyperlink r:id="rId160" ref="AL30"/>
    <hyperlink r:id="rId161" ref="AN30"/>
    <hyperlink r:id="rId162" ref="AZ30"/>
    <hyperlink r:id="rId163" ref="BB30"/>
    <hyperlink r:id="rId164" ref="E31"/>
    <hyperlink r:id="rId165" ref="F31"/>
    <hyperlink r:id="rId166" ref="AA31"/>
    <hyperlink r:id="rId167" ref="AJ31"/>
    <hyperlink r:id="rId168" ref="AL31"/>
    <hyperlink r:id="rId169" ref="AN31"/>
    <hyperlink r:id="rId170" ref="E32"/>
    <hyperlink r:id="rId171" ref="F32"/>
    <hyperlink r:id="rId172" ref="AA32"/>
    <hyperlink r:id="rId173" ref="BB32"/>
    <hyperlink r:id="rId174" ref="E33"/>
    <hyperlink r:id="rId175" ref="F33"/>
    <hyperlink r:id="rId176" location=":~:text=Turntide%20Technologies%20(Turntide)%2C%20a,the%20first%20half%20of%202022." ref="AA33"/>
    <hyperlink r:id="rId177" ref="AL33"/>
    <hyperlink r:id="rId178" ref="AZ33"/>
    <hyperlink r:id="rId179" ref="BB33"/>
    <hyperlink r:id="rId180" ref="D34"/>
    <hyperlink r:id="rId181" ref="E34"/>
    <hyperlink r:id="rId182" ref="F34"/>
    <hyperlink r:id="rId183" ref="AA34"/>
    <hyperlink r:id="rId184" ref="AJ34"/>
    <hyperlink r:id="rId185" ref="AL34"/>
    <hyperlink r:id="rId186" ref="AZ34"/>
    <hyperlink r:id="rId187" ref="BB34"/>
    <hyperlink r:id="rId188" ref="D35"/>
    <hyperlink r:id="rId189" ref="E35"/>
    <hyperlink r:id="rId190" ref="F35"/>
    <hyperlink r:id="rId191" ref="AA35"/>
    <hyperlink r:id="rId192" ref="BB35"/>
    <hyperlink r:id="rId193" ref="D36"/>
    <hyperlink r:id="rId194" ref="E36"/>
    <hyperlink r:id="rId195" ref="F36"/>
    <hyperlink r:id="rId196" ref="AA36"/>
    <hyperlink r:id="rId197" ref="AF36"/>
    <hyperlink r:id="rId198" ref="AH36"/>
    <hyperlink r:id="rId199" ref="AJ36"/>
    <hyperlink r:id="rId200" ref="AL36"/>
    <hyperlink r:id="rId201" ref="AN36"/>
    <hyperlink r:id="rId202" ref="AP36"/>
    <hyperlink r:id="rId203" ref="AR36"/>
    <hyperlink r:id="rId204" ref="BB36"/>
    <hyperlink r:id="rId205" ref="E37"/>
    <hyperlink r:id="rId206" ref="F37"/>
    <hyperlink r:id="rId207" ref="AZ37"/>
    <hyperlink r:id="rId208" ref="D38"/>
    <hyperlink r:id="rId209" location="section-overview" ref="E38"/>
    <hyperlink r:id="rId210" ref="F38"/>
    <hyperlink r:id="rId211" ref="AA38"/>
    <hyperlink r:id="rId212" ref="AN38"/>
    <hyperlink r:id="rId213" ref="AP38"/>
    <hyperlink r:id="rId214" ref="A39"/>
    <hyperlink r:id="rId215" ref="D39"/>
    <hyperlink r:id="rId216" location="section-overview" ref="E39"/>
    <hyperlink r:id="rId217" ref="F39"/>
    <hyperlink r:id="rId218" ref="AA39"/>
    <hyperlink r:id="rId219" ref="AD39"/>
    <hyperlink r:id="rId220" ref="AZ39"/>
    <hyperlink r:id="rId221" ref="D40"/>
    <hyperlink r:id="rId222" ref="E40"/>
    <hyperlink r:id="rId223" ref="F40"/>
    <hyperlink r:id="rId224" ref="AA40"/>
    <hyperlink r:id="rId225" ref="AJ40"/>
    <hyperlink r:id="rId226" ref="AL40"/>
    <hyperlink r:id="rId227" ref="AN40"/>
    <hyperlink r:id="rId228" ref="AP40"/>
    <hyperlink r:id="rId229" ref="E41"/>
    <hyperlink r:id="rId230" ref="F41"/>
    <hyperlink r:id="rId231" ref="AA41"/>
    <hyperlink r:id="rId232" ref="D42"/>
    <hyperlink r:id="rId233" ref="E42"/>
    <hyperlink r:id="rId234" ref="F42"/>
    <hyperlink r:id="rId235" ref="AA42"/>
    <hyperlink r:id="rId236" ref="AP42"/>
    <hyperlink r:id="rId237" ref="BB42"/>
    <hyperlink r:id="rId238" ref="E43"/>
    <hyperlink r:id="rId239" ref="F43"/>
    <hyperlink r:id="rId240" location="xj4y7vzkg" ref="AA43"/>
    <hyperlink r:id="rId241" ref="AZ43"/>
    <hyperlink r:id="rId242" location="section-overview" ref="E44"/>
    <hyperlink r:id="rId243" ref="Z44"/>
    <hyperlink r:id="rId244" ref="AN44"/>
    <hyperlink r:id="rId245" ref="AR44"/>
    <hyperlink r:id="rId246" ref="BB44"/>
    <hyperlink r:id="rId247" ref="E45"/>
    <hyperlink r:id="rId248" ref="F45"/>
    <hyperlink r:id="rId249" ref="AA45"/>
    <hyperlink r:id="rId250" ref="AZ45"/>
    <hyperlink r:id="rId251" ref="D46"/>
    <hyperlink r:id="rId252" ref="E46"/>
    <hyperlink r:id="rId253" ref="F46"/>
    <hyperlink r:id="rId254" ref="AA46"/>
    <hyperlink r:id="rId255" ref="AF46"/>
    <hyperlink r:id="rId256" ref="AJ46"/>
    <hyperlink r:id="rId257" ref="AL46"/>
    <hyperlink r:id="rId258" ref="AP46"/>
    <hyperlink r:id="rId259" ref="AZ46"/>
    <hyperlink r:id="rId260" ref="D47"/>
    <hyperlink r:id="rId261" ref="E47"/>
    <hyperlink r:id="rId262" ref="F47"/>
    <hyperlink r:id="rId263" ref="BB47"/>
    <hyperlink r:id="rId264" ref="E48"/>
    <hyperlink r:id="rId265" ref="F48"/>
    <hyperlink r:id="rId266" location=":~:text=Bucketplace%20last%20raised%20%2470%20million,approximately%20%24890%20million%2C%20as%20reported" ref="AA48"/>
    <hyperlink r:id="rId267" ref="D49"/>
    <hyperlink r:id="rId268" ref="E49"/>
    <hyperlink r:id="rId269" ref="F49"/>
    <hyperlink r:id="rId270" ref="AA49"/>
    <hyperlink r:id="rId271" ref="AF49"/>
    <hyperlink r:id="rId272" ref="AJ49"/>
    <hyperlink r:id="rId273" ref="AL49"/>
    <hyperlink r:id="rId274" ref="AN49"/>
    <hyperlink r:id="rId275" ref="AZ49"/>
    <hyperlink r:id="rId276" ref="BB49"/>
    <hyperlink r:id="rId277" ref="D50"/>
    <hyperlink r:id="rId278" ref="E50"/>
    <hyperlink r:id="rId279" ref="F50"/>
    <hyperlink r:id="rId280" ref="AA50"/>
    <hyperlink r:id="rId281" ref="BB50"/>
    <hyperlink r:id="rId282" ref="D51"/>
    <hyperlink r:id="rId283" ref="E51"/>
    <hyperlink r:id="rId284" ref="F51"/>
    <hyperlink r:id="rId285" ref="AA51"/>
    <hyperlink r:id="rId286" ref="BB51"/>
    <hyperlink r:id="rId287" ref="BC51"/>
    <hyperlink r:id="rId288" ref="E52"/>
    <hyperlink r:id="rId289" ref="F52"/>
    <hyperlink r:id="rId290" ref="AA52"/>
    <hyperlink r:id="rId291" ref="AJ52"/>
    <hyperlink r:id="rId292" ref="BB52"/>
    <hyperlink r:id="rId293" ref="D53"/>
    <hyperlink r:id="rId294" ref="E53"/>
    <hyperlink r:id="rId295" ref="F53"/>
    <hyperlink r:id="rId296" ref="AA53"/>
    <hyperlink r:id="rId297" ref="D54"/>
    <hyperlink r:id="rId298" ref="E54"/>
    <hyperlink r:id="rId299" ref="F54"/>
    <hyperlink r:id="rId300" ref="Z54"/>
    <hyperlink r:id="rId301" ref="AN54"/>
    <hyperlink r:id="rId302" ref="D55"/>
    <hyperlink r:id="rId303" location="section-overview" ref="E55"/>
    <hyperlink r:id="rId304" ref="F55"/>
    <hyperlink r:id="rId305" ref="Z55"/>
    <hyperlink r:id="rId306" ref="D56"/>
    <hyperlink r:id="rId307" ref="E56"/>
    <hyperlink r:id="rId308" ref="F56"/>
    <hyperlink r:id="rId309" ref="Z56"/>
    <hyperlink r:id="rId310" ref="AF56"/>
    <hyperlink r:id="rId311" ref="AJ56"/>
    <hyperlink r:id="rId312" ref="AL56"/>
    <hyperlink r:id="rId313" ref="AN56"/>
    <hyperlink r:id="rId314" ref="AR56"/>
    <hyperlink r:id="rId315" ref="AZ56"/>
    <hyperlink r:id="rId316" ref="D57"/>
    <hyperlink r:id="rId317" location="section-overview" ref="E57"/>
    <hyperlink r:id="rId318" ref="F57"/>
    <hyperlink r:id="rId319" ref="AZ57"/>
    <hyperlink r:id="rId320" ref="D58"/>
    <hyperlink r:id="rId321" location="section-overview" ref="E58"/>
    <hyperlink r:id="rId322" ref="Z58"/>
    <hyperlink r:id="rId323" ref="AF58"/>
    <hyperlink r:id="rId324" ref="AP58"/>
    <hyperlink r:id="rId325" ref="AZ58"/>
    <hyperlink r:id="rId326" ref="D59"/>
    <hyperlink r:id="rId327" location="section-overview" ref="E59"/>
    <hyperlink r:id="rId328" ref="F59"/>
    <hyperlink r:id="rId329" ref="Z59"/>
    <hyperlink r:id="rId330" ref="AZ59"/>
    <hyperlink r:id="rId331" ref="BA59"/>
    <hyperlink r:id="rId332" ref="D60"/>
    <hyperlink r:id="rId333" ref="E60"/>
    <hyperlink r:id="rId334" ref="F60"/>
    <hyperlink r:id="rId335" location=":~:text=%24600%E2%80%94900m%20(Dealroom.co%20estimates%20Nov%202021" ref="AA60"/>
    <hyperlink r:id="rId336" ref="AH60"/>
    <hyperlink r:id="rId337" ref="D61"/>
    <hyperlink r:id="rId338" ref="E61"/>
    <hyperlink r:id="rId339" ref="F61"/>
    <hyperlink r:id="rId340" location="xj4y7vzkg" ref="AA61"/>
    <hyperlink r:id="rId341" ref="AJ61"/>
    <hyperlink r:id="rId342" ref="AL61"/>
    <hyperlink r:id="rId343" ref="BB61"/>
    <hyperlink r:id="rId344" ref="E62"/>
    <hyperlink r:id="rId345" ref="F62"/>
    <hyperlink r:id="rId346" ref="AL62"/>
    <hyperlink r:id="rId347" ref="AZ62"/>
    <hyperlink r:id="rId348" ref="BB62"/>
    <hyperlink r:id="rId349" ref="D63"/>
    <hyperlink r:id="rId350" ref="E63"/>
    <hyperlink r:id="rId351" ref="F63"/>
    <hyperlink r:id="rId352" ref="Z63"/>
    <hyperlink r:id="rId353" ref="AA63"/>
    <hyperlink r:id="rId354" ref="AZ63"/>
    <hyperlink r:id="rId355" ref="BB63"/>
    <hyperlink r:id="rId356" ref="D64"/>
    <hyperlink r:id="rId357" ref="E64"/>
    <hyperlink r:id="rId358" ref="F64"/>
    <hyperlink r:id="rId359" ref="AL64"/>
    <hyperlink r:id="rId360" ref="BB64"/>
    <hyperlink r:id="rId361" ref="D65"/>
    <hyperlink r:id="rId362" ref="E65"/>
    <hyperlink r:id="rId363" ref="F65"/>
    <hyperlink r:id="rId364" ref="AA65"/>
    <hyperlink r:id="rId365" ref="AF65"/>
    <hyperlink r:id="rId366" ref="AJ65"/>
    <hyperlink r:id="rId367" ref="AL65"/>
    <hyperlink r:id="rId368" ref="AN65"/>
    <hyperlink r:id="rId369" ref="AZ65"/>
    <hyperlink r:id="rId370" ref="D66"/>
    <hyperlink r:id="rId371" ref="E66"/>
    <hyperlink r:id="rId372" ref="F66"/>
    <hyperlink r:id="rId373" ref="AA66"/>
    <hyperlink r:id="rId374" ref="AJ66"/>
    <hyperlink r:id="rId375" ref="AL66"/>
    <hyperlink r:id="rId376" ref="AN66"/>
    <hyperlink r:id="rId377" ref="AP66"/>
    <hyperlink r:id="rId378" location="section-overview" ref="E67"/>
    <hyperlink r:id="rId379" ref="AA67"/>
    <hyperlink r:id="rId380" ref="D68"/>
    <hyperlink r:id="rId381" ref="E68"/>
    <hyperlink r:id="rId382" ref="F68"/>
    <hyperlink r:id="rId383" ref="AA68"/>
    <hyperlink r:id="rId384" ref="AF68"/>
    <hyperlink r:id="rId385" ref="AJ68"/>
    <hyperlink r:id="rId386" ref="AL68"/>
    <hyperlink r:id="rId387" ref="AN68"/>
    <hyperlink r:id="rId388" ref="BB68"/>
    <hyperlink r:id="rId389" ref="D69"/>
    <hyperlink r:id="rId390" location="section-overview" ref="E69"/>
    <hyperlink r:id="rId391" ref="F69"/>
    <hyperlink r:id="rId392" ref="AZ69"/>
    <hyperlink r:id="rId393" ref="BB69"/>
    <hyperlink r:id="rId394" ref="E70"/>
    <hyperlink r:id="rId395" ref="F70"/>
    <hyperlink r:id="rId396" ref="D71"/>
    <hyperlink r:id="rId397" ref="E71"/>
    <hyperlink r:id="rId398" ref="F71"/>
    <hyperlink r:id="rId399" ref="AA71"/>
    <hyperlink r:id="rId400" ref="AJ71"/>
    <hyperlink r:id="rId401" ref="AL71"/>
    <hyperlink r:id="rId402" ref="AN71"/>
    <hyperlink r:id="rId403" ref="AP71"/>
    <hyperlink r:id="rId404" ref="AR71"/>
    <hyperlink r:id="rId405" ref="AT71"/>
    <hyperlink r:id="rId406" ref="AZ71"/>
    <hyperlink r:id="rId407" ref="BB71"/>
    <hyperlink r:id="rId408" ref="D72"/>
    <hyperlink r:id="rId409" ref="E72"/>
    <hyperlink r:id="rId410" ref="F72"/>
    <hyperlink r:id="rId411" ref="AA72"/>
    <hyperlink r:id="rId412" ref="AD72"/>
    <hyperlink r:id="rId413" ref="AF72"/>
    <hyperlink r:id="rId414" ref="AJ72"/>
    <hyperlink r:id="rId415" ref="AL72"/>
    <hyperlink r:id="rId416" ref="AN72"/>
    <hyperlink r:id="rId417" ref="AP72"/>
    <hyperlink r:id="rId418" ref="AZ72"/>
    <hyperlink r:id="rId419" ref="BB72"/>
    <hyperlink r:id="rId420" ref="E73"/>
    <hyperlink r:id="rId421" ref="F73"/>
    <hyperlink r:id="rId422" ref="AA73"/>
    <hyperlink r:id="rId423" ref="BB73"/>
    <hyperlink r:id="rId424" ref="D74"/>
    <hyperlink r:id="rId425" ref="E74"/>
    <hyperlink r:id="rId426" ref="F74"/>
    <hyperlink r:id="rId427" ref="AA74"/>
    <hyperlink r:id="rId428" ref="AD74"/>
    <hyperlink r:id="rId429" ref="AF74"/>
    <hyperlink r:id="rId430" ref="AJ74"/>
    <hyperlink r:id="rId431" ref="AN74"/>
    <hyperlink r:id="rId432" ref="AZ74"/>
    <hyperlink r:id="rId433" ref="BB74"/>
    <hyperlink r:id="rId434" ref="E75"/>
    <hyperlink r:id="rId435" ref="F75"/>
    <hyperlink r:id="rId436" ref="AJ75"/>
    <hyperlink r:id="rId437" ref="AZ75"/>
    <hyperlink r:id="rId438" ref="BB75"/>
    <hyperlink r:id="rId439" ref="D76"/>
    <hyperlink r:id="rId440" ref="E76"/>
    <hyperlink r:id="rId441" ref="F76"/>
    <hyperlink r:id="rId442" ref="AA76"/>
    <hyperlink r:id="rId443" ref="D77"/>
    <hyperlink r:id="rId444" location="section-overview" ref="E77"/>
    <hyperlink r:id="rId445" ref="F77"/>
    <hyperlink r:id="rId446" ref="AA77"/>
    <hyperlink r:id="rId447" ref="AD77"/>
    <hyperlink r:id="rId448" ref="AL77"/>
    <hyperlink r:id="rId449" ref="AZ77"/>
    <hyperlink r:id="rId450" ref="BB77"/>
    <hyperlink r:id="rId451" ref="D78"/>
    <hyperlink r:id="rId452" ref="D79"/>
    <hyperlink r:id="rId453" ref="E79"/>
    <hyperlink r:id="rId454" ref="F79"/>
    <hyperlink r:id="rId455" ref="AJ79"/>
    <hyperlink r:id="rId456" ref="AZ79"/>
    <hyperlink r:id="rId457" ref="BB79"/>
    <hyperlink r:id="rId458" ref="D80"/>
    <hyperlink r:id="rId459" ref="E80"/>
    <hyperlink r:id="rId460" ref="F80"/>
    <hyperlink r:id="rId461" ref="AF80"/>
    <hyperlink r:id="rId462" ref="AN80"/>
    <hyperlink r:id="rId463" ref="BB80"/>
    <hyperlink r:id="rId464" ref="D81"/>
    <hyperlink r:id="rId465" ref="E81"/>
    <hyperlink r:id="rId466" ref="F81"/>
    <hyperlink r:id="rId467" ref="AD81"/>
    <hyperlink r:id="rId468" ref="AF81"/>
    <hyperlink r:id="rId469" ref="AJ81"/>
    <hyperlink r:id="rId470" ref="AL81"/>
    <hyperlink r:id="rId471" ref="AZ81"/>
    <hyperlink r:id="rId472" ref="BB81"/>
    <hyperlink r:id="rId473" ref="D82"/>
    <hyperlink r:id="rId474" ref="E82"/>
    <hyperlink r:id="rId475" ref="F82"/>
    <hyperlink r:id="rId476" ref="AF82"/>
    <hyperlink r:id="rId477" ref="AJ82"/>
    <hyperlink r:id="rId478" ref="AL82"/>
    <hyperlink r:id="rId479" ref="AN82"/>
    <hyperlink r:id="rId480" ref="AP82"/>
    <hyperlink r:id="rId481" ref="AZ82"/>
    <hyperlink r:id="rId482" ref="BB82"/>
    <hyperlink r:id="rId483" ref="D83"/>
    <hyperlink r:id="rId484" ref="E83"/>
    <hyperlink r:id="rId485" ref="F83"/>
    <hyperlink r:id="rId486" ref="AR83"/>
    <hyperlink r:id="rId487" ref="BB84"/>
    <hyperlink r:id="rId488" ref="E85"/>
    <hyperlink r:id="rId489" ref="F85"/>
    <hyperlink r:id="rId490" ref="AF85"/>
    <hyperlink r:id="rId491" ref="AJ85"/>
    <hyperlink r:id="rId492" ref="AL85"/>
    <hyperlink r:id="rId493" ref="AN85"/>
    <hyperlink r:id="rId494" ref="AZ85"/>
    <hyperlink r:id="rId495" ref="D86"/>
    <hyperlink r:id="rId496" ref="E86"/>
    <hyperlink r:id="rId497" ref="F86"/>
    <hyperlink r:id="rId498" ref="AJ86"/>
    <hyperlink r:id="rId499" ref="AL86"/>
    <hyperlink r:id="rId500" ref="AN86"/>
    <hyperlink r:id="rId501" ref="AP86"/>
    <hyperlink r:id="rId502" ref="D87"/>
    <hyperlink r:id="rId503" location="section-overview" ref="E87"/>
    <hyperlink r:id="rId504" ref="D88"/>
    <hyperlink r:id="rId505" location="section-overview" ref="E88"/>
    <hyperlink r:id="rId506" ref="F88"/>
    <hyperlink r:id="rId507" ref="BB88"/>
    <hyperlink r:id="rId508" location="section-overview" ref="E89"/>
    <hyperlink r:id="rId509" ref="AL89"/>
    <hyperlink r:id="rId510" location="section-overview" ref="E90"/>
    <hyperlink r:id="rId511" ref="AL90"/>
    <hyperlink r:id="rId512" ref="E91"/>
    <hyperlink r:id="rId513" ref="F91"/>
    <hyperlink r:id="rId514" ref="AZ91"/>
    <hyperlink r:id="rId515" ref="BB91"/>
    <hyperlink r:id="rId516" ref="D92"/>
    <hyperlink r:id="rId517" ref="E92"/>
    <hyperlink r:id="rId518" ref="F92"/>
    <hyperlink r:id="rId519" ref="D93"/>
    <hyperlink r:id="rId520" ref="E93"/>
    <hyperlink r:id="rId521" ref="F93"/>
    <hyperlink r:id="rId522" ref="AF93"/>
    <hyperlink r:id="rId523" ref="AJ93"/>
    <hyperlink r:id="rId524" ref="AL93"/>
    <hyperlink r:id="rId525" ref="AZ93"/>
    <hyperlink r:id="rId526" ref="D94"/>
    <hyperlink r:id="rId527" ref="E94"/>
    <hyperlink r:id="rId528" ref="F94"/>
    <hyperlink r:id="rId529" ref="AD94"/>
    <hyperlink r:id="rId530" ref="AF94"/>
    <hyperlink r:id="rId531" ref="BB94"/>
    <hyperlink r:id="rId532" ref="E95"/>
    <hyperlink r:id="rId533" ref="F95"/>
    <hyperlink r:id="rId534" ref="AZ95"/>
    <hyperlink r:id="rId535" ref="D96"/>
    <hyperlink r:id="rId536" ref="E96"/>
    <hyperlink r:id="rId537" ref="F96"/>
    <hyperlink r:id="rId538" ref="AD96"/>
    <hyperlink r:id="rId539" ref="AF96"/>
    <hyperlink r:id="rId540" ref="AJ96"/>
    <hyperlink r:id="rId541" ref="AL96"/>
    <hyperlink r:id="rId542" ref="BB96"/>
    <hyperlink r:id="rId543" ref="F97"/>
    <hyperlink r:id="rId544" ref="AZ97"/>
    <hyperlink r:id="rId545" ref="D98"/>
    <hyperlink r:id="rId546" ref="E98"/>
    <hyperlink r:id="rId547" ref="F98"/>
    <hyperlink r:id="rId548" ref="AF98"/>
    <hyperlink r:id="rId549" ref="AJ98"/>
    <hyperlink r:id="rId550" ref="BB98"/>
    <hyperlink r:id="rId551" ref="A99"/>
    <hyperlink r:id="rId552" ref="E99"/>
    <hyperlink r:id="rId553" ref="F99"/>
    <hyperlink r:id="rId554" ref="AL99"/>
    <hyperlink r:id="rId555" ref="D100"/>
    <hyperlink r:id="rId556" ref="E100"/>
    <hyperlink r:id="rId557" ref="F100"/>
    <hyperlink r:id="rId558" ref="D101"/>
    <hyperlink r:id="rId559" ref="E101"/>
    <hyperlink r:id="rId560" ref="F101"/>
    <hyperlink r:id="rId561" ref="AJ101"/>
    <hyperlink r:id="rId562" ref="AL101"/>
    <hyperlink r:id="rId563" ref="BB101"/>
    <hyperlink r:id="rId564" ref="E102"/>
    <hyperlink r:id="rId565" ref="F102"/>
    <hyperlink r:id="rId566" ref="AJ102"/>
    <hyperlink r:id="rId567" ref="AL102"/>
    <hyperlink r:id="rId568" ref="AN102"/>
    <hyperlink r:id="rId569" ref="D103"/>
    <hyperlink r:id="rId570" ref="E103"/>
    <hyperlink r:id="rId571" ref="F103"/>
    <hyperlink r:id="rId572" ref="AF103"/>
    <hyperlink r:id="rId573" ref="AJ103"/>
    <hyperlink r:id="rId574" ref="AL103"/>
    <hyperlink r:id="rId575" ref="AN103"/>
    <hyperlink r:id="rId576" ref="BB103"/>
    <hyperlink r:id="rId577" ref="E104"/>
    <hyperlink r:id="rId578" ref="F104"/>
    <hyperlink r:id="rId579" ref="AF104"/>
    <hyperlink r:id="rId580" ref="AJ104"/>
    <hyperlink r:id="rId581" ref="AL104"/>
    <hyperlink r:id="rId582" ref="AN104"/>
    <hyperlink r:id="rId583" ref="AP104"/>
    <hyperlink r:id="rId584" ref="E105"/>
    <hyperlink r:id="rId585" ref="F105"/>
    <hyperlink r:id="rId586" ref="AF105"/>
    <hyperlink r:id="rId587" ref="AJ105"/>
    <hyperlink r:id="rId588" ref="AL105"/>
    <hyperlink r:id="rId589" ref="AN105"/>
    <hyperlink r:id="rId590" ref="E106"/>
    <hyperlink r:id="rId591" ref="F106"/>
    <hyperlink r:id="rId592" ref="D107"/>
    <hyperlink r:id="rId593" ref="E107"/>
    <hyperlink r:id="rId594" ref="F107"/>
    <hyperlink r:id="rId595" ref="AF107"/>
    <hyperlink r:id="rId596" ref="AL107"/>
    <hyperlink r:id="rId597" ref="AN107"/>
    <hyperlink r:id="rId598" ref="AP107"/>
    <hyperlink r:id="rId599" ref="AZ107"/>
    <hyperlink r:id="rId600" ref="D108"/>
    <hyperlink r:id="rId601" ref="E108"/>
    <hyperlink r:id="rId602" ref="F108"/>
    <hyperlink r:id="rId603" ref="AF108"/>
    <hyperlink r:id="rId604" ref="AJ108"/>
    <hyperlink r:id="rId605" ref="AN108"/>
    <hyperlink r:id="rId606" ref="AP108"/>
    <hyperlink r:id="rId607" ref="AR108"/>
    <hyperlink r:id="rId608" ref="D109"/>
    <hyperlink r:id="rId609" ref="E109"/>
    <hyperlink r:id="rId610" ref="F109"/>
    <hyperlink r:id="rId611" ref="AZ109"/>
    <hyperlink r:id="rId612" ref="D110"/>
    <hyperlink r:id="rId613" ref="E110"/>
    <hyperlink r:id="rId614" ref="F110"/>
    <hyperlink r:id="rId615" ref="AF110"/>
    <hyperlink r:id="rId616" ref="AJ110"/>
    <hyperlink r:id="rId617" ref="AL110"/>
    <hyperlink r:id="rId618" ref="AN110"/>
    <hyperlink r:id="rId619" ref="E111"/>
    <hyperlink r:id="rId620" ref="F111"/>
    <hyperlink r:id="rId621" ref="AF111"/>
    <hyperlink r:id="rId622" ref="AJ111"/>
    <hyperlink r:id="rId623" ref="AL111"/>
    <hyperlink r:id="rId624" ref="AN111"/>
    <hyperlink r:id="rId625" ref="E112"/>
    <hyperlink r:id="rId626" ref="F112"/>
    <hyperlink r:id="rId627" ref="E113"/>
    <hyperlink r:id="rId628" ref="E114"/>
    <hyperlink r:id="rId629" ref="F114"/>
    <hyperlink r:id="rId630" ref="BB114"/>
    <hyperlink r:id="rId631" ref="D115"/>
    <hyperlink r:id="rId632" ref="E115"/>
    <hyperlink r:id="rId633" ref="F115"/>
    <hyperlink r:id="rId634" ref="D116"/>
    <hyperlink r:id="rId635" ref="E116"/>
    <hyperlink r:id="rId636" ref="F116"/>
    <hyperlink r:id="rId637" ref="AN116"/>
    <hyperlink r:id="rId638" ref="D117"/>
    <hyperlink r:id="rId639" ref="E117"/>
    <hyperlink r:id="rId640" ref="F117"/>
    <hyperlink r:id="rId641" ref="D118"/>
    <hyperlink r:id="rId642" ref="E118"/>
    <hyperlink r:id="rId643" ref="F118"/>
    <hyperlink r:id="rId644" ref="D119"/>
    <hyperlink r:id="rId645" ref="E119"/>
    <hyperlink r:id="rId646" ref="F119"/>
    <hyperlink r:id="rId647" ref="E120"/>
    <hyperlink r:id="rId648" ref="F120"/>
    <hyperlink r:id="rId649" ref="AL120"/>
    <hyperlink r:id="rId650" ref="AZ120"/>
    <hyperlink r:id="rId651" ref="D121"/>
    <hyperlink r:id="rId652" location="section-overview" ref="E121"/>
    <hyperlink r:id="rId653" ref="D122"/>
    <hyperlink r:id="rId654" ref="E122"/>
    <hyperlink r:id="rId655" ref="F122"/>
    <hyperlink r:id="rId656" ref="D123"/>
    <hyperlink r:id="rId657" ref="E123"/>
    <hyperlink r:id="rId658" ref="F123"/>
    <hyperlink r:id="rId659" ref="D124"/>
    <hyperlink r:id="rId660" ref="E124"/>
    <hyperlink r:id="rId661" ref="F124"/>
    <hyperlink r:id="rId662" ref="E125"/>
    <hyperlink r:id="rId663" ref="F125"/>
    <hyperlink r:id="rId664" ref="AZ125"/>
    <hyperlink r:id="rId665" ref="BB125"/>
    <hyperlink r:id="rId666" ref="D126"/>
    <hyperlink r:id="rId667" ref="E126"/>
    <hyperlink r:id="rId668" ref="F126"/>
    <hyperlink r:id="rId669" ref="E127"/>
    <hyperlink r:id="rId670" ref="F127"/>
    <hyperlink r:id="rId671" ref="E128"/>
    <hyperlink r:id="rId672" ref="F128"/>
    <hyperlink r:id="rId673" ref="AZ128"/>
    <hyperlink r:id="rId674" ref="BB128"/>
    <hyperlink r:id="rId675" ref="AP129"/>
    <hyperlink r:id="rId676" ref="D130"/>
    <hyperlink r:id="rId677" ref="E130"/>
    <hyperlink r:id="rId678" ref="F130"/>
    <hyperlink r:id="rId679" ref="AF130"/>
    <hyperlink r:id="rId680" ref="AZ130"/>
    <hyperlink r:id="rId681" ref="D131"/>
    <hyperlink r:id="rId682" ref="E131"/>
    <hyperlink r:id="rId683" ref="F131"/>
    <hyperlink r:id="rId684" ref="E132"/>
    <hyperlink r:id="rId685" ref="F132"/>
    <hyperlink r:id="rId686" ref="D134"/>
    <hyperlink r:id="rId687" ref="E134"/>
    <hyperlink r:id="rId688" ref="F134"/>
    <hyperlink r:id="rId689" ref="AF134"/>
    <hyperlink r:id="rId690" ref="AJ134"/>
    <hyperlink r:id="rId691" ref="AL134"/>
    <hyperlink r:id="rId692" ref="AN134"/>
    <hyperlink r:id="rId693" ref="AP134"/>
    <hyperlink r:id="rId694" ref="AR134"/>
    <hyperlink r:id="rId695" ref="D135"/>
    <hyperlink r:id="rId696" ref="E135"/>
    <hyperlink r:id="rId697" ref="F135"/>
    <hyperlink r:id="rId698" ref="D137"/>
    <hyperlink r:id="rId699" ref="E137"/>
    <hyperlink r:id="rId700" ref="F137"/>
    <hyperlink r:id="rId701" location="section-overview" ref="E138"/>
    <hyperlink r:id="rId702" ref="AF138"/>
    <hyperlink r:id="rId703" ref="AZ138"/>
    <hyperlink r:id="rId704" ref="E139"/>
    <hyperlink r:id="rId705" ref="F139"/>
    <hyperlink r:id="rId706" ref="D140"/>
    <hyperlink r:id="rId707" ref="E140"/>
    <hyperlink r:id="rId708" ref="F140"/>
    <hyperlink r:id="rId709" ref="AD140"/>
    <hyperlink r:id="rId710" ref="AF140"/>
    <hyperlink r:id="rId711" ref="AJ140"/>
    <hyperlink r:id="rId712" ref="AL140"/>
    <hyperlink r:id="rId713" ref="D141"/>
    <hyperlink r:id="rId714" ref="E141"/>
    <hyperlink r:id="rId715" ref="F141"/>
    <hyperlink r:id="rId716" ref="D142"/>
    <hyperlink r:id="rId717" ref="E142"/>
    <hyperlink r:id="rId718" ref="F142"/>
    <hyperlink r:id="rId719" ref="E143"/>
    <hyperlink r:id="rId720" ref="F143"/>
    <hyperlink r:id="rId721" ref="D144"/>
    <hyperlink r:id="rId722" ref="E144"/>
    <hyperlink r:id="rId723" ref="F144"/>
    <hyperlink r:id="rId724" ref="AF144"/>
    <hyperlink r:id="rId725" ref="AJ144"/>
    <hyperlink r:id="rId726" ref="AL144"/>
    <hyperlink r:id="rId727" ref="AN144"/>
    <hyperlink r:id="rId728" ref="AZ144"/>
    <hyperlink r:id="rId729" ref="BB144"/>
    <hyperlink r:id="rId730" ref="D146"/>
    <hyperlink r:id="rId731" ref="E146"/>
    <hyperlink r:id="rId732" ref="F146"/>
    <hyperlink r:id="rId733" ref="AP146"/>
    <hyperlink r:id="rId734" ref="AZ146"/>
    <hyperlink r:id="rId735" ref="E147"/>
    <hyperlink r:id="rId736" ref="F147"/>
    <hyperlink r:id="rId737" ref="AF147"/>
    <hyperlink r:id="rId738" ref="AJ147"/>
    <hyperlink r:id="rId739" ref="AL147"/>
    <hyperlink r:id="rId740" ref="AN147"/>
    <hyperlink r:id="rId741" ref="AP147"/>
    <hyperlink r:id="rId742" ref="AR147"/>
    <hyperlink r:id="rId743" ref="AZ147"/>
    <hyperlink r:id="rId744" ref="D148"/>
    <hyperlink r:id="rId745" ref="E148"/>
    <hyperlink r:id="rId746" ref="F148"/>
    <hyperlink r:id="rId747" ref="E149"/>
    <hyperlink r:id="rId748" ref="F149"/>
    <hyperlink r:id="rId749" ref="D150"/>
    <hyperlink r:id="rId750" ref="E150"/>
    <hyperlink r:id="rId751" ref="F150"/>
    <hyperlink r:id="rId752" ref="AL150"/>
    <hyperlink r:id="rId753" ref="E151"/>
    <hyperlink r:id="rId754" ref="F151"/>
    <hyperlink r:id="rId755" ref="D152"/>
    <hyperlink r:id="rId756" ref="E152"/>
    <hyperlink r:id="rId757" ref="F152"/>
    <hyperlink r:id="rId758" ref="D153"/>
    <hyperlink r:id="rId759" ref="E153"/>
    <hyperlink r:id="rId760" ref="F153"/>
    <hyperlink r:id="rId761" ref="D154"/>
    <hyperlink r:id="rId762" ref="E154"/>
    <hyperlink r:id="rId763" ref="F154"/>
    <hyperlink r:id="rId764" ref="F155"/>
    <hyperlink r:id="rId765" ref="E156"/>
    <hyperlink r:id="rId766" ref="F156"/>
    <hyperlink r:id="rId767" ref="E157"/>
    <hyperlink r:id="rId768" ref="F157"/>
    <hyperlink r:id="rId769" ref="AJ157"/>
    <hyperlink r:id="rId770" ref="AL157"/>
    <hyperlink r:id="rId771" ref="AN157"/>
    <hyperlink r:id="rId772" ref="AP157"/>
    <hyperlink r:id="rId773" ref="D158"/>
    <hyperlink r:id="rId774" ref="E158"/>
    <hyperlink r:id="rId775" ref="F158"/>
    <hyperlink r:id="rId776" ref="AJ158"/>
    <hyperlink r:id="rId777" ref="AL158"/>
    <hyperlink r:id="rId778" ref="E159"/>
    <hyperlink r:id="rId779" ref="F159"/>
    <hyperlink r:id="rId780" ref="AZ159"/>
    <hyperlink r:id="rId781" ref="D160"/>
    <hyperlink r:id="rId782" ref="E160"/>
    <hyperlink r:id="rId783" ref="F160"/>
    <hyperlink r:id="rId784" ref="AF160"/>
    <hyperlink r:id="rId785" ref="AJ160"/>
    <hyperlink r:id="rId786" ref="AL160"/>
    <hyperlink r:id="rId787" ref="AN160"/>
    <hyperlink r:id="rId788" ref="D161"/>
    <hyperlink r:id="rId789" ref="E161"/>
    <hyperlink r:id="rId790" ref="F161"/>
    <hyperlink r:id="rId791" location="section-overview" ref="E162"/>
    <hyperlink r:id="rId792" ref="A163"/>
    <hyperlink r:id="rId793" ref="D163"/>
    <hyperlink r:id="rId794" ref="E163"/>
    <hyperlink r:id="rId795" ref="F163"/>
    <hyperlink r:id="rId796" ref="D164"/>
    <hyperlink r:id="rId797" ref="E164"/>
    <hyperlink r:id="rId798" ref="F164"/>
    <hyperlink r:id="rId799" ref="AD164"/>
    <hyperlink r:id="rId800" ref="AJ164"/>
    <hyperlink r:id="rId801" ref="AL164"/>
    <hyperlink r:id="rId802" ref="AZ164"/>
    <hyperlink r:id="rId803" ref="D165"/>
    <hyperlink r:id="rId804" location="section-overview" ref="E165"/>
    <hyperlink r:id="rId805" ref="F165"/>
    <hyperlink r:id="rId806" ref="D166"/>
    <hyperlink r:id="rId807" ref="E166"/>
    <hyperlink r:id="rId808" ref="F166"/>
    <hyperlink r:id="rId809" ref="D168"/>
    <hyperlink r:id="rId810" ref="E168"/>
    <hyperlink r:id="rId811" ref="F168"/>
    <hyperlink r:id="rId812" ref="D169"/>
    <hyperlink r:id="rId813" ref="E169"/>
    <hyperlink r:id="rId814" ref="F169"/>
    <hyperlink r:id="rId815" ref="AJ169"/>
    <hyperlink r:id="rId816" ref="AL169"/>
    <hyperlink r:id="rId817" ref="AN169"/>
    <hyperlink r:id="rId818" ref="D170"/>
    <hyperlink r:id="rId819" ref="E170"/>
    <hyperlink r:id="rId820" ref="F170"/>
    <hyperlink r:id="rId821" ref="AF170"/>
    <hyperlink r:id="rId822" ref="AJ170"/>
    <hyperlink r:id="rId823" ref="AN170"/>
    <hyperlink r:id="rId824" ref="A171"/>
    <hyperlink r:id="rId825" ref="D171"/>
    <hyperlink r:id="rId826" ref="E171"/>
    <hyperlink r:id="rId827" ref="F171"/>
    <hyperlink r:id="rId828" ref="AF171"/>
    <hyperlink r:id="rId829" ref="AJ171"/>
    <hyperlink r:id="rId830" ref="AL171"/>
    <hyperlink r:id="rId831" ref="AN171"/>
    <hyperlink r:id="rId832" ref="D172"/>
    <hyperlink r:id="rId833" ref="E172"/>
    <hyperlink r:id="rId834" ref="F172"/>
    <hyperlink r:id="rId835" ref="D173"/>
    <hyperlink r:id="rId836" ref="E173"/>
    <hyperlink r:id="rId837" ref="F173"/>
    <hyperlink r:id="rId838" ref="AN173"/>
    <hyperlink r:id="rId839" ref="BB173"/>
    <hyperlink r:id="rId840" location="section-overview" ref="E175"/>
    <hyperlink r:id="rId841" ref="D176"/>
    <hyperlink r:id="rId842" ref="E176"/>
    <hyperlink r:id="rId843" ref="F176"/>
    <hyperlink r:id="rId844" ref="D177"/>
    <hyperlink r:id="rId845" ref="E177"/>
    <hyperlink r:id="rId846" ref="F177"/>
    <hyperlink r:id="rId847" ref="D179"/>
    <hyperlink r:id="rId848" ref="E179"/>
    <hyperlink r:id="rId849" ref="F179"/>
    <hyperlink r:id="rId850" ref="D180"/>
    <hyperlink r:id="rId851" ref="E180"/>
    <hyperlink r:id="rId852" ref="F180"/>
    <hyperlink r:id="rId853" ref="AJ180"/>
    <hyperlink r:id="rId854" ref="AL180"/>
    <hyperlink r:id="rId855" ref="BB180"/>
    <hyperlink r:id="rId856" ref="D181"/>
    <hyperlink r:id="rId857" location="section-overview" ref="E181"/>
    <hyperlink r:id="rId858" ref="F181"/>
    <hyperlink r:id="rId859" ref="D182"/>
    <hyperlink r:id="rId860" ref="E182"/>
    <hyperlink r:id="rId861" ref="F182"/>
    <hyperlink r:id="rId862" ref="E183"/>
    <hyperlink r:id="rId863" ref="F183"/>
    <hyperlink r:id="rId864" ref="D184"/>
    <hyperlink r:id="rId865" ref="E184"/>
    <hyperlink r:id="rId866" ref="F184"/>
    <hyperlink r:id="rId867" ref="AF184"/>
    <hyperlink r:id="rId868" ref="AJ184"/>
    <hyperlink r:id="rId869" ref="AZ184"/>
    <hyperlink r:id="rId870" ref="D185"/>
    <hyperlink r:id="rId871" ref="E185"/>
    <hyperlink r:id="rId872" ref="F185"/>
    <hyperlink r:id="rId873" ref="AF185"/>
    <hyperlink r:id="rId874" ref="AJ185"/>
    <hyperlink r:id="rId875" ref="AL185"/>
    <hyperlink r:id="rId876" ref="AN185"/>
    <hyperlink r:id="rId877" ref="D186"/>
    <hyperlink r:id="rId878" ref="E186"/>
    <hyperlink r:id="rId879" ref="F186"/>
    <hyperlink r:id="rId880" ref="D187"/>
    <hyperlink r:id="rId881" ref="E187"/>
    <hyperlink r:id="rId882" ref="F187"/>
    <hyperlink r:id="rId883" ref="D188"/>
    <hyperlink r:id="rId884" ref="E188"/>
    <hyperlink r:id="rId885" ref="F188"/>
    <hyperlink r:id="rId886" ref="AF188"/>
    <hyperlink r:id="rId887" ref="AJ188"/>
    <hyperlink r:id="rId888" ref="AL188"/>
    <hyperlink r:id="rId889" ref="E189"/>
    <hyperlink r:id="rId890" ref="F189"/>
    <hyperlink r:id="rId891" ref="AZ189"/>
    <hyperlink r:id="rId892" ref="D190"/>
    <hyperlink r:id="rId893" location="section-overview" ref="E190"/>
    <hyperlink r:id="rId894" ref="F190"/>
    <hyperlink r:id="rId895" ref="E191"/>
    <hyperlink r:id="rId896" ref="F191"/>
    <hyperlink r:id="rId897" ref="E192"/>
    <hyperlink r:id="rId898" ref="F192"/>
    <hyperlink r:id="rId899" ref="E193"/>
    <hyperlink r:id="rId900" ref="F193"/>
    <hyperlink r:id="rId901" ref="AL193"/>
    <hyperlink r:id="rId902" ref="D194"/>
    <hyperlink r:id="rId903" ref="E194"/>
    <hyperlink r:id="rId904" ref="F194"/>
    <hyperlink r:id="rId905" ref="AF194"/>
    <hyperlink r:id="rId906" ref="AJ194"/>
    <hyperlink r:id="rId907" ref="AZ194"/>
    <hyperlink r:id="rId908" ref="D195"/>
    <hyperlink r:id="rId909" ref="E195"/>
    <hyperlink r:id="rId910" ref="F195"/>
    <hyperlink r:id="rId911" ref="D196"/>
    <hyperlink r:id="rId912" ref="E196"/>
    <hyperlink r:id="rId913" ref="F196"/>
    <hyperlink r:id="rId914" ref="D197"/>
    <hyperlink r:id="rId915" ref="E197"/>
    <hyperlink r:id="rId916" ref="AP197"/>
    <hyperlink r:id="rId917" ref="D198"/>
    <hyperlink r:id="rId918" ref="E198"/>
    <hyperlink r:id="rId919" ref="F198"/>
    <hyperlink r:id="rId920" ref="D199"/>
    <hyperlink r:id="rId921" ref="E199"/>
    <hyperlink r:id="rId922" ref="F199"/>
    <hyperlink r:id="rId923" ref="D200"/>
    <hyperlink r:id="rId924" location="section-overview" ref="E200"/>
    <hyperlink r:id="rId925" ref="F200"/>
    <hyperlink r:id="rId926" ref="E201"/>
    <hyperlink r:id="rId927" ref="F201"/>
    <hyperlink r:id="rId928" ref="E202"/>
    <hyperlink r:id="rId929" ref="F202"/>
    <hyperlink r:id="rId930" ref="D203"/>
    <hyperlink r:id="rId931" ref="E203"/>
    <hyperlink r:id="rId932" ref="F203"/>
    <hyperlink r:id="rId933" ref="D204"/>
    <hyperlink r:id="rId934" ref="E204"/>
    <hyperlink r:id="rId935" ref="F204"/>
    <hyperlink r:id="rId936" ref="AF204"/>
    <hyperlink r:id="rId937" ref="AJ204"/>
    <hyperlink r:id="rId938" ref="AL204"/>
    <hyperlink r:id="rId939" ref="D205"/>
    <hyperlink r:id="rId940" ref="E205"/>
    <hyperlink r:id="rId941" ref="F205"/>
    <hyperlink r:id="rId942" ref="D206"/>
    <hyperlink r:id="rId943" ref="E206"/>
    <hyperlink r:id="rId944" ref="F206"/>
    <hyperlink r:id="rId945" ref="AL206"/>
    <hyperlink r:id="rId946" ref="AL207"/>
    <hyperlink r:id="rId947" ref="D208"/>
    <hyperlink r:id="rId948" location="section-funding-rounds" ref="E208"/>
    <hyperlink r:id="rId949" ref="F208"/>
    <hyperlink r:id="rId950" ref="D209"/>
    <hyperlink r:id="rId951" ref="E209"/>
    <hyperlink r:id="rId952" ref="F209"/>
    <hyperlink r:id="rId953" ref="AF209"/>
    <hyperlink r:id="rId954" ref="AJ209"/>
    <hyperlink r:id="rId955" ref="AL209"/>
    <hyperlink r:id="rId956" ref="AN209"/>
    <hyperlink r:id="rId957" ref="D210"/>
    <hyperlink r:id="rId958" ref="E210"/>
    <hyperlink r:id="rId959" ref="F210"/>
    <hyperlink r:id="rId960" ref="AD210"/>
    <hyperlink r:id="rId961" ref="AF210"/>
    <hyperlink r:id="rId962" ref="AJ210"/>
    <hyperlink r:id="rId963" ref="AL210"/>
    <hyperlink r:id="rId964" ref="D211"/>
    <hyperlink r:id="rId965" ref="E211"/>
    <hyperlink r:id="rId966" ref="F211"/>
    <hyperlink r:id="rId967" ref="AF211"/>
    <hyperlink r:id="rId968" ref="AJ211"/>
    <hyperlink r:id="rId969" ref="E212"/>
    <hyperlink r:id="rId970" ref="F212"/>
    <hyperlink r:id="rId971" ref="AL212"/>
    <hyperlink r:id="rId972" ref="BB212"/>
    <hyperlink r:id="rId973" ref="D213"/>
    <hyperlink r:id="rId974" location="section-overview" ref="E213"/>
    <hyperlink r:id="rId975" ref="F213"/>
    <hyperlink r:id="rId976" ref="D214"/>
    <hyperlink r:id="rId977" location="section-overview" ref="E214"/>
    <hyperlink r:id="rId978" ref="F214"/>
    <hyperlink r:id="rId979" ref="E215"/>
    <hyperlink r:id="rId980" ref="F215"/>
    <hyperlink r:id="rId981" ref="D216"/>
    <hyperlink r:id="rId982" ref="E216"/>
    <hyperlink r:id="rId983" ref="F216"/>
    <hyperlink r:id="rId984" ref="AF216"/>
    <hyperlink r:id="rId985" ref="E217"/>
    <hyperlink r:id="rId986" ref="F217"/>
    <hyperlink r:id="rId987" ref="D218"/>
    <hyperlink r:id="rId988" ref="E218"/>
    <hyperlink r:id="rId989" ref="F218"/>
    <hyperlink r:id="rId990" ref="E219"/>
    <hyperlink r:id="rId991" ref="D220"/>
    <hyperlink r:id="rId992" ref="E220"/>
    <hyperlink r:id="rId993" ref="F220"/>
    <hyperlink r:id="rId994" ref="AN220"/>
    <hyperlink r:id="rId995" ref="D221"/>
    <hyperlink r:id="rId996" ref="E221"/>
    <hyperlink r:id="rId997" ref="F221"/>
    <hyperlink r:id="rId998" ref="E222"/>
    <hyperlink r:id="rId999" ref="F222"/>
    <hyperlink r:id="rId1000" ref="AJ222"/>
    <hyperlink r:id="rId1001" ref="E223"/>
    <hyperlink r:id="rId1002" ref="F223"/>
    <hyperlink r:id="rId1003" ref="D224"/>
    <hyperlink r:id="rId1004" ref="E224"/>
    <hyperlink r:id="rId1005" ref="F224"/>
    <hyperlink r:id="rId1006" ref="D225"/>
    <hyperlink r:id="rId1007" location="section-overview" ref="E225"/>
    <hyperlink r:id="rId1008" ref="F225"/>
    <hyperlink r:id="rId1009" ref="D226"/>
    <hyperlink r:id="rId1010" location="section-overview" ref="E226"/>
    <hyperlink r:id="rId1011" ref="F226"/>
    <hyperlink r:id="rId1012" ref="E227"/>
    <hyperlink r:id="rId1013" ref="F227"/>
    <hyperlink r:id="rId1014" ref="AF227"/>
    <hyperlink r:id="rId1015" ref="AJ227"/>
    <hyperlink r:id="rId1016" ref="AZ227"/>
    <hyperlink r:id="rId1017" ref="BB227"/>
    <hyperlink r:id="rId1018" ref="E228"/>
    <hyperlink r:id="rId1019" ref="F228"/>
    <hyperlink r:id="rId1020" ref="D229"/>
    <hyperlink r:id="rId1021" ref="E229"/>
    <hyperlink r:id="rId1022" ref="F229"/>
    <hyperlink r:id="rId1023" ref="AF229"/>
    <hyperlink r:id="rId1024" ref="AJ229"/>
    <hyperlink r:id="rId1025" ref="AL229"/>
    <hyperlink r:id="rId1026" ref="AN229"/>
    <hyperlink r:id="rId1027" ref="E230"/>
    <hyperlink r:id="rId1028" ref="F230"/>
    <hyperlink r:id="rId1029" ref="D231"/>
    <hyperlink r:id="rId1030" ref="E231"/>
    <hyperlink r:id="rId1031" ref="F231"/>
    <hyperlink r:id="rId1032" ref="D232"/>
    <hyperlink r:id="rId1033" ref="E232"/>
    <hyperlink r:id="rId1034" ref="F232"/>
    <hyperlink r:id="rId1035" ref="AJ232"/>
    <hyperlink r:id="rId1036" ref="AL232"/>
    <hyperlink r:id="rId1037" ref="AN232"/>
    <hyperlink r:id="rId1038" ref="D233"/>
    <hyperlink r:id="rId1039" ref="E233"/>
    <hyperlink r:id="rId1040" ref="F233"/>
    <hyperlink r:id="rId1041" ref="D234"/>
    <hyperlink r:id="rId1042" ref="E234"/>
    <hyperlink r:id="rId1043" ref="F234"/>
    <hyperlink r:id="rId1044" ref="D235"/>
    <hyperlink r:id="rId1045" ref="E235"/>
    <hyperlink r:id="rId1046" ref="F235"/>
    <hyperlink r:id="rId1047" ref="AF235"/>
    <hyperlink r:id="rId1048" ref="AJ235"/>
    <hyperlink r:id="rId1049" ref="AL235"/>
    <hyperlink r:id="rId1050" ref="D236"/>
    <hyperlink r:id="rId1051" ref="E236"/>
    <hyperlink r:id="rId1052" ref="F236"/>
    <hyperlink r:id="rId1053" ref="E237"/>
    <hyperlink r:id="rId1054" ref="F237"/>
    <hyperlink r:id="rId1055" ref="D239"/>
    <hyperlink r:id="rId1056" ref="E239"/>
    <hyperlink r:id="rId1057" ref="F239"/>
    <hyperlink r:id="rId1058" ref="D240"/>
    <hyperlink r:id="rId1059" ref="E240"/>
    <hyperlink r:id="rId1060" ref="F240"/>
    <hyperlink r:id="rId1061" ref="D241"/>
    <hyperlink r:id="rId1062" ref="E241"/>
    <hyperlink r:id="rId1063" ref="F241"/>
    <hyperlink r:id="rId1064" ref="AF241"/>
    <hyperlink r:id="rId1065" ref="BB241"/>
    <hyperlink r:id="rId1066" ref="D242"/>
    <hyperlink r:id="rId1067" ref="E242"/>
    <hyperlink r:id="rId1068" ref="F242"/>
    <hyperlink r:id="rId1069" ref="AJ242"/>
    <hyperlink r:id="rId1070" ref="AL242"/>
    <hyperlink r:id="rId1071" ref="A243"/>
    <hyperlink r:id="rId1072" ref="D243"/>
    <hyperlink r:id="rId1073" ref="E243"/>
    <hyperlink r:id="rId1074" ref="F243"/>
    <hyperlink r:id="rId1075" ref="D244"/>
    <hyperlink r:id="rId1076" ref="E244"/>
    <hyperlink r:id="rId1077" ref="F244"/>
    <hyperlink r:id="rId1078" ref="AJ244"/>
    <hyperlink r:id="rId1079" ref="AL244"/>
    <hyperlink r:id="rId1080" ref="D245"/>
    <hyperlink r:id="rId1081" ref="E245"/>
    <hyperlink r:id="rId1082" ref="F245"/>
    <hyperlink r:id="rId1083" ref="E246"/>
    <hyperlink r:id="rId1084" ref="F246"/>
    <hyperlink r:id="rId1085" ref="E247"/>
    <hyperlink r:id="rId1086" ref="F247"/>
    <hyperlink r:id="rId1087" ref="D248"/>
    <hyperlink r:id="rId1088" ref="E248"/>
    <hyperlink r:id="rId1089" ref="F248"/>
    <hyperlink r:id="rId1090" ref="D249"/>
    <hyperlink r:id="rId1091" ref="E249"/>
    <hyperlink r:id="rId1092" ref="F249"/>
    <hyperlink r:id="rId1093" ref="D250"/>
    <hyperlink r:id="rId1094" ref="E250"/>
    <hyperlink r:id="rId1095" ref="F250"/>
    <hyperlink r:id="rId1096" ref="AJ250"/>
    <hyperlink r:id="rId1097" ref="D251"/>
    <hyperlink r:id="rId1098" ref="E251"/>
    <hyperlink r:id="rId1099" ref="F251"/>
    <hyperlink r:id="rId1100" ref="AJ251"/>
    <hyperlink r:id="rId1101" ref="E252"/>
    <hyperlink r:id="rId1102" ref="F252"/>
    <hyperlink r:id="rId1103" ref="AF252"/>
    <hyperlink r:id="rId1104" ref="E253"/>
    <hyperlink r:id="rId1105" ref="F253"/>
    <hyperlink r:id="rId1106" ref="AD253"/>
    <hyperlink r:id="rId1107" ref="E254"/>
    <hyperlink r:id="rId1108" ref="F254"/>
    <hyperlink r:id="rId1109" ref="E255"/>
    <hyperlink r:id="rId1110" ref="F255"/>
    <hyperlink r:id="rId1111" ref="AF255"/>
    <hyperlink r:id="rId1112" ref="AJ255"/>
    <hyperlink r:id="rId1113" ref="AL255"/>
    <hyperlink r:id="rId1114" ref="D256"/>
    <hyperlink r:id="rId1115" location="section-overview" ref="E256"/>
    <hyperlink r:id="rId1116" ref="F256"/>
    <hyperlink r:id="rId1117" ref="D257"/>
    <hyperlink r:id="rId1118" ref="E257"/>
    <hyperlink r:id="rId1119" ref="F257"/>
    <hyperlink r:id="rId1120" location="section-overview" ref="E258"/>
    <hyperlink r:id="rId1121" ref="F258"/>
    <hyperlink r:id="rId1122" ref="AJ258"/>
    <hyperlink r:id="rId1123" ref="AZ258"/>
    <hyperlink r:id="rId1124" ref="BB258"/>
    <hyperlink r:id="rId1125" ref="D259"/>
    <hyperlink r:id="rId1126" ref="E259"/>
    <hyperlink r:id="rId1127" ref="F259"/>
    <hyperlink r:id="rId1128" ref="AJ259"/>
    <hyperlink r:id="rId1129" ref="AL259"/>
    <hyperlink r:id="rId1130" ref="BB259"/>
    <hyperlink r:id="rId1131" ref="D260"/>
    <hyperlink r:id="rId1132" ref="E260"/>
    <hyperlink r:id="rId1133" ref="F260"/>
    <hyperlink r:id="rId1134" ref="AF260"/>
    <hyperlink r:id="rId1135" ref="AH260"/>
    <hyperlink r:id="rId1136" ref="AJ260"/>
    <hyperlink r:id="rId1137" ref="D261"/>
    <hyperlink r:id="rId1138" ref="E261"/>
    <hyperlink r:id="rId1139" ref="F261"/>
    <hyperlink r:id="rId1140" ref="D262"/>
    <hyperlink r:id="rId1141" location="section-overview" ref="E262"/>
    <hyperlink r:id="rId1142" ref="F262"/>
    <hyperlink r:id="rId1143" ref="AL262"/>
    <hyperlink r:id="rId1144" ref="D263"/>
    <hyperlink r:id="rId1145" ref="E263"/>
    <hyperlink r:id="rId1146" ref="F263"/>
    <hyperlink r:id="rId1147" ref="D264"/>
    <hyperlink r:id="rId1148" ref="E264"/>
    <hyperlink r:id="rId1149" ref="F264"/>
    <hyperlink r:id="rId1150" ref="D265"/>
    <hyperlink r:id="rId1151" ref="E265"/>
    <hyperlink r:id="rId1152" ref="F265"/>
    <hyperlink r:id="rId1153" ref="D266"/>
    <hyperlink r:id="rId1154" ref="E266"/>
    <hyperlink r:id="rId1155" ref="F266"/>
    <hyperlink r:id="rId1156" ref="AL266"/>
    <hyperlink r:id="rId1157" ref="D267"/>
    <hyperlink r:id="rId1158" ref="E267"/>
    <hyperlink r:id="rId1159" ref="F267"/>
    <hyperlink r:id="rId1160" ref="AF267"/>
    <hyperlink r:id="rId1161" ref="AJ267"/>
    <hyperlink r:id="rId1162" ref="AL267"/>
    <hyperlink r:id="rId1163" ref="D268"/>
    <hyperlink r:id="rId1164" ref="E268"/>
    <hyperlink r:id="rId1165" ref="F268"/>
    <hyperlink r:id="rId1166" ref="D269"/>
    <hyperlink r:id="rId1167" ref="E269"/>
    <hyperlink r:id="rId1168" ref="F269"/>
    <hyperlink r:id="rId1169" ref="AP269"/>
    <hyperlink r:id="rId1170" ref="AR269"/>
    <hyperlink r:id="rId1171" ref="E270"/>
    <hyperlink r:id="rId1172" ref="F270"/>
    <hyperlink r:id="rId1173" ref="AF270"/>
    <hyperlink r:id="rId1174" ref="AJ270"/>
    <hyperlink r:id="rId1175" ref="A271"/>
    <hyperlink r:id="rId1176" ref="D271"/>
    <hyperlink r:id="rId1177" ref="E271"/>
    <hyperlink r:id="rId1178" ref="F271"/>
    <hyperlink r:id="rId1179" ref="AJ271"/>
    <hyperlink r:id="rId1180" ref="AL271"/>
    <hyperlink r:id="rId1181" ref="E273"/>
    <hyperlink r:id="rId1182" ref="F273"/>
    <hyperlink r:id="rId1183" ref="AF273"/>
    <hyperlink r:id="rId1184" ref="AJ273"/>
    <hyperlink r:id="rId1185" ref="AL273"/>
    <hyperlink r:id="rId1186" ref="D274"/>
    <hyperlink r:id="rId1187" ref="E274"/>
    <hyperlink r:id="rId1188" ref="F274"/>
    <hyperlink r:id="rId1189" ref="AF274"/>
    <hyperlink r:id="rId1190" ref="D275"/>
    <hyperlink r:id="rId1191" ref="E275"/>
    <hyperlink r:id="rId1192" ref="F275"/>
    <hyperlink r:id="rId1193" ref="D276"/>
    <hyperlink r:id="rId1194" ref="E276"/>
    <hyperlink r:id="rId1195" ref="F276"/>
    <hyperlink r:id="rId1196" ref="D277"/>
    <hyperlink r:id="rId1197" ref="E277"/>
    <hyperlink r:id="rId1198" ref="F277"/>
    <hyperlink r:id="rId1199" ref="D278"/>
    <hyperlink r:id="rId1200" ref="E278"/>
    <hyperlink r:id="rId1201" ref="F278"/>
    <hyperlink r:id="rId1202" ref="E279"/>
    <hyperlink r:id="rId1203" ref="F279"/>
    <hyperlink r:id="rId1204" ref="E280"/>
    <hyperlink r:id="rId1205" ref="F280"/>
    <hyperlink r:id="rId1206" ref="AD280"/>
    <hyperlink r:id="rId1207" ref="AF280"/>
    <hyperlink r:id="rId1208" ref="AJ280"/>
    <hyperlink r:id="rId1209" ref="AL280"/>
    <hyperlink r:id="rId1210" ref="E281"/>
    <hyperlink r:id="rId1211" ref="F281"/>
    <hyperlink r:id="rId1212" ref="AJ281"/>
    <hyperlink r:id="rId1213" ref="AL281"/>
    <hyperlink r:id="rId1214" ref="D282"/>
    <hyperlink r:id="rId1215" ref="E282"/>
    <hyperlink r:id="rId1216" ref="F282"/>
    <hyperlink r:id="rId1217" ref="D283"/>
    <hyperlink r:id="rId1218" location="section-overview" ref="E283"/>
    <hyperlink r:id="rId1219" ref="F283"/>
    <hyperlink r:id="rId1220" ref="D284"/>
    <hyperlink r:id="rId1221" ref="E284"/>
    <hyperlink r:id="rId1222" ref="F284"/>
    <hyperlink r:id="rId1223" ref="AF284"/>
    <hyperlink r:id="rId1224" ref="AJ284"/>
    <hyperlink r:id="rId1225" ref="E285"/>
    <hyperlink r:id="rId1226" ref="F285"/>
    <hyperlink r:id="rId1227" ref="E286"/>
    <hyperlink r:id="rId1228" ref="F286"/>
    <hyperlink r:id="rId1229" ref="D287"/>
    <hyperlink r:id="rId1230" ref="E287"/>
    <hyperlink r:id="rId1231" ref="F287"/>
    <hyperlink r:id="rId1232" ref="AJ287"/>
    <hyperlink r:id="rId1233" ref="D288"/>
    <hyperlink r:id="rId1234" ref="E288"/>
    <hyperlink r:id="rId1235" ref="F288"/>
    <hyperlink r:id="rId1236" ref="AF288"/>
    <hyperlink r:id="rId1237" ref="AJ288"/>
    <hyperlink r:id="rId1238" ref="D289"/>
    <hyperlink r:id="rId1239" ref="E289"/>
    <hyperlink r:id="rId1240" ref="E290"/>
    <hyperlink r:id="rId1241" ref="F290"/>
    <hyperlink r:id="rId1242" ref="AF290"/>
    <hyperlink r:id="rId1243" ref="AJ290"/>
    <hyperlink r:id="rId1244" ref="D291"/>
    <hyperlink r:id="rId1245" ref="E291"/>
    <hyperlink r:id="rId1246" ref="F291"/>
    <hyperlink r:id="rId1247" ref="D293"/>
    <hyperlink r:id="rId1248" ref="E293"/>
    <hyperlink r:id="rId1249" ref="F293"/>
    <hyperlink r:id="rId1250" ref="AF293"/>
    <hyperlink r:id="rId1251" ref="AJ293"/>
    <hyperlink r:id="rId1252" ref="AL293"/>
    <hyperlink r:id="rId1253" ref="D294"/>
    <hyperlink r:id="rId1254" ref="E294"/>
    <hyperlink r:id="rId1255" ref="F294"/>
    <hyperlink r:id="rId1256" ref="AJ294"/>
    <hyperlink r:id="rId1257" ref="AL294"/>
    <hyperlink r:id="rId1258" ref="E295"/>
    <hyperlink r:id="rId1259" ref="F295"/>
    <hyperlink r:id="rId1260" ref="AJ295"/>
    <hyperlink r:id="rId1261" ref="D296"/>
    <hyperlink r:id="rId1262" ref="E296"/>
    <hyperlink r:id="rId1263" ref="F296"/>
    <hyperlink r:id="rId1264" ref="AF296"/>
    <hyperlink r:id="rId1265" ref="D297"/>
    <hyperlink r:id="rId1266" ref="E297"/>
    <hyperlink r:id="rId1267" ref="F297"/>
    <hyperlink r:id="rId1268" ref="AF297"/>
    <hyperlink r:id="rId1269" ref="E298"/>
    <hyperlink r:id="rId1270" ref="F298"/>
    <hyperlink r:id="rId1271" ref="D299"/>
    <hyperlink r:id="rId1272" ref="E299"/>
    <hyperlink r:id="rId1273" ref="F299"/>
    <hyperlink r:id="rId1274" ref="E300"/>
    <hyperlink r:id="rId1275" ref="F300"/>
    <hyperlink r:id="rId1276" ref="AF300"/>
    <hyperlink r:id="rId1277" ref="AJ300"/>
    <hyperlink r:id="rId1278" ref="D301"/>
    <hyperlink r:id="rId1279" ref="E301"/>
    <hyperlink r:id="rId1280" ref="F301"/>
    <hyperlink r:id="rId1281" ref="AF301"/>
    <hyperlink r:id="rId1282" ref="AJ301"/>
    <hyperlink r:id="rId1283" ref="D302"/>
    <hyperlink r:id="rId1284" ref="E302"/>
    <hyperlink r:id="rId1285" ref="F302"/>
    <hyperlink r:id="rId1286" ref="E303"/>
    <hyperlink r:id="rId1287" ref="F303"/>
    <hyperlink r:id="rId1288" ref="AJ303"/>
    <hyperlink r:id="rId1289" ref="BB303"/>
    <hyperlink r:id="rId1290" ref="D304"/>
    <hyperlink r:id="rId1291" ref="E304"/>
    <hyperlink r:id="rId1292" ref="F304"/>
    <hyperlink r:id="rId1293" ref="AD304"/>
    <hyperlink r:id="rId1294" ref="AF304"/>
    <hyperlink r:id="rId1295" ref="AJ304"/>
    <hyperlink r:id="rId1296" ref="BB304"/>
    <hyperlink r:id="rId1297" ref="D305"/>
    <hyperlink r:id="rId1298" ref="E305"/>
    <hyperlink r:id="rId1299" ref="F305"/>
    <hyperlink r:id="rId1300" ref="E306"/>
    <hyperlink r:id="rId1301" ref="F306"/>
    <hyperlink r:id="rId1302" ref="AF306"/>
    <hyperlink r:id="rId1303" ref="AJ306"/>
    <hyperlink r:id="rId1304" ref="D307"/>
    <hyperlink r:id="rId1305" ref="E307"/>
    <hyperlink r:id="rId1306" ref="F307"/>
    <hyperlink r:id="rId1307" ref="BB307"/>
    <hyperlink r:id="rId1308" ref="D308"/>
    <hyperlink r:id="rId1309" ref="E308"/>
    <hyperlink r:id="rId1310" ref="F308"/>
    <hyperlink r:id="rId1311" ref="AF308"/>
    <hyperlink r:id="rId1312" ref="AJ308"/>
    <hyperlink r:id="rId1313" ref="AL308"/>
    <hyperlink r:id="rId1314" ref="D309"/>
    <hyperlink r:id="rId1315" location="section-overview" ref="E309"/>
    <hyperlink r:id="rId1316" ref="F309"/>
    <hyperlink r:id="rId1317" ref="AL309"/>
    <hyperlink r:id="rId1318" ref="D310"/>
    <hyperlink r:id="rId1319" ref="E310"/>
    <hyperlink r:id="rId1320" ref="F310"/>
    <hyperlink r:id="rId1321" ref="D311"/>
    <hyperlink r:id="rId1322" ref="E311"/>
    <hyperlink r:id="rId1323" ref="F311"/>
    <hyperlink r:id="rId1324" ref="AF311"/>
    <hyperlink r:id="rId1325" ref="AJ311"/>
    <hyperlink r:id="rId1326" ref="AL311"/>
    <hyperlink r:id="rId1327" ref="D313"/>
    <hyperlink r:id="rId1328" ref="E313"/>
    <hyperlink r:id="rId1329" ref="F313"/>
    <hyperlink r:id="rId1330" ref="AJ313"/>
    <hyperlink r:id="rId1331" ref="D314"/>
    <hyperlink r:id="rId1332" ref="E314"/>
    <hyperlink r:id="rId1333" ref="F314"/>
    <hyperlink r:id="rId1334" ref="AD314"/>
    <hyperlink r:id="rId1335" ref="AF314"/>
    <hyperlink r:id="rId1336" ref="AJ314"/>
    <hyperlink r:id="rId1337" ref="AL314"/>
    <hyperlink r:id="rId1338" ref="D315"/>
    <hyperlink r:id="rId1339" ref="E315"/>
    <hyperlink r:id="rId1340" ref="F315"/>
    <hyperlink r:id="rId1341" ref="AF315"/>
    <hyperlink r:id="rId1342" ref="AJ315"/>
    <hyperlink r:id="rId1343" ref="AZ315"/>
    <hyperlink r:id="rId1344" ref="D316"/>
    <hyperlink r:id="rId1345" ref="E316"/>
    <hyperlink r:id="rId1346" ref="F316"/>
    <hyperlink r:id="rId1347" ref="AL316"/>
    <hyperlink r:id="rId1348" ref="D317"/>
    <hyperlink r:id="rId1349" ref="E317"/>
    <hyperlink r:id="rId1350" ref="F317"/>
    <hyperlink r:id="rId1351" ref="D318"/>
    <hyperlink r:id="rId1352" ref="E318"/>
    <hyperlink r:id="rId1353" ref="F318"/>
    <hyperlink r:id="rId1354" ref="D319"/>
    <hyperlink r:id="rId1355" ref="E319"/>
    <hyperlink r:id="rId1356" ref="F319"/>
    <hyperlink r:id="rId1357" ref="D320"/>
    <hyperlink r:id="rId1358" ref="E320"/>
    <hyperlink r:id="rId1359" ref="F320"/>
    <hyperlink r:id="rId1360" ref="D321"/>
    <hyperlink r:id="rId1361" ref="E321"/>
    <hyperlink r:id="rId1362" ref="F321"/>
    <hyperlink r:id="rId1363" ref="AF321"/>
    <hyperlink r:id="rId1364" ref="AJ321"/>
    <hyperlink r:id="rId1365" ref="AL321"/>
    <hyperlink r:id="rId1366" ref="E322"/>
    <hyperlink r:id="rId1367" ref="F322"/>
    <hyperlink r:id="rId1368" ref="AJ322"/>
    <hyperlink r:id="rId1369" ref="D323"/>
    <hyperlink r:id="rId1370" ref="E323"/>
    <hyperlink r:id="rId1371" ref="F323"/>
    <hyperlink r:id="rId1372" ref="D324"/>
    <hyperlink r:id="rId1373" ref="E324"/>
    <hyperlink r:id="rId1374" ref="F324"/>
    <hyperlink r:id="rId1375" ref="AF324"/>
    <hyperlink r:id="rId1376" ref="AJ324"/>
    <hyperlink r:id="rId1377" ref="AL324"/>
    <hyperlink r:id="rId1378" ref="D325"/>
    <hyperlink r:id="rId1379" ref="E325"/>
    <hyperlink r:id="rId1380" ref="F325"/>
    <hyperlink r:id="rId1381" ref="AZ325"/>
    <hyperlink r:id="rId1382" ref="BB325"/>
    <hyperlink r:id="rId1383" ref="E326"/>
    <hyperlink r:id="rId1384" ref="F326"/>
    <hyperlink r:id="rId1385" ref="AD326"/>
    <hyperlink r:id="rId1386" ref="AF326"/>
    <hyperlink r:id="rId1387" ref="AJ326"/>
    <hyperlink r:id="rId1388" ref="D327"/>
    <hyperlink r:id="rId1389" ref="E327"/>
    <hyperlink r:id="rId1390" ref="F327"/>
    <hyperlink r:id="rId1391" ref="AJ327"/>
    <hyperlink r:id="rId1392" ref="AL327"/>
    <hyperlink r:id="rId1393" ref="E328"/>
    <hyperlink r:id="rId1394" ref="F328"/>
    <hyperlink r:id="rId1395" ref="D329"/>
    <hyperlink r:id="rId1396" location="section-overview" ref="E329"/>
    <hyperlink r:id="rId1397" ref="F329"/>
    <hyperlink r:id="rId1398" ref="D330"/>
    <hyperlink r:id="rId1399" ref="E330"/>
    <hyperlink r:id="rId1400" ref="F330"/>
    <hyperlink r:id="rId1401" ref="D331"/>
    <hyperlink r:id="rId1402" ref="E331"/>
    <hyperlink r:id="rId1403" ref="F331"/>
    <hyperlink r:id="rId1404" ref="D332"/>
    <hyperlink r:id="rId1405" ref="E332"/>
    <hyperlink r:id="rId1406" ref="F332"/>
    <hyperlink r:id="rId1407" ref="D335"/>
    <hyperlink r:id="rId1408" location="section-overview" ref="E335"/>
    <hyperlink r:id="rId1409" ref="F335"/>
    <hyperlink r:id="rId1410" ref="AL335"/>
    <hyperlink r:id="rId1411" ref="E336"/>
    <hyperlink r:id="rId1412" ref="F336"/>
    <hyperlink r:id="rId1413" ref="D337"/>
    <hyperlink r:id="rId1414" ref="E337"/>
    <hyperlink r:id="rId1415" ref="F337"/>
    <hyperlink r:id="rId1416" ref="AZ337"/>
    <hyperlink r:id="rId1417" ref="E338"/>
    <hyperlink r:id="rId1418" ref="F338"/>
    <hyperlink r:id="rId1419" ref="D339"/>
    <hyperlink r:id="rId1420" ref="E339"/>
    <hyperlink r:id="rId1421" ref="F339"/>
    <hyperlink r:id="rId1422" ref="D340"/>
    <hyperlink r:id="rId1423" ref="E340"/>
    <hyperlink r:id="rId1424" ref="F340"/>
    <hyperlink r:id="rId1425" ref="D341"/>
    <hyperlink r:id="rId1426" ref="E341"/>
    <hyperlink r:id="rId1427" ref="F341"/>
    <hyperlink r:id="rId1428" ref="AF341"/>
    <hyperlink r:id="rId1429" ref="AJ341"/>
    <hyperlink r:id="rId1430" ref="D342"/>
    <hyperlink r:id="rId1431" ref="E342"/>
    <hyperlink r:id="rId1432" ref="F342"/>
    <hyperlink r:id="rId1433" ref="AD342"/>
    <hyperlink r:id="rId1434" ref="AF342"/>
    <hyperlink r:id="rId1435" ref="AJ342"/>
    <hyperlink r:id="rId1436" ref="AZ342"/>
    <hyperlink r:id="rId1437" ref="E343"/>
    <hyperlink r:id="rId1438" ref="F343"/>
    <hyperlink r:id="rId1439" ref="D344"/>
    <hyperlink r:id="rId1440" ref="E344"/>
    <hyperlink r:id="rId1441" ref="F344"/>
    <hyperlink r:id="rId1442" ref="D345"/>
    <hyperlink r:id="rId1443" ref="E345"/>
    <hyperlink r:id="rId1444" ref="F345"/>
    <hyperlink r:id="rId1445" ref="D346"/>
    <hyperlink r:id="rId1446" ref="E346"/>
    <hyperlink r:id="rId1447" ref="D347"/>
    <hyperlink r:id="rId1448" ref="E347"/>
    <hyperlink r:id="rId1449" ref="F347"/>
    <hyperlink r:id="rId1450" ref="D348"/>
    <hyperlink r:id="rId1451" ref="E348"/>
    <hyperlink r:id="rId1452" ref="F348"/>
    <hyperlink r:id="rId1453" ref="AN348"/>
    <hyperlink r:id="rId1454" ref="D349"/>
    <hyperlink r:id="rId1455" ref="E349"/>
    <hyperlink r:id="rId1456" ref="F349"/>
    <hyperlink r:id="rId1457" ref="D350"/>
    <hyperlink r:id="rId1458" location="section-overview" ref="E350"/>
    <hyperlink r:id="rId1459" ref="F350"/>
    <hyperlink r:id="rId1460" ref="D351"/>
    <hyperlink r:id="rId1461" ref="E351"/>
    <hyperlink r:id="rId1462" ref="F351"/>
    <hyperlink r:id="rId1463" ref="AF351"/>
    <hyperlink r:id="rId1464" ref="AJ351"/>
    <hyperlink r:id="rId1465" ref="AL351"/>
    <hyperlink r:id="rId1466" ref="E352"/>
    <hyperlink r:id="rId1467" ref="F352"/>
    <hyperlink r:id="rId1468" ref="D354"/>
    <hyperlink r:id="rId1469" ref="E354"/>
    <hyperlink r:id="rId1470" ref="F354"/>
    <hyperlink r:id="rId1471" ref="E355"/>
    <hyperlink r:id="rId1472" ref="F355"/>
    <hyperlink r:id="rId1473" ref="D356"/>
    <hyperlink r:id="rId1474" ref="E356"/>
    <hyperlink r:id="rId1475" ref="F356"/>
    <hyperlink r:id="rId1476" ref="D357"/>
    <hyperlink r:id="rId1477" ref="E357"/>
    <hyperlink r:id="rId1478" ref="F357"/>
    <hyperlink r:id="rId1479" ref="AL357"/>
    <hyperlink r:id="rId1480" ref="D358"/>
    <hyperlink r:id="rId1481" ref="E358"/>
    <hyperlink r:id="rId1482" location="/" ref="F358"/>
    <hyperlink r:id="rId1483" ref="D359"/>
    <hyperlink r:id="rId1484" ref="E359"/>
    <hyperlink r:id="rId1485" ref="F359"/>
    <hyperlink r:id="rId1486" ref="D360"/>
    <hyperlink r:id="rId1487" ref="E360"/>
    <hyperlink r:id="rId1488" ref="F360"/>
    <hyperlink r:id="rId1489" ref="AJ360"/>
    <hyperlink r:id="rId1490" ref="D361"/>
    <hyperlink r:id="rId1491" ref="E361"/>
    <hyperlink r:id="rId1492" ref="F361"/>
    <hyperlink r:id="rId1493" ref="AJ361"/>
    <hyperlink r:id="rId1494" ref="AL361"/>
    <hyperlink r:id="rId1495" ref="E362"/>
    <hyperlink r:id="rId1496" ref="F362"/>
    <hyperlink r:id="rId1497" ref="AF362"/>
    <hyperlink r:id="rId1498" ref="BB362"/>
    <hyperlink r:id="rId1499" ref="E363"/>
    <hyperlink r:id="rId1500" ref="F363"/>
    <hyperlink r:id="rId1501" ref="AF363"/>
    <hyperlink r:id="rId1502" ref="AJ363"/>
    <hyperlink r:id="rId1503" ref="D364"/>
    <hyperlink r:id="rId1504" ref="E364"/>
    <hyperlink r:id="rId1505" ref="F364"/>
    <hyperlink r:id="rId1506" ref="AF364"/>
    <hyperlink r:id="rId1507" ref="AJ364"/>
    <hyperlink r:id="rId1508" ref="E365"/>
    <hyperlink r:id="rId1509" ref="F365"/>
    <hyperlink r:id="rId1510" ref="AJ365"/>
    <hyperlink r:id="rId1511" ref="E366"/>
    <hyperlink r:id="rId1512" ref="F366"/>
    <hyperlink r:id="rId1513" ref="AZ366"/>
    <hyperlink r:id="rId1514" ref="D367"/>
    <hyperlink r:id="rId1515" ref="E367"/>
    <hyperlink r:id="rId1516" ref="F367"/>
    <hyperlink r:id="rId1517" ref="AD367"/>
    <hyperlink r:id="rId1518" ref="AF367"/>
    <hyperlink r:id="rId1519" ref="AJ367"/>
    <hyperlink r:id="rId1520" ref="AZ367"/>
    <hyperlink r:id="rId1521" ref="D368"/>
    <hyperlink r:id="rId1522" ref="E368"/>
    <hyperlink r:id="rId1523" ref="F368"/>
    <hyperlink r:id="rId1524" ref="AF368"/>
    <hyperlink r:id="rId1525" ref="AJ368"/>
    <hyperlink r:id="rId1526" ref="E369"/>
    <hyperlink r:id="rId1527" ref="F369"/>
    <hyperlink r:id="rId1528" ref="AJ369"/>
    <hyperlink r:id="rId1529" ref="AZ369"/>
    <hyperlink r:id="rId1530" ref="BB369"/>
    <hyperlink r:id="rId1531" ref="E370"/>
    <hyperlink r:id="rId1532" ref="F370"/>
    <hyperlink r:id="rId1533" ref="AD370"/>
    <hyperlink r:id="rId1534" ref="AF370"/>
    <hyperlink r:id="rId1535" ref="AH370"/>
    <hyperlink r:id="rId1536" ref="AJ370"/>
    <hyperlink r:id="rId1537" ref="D371"/>
    <hyperlink r:id="rId1538" ref="E371"/>
    <hyperlink r:id="rId1539" ref="F371"/>
    <hyperlink r:id="rId1540" ref="E372"/>
    <hyperlink r:id="rId1541" ref="F372"/>
    <hyperlink r:id="rId1542" ref="AF372"/>
    <hyperlink r:id="rId1543" ref="AJ372"/>
    <hyperlink r:id="rId1544" ref="BB372"/>
    <hyperlink r:id="rId1545" ref="E373"/>
    <hyperlink r:id="rId1546" ref="F373"/>
    <hyperlink r:id="rId1547" ref="E374"/>
    <hyperlink r:id="rId1548" ref="F374"/>
    <hyperlink r:id="rId1549" ref="D375"/>
    <hyperlink r:id="rId1550" location="section-funding-rounds" ref="E375"/>
    <hyperlink r:id="rId1551" ref="F375"/>
    <hyperlink r:id="rId1552" ref="D376"/>
    <hyperlink r:id="rId1553" ref="E376"/>
    <hyperlink r:id="rId1554" ref="F376"/>
    <hyperlink r:id="rId1555" ref="AF376"/>
    <hyperlink r:id="rId1556" ref="AJ376"/>
    <hyperlink r:id="rId1557" ref="AL376"/>
    <hyperlink r:id="rId1558" ref="D377"/>
    <hyperlink r:id="rId1559" ref="E377"/>
    <hyperlink r:id="rId1560" ref="F377"/>
    <hyperlink r:id="rId1561" ref="AD377"/>
    <hyperlink r:id="rId1562" ref="AF377"/>
    <hyperlink r:id="rId1563" ref="AJ377"/>
    <hyperlink r:id="rId1564" ref="AL377"/>
    <hyperlink r:id="rId1565" ref="E378"/>
    <hyperlink r:id="rId1566" ref="F378"/>
    <hyperlink r:id="rId1567" ref="D379"/>
    <hyperlink r:id="rId1568" ref="E379"/>
    <hyperlink r:id="rId1569" ref="F379"/>
    <hyperlink r:id="rId1570" ref="AF379"/>
    <hyperlink r:id="rId1571" ref="AJ379"/>
    <hyperlink r:id="rId1572" ref="AL379"/>
    <hyperlink r:id="rId1573" ref="D380"/>
    <hyperlink r:id="rId1574" ref="E380"/>
    <hyperlink r:id="rId1575" ref="F380"/>
    <hyperlink r:id="rId1576" ref="AD380"/>
    <hyperlink r:id="rId1577" ref="AF380"/>
    <hyperlink r:id="rId1578" ref="AJ380"/>
    <hyperlink r:id="rId1579" ref="BB380"/>
    <hyperlink r:id="rId1580" ref="E381"/>
    <hyperlink r:id="rId1581" ref="F381"/>
    <hyperlink r:id="rId1582" ref="AJ381"/>
    <hyperlink r:id="rId1583" ref="E382"/>
    <hyperlink r:id="rId1584" ref="F382"/>
    <hyperlink r:id="rId1585" ref="E383"/>
    <hyperlink r:id="rId1586" ref="F383"/>
    <hyperlink r:id="rId1587" ref="AJ383"/>
    <hyperlink r:id="rId1588" ref="D384"/>
    <hyperlink r:id="rId1589" ref="E384"/>
    <hyperlink r:id="rId1590" ref="F384"/>
    <hyperlink r:id="rId1591" ref="AZ384"/>
    <hyperlink r:id="rId1592" ref="E385"/>
    <hyperlink r:id="rId1593" ref="F385"/>
    <hyperlink r:id="rId1594" ref="D386"/>
    <hyperlink r:id="rId1595" ref="E386"/>
    <hyperlink r:id="rId1596" ref="F386"/>
    <hyperlink r:id="rId1597" ref="D387"/>
    <hyperlink r:id="rId1598" ref="E387"/>
    <hyperlink r:id="rId1599" ref="F387"/>
    <hyperlink r:id="rId1600" ref="AF387"/>
    <hyperlink r:id="rId1601" ref="AJ387"/>
    <hyperlink r:id="rId1602" ref="D388"/>
    <hyperlink r:id="rId1603" ref="E388"/>
    <hyperlink r:id="rId1604" ref="F388"/>
    <hyperlink r:id="rId1605" ref="AF388"/>
    <hyperlink r:id="rId1606" ref="AL388"/>
    <hyperlink r:id="rId1607" ref="AN388"/>
    <hyperlink r:id="rId1608" ref="E389"/>
    <hyperlink r:id="rId1609" ref="F389"/>
    <hyperlink r:id="rId1610" ref="D390"/>
    <hyperlink r:id="rId1611" ref="E390"/>
    <hyperlink r:id="rId1612" ref="F390"/>
    <hyperlink r:id="rId1613" ref="D391"/>
    <hyperlink r:id="rId1614" ref="E391"/>
    <hyperlink r:id="rId1615" ref="F391"/>
    <hyperlink r:id="rId1616" ref="AJ391"/>
    <hyperlink r:id="rId1617" ref="D392"/>
    <hyperlink r:id="rId1618" ref="E392"/>
    <hyperlink r:id="rId1619" ref="F392"/>
    <hyperlink r:id="rId1620" ref="AF392"/>
    <hyperlink r:id="rId1621" ref="D393"/>
    <hyperlink r:id="rId1622" ref="E393"/>
    <hyperlink r:id="rId1623" ref="F393"/>
    <hyperlink r:id="rId1624" ref="AF393"/>
    <hyperlink r:id="rId1625" ref="AJ393"/>
    <hyperlink r:id="rId1626" ref="AL393"/>
    <hyperlink r:id="rId1627" ref="D394"/>
    <hyperlink r:id="rId1628" ref="E394"/>
    <hyperlink r:id="rId1629" ref="F394"/>
    <hyperlink r:id="rId1630" location="section-overview" ref="E395"/>
    <hyperlink r:id="rId1631" ref="F395"/>
    <hyperlink r:id="rId1632" ref="E396"/>
    <hyperlink r:id="rId1633" ref="F396"/>
    <hyperlink r:id="rId1634" ref="AJ396"/>
    <hyperlink r:id="rId1635" ref="AL396"/>
    <hyperlink r:id="rId1636" ref="E397"/>
    <hyperlink r:id="rId1637" ref="F397"/>
    <hyperlink r:id="rId1638" ref="D399"/>
    <hyperlink r:id="rId1639" ref="E399"/>
    <hyperlink r:id="rId1640" ref="F399"/>
    <hyperlink r:id="rId1641" ref="D400"/>
    <hyperlink r:id="rId1642" ref="E400"/>
    <hyperlink r:id="rId1643" ref="F400"/>
    <hyperlink r:id="rId1644" ref="AJ400"/>
    <hyperlink r:id="rId1645" ref="E401"/>
    <hyperlink r:id="rId1646" ref="F401"/>
    <hyperlink r:id="rId1647" ref="AZ401"/>
    <hyperlink r:id="rId1648" ref="D402"/>
    <hyperlink r:id="rId1649" ref="E402"/>
    <hyperlink r:id="rId1650" ref="F402"/>
    <hyperlink r:id="rId1651" ref="D403"/>
    <hyperlink r:id="rId1652" ref="E403"/>
    <hyperlink r:id="rId1653" ref="F403"/>
    <hyperlink r:id="rId1654" ref="AF403"/>
    <hyperlink r:id="rId1655" ref="AJ403"/>
    <hyperlink r:id="rId1656" ref="D404"/>
    <hyperlink r:id="rId1657" ref="E404"/>
    <hyperlink r:id="rId1658" ref="F404"/>
    <hyperlink r:id="rId1659" ref="D405"/>
    <hyperlink r:id="rId1660" ref="E405"/>
    <hyperlink r:id="rId1661" ref="F405"/>
    <hyperlink r:id="rId1662" ref="AZ405"/>
    <hyperlink r:id="rId1663" ref="BB405"/>
    <hyperlink r:id="rId1664" ref="D406"/>
    <hyperlink r:id="rId1665" ref="E406"/>
    <hyperlink r:id="rId1666" ref="F406"/>
    <hyperlink r:id="rId1667" ref="D407"/>
    <hyperlink r:id="rId1668" ref="E407"/>
    <hyperlink r:id="rId1669" ref="F407"/>
    <hyperlink r:id="rId1670" ref="D408"/>
    <hyperlink r:id="rId1671" ref="E408"/>
    <hyperlink r:id="rId1672" ref="F408"/>
    <hyperlink r:id="rId1673" ref="E409"/>
    <hyperlink r:id="rId1674" ref="F409"/>
    <hyperlink r:id="rId1675" ref="D410"/>
    <hyperlink r:id="rId1676" ref="E410"/>
    <hyperlink r:id="rId1677" ref="F410"/>
    <hyperlink r:id="rId1678" ref="AL410"/>
    <hyperlink r:id="rId1679" ref="D411"/>
    <hyperlink r:id="rId1680" ref="E411"/>
    <hyperlink r:id="rId1681" ref="F411"/>
    <hyperlink r:id="rId1682" ref="AF411"/>
    <hyperlink r:id="rId1683" ref="AJ411"/>
    <hyperlink r:id="rId1684" ref="AL411"/>
    <hyperlink r:id="rId1685" ref="E412"/>
    <hyperlink r:id="rId1686" ref="F412"/>
    <hyperlink r:id="rId1687" ref="AF412"/>
    <hyperlink r:id="rId1688" ref="E413"/>
    <hyperlink r:id="rId1689" ref="F413"/>
    <hyperlink r:id="rId1690" ref="AF413"/>
    <hyperlink r:id="rId1691" ref="AJ413"/>
    <hyperlink r:id="rId1692" ref="E414"/>
    <hyperlink r:id="rId1693" ref="F414"/>
    <hyperlink r:id="rId1694" ref="AJ414"/>
    <hyperlink r:id="rId1695" ref="D415"/>
    <hyperlink r:id="rId1696" ref="E416"/>
    <hyperlink r:id="rId1697" ref="F416"/>
    <hyperlink r:id="rId1698" ref="E417"/>
    <hyperlink r:id="rId1699" ref="F417"/>
    <hyperlink r:id="rId1700" ref="AJ417"/>
    <hyperlink r:id="rId1701" ref="D418"/>
    <hyperlink r:id="rId1702" ref="E418"/>
    <hyperlink r:id="rId1703" ref="F418"/>
    <hyperlink r:id="rId1704" ref="AJ418"/>
    <hyperlink r:id="rId1705" ref="AZ418"/>
    <hyperlink r:id="rId1706" ref="D419"/>
    <hyperlink r:id="rId1707" ref="E419"/>
    <hyperlink r:id="rId1708" ref="F419"/>
    <hyperlink r:id="rId1709" ref="D420"/>
    <hyperlink r:id="rId1710" ref="E420"/>
    <hyperlink r:id="rId1711" ref="F420"/>
    <hyperlink r:id="rId1712" ref="AF420"/>
    <hyperlink r:id="rId1713" ref="AJ420"/>
    <hyperlink r:id="rId1714" ref="E421"/>
    <hyperlink r:id="rId1715" ref="F421"/>
    <hyperlink r:id="rId1716" ref="AF421"/>
    <hyperlink r:id="rId1717" ref="AJ421"/>
    <hyperlink r:id="rId1718" ref="AZ421"/>
    <hyperlink r:id="rId1719" ref="D422"/>
    <hyperlink r:id="rId1720" location="section-overview" ref="E422"/>
    <hyperlink r:id="rId1721" ref="F422"/>
    <hyperlink r:id="rId1722" ref="D423"/>
    <hyperlink r:id="rId1723" ref="E423"/>
    <hyperlink r:id="rId1724" ref="F423"/>
    <hyperlink r:id="rId1725" ref="D424"/>
    <hyperlink r:id="rId1726" ref="E424"/>
    <hyperlink r:id="rId1727" ref="F424"/>
    <hyperlink r:id="rId1728" ref="AD424"/>
    <hyperlink r:id="rId1729" ref="AF424"/>
    <hyperlink r:id="rId1730" ref="AJ424"/>
    <hyperlink r:id="rId1731" ref="AL424"/>
    <hyperlink r:id="rId1732" ref="D426"/>
    <hyperlink r:id="rId1733" ref="E426"/>
    <hyperlink r:id="rId1734" ref="F426"/>
    <hyperlink r:id="rId1735" ref="D427"/>
    <hyperlink r:id="rId1736" ref="E427"/>
    <hyperlink r:id="rId1737" ref="F427"/>
    <hyperlink r:id="rId1738" ref="D428"/>
    <hyperlink r:id="rId1739" location="section-funding-rounds" ref="E428"/>
    <hyperlink r:id="rId1740" ref="F428"/>
    <hyperlink r:id="rId1741" ref="AF428"/>
    <hyperlink r:id="rId1742" ref="E429"/>
    <hyperlink r:id="rId1743" ref="F429"/>
    <hyperlink r:id="rId1744" ref="D430"/>
    <hyperlink r:id="rId1745" ref="E430"/>
    <hyperlink r:id="rId1746" ref="F430"/>
    <hyperlink r:id="rId1747" ref="AF430"/>
    <hyperlink r:id="rId1748" ref="AJ430"/>
    <hyperlink r:id="rId1749" ref="D431"/>
    <hyperlink r:id="rId1750" ref="E431"/>
    <hyperlink r:id="rId1751" ref="F431"/>
    <hyperlink r:id="rId1752" ref="AF431"/>
    <hyperlink r:id="rId1753" ref="AJ431"/>
    <hyperlink r:id="rId1754" ref="BB431"/>
    <hyperlink r:id="rId1755" ref="E432"/>
    <hyperlink r:id="rId1756" ref="F432"/>
    <hyperlink r:id="rId1757" ref="AF432"/>
    <hyperlink r:id="rId1758" ref="E433"/>
    <hyperlink r:id="rId1759" ref="F433"/>
    <hyperlink r:id="rId1760" ref="D434"/>
    <hyperlink r:id="rId1761" ref="E434"/>
    <hyperlink r:id="rId1762" ref="F434"/>
    <hyperlink r:id="rId1763" ref="D435"/>
    <hyperlink r:id="rId1764" ref="E435"/>
    <hyperlink r:id="rId1765" ref="F435"/>
    <hyperlink r:id="rId1766" ref="AF435"/>
    <hyperlink r:id="rId1767" ref="AJ435"/>
    <hyperlink r:id="rId1768" ref="AL435"/>
    <hyperlink r:id="rId1769" ref="E436"/>
    <hyperlink r:id="rId1770" ref="F436"/>
    <hyperlink r:id="rId1771" ref="AD436"/>
    <hyperlink r:id="rId1772" ref="E437"/>
    <hyperlink r:id="rId1773" ref="F437"/>
    <hyperlink r:id="rId1774" ref="AF437"/>
    <hyperlink r:id="rId1775" ref="AJ437"/>
    <hyperlink r:id="rId1776" ref="D438"/>
    <hyperlink r:id="rId1777" ref="E438"/>
    <hyperlink r:id="rId1778" ref="F438"/>
    <hyperlink r:id="rId1779" ref="AF438"/>
    <hyperlink r:id="rId1780" ref="AJ438"/>
    <hyperlink r:id="rId1781" ref="D439"/>
    <hyperlink r:id="rId1782" ref="E439"/>
    <hyperlink r:id="rId1783" ref="F439"/>
    <hyperlink r:id="rId1784" ref="E440"/>
    <hyperlink r:id="rId1785" ref="F440"/>
    <hyperlink r:id="rId1786" ref="E441"/>
    <hyperlink r:id="rId1787" ref="F441"/>
    <hyperlink r:id="rId1788" ref="AJ441"/>
    <hyperlink r:id="rId1789" ref="E442"/>
    <hyperlink r:id="rId1790" ref="F442"/>
    <hyperlink r:id="rId1791" ref="AL442"/>
    <hyperlink r:id="rId1792" ref="BB442"/>
    <hyperlink r:id="rId1793" ref="D443"/>
    <hyperlink r:id="rId1794" ref="E443"/>
    <hyperlink r:id="rId1795" ref="F443"/>
    <hyperlink r:id="rId1796" ref="E444"/>
    <hyperlink r:id="rId1797" ref="F444"/>
    <hyperlink r:id="rId1798" ref="D445"/>
    <hyperlink r:id="rId1799" ref="E445"/>
    <hyperlink r:id="rId1800" ref="F445"/>
    <hyperlink r:id="rId1801" ref="D446"/>
    <hyperlink r:id="rId1802" ref="E446"/>
    <hyperlink r:id="rId1803" ref="F446"/>
    <hyperlink r:id="rId1804" ref="AF446"/>
    <hyperlink r:id="rId1805" ref="AH446"/>
    <hyperlink r:id="rId1806" ref="AJ446"/>
    <hyperlink r:id="rId1807" ref="AL446"/>
    <hyperlink r:id="rId1808" ref="D447"/>
    <hyperlink r:id="rId1809" ref="E447"/>
    <hyperlink r:id="rId1810" ref="F447"/>
    <hyperlink r:id="rId1811" ref="AL447"/>
    <hyperlink r:id="rId1812" ref="D448"/>
    <hyperlink r:id="rId1813" ref="E448"/>
    <hyperlink r:id="rId1814" ref="F448"/>
    <hyperlink r:id="rId1815" ref="E449"/>
    <hyperlink r:id="rId1816" ref="F449"/>
    <hyperlink r:id="rId1817" ref="E450"/>
    <hyperlink r:id="rId1818" ref="F450"/>
    <hyperlink r:id="rId1819" ref="AD450"/>
    <hyperlink r:id="rId1820" ref="AF450"/>
    <hyperlink r:id="rId1821" ref="AJ450"/>
    <hyperlink r:id="rId1822" ref="E451"/>
    <hyperlink r:id="rId1823" ref="F451"/>
    <hyperlink r:id="rId1824" ref="AJ451"/>
    <hyperlink r:id="rId1825" ref="BB451"/>
    <hyperlink r:id="rId1826" ref="D452"/>
    <hyperlink r:id="rId1827" ref="E452"/>
    <hyperlink r:id="rId1828" ref="F452"/>
    <hyperlink r:id="rId1829" ref="AD452"/>
    <hyperlink r:id="rId1830" ref="AF452"/>
    <hyperlink r:id="rId1831" ref="AH452"/>
    <hyperlink r:id="rId1832" ref="AJ452"/>
    <hyperlink r:id="rId1833" ref="D453"/>
    <hyperlink r:id="rId1834" ref="E453"/>
    <hyperlink r:id="rId1835" ref="F453"/>
    <hyperlink r:id="rId1836" ref="AD453"/>
    <hyperlink r:id="rId1837" ref="AF453"/>
    <hyperlink r:id="rId1838" ref="AJ453"/>
    <hyperlink r:id="rId1839" ref="AL453"/>
    <hyperlink r:id="rId1840" ref="D454"/>
    <hyperlink r:id="rId1841" ref="E454"/>
    <hyperlink r:id="rId1842" ref="F454"/>
    <hyperlink r:id="rId1843" ref="AJ454"/>
    <hyperlink r:id="rId1844" ref="D455"/>
    <hyperlink r:id="rId1845" ref="E455"/>
    <hyperlink r:id="rId1846" ref="F455"/>
    <hyperlink r:id="rId1847" ref="D456"/>
    <hyperlink r:id="rId1848" ref="E456"/>
    <hyperlink r:id="rId1849" ref="F456"/>
    <hyperlink r:id="rId1850" ref="AL456"/>
    <hyperlink r:id="rId1851" ref="AR456"/>
    <hyperlink r:id="rId1852" ref="D457"/>
    <hyperlink r:id="rId1853" ref="E457"/>
    <hyperlink r:id="rId1854" ref="F457"/>
    <hyperlink r:id="rId1855" ref="AF457"/>
    <hyperlink r:id="rId1856" ref="E458"/>
    <hyperlink r:id="rId1857" ref="E459"/>
    <hyperlink r:id="rId1858" ref="F459"/>
    <hyperlink r:id="rId1859" ref="AJ459"/>
    <hyperlink r:id="rId1860" ref="D460"/>
    <hyperlink r:id="rId1861" ref="E460"/>
    <hyperlink r:id="rId1862" ref="F460"/>
    <hyperlink r:id="rId1863" ref="AJ460"/>
    <hyperlink r:id="rId1864" ref="D461"/>
    <hyperlink r:id="rId1865" ref="E461"/>
    <hyperlink r:id="rId1866" ref="F461"/>
    <hyperlink r:id="rId1867" ref="AJ461"/>
    <hyperlink r:id="rId1868" ref="F462"/>
    <hyperlink r:id="rId1869" ref="AJ462"/>
    <hyperlink r:id="rId1870" ref="E463"/>
    <hyperlink r:id="rId1871" ref="F463"/>
    <hyperlink r:id="rId1872" ref="AD463"/>
    <hyperlink r:id="rId1873" ref="AF463"/>
    <hyperlink r:id="rId1874" ref="E464"/>
    <hyperlink r:id="rId1875" ref="F464"/>
    <hyperlink r:id="rId1876" ref="AL464"/>
    <hyperlink r:id="rId1877" ref="E465"/>
    <hyperlink r:id="rId1878" ref="F465"/>
    <hyperlink r:id="rId1879" ref="AF465"/>
    <hyperlink r:id="rId1880" ref="AJ465"/>
    <hyperlink r:id="rId1881" ref="D466"/>
    <hyperlink r:id="rId1882" ref="E466"/>
    <hyperlink r:id="rId1883" ref="F466"/>
    <hyperlink r:id="rId1884" ref="AJ466"/>
    <hyperlink r:id="rId1885" ref="AL466"/>
    <hyperlink r:id="rId1886" ref="E467"/>
    <hyperlink r:id="rId1887" ref="F467"/>
    <hyperlink r:id="rId1888" ref="E468"/>
    <hyperlink r:id="rId1889" ref="F468"/>
    <hyperlink r:id="rId1890" ref="D469"/>
    <hyperlink r:id="rId1891" ref="E469"/>
    <hyperlink r:id="rId1892" ref="F469"/>
    <hyperlink r:id="rId1893" ref="AJ469"/>
    <hyperlink r:id="rId1894" ref="E470"/>
    <hyperlink r:id="rId1895" ref="F470"/>
    <hyperlink r:id="rId1896" ref="AJ470"/>
    <hyperlink r:id="rId1897" ref="D471"/>
    <hyperlink r:id="rId1898" ref="E471"/>
    <hyperlink r:id="rId1899" ref="F471"/>
    <hyperlink r:id="rId1900" ref="AF471"/>
    <hyperlink r:id="rId1901" ref="AJ471"/>
    <hyperlink r:id="rId1902" ref="AL471"/>
    <hyperlink r:id="rId1903" location="section-overview" ref="E472"/>
    <hyperlink r:id="rId1904" ref="E473"/>
    <hyperlink r:id="rId1905" ref="F473"/>
    <hyperlink r:id="rId1906" ref="AF473"/>
    <hyperlink r:id="rId1907" ref="AJ473"/>
    <hyperlink r:id="rId1908" ref="D474"/>
    <hyperlink r:id="rId1909" ref="E474"/>
    <hyperlink r:id="rId1910" ref="F474"/>
    <hyperlink r:id="rId1911" ref="AD474"/>
    <hyperlink r:id="rId1912" ref="AF474"/>
    <hyperlink r:id="rId1913" ref="AJ474"/>
    <hyperlink r:id="rId1914" ref="AZ474"/>
    <hyperlink r:id="rId1915" ref="E475"/>
    <hyperlink r:id="rId1916" ref="F475"/>
    <hyperlink r:id="rId1917" ref="D476"/>
    <hyperlink r:id="rId1918" ref="E476"/>
    <hyperlink r:id="rId1919" ref="F476"/>
    <hyperlink r:id="rId1920" ref="AF476"/>
    <hyperlink r:id="rId1921" ref="AJ476"/>
    <hyperlink r:id="rId1922" ref="D477"/>
    <hyperlink r:id="rId1923" ref="E477"/>
    <hyperlink r:id="rId1924" ref="F477"/>
    <hyperlink r:id="rId1925" ref="AF477"/>
    <hyperlink r:id="rId1926" ref="AJ477"/>
    <hyperlink r:id="rId1927" ref="D478"/>
    <hyperlink r:id="rId1928" ref="E478"/>
    <hyperlink r:id="rId1929" ref="F478"/>
    <hyperlink r:id="rId1930" ref="AJ478"/>
    <hyperlink r:id="rId1931" ref="E479"/>
    <hyperlink r:id="rId1932" ref="F479"/>
    <hyperlink r:id="rId1933" ref="D480"/>
    <hyperlink r:id="rId1934" ref="E480"/>
    <hyperlink r:id="rId1935" ref="F480"/>
    <hyperlink r:id="rId1936" ref="AF480"/>
    <hyperlink r:id="rId1937" ref="AJ480"/>
    <hyperlink r:id="rId1938" ref="D481"/>
    <hyperlink r:id="rId1939" ref="E481"/>
    <hyperlink r:id="rId1940" ref="F481"/>
    <hyperlink r:id="rId1941" ref="E482"/>
    <hyperlink r:id="rId1942" ref="F482"/>
    <hyperlink r:id="rId1943" ref="A483"/>
    <hyperlink r:id="rId1944" ref="E483"/>
    <hyperlink r:id="rId1945" ref="F483"/>
    <hyperlink r:id="rId1946" ref="D484"/>
    <hyperlink r:id="rId1947" ref="F484"/>
    <hyperlink r:id="rId1948" ref="AF484"/>
    <hyperlink r:id="rId1949" ref="AJ484"/>
    <hyperlink r:id="rId1950" ref="E485"/>
    <hyperlink r:id="rId1951" ref="F485"/>
    <hyperlink r:id="rId1952" ref="AF485"/>
    <hyperlink r:id="rId1953" ref="AJ485"/>
    <hyperlink r:id="rId1954" ref="AL485"/>
    <hyperlink r:id="rId1955" ref="E486"/>
    <hyperlink r:id="rId1956" ref="F486"/>
    <hyperlink r:id="rId1957" ref="AD486"/>
    <hyperlink r:id="rId1958" ref="AF486"/>
    <hyperlink r:id="rId1959" ref="AJ486"/>
    <hyperlink r:id="rId1960" ref="AL486"/>
    <hyperlink r:id="rId1961" ref="AZ486"/>
    <hyperlink r:id="rId1962" ref="D487"/>
    <hyperlink r:id="rId1963" ref="E487"/>
    <hyperlink r:id="rId1964" ref="F487"/>
    <hyperlink r:id="rId1965" ref="AF487"/>
    <hyperlink r:id="rId1966" ref="AJ487"/>
    <hyperlink r:id="rId1967" ref="AL487"/>
    <hyperlink r:id="rId1968" ref="AN487"/>
    <hyperlink r:id="rId1969" ref="E490"/>
    <hyperlink r:id="rId1970" ref="F490"/>
    <hyperlink r:id="rId1971" ref="D491"/>
    <hyperlink r:id="rId1972" ref="E491"/>
    <hyperlink r:id="rId1973" ref="F491"/>
    <hyperlink r:id="rId1974" ref="AF491"/>
    <hyperlink r:id="rId1975" ref="AJ491"/>
    <hyperlink r:id="rId1976" ref="E492"/>
    <hyperlink r:id="rId1977" ref="F492"/>
    <hyperlink r:id="rId1978" ref="D493"/>
    <hyperlink r:id="rId1979" ref="E493"/>
    <hyperlink r:id="rId1980" ref="F493"/>
    <hyperlink r:id="rId1981" ref="AF493"/>
    <hyperlink r:id="rId1982" ref="AJ493"/>
    <hyperlink r:id="rId1983" ref="D496"/>
    <hyperlink r:id="rId1984" location="section-overview" ref="E496"/>
    <hyperlink r:id="rId1985" ref="F496"/>
    <hyperlink r:id="rId1986" ref="E497"/>
    <hyperlink r:id="rId1987" ref="F497"/>
    <hyperlink r:id="rId1988" ref="AF497"/>
    <hyperlink r:id="rId1989" ref="AJ497"/>
    <hyperlink r:id="rId1990" ref="D498"/>
    <hyperlink r:id="rId1991" ref="E498"/>
    <hyperlink r:id="rId1992" ref="F498"/>
    <hyperlink r:id="rId1993" ref="AZ498"/>
    <hyperlink r:id="rId1994" ref="D499"/>
    <hyperlink r:id="rId1995" ref="E499"/>
    <hyperlink r:id="rId1996" ref="F499"/>
    <hyperlink r:id="rId1997" ref="AF499"/>
    <hyperlink r:id="rId1998" ref="AJ499"/>
    <hyperlink r:id="rId1999" ref="D500"/>
    <hyperlink r:id="rId2000" ref="E500"/>
    <hyperlink r:id="rId2001" ref="F500"/>
    <hyperlink r:id="rId2002" ref="D501"/>
    <hyperlink r:id="rId2003" location="section-overview" ref="E501"/>
    <hyperlink r:id="rId2004" ref="F501"/>
    <hyperlink r:id="rId2005" ref="E502"/>
    <hyperlink r:id="rId2006" ref="F502"/>
    <hyperlink r:id="rId2007" ref="E503"/>
    <hyperlink r:id="rId2008" ref="F503"/>
    <hyperlink r:id="rId2009" ref="AJ503"/>
    <hyperlink r:id="rId2010" ref="BB503"/>
    <hyperlink r:id="rId2011" ref="E504"/>
    <hyperlink r:id="rId2012" ref="F504"/>
    <hyperlink r:id="rId2013" ref="AF504"/>
    <hyperlink r:id="rId2014" ref="AJ504"/>
    <hyperlink r:id="rId2015" ref="E505"/>
    <hyperlink r:id="rId2016" ref="D506"/>
    <hyperlink r:id="rId2017" ref="E506"/>
    <hyperlink r:id="rId2018" ref="F506"/>
    <hyperlink r:id="rId2019" ref="AJ506"/>
    <hyperlink r:id="rId2020" ref="AZ506"/>
    <hyperlink r:id="rId2021" ref="BB506"/>
    <hyperlink r:id="rId2022" location="section-overview" ref="E507"/>
    <hyperlink r:id="rId2023" ref="F507"/>
    <hyperlink r:id="rId2024" ref="D508"/>
    <hyperlink r:id="rId2025" ref="E508"/>
    <hyperlink r:id="rId2026" ref="F508"/>
    <hyperlink r:id="rId2027" ref="E509"/>
    <hyperlink r:id="rId2028" ref="F509"/>
    <hyperlink r:id="rId2029" ref="AJ509"/>
    <hyperlink r:id="rId2030" ref="E510"/>
    <hyperlink r:id="rId2031" ref="F510"/>
    <hyperlink r:id="rId2032" ref="AZ510"/>
    <hyperlink r:id="rId2033" ref="E511"/>
    <hyperlink r:id="rId2034" ref="D512"/>
    <hyperlink r:id="rId2035" ref="E512"/>
    <hyperlink r:id="rId2036" ref="F512"/>
    <hyperlink r:id="rId2037" ref="D513"/>
    <hyperlink r:id="rId2038" ref="E513"/>
    <hyperlink r:id="rId2039" ref="F513"/>
    <hyperlink r:id="rId2040" ref="AJ513"/>
    <hyperlink r:id="rId2041" ref="AL513"/>
    <hyperlink r:id="rId2042" ref="D514"/>
    <hyperlink r:id="rId2043" ref="E514"/>
    <hyperlink r:id="rId2044" ref="F514"/>
    <hyperlink r:id="rId2045" ref="AF514"/>
    <hyperlink r:id="rId2046" ref="AJ514"/>
    <hyperlink r:id="rId2047" ref="E515"/>
    <hyperlink r:id="rId2048" ref="F515"/>
    <hyperlink r:id="rId2049" ref="AF515"/>
    <hyperlink r:id="rId2050" ref="E516"/>
    <hyperlink r:id="rId2051" ref="F516"/>
    <hyperlink r:id="rId2052" ref="AD516"/>
    <hyperlink r:id="rId2053" ref="D517"/>
    <hyperlink r:id="rId2054" ref="E517"/>
    <hyperlink r:id="rId2055" ref="F517"/>
    <hyperlink r:id="rId2056" ref="D518"/>
    <hyperlink r:id="rId2057" ref="E518"/>
    <hyperlink r:id="rId2058" ref="F518"/>
    <hyperlink r:id="rId2059" ref="AF518"/>
    <hyperlink r:id="rId2060" ref="A519"/>
    <hyperlink r:id="rId2061" ref="D519"/>
    <hyperlink r:id="rId2062" ref="E519"/>
    <hyperlink r:id="rId2063" ref="F519"/>
    <hyperlink r:id="rId2064" ref="E520"/>
    <hyperlink r:id="rId2065" ref="F520"/>
    <hyperlink r:id="rId2066" ref="D521"/>
    <hyperlink r:id="rId2067" ref="E521"/>
    <hyperlink r:id="rId2068" ref="F521"/>
    <hyperlink r:id="rId2069" ref="AF521"/>
    <hyperlink r:id="rId2070" ref="AJ521"/>
    <hyperlink r:id="rId2071" ref="AL521"/>
    <hyperlink r:id="rId2072" ref="D522"/>
    <hyperlink r:id="rId2073" ref="E522"/>
    <hyperlink r:id="rId2074" ref="F522"/>
    <hyperlink r:id="rId2075" ref="AJ522"/>
    <hyperlink r:id="rId2076" ref="E523"/>
    <hyperlink r:id="rId2077" ref="F523"/>
    <hyperlink r:id="rId2078" ref="D524"/>
    <hyperlink r:id="rId2079" ref="E524"/>
    <hyperlink r:id="rId2080" ref="F524"/>
    <hyperlink r:id="rId2081" ref="AF524"/>
    <hyperlink r:id="rId2082" ref="AJ524"/>
    <hyperlink r:id="rId2083" ref="AZ524"/>
    <hyperlink r:id="rId2084" ref="D525"/>
    <hyperlink r:id="rId2085" ref="E525"/>
    <hyperlink r:id="rId2086" ref="F525"/>
    <hyperlink r:id="rId2087" ref="AF525"/>
    <hyperlink r:id="rId2088" ref="AJ525"/>
    <hyperlink r:id="rId2089" ref="D526"/>
    <hyperlink r:id="rId2090" ref="E526"/>
    <hyperlink r:id="rId2091" ref="F526"/>
    <hyperlink r:id="rId2092" ref="AF526"/>
    <hyperlink r:id="rId2093" ref="AJ526"/>
    <hyperlink r:id="rId2094" ref="AL526"/>
    <hyperlink r:id="rId2095" ref="D527"/>
    <hyperlink r:id="rId2096" ref="E527"/>
    <hyperlink r:id="rId2097" ref="F527"/>
    <hyperlink r:id="rId2098" ref="AD527"/>
    <hyperlink r:id="rId2099" ref="AF527"/>
    <hyperlink r:id="rId2100" ref="AJ527"/>
    <hyperlink r:id="rId2101" ref="D528"/>
    <hyperlink r:id="rId2102" ref="E528"/>
    <hyperlink r:id="rId2103" ref="F528"/>
    <hyperlink r:id="rId2104" ref="D529"/>
    <hyperlink r:id="rId2105" location="section-overview" ref="E529"/>
    <hyperlink r:id="rId2106" ref="F529"/>
    <hyperlink r:id="rId2107" ref="AZ529"/>
    <hyperlink r:id="rId2108" ref="E530"/>
    <hyperlink r:id="rId2109" ref="F530"/>
    <hyperlink r:id="rId2110" ref="D531"/>
    <hyperlink r:id="rId2111" ref="E531"/>
    <hyperlink r:id="rId2112" ref="F531"/>
    <hyperlink r:id="rId2113" ref="D532"/>
    <hyperlink r:id="rId2114" ref="E532"/>
    <hyperlink r:id="rId2115" ref="F532"/>
    <hyperlink r:id="rId2116" ref="D533"/>
    <hyperlink r:id="rId2117" ref="E533"/>
    <hyperlink r:id="rId2118" ref="F533"/>
    <hyperlink r:id="rId2119" ref="AJ533"/>
    <hyperlink r:id="rId2120" ref="E534"/>
    <hyperlink r:id="rId2121" ref="F534"/>
    <hyperlink r:id="rId2122" ref="AJ534"/>
    <hyperlink r:id="rId2123" ref="D535"/>
    <hyperlink r:id="rId2124" ref="E535"/>
    <hyperlink r:id="rId2125" ref="F535"/>
    <hyperlink r:id="rId2126" ref="AD535"/>
    <hyperlink r:id="rId2127" ref="AZ535"/>
    <hyperlink r:id="rId2128" ref="E536"/>
    <hyperlink r:id="rId2129" ref="F536"/>
    <hyperlink r:id="rId2130" ref="AF536"/>
    <hyperlink r:id="rId2131" ref="AJ536"/>
    <hyperlink r:id="rId2132" ref="AZ536"/>
    <hyperlink r:id="rId2133" ref="BB536"/>
    <hyperlink r:id="rId2134" ref="D537"/>
    <hyperlink r:id="rId2135" location="section-overview" ref="E537"/>
    <hyperlink r:id="rId2136" ref="F537"/>
    <hyperlink r:id="rId2137" ref="D538"/>
    <hyperlink r:id="rId2138" ref="E538"/>
    <hyperlink r:id="rId2139" ref="F538"/>
    <hyperlink r:id="rId2140" ref="E539"/>
    <hyperlink r:id="rId2141" ref="F539"/>
    <hyperlink r:id="rId2142" ref="D540"/>
    <hyperlink r:id="rId2143" ref="E540"/>
    <hyperlink r:id="rId2144" ref="F540"/>
    <hyperlink r:id="rId2145" ref="E541"/>
    <hyperlink r:id="rId2146" ref="F541"/>
    <hyperlink r:id="rId2147" ref="E542"/>
    <hyperlink r:id="rId2148" ref="F542"/>
    <hyperlink r:id="rId2149" ref="AF542"/>
    <hyperlink r:id="rId2150" ref="AJ542"/>
    <hyperlink r:id="rId2151" ref="D543"/>
    <hyperlink r:id="rId2152" ref="E543"/>
    <hyperlink r:id="rId2153" ref="D544"/>
    <hyperlink r:id="rId2154" ref="E544"/>
    <hyperlink r:id="rId2155" ref="F544"/>
    <hyperlink r:id="rId2156" ref="AF544"/>
    <hyperlink r:id="rId2157" ref="AJ544"/>
    <hyperlink r:id="rId2158" ref="E545"/>
    <hyperlink r:id="rId2159" ref="F545"/>
    <hyperlink r:id="rId2160" ref="D546"/>
    <hyperlink r:id="rId2161" location="section-overview" ref="E546"/>
    <hyperlink r:id="rId2162" ref="F546"/>
    <hyperlink r:id="rId2163" ref="D547"/>
    <hyperlink r:id="rId2164" location="section-overview" ref="E547"/>
    <hyperlink r:id="rId2165" ref="F547"/>
    <hyperlink r:id="rId2166" ref="D548"/>
    <hyperlink r:id="rId2167" ref="E548"/>
    <hyperlink r:id="rId2168" ref="F548"/>
    <hyperlink r:id="rId2169" ref="AF548"/>
    <hyperlink r:id="rId2170" ref="D549"/>
    <hyperlink r:id="rId2171" ref="E549"/>
    <hyperlink r:id="rId2172" ref="F549"/>
    <hyperlink r:id="rId2173" ref="D550"/>
    <hyperlink r:id="rId2174" ref="E550"/>
    <hyperlink r:id="rId2175" ref="F550"/>
    <hyperlink r:id="rId2176" ref="E551"/>
    <hyperlink r:id="rId2177" ref="F551"/>
    <hyperlink r:id="rId2178" ref="AL551"/>
    <hyperlink r:id="rId2179" ref="D552"/>
    <hyperlink r:id="rId2180" ref="E552"/>
    <hyperlink r:id="rId2181" ref="F552"/>
    <hyperlink r:id="rId2182" ref="D553"/>
    <hyperlink r:id="rId2183" ref="E553"/>
    <hyperlink r:id="rId2184" ref="F553"/>
    <hyperlink r:id="rId2185" ref="AF553"/>
    <hyperlink r:id="rId2186" ref="AJ553"/>
    <hyperlink r:id="rId2187" ref="E554"/>
    <hyperlink r:id="rId2188" ref="F554"/>
    <hyperlink r:id="rId2189" ref="AJ554"/>
    <hyperlink r:id="rId2190" ref="D555"/>
    <hyperlink r:id="rId2191" ref="E555"/>
    <hyperlink r:id="rId2192" ref="F555"/>
    <hyperlink r:id="rId2193" ref="AJ555"/>
    <hyperlink r:id="rId2194" ref="E556"/>
    <hyperlink r:id="rId2195" ref="F556"/>
    <hyperlink r:id="rId2196" ref="D557"/>
    <hyperlink r:id="rId2197" ref="E557"/>
    <hyperlink r:id="rId2198" ref="F557"/>
    <hyperlink r:id="rId2199" ref="E558"/>
    <hyperlink r:id="rId2200" ref="F558"/>
    <hyperlink r:id="rId2201" ref="D559"/>
    <hyperlink r:id="rId2202" ref="E559"/>
    <hyperlink r:id="rId2203" ref="F559"/>
    <hyperlink r:id="rId2204" ref="D560"/>
    <hyperlink r:id="rId2205" ref="E560"/>
    <hyperlink r:id="rId2206" ref="F560"/>
    <hyperlink r:id="rId2207" ref="AF560"/>
    <hyperlink r:id="rId2208" ref="AJ560"/>
    <hyperlink r:id="rId2209" ref="AL560"/>
    <hyperlink r:id="rId2210" ref="E561"/>
    <hyperlink r:id="rId2211" ref="F561"/>
    <hyperlink r:id="rId2212" ref="AF561"/>
    <hyperlink r:id="rId2213" ref="AZ561"/>
    <hyperlink r:id="rId2214" ref="BB561"/>
    <hyperlink r:id="rId2215" ref="D562"/>
    <hyperlink r:id="rId2216" ref="E562"/>
    <hyperlink r:id="rId2217" ref="F562"/>
    <hyperlink r:id="rId2218" ref="D563"/>
    <hyperlink r:id="rId2219" ref="E563"/>
    <hyperlink r:id="rId2220" ref="F563"/>
    <hyperlink r:id="rId2221" ref="AD563"/>
    <hyperlink r:id="rId2222" ref="AF563"/>
    <hyperlink r:id="rId2223" ref="AH563"/>
    <hyperlink r:id="rId2224" ref="AJ563"/>
    <hyperlink r:id="rId2225" ref="E564"/>
    <hyperlink r:id="rId2226" ref="F564"/>
    <hyperlink r:id="rId2227" ref="AF564"/>
    <hyperlink r:id="rId2228" ref="AJ564"/>
    <hyperlink r:id="rId2229" ref="D565"/>
    <hyperlink r:id="rId2230" ref="E565"/>
    <hyperlink r:id="rId2231" ref="F565"/>
    <hyperlink r:id="rId2232" ref="D566"/>
    <hyperlink r:id="rId2233" ref="E566"/>
    <hyperlink r:id="rId2234" ref="F566"/>
    <hyperlink r:id="rId2235" ref="AJ566"/>
    <hyperlink r:id="rId2236" ref="D567"/>
    <hyperlink r:id="rId2237" ref="E567"/>
    <hyperlink r:id="rId2238" ref="F567"/>
    <hyperlink r:id="rId2239" ref="D568"/>
    <hyperlink r:id="rId2240" ref="E568"/>
    <hyperlink r:id="rId2241" ref="F568"/>
    <hyperlink r:id="rId2242" ref="D569"/>
    <hyperlink r:id="rId2243" ref="E569"/>
    <hyperlink r:id="rId2244" ref="F569"/>
    <hyperlink r:id="rId2245" ref="AF569"/>
    <hyperlink r:id="rId2246" ref="AJ569"/>
    <hyperlink r:id="rId2247" ref="D570"/>
    <hyperlink r:id="rId2248" ref="AJ570"/>
    <hyperlink r:id="rId2249" ref="E571"/>
    <hyperlink r:id="rId2250" ref="F571"/>
    <hyperlink r:id="rId2251" ref="D572"/>
    <hyperlink r:id="rId2252" ref="E572"/>
    <hyperlink r:id="rId2253" ref="F572"/>
    <hyperlink r:id="rId2254" ref="D573"/>
    <hyperlink r:id="rId2255" location="section-overview" ref="E573"/>
    <hyperlink r:id="rId2256" ref="F573"/>
    <hyperlink r:id="rId2257" ref="D574"/>
    <hyperlink r:id="rId2258" ref="E574"/>
    <hyperlink r:id="rId2259" ref="F574"/>
    <hyperlink r:id="rId2260" ref="E575"/>
    <hyperlink r:id="rId2261" ref="F575"/>
    <hyperlink r:id="rId2262" ref="AJ575"/>
    <hyperlink r:id="rId2263" ref="E576"/>
    <hyperlink r:id="rId2264" ref="F576"/>
    <hyperlink r:id="rId2265" ref="D577"/>
    <hyperlink r:id="rId2266" ref="E577"/>
    <hyperlink r:id="rId2267" ref="F577"/>
    <hyperlink r:id="rId2268" ref="AF577"/>
    <hyperlink r:id="rId2269" ref="AJ577"/>
    <hyperlink r:id="rId2270" ref="D578"/>
    <hyperlink r:id="rId2271" ref="E578"/>
    <hyperlink r:id="rId2272" ref="F578"/>
    <hyperlink r:id="rId2273" ref="AF578"/>
    <hyperlink r:id="rId2274" ref="AJ578"/>
    <hyperlink r:id="rId2275" ref="E579"/>
    <hyperlink r:id="rId2276" ref="F579"/>
    <hyperlink r:id="rId2277" ref="AF579"/>
    <hyperlink r:id="rId2278" ref="AH579"/>
    <hyperlink r:id="rId2279" ref="AJ579"/>
    <hyperlink r:id="rId2280" ref="AL579"/>
    <hyperlink r:id="rId2281" ref="AZ579"/>
    <hyperlink r:id="rId2282" ref="BB579"/>
    <hyperlink r:id="rId2283" ref="D580"/>
    <hyperlink r:id="rId2284" ref="E580"/>
    <hyperlink r:id="rId2285" ref="F580"/>
    <hyperlink r:id="rId2286" ref="D581"/>
    <hyperlink r:id="rId2287" ref="E581"/>
    <hyperlink r:id="rId2288" ref="F581"/>
    <hyperlink r:id="rId2289" ref="AF581"/>
    <hyperlink r:id="rId2290" ref="AJ581"/>
    <hyperlink r:id="rId2291" ref="AL581"/>
    <hyperlink r:id="rId2292" ref="D582"/>
    <hyperlink r:id="rId2293" ref="E582"/>
    <hyperlink r:id="rId2294" ref="F582"/>
    <hyperlink r:id="rId2295" ref="AZ582"/>
    <hyperlink r:id="rId2296" ref="D583"/>
    <hyperlink r:id="rId2297" ref="E583"/>
    <hyperlink r:id="rId2298" ref="F583"/>
    <hyperlink r:id="rId2299" ref="AF583"/>
    <hyperlink r:id="rId2300" ref="AJ583"/>
    <hyperlink r:id="rId2301" ref="AZ583"/>
    <hyperlink r:id="rId2302" ref="D584"/>
    <hyperlink r:id="rId2303" ref="E584"/>
    <hyperlink r:id="rId2304" ref="F584"/>
    <hyperlink r:id="rId2305" ref="AF584"/>
    <hyperlink r:id="rId2306" ref="AJ584"/>
    <hyperlink r:id="rId2307" ref="AZ584"/>
    <hyperlink r:id="rId2308" ref="D585"/>
    <hyperlink r:id="rId2309" ref="E585"/>
    <hyperlink r:id="rId2310" ref="F585"/>
    <hyperlink r:id="rId2311" ref="AF585"/>
    <hyperlink r:id="rId2312" ref="AJ585"/>
    <hyperlink r:id="rId2313" ref="E586"/>
    <hyperlink r:id="rId2314" ref="F586"/>
    <hyperlink r:id="rId2315" ref="AF586"/>
    <hyperlink r:id="rId2316" ref="AJ586"/>
    <hyperlink r:id="rId2317" ref="D587"/>
    <hyperlink r:id="rId2318" ref="E587"/>
    <hyperlink r:id="rId2319" ref="F587"/>
    <hyperlink r:id="rId2320" ref="AF587"/>
    <hyperlink r:id="rId2321" ref="AJ587"/>
    <hyperlink r:id="rId2322" ref="D588"/>
    <hyperlink r:id="rId2323" ref="E588"/>
    <hyperlink r:id="rId2324" ref="F588"/>
    <hyperlink r:id="rId2325" ref="D589"/>
    <hyperlink r:id="rId2326" location="section-overview" ref="E589"/>
    <hyperlink r:id="rId2327" ref="F589"/>
    <hyperlink r:id="rId2328" ref="D590"/>
    <hyperlink r:id="rId2329" ref="E590"/>
    <hyperlink r:id="rId2330" ref="F590"/>
    <hyperlink r:id="rId2331" ref="D591"/>
    <hyperlink r:id="rId2332" ref="E591"/>
    <hyperlink r:id="rId2333" ref="F591"/>
    <hyperlink r:id="rId2334" ref="D592"/>
    <hyperlink r:id="rId2335" ref="E592"/>
    <hyperlink r:id="rId2336" ref="F592"/>
    <hyperlink r:id="rId2337" ref="D593"/>
    <hyperlink r:id="rId2338" ref="E593"/>
    <hyperlink r:id="rId2339" ref="F593"/>
    <hyperlink r:id="rId2340" ref="E594"/>
    <hyperlink r:id="rId2341" ref="F594"/>
    <hyperlink r:id="rId2342" ref="E595"/>
    <hyperlink r:id="rId2343" ref="F595"/>
    <hyperlink r:id="rId2344" ref="E596"/>
    <hyperlink r:id="rId2345" ref="F596"/>
    <hyperlink r:id="rId2346" ref="AF596"/>
    <hyperlink r:id="rId2347" ref="D597"/>
    <hyperlink r:id="rId2348" ref="E597"/>
    <hyperlink r:id="rId2349" ref="F597"/>
    <hyperlink r:id="rId2350" ref="AD597"/>
    <hyperlink r:id="rId2351" ref="AF597"/>
    <hyperlink r:id="rId2352" ref="AJ597"/>
    <hyperlink r:id="rId2353" ref="E598"/>
    <hyperlink r:id="rId2354" ref="F598"/>
    <hyperlink r:id="rId2355" ref="AJ598"/>
    <hyperlink r:id="rId2356" ref="AL598"/>
    <hyperlink r:id="rId2357" ref="D599"/>
    <hyperlink r:id="rId2358" ref="E599"/>
    <hyperlink r:id="rId2359" ref="F599"/>
    <hyperlink r:id="rId2360" ref="AF599"/>
    <hyperlink r:id="rId2361" ref="AJ599"/>
    <hyperlink r:id="rId2362" location="section-overview" ref="E600"/>
    <hyperlink r:id="rId2363" ref="F600"/>
    <hyperlink r:id="rId2364" ref="E601"/>
    <hyperlink r:id="rId2365" ref="F601"/>
    <hyperlink r:id="rId2366" ref="AJ601"/>
    <hyperlink r:id="rId2367" ref="E602"/>
    <hyperlink r:id="rId2368" ref="F602"/>
    <hyperlink r:id="rId2369" ref="AF602"/>
    <hyperlink r:id="rId2370" ref="AH602"/>
    <hyperlink r:id="rId2371" ref="AJ602"/>
    <hyperlink r:id="rId2372" ref="D603"/>
    <hyperlink r:id="rId2373" ref="E603"/>
    <hyperlink r:id="rId2374" ref="F603"/>
    <hyperlink r:id="rId2375" ref="AG603"/>
    <hyperlink r:id="rId2376" ref="AJ603"/>
    <hyperlink r:id="rId2377" ref="D604"/>
    <hyperlink r:id="rId2378" ref="E604"/>
    <hyperlink r:id="rId2379" ref="F604"/>
    <hyperlink r:id="rId2380" ref="AF604"/>
    <hyperlink r:id="rId2381" ref="BB604"/>
    <hyperlink r:id="rId2382" ref="D605"/>
    <hyperlink r:id="rId2383" location="section-overview" ref="E605"/>
    <hyperlink r:id="rId2384" ref="F605"/>
    <hyperlink r:id="rId2385" ref="D606"/>
    <hyperlink r:id="rId2386" ref="E606"/>
    <hyperlink r:id="rId2387" ref="F606"/>
    <hyperlink r:id="rId2388" ref="E607"/>
    <hyperlink r:id="rId2389" ref="D608"/>
    <hyperlink r:id="rId2390" location="section-overview" ref="E608"/>
    <hyperlink r:id="rId2391" ref="F608"/>
    <hyperlink r:id="rId2392" ref="D609"/>
    <hyperlink r:id="rId2393" location="section-overview" ref="E609"/>
    <hyperlink r:id="rId2394" ref="F609"/>
    <hyperlink r:id="rId2395" ref="E610"/>
    <hyperlink r:id="rId2396" ref="F610"/>
    <hyperlink r:id="rId2397" ref="AF610"/>
    <hyperlink r:id="rId2398" ref="AJ610"/>
    <hyperlink r:id="rId2399" ref="E611"/>
    <hyperlink r:id="rId2400" ref="F611"/>
    <hyperlink r:id="rId2401" ref="D612"/>
    <hyperlink r:id="rId2402" ref="E612"/>
    <hyperlink r:id="rId2403" ref="F612"/>
    <hyperlink r:id="rId2404" ref="AZ612"/>
    <hyperlink r:id="rId2405" ref="BB612"/>
    <hyperlink r:id="rId2406" ref="D613"/>
    <hyperlink r:id="rId2407" ref="E613"/>
    <hyperlink r:id="rId2408" ref="F613"/>
    <hyperlink r:id="rId2409" ref="D614"/>
    <hyperlink r:id="rId2410" ref="E614"/>
    <hyperlink r:id="rId2411" ref="F614"/>
    <hyperlink r:id="rId2412" ref="AD614"/>
    <hyperlink r:id="rId2413" ref="AF614"/>
    <hyperlink r:id="rId2414" location="section-overview" ref="E615"/>
    <hyperlink r:id="rId2415" ref="F615"/>
    <hyperlink r:id="rId2416" ref="D616"/>
    <hyperlink r:id="rId2417" ref="E616"/>
    <hyperlink r:id="rId2418" ref="F616"/>
    <hyperlink r:id="rId2419" ref="AD616"/>
    <hyperlink r:id="rId2420" ref="AF616"/>
    <hyperlink r:id="rId2421" location="section-overview" ref="E617"/>
    <hyperlink r:id="rId2422" ref="F617"/>
    <hyperlink r:id="rId2423" location="section-overview" ref="E618"/>
    <hyperlink r:id="rId2424" ref="F618"/>
    <hyperlink r:id="rId2425" ref="E619"/>
    <hyperlink r:id="rId2426" ref="F619"/>
    <hyperlink r:id="rId2427" ref="AJ619"/>
    <hyperlink r:id="rId2428" ref="E620"/>
    <hyperlink r:id="rId2429" ref="F620"/>
    <hyperlink r:id="rId2430" ref="AF620"/>
    <hyperlink r:id="rId2431" ref="D621"/>
    <hyperlink r:id="rId2432" ref="E621"/>
    <hyperlink r:id="rId2433" ref="F621"/>
    <hyperlink r:id="rId2434" ref="AF621"/>
    <hyperlink r:id="rId2435" ref="E622"/>
    <hyperlink r:id="rId2436" ref="F622"/>
    <hyperlink r:id="rId2437" ref="D624"/>
    <hyperlink r:id="rId2438" ref="E624"/>
    <hyperlink r:id="rId2439" ref="F624"/>
    <hyperlink r:id="rId2440" ref="E625"/>
    <hyperlink r:id="rId2441" ref="F625"/>
    <hyperlink r:id="rId2442" ref="D626"/>
    <hyperlink r:id="rId2443" ref="E626"/>
    <hyperlink r:id="rId2444" ref="F626"/>
    <hyperlink r:id="rId2445" ref="AD626"/>
    <hyperlink r:id="rId2446" ref="AF626"/>
    <hyperlink r:id="rId2447" ref="AJ626"/>
    <hyperlink r:id="rId2448" ref="BB626"/>
    <hyperlink r:id="rId2449" ref="E627"/>
    <hyperlink r:id="rId2450" ref="F627"/>
    <hyperlink r:id="rId2451" ref="AF627"/>
    <hyperlink r:id="rId2452" ref="AJ627"/>
    <hyperlink r:id="rId2453" ref="E628"/>
    <hyperlink r:id="rId2454" ref="F628"/>
    <hyperlink r:id="rId2455" ref="AF628"/>
    <hyperlink r:id="rId2456" ref="AJ628"/>
    <hyperlink r:id="rId2457" ref="A629"/>
    <hyperlink r:id="rId2458" ref="E629"/>
    <hyperlink r:id="rId2459" ref="F629"/>
    <hyperlink r:id="rId2460" ref="AF629"/>
    <hyperlink r:id="rId2461" ref="AJ629"/>
    <hyperlink r:id="rId2462" ref="E630"/>
    <hyperlink r:id="rId2463" ref="F630"/>
    <hyperlink r:id="rId2464" ref="AJ630"/>
    <hyperlink r:id="rId2465" ref="AL630"/>
    <hyperlink r:id="rId2466" ref="D631"/>
    <hyperlink r:id="rId2467" ref="E631"/>
    <hyperlink r:id="rId2468" ref="F631"/>
    <hyperlink r:id="rId2469" ref="D632"/>
    <hyperlink r:id="rId2470" ref="E632"/>
    <hyperlink r:id="rId2471" ref="F632"/>
    <hyperlink r:id="rId2472" ref="D633"/>
    <hyperlink r:id="rId2473" ref="E633"/>
    <hyperlink r:id="rId2474" ref="F633"/>
    <hyperlink r:id="rId2475" ref="AJ633"/>
    <hyperlink r:id="rId2476" ref="D634"/>
    <hyperlink r:id="rId2477" ref="E634"/>
    <hyperlink r:id="rId2478" ref="F634"/>
    <hyperlink r:id="rId2479" ref="AD634"/>
    <hyperlink r:id="rId2480" ref="AF634"/>
    <hyperlink r:id="rId2481" ref="AJ634"/>
    <hyperlink r:id="rId2482" ref="AZ634"/>
    <hyperlink r:id="rId2483" ref="D635"/>
    <hyperlink r:id="rId2484" ref="E635"/>
    <hyperlink r:id="rId2485" ref="F635"/>
    <hyperlink r:id="rId2486" ref="AJ635"/>
    <hyperlink r:id="rId2487" ref="AL635"/>
    <hyperlink r:id="rId2488" ref="D636"/>
    <hyperlink r:id="rId2489" location="section-overview" ref="E636"/>
    <hyperlink r:id="rId2490" ref="F636"/>
    <hyperlink r:id="rId2491" ref="AF636"/>
    <hyperlink r:id="rId2492" ref="E637"/>
    <hyperlink r:id="rId2493" ref="F637"/>
    <hyperlink r:id="rId2494" ref="AF637"/>
    <hyperlink r:id="rId2495" ref="AJ637"/>
    <hyperlink r:id="rId2496" ref="D638"/>
    <hyperlink r:id="rId2497" ref="E638"/>
    <hyperlink r:id="rId2498" ref="F638"/>
    <hyperlink r:id="rId2499" ref="AD638"/>
    <hyperlink r:id="rId2500" ref="AF638"/>
    <hyperlink r:id="rId2501" ref="E639"/>
    <hyperlink r:id="rId2502" ref="F639"/>
    <hyperlink r:id="rId2503" ref="AF639"/>
    <hyperlink r:id="rId2504" ref="BB639"/>
    <hyperlink r:id="rId2505" ref="D640"/>
    <hyperlink r:id="rId2506" ref="E640"/>
    <hyperlink r:id="rId2507" ref="F640"/>
    <hyperlink r:id="rId2508" ref="AL640"/>
    <hyperlink r:id="rId2509" ref="D641"/>
    <hyperlink r:id="rId2510" ref="E641"/>
    <hyperlink r:id="rId2511" ref="F641"/>
    <hyperlink r:id="rId2512" ref="AL641"/>
    <hyperlink r:id="rId2513" ref="D642"/>
    <hyperlink r:id="rId2514" ref="E642"/>
    <hyperlink r:id="rId2515" ref="F642"/>
    <hyperlink r:id="rId2516" ref="D643"/>
    <hyperlink r:id="rId2517" location="section-overview" ref="E643"/>
    <hyperlink r:id="rId2518" ref="F643"/>
    <hyperlink r:id="rId2519" ref="E644"/>
    <hyperlink r:id="rId2520" ref="F644"/>
    <hyperlink r:id="rId2521" ref="AJ644"/>
    <hyperlink r:id="rId2522" ref="D645"/>
    <hyperlink r:id="rId2523" ref="E645"/>
    <hyperlink r:id="rId2524" ref="F645"/>
    <hyperlink r:id="rId2525" ref="D646"/>
    <hyperlink r:id="rId2526" ref="E646"/>
    <hyperlink r:id="rId2527" ref="F646"/>
    <hyperlink r:id="rId2528" ref="AF646"/>
    <hyperlink r:id="rId2529" ref="D647"/>
    <hyperlink r:id="rId2530" ref="E647"/>
    <hyperlink r:id="rId2531" ref="F647"/>
    <hyperlink r:id="rId2532" ref="AF647"/>
    <hyperlink r:id="rId2533" ref="AJ647"/>
    <hyperlink r:id="rId2534" ref="AZ647"/>
    <hyperlink r:id="rId2535" ref="D648"/>
    <hyperlink r:id="rId2536" ref="E648"/>
    <hyperlink r:id="rId2537" ref="F648"/>
    <hyperlink r:id="rId2538" ref="D649"/>
    <hyperlink r:id="rId2539" ref="E649"/>
    <hyperlink r:id="rId2540" ref="F649"/>
    <hyperlink r:id="rId2541" ref="AD649"/>
    <hyperlink r:id="rId2542" ref="AF649"/>
    <hyperlink r:id="rId2543" ref="D650"/>
    <hyperlink r:id="rId2544" ref="E650"/>
    <hyperlink r:id="rId2545" ref="F650"/>
    <hyperlink r:id="rId2546" ref="D651"/>
    <hyperlink r:id="rId2547" ref="E651"/>
    <hyperlink r:id="rId2548" ref="F651"/>
    <hyperlink r:id="rId2549" ref="AJ651"/>
    <hyperlink r:id="rId2550" ref="D652"/>
    <hyperlink r:id="rId2551" ref="E652"/>
    <hyperlink r:id="rId2552" ref="F652"/>
    <hyperlink r:id="rId2553" ref="E653"/>
    <hyperlink r:id="rId2554" ref="F653"/>
    <hyperlink r:id="rId2555" ref="AJ653"/>
    <hyperlink r:id="rId2556" ref="D654"/>
    <hyperlink r:id="rId2557" ref="E654"/>
    <hyperlink r:id="rId2558" ref="F654"/>
    <hyperlink r:id="rId2559" ref="AD654"/>
    <hyperlink r:id="rId2560" ref="AF654"/>
    <hyperlink r:id="rId2561" ref="AJ654"/>
    <hyperlink r:id="rId2562" ref="D655"/>
    <hyperlink r:id="rId2563" ref="E655"/>
    <hyperlink r:id="rId2564" ref="F655"/>
    <hyperlink r:id="rId2565" ref="AD655"/>
    <hyperlink r:id="rId2566" ref="AF655"/>
    <hyperlink r:id="rId2567" ref="AJ655"/>
    <hyperlink r:id="rId2568" ref="D656"/>
    <hyperlink r:id="rId2569" ref="E656"/>
    <hyperlink r:id="rId2570" ref="F656"/>
    <hyperlink r:id="rId2571" ref="AF656"/>
    <hyperlink r:id="rId2572" ref="E657"/>
    <hyperlink r:id="rId2573" ref="F657"/>
    <hyperlink r:id="rId2574" ref="D658"/>
    <hyperlink r:id="rId2575" ref="E658"/>
    <hyperlink r:id="rId2576" ref="F658"/>
    <hyperlink r:id="rId2577" ref="AD658"/>
    <hyperlink r:id="rId2578" ref="AF658"/>
    <hyperlink r:id="rId2579" ref="BB658"/>
    <hyperlink r:id="rId2580" ref="D659"/>
    <hyperlink r:id="rId2581" ref="E659"/>
    <hyperlink r:id="rId2582" ref="F659"/>
    <hyperlink r:id="rId2583" ref="AF659"/>
    <hyperlink r:id="rId2584" ref="AZ659"/>
    <hyperlink r:id="rId2585" ref="E660"/>
    <hyperlink r:id="rId2586" ref="F660"/>
    <hyperlink r:id="rId2587" ref="D661"/>
    <hyperlink r:id="rId2588" ref="E661"/>
    <hyperlink r:id="rId2589" ref="F661"/>
    <hyperlink r:id="rId2590" ref="AD661"/>
    <hyperlink r:id="rId2591" ref="AF661"/>
    <hyperlink r:id="rId2592" ref="AJ661"/>
    <hyperlink r:id="rId2593" ref="D662"/>
    <hyperlink r:id="rId2594" ref="E662"/>
    <hyperlink r:id="rId2595" ref="F662"/>
    <hyperlink r:id="rId2596" ref="D663"/>
    <hyperlink r:id="rId2597" ref="E663"/>
    <hyperlink r:id="rId2598" ref="F663"/>
    <hyperlink r:id="rId2599" ref="H663"/>
    <hyperlink r:id="rId2600" ref="D664"/>
    <hyperlink r:id="rId2601" ref="E664"/>
    <hyperlink r:id="rId2602" ref="F664"/>
    <hyperlink r:id="rId2603" ref="AD664"/>
    <hyperlink r:id="rId2604" ref="AF664"/>
    <hyperlink r:id="rId2605" ref="E665"/>
    <hyperlink r:id="rId2606" ref="F665"/>
    <hyperlink r:id="rId2607" ref="AJ665"/>
    <hyperlink r:id="rId2608" ref="AL665"/>
    <hyperlink r:id="rId2609" ref="AN665"/>
    <hyperlink r:id="rId2610" ref="D666"/>
    <hyperlink r:id="rId2611" ref="E666"/>
    <hyperlink r:id="rId2612" ref="F666"/>
    <hyperlink r:id="rId2613" ref="AF666"/>
    <hyperlink r:id="rId2614" ref="AJ666"/>
    <hyperlink r:id="rId2615" ref="D667"/>
    <hyperlink r:id="rId2616" ref="E667"/>
    <hyperlink r:id="rId2617" ref="F667"/>
    <hyperlink r:id="rId2618" ref="E668"/>
    <hyperlink r:id="rId2619" ref="F668"/>
    <hyperlink r:id="rId2620" ref="AF668"/>
    <hyperlink r:id="rId2621" ref="D669"/>
    <hyperlink r:id="rId2622" ref="E669"/>
    <hyperlink r:id="rId2623" ref="F669"/>
    <hyperlink r:id="rId2624" ref="E670"/>
    <hyperlink r:id="rId2625" ref="F670"/>
    <hyperlink r:id="rId2626" ref="AZ670"/>
    <hyperlink r:id="rId2627" location="section-overview" ref="E672"/>
    <hyperlink r:id="rId2628" ref="F672"/>
    <hyperlink r:id="rId2629" ref="D673"/>
    <hyperlink r:id="rId2630" ref="E673"/>
    <hyperlink r:id="rId2631" ref="F673"/>
    <hyperlink r:id="rId2632" ref="D674"/>
    <hyperlink r:id="rId2633" ref="E674"/>
    <hyperlink r:id="rId2634" ref="F674"/>
    <hyperlink r:id="rId2635" ref="AJ674"/>
    <hyperlink r:id="rId2636" ref="E675"/>
    <hyperlink r:id="rId2637" ref="F675"/>
    <hyperlink r:id="rId2638" ref="AJ675"/>
    <hyperlink r:id="rId2639" ref="E676"/>
    <hyperlink r:id="rId2640" ref="F676"/>
    <hyperlink r:id="rId2641" ref="AF676"/>
    <hyperlink r:id="rId2642" ref="E677"/>
    <hyperlink r:id="rId2643" ref="F677"/>
    <hyperlink r:id="rId2644" ref="AJ677"/>
    <hyperlink r:id="rId2645" ref="AZ677"/>
    <hyperlink r:id="rId2646" ref="E678"/>
    <hyperlink r:id="rId2647" ref="F678"/>
    <hyperlink r:id="rId2648" ref="AF678"/>
    <hyperlink r:id="rId2649" ref="E679"/>
    <hyperlink r:id="rId2650" ref="F679"/>
    <hyperlink r:id="rId2651" ref="AF679"/>
    <hyperlink r:id="rId2652" ref="D680"/>
    <hyperlink r:id="rId2653" ref="E680"/>
    <hyperlink r:id="rId2654" ref="F680"/>
    <hyperlink r:id="rId2655" ref="AF680"/>
    <hyperlink r:id="rId2656" ref="AJ680"/>
    <hyperlink r:id="rId2657" ref="D681"/>
    <hyperlink r:id="rId2658" ref="E681"/>
    <hyperlink r:id="rId2659" ref="F681"/>
    <hyperlink r:id="rId2660" ref="AF681"/>
    <hyperlink r:id="rId2661" ref="AJ681"/>
    <hyperlink r:id="rId2662" ref="D682"/>
    <hyperlink r:id="rId2663" ref="E682"/>
    <hyperlink r:id="rId2664" ref="F682"/>
    <hyperlink r:id="rId2665" ref="AD682"/>
    <hyperlink r:id="rId2666" ref="AF682"/>
    <hyperlink r:id="rId2667" ref="D683"/>
    <hyperlink r:id="rId2668" ref="E683"/>
    <hyperlink r:id="rId2669" ref="AJ683"/>
    <hyperlink r:id="rId2670" ref="AL683"/>
    <hyperlink r:id="rId2671" ref="AN683"/>
    <hyperlink r:id="rId2672" ref="D684"/>
    <hyperlink r:id="rId2673" location="section-overview" ref="E684"/>
    <hyperlink r:id="rId2674" ref="F684"/>
    <hyperlink r:id="rId2675" ref="E685"/>
    <hyperlink r:id="rId2676" ref="F685"/>
    <hyperlink r:id="rId2677" ref="E686"/>
    <hyperlink r:id="rId2678" ref="F686"/>
    <hyperlink r:id="rId2679" ref="AF686"/>
    <hyperlink r:id="rId2680" ref="E687"/>
    <hyperlink r:id="rId2681" ref="F687"/>
    <hyperlink r:id="rId2682" ref="D688"/>
    <hyperlink r:id="rId2683" ref="E688"/>
    <hyperlink r:id="rId2684" ref="F688"/>
    <hyperlink r:id="rId2685" ref="AD688"/>
    <hyperlink r:id="rId2686" ref="AF688"/>
    <hyperlink r:id="rId2687" ref="D689"/>
    <hyperlink r:id="rId2688" ref="E689"/>
    <hyperlink r:id="rId2689" ref="F689"/>
    <hyperlink r:id="rId2690" ref="AF689"/>
    <hyperlink r:id="rId2691" ref="E690"/>
    <hyperlink r:id="rId2692" ref="F690"/>
    <hyperlink r:id="rId2693" ref="D691"/>
    <hyperlink r:id="rId2694" ref="E691"/>
    <hyperlink r:id="rId2695" ref="F691"/>
    <hyperlink r:id="rId2696" ref="AD691"/>
    <hyperlink r:id="rId2697" ref="AF691"/>
    <hyperlink r:id="rId2698" ref="AJ691"/>
    <hyperlink r:id="rId2699" ref="D692"/>
    <hyperlink r:id="rId2700" ref="E692"/>
    <hyperlink r:id="rId2701" location="/home" ref="F692"/>
    <hyperlink r:id="rId2702" ref="AD692"/>
    <hyperlink r:id="rId2703" ref="AF692"/>
    <hyperlink r:id="rId2704" ref="AZ692"/>
    <hyperlink r:id="rId2705" ref="D693"/>
    <hyperlink r:id="rId2706" ref="E693"/>
    <hyperlink r:id="rId2707" ref="F693"/>
    <hyperlink r:id="rId2708" ref="AF693"/>
    <hyperlink r:id="rId2709" ref="AJ693"/>
    <hyperlink r:id="rId2710" ref="D694"/>
    <hyperlink r:id="rId2711" ref="E694"/>
    <hyperlink r:id="rId2712" ref="F694"/>
    <hyperlink r:id="rId2713" ref="E695"/>
    <hyperlink r:id="rId2714" ref="F695"/>
    <hyperlink r:id="rId2715" ref="AD695"/>
    <hyperlink r:id="rId2716" ref="AF695"/>
    <hyperlink r:id="rId2717" ref="BB695"/>
    <hyperlink r:id="rId2718" ref="D696"/>
    <hyperlink r:id="rId2719" ref="E696"/>
    <hyperlink r:id="rId2720" ref="F696"/>
    <hyperlink r:id="rId2721" ref="E697"/>
    <hyperlink r:id="rId2722" ref="F697"/>
    <hyperlink r:id="rId2723" ref="D698"/>
    <hyperlink r:id="rId2724" ref="E698"/>
    <hyperlink r:id="rId2725" ref="F698"/>
    <hyperlink r:id="rId2726" ref="AF698"/>
    <hyperlink r:id="rId2727" ref="AL698"/>
    <hyperlink r:id="rId2728" ref="D699"/>
    <hyperlink r:id="rId2729" ref="E699"/>
    <hyperlink r:id="rId2730" ref="F699"/>
    <hyperlink r:id="rId2731" ref="AD699"/>
    <hyperlink r:id="rId2732" ref="AJ699"/>
    <hyperlink r:id="rId2733" ref="D700"/>
    <hyperlink r:id="rId2734" ref="E700"/>
    <hyperlink r:id="rId2735" ref="F700"/>
    <hyperlink r:id="rId2736" ref="D701"/>
    <hyperlink r:id="rId2737" ref="E701"/>
    <hyperlink r:id="rId2738" ref="F701"/>
    <hyperlink r:id="rId2739" ref="D702"/>
    <hyperlink r:id="rId2740" ref="F702"/>
    <hyperlink r:id="rId2741" ref="AF702"/>
    <hyperlink r:id="rId2742" ref="D703"/>
    <hyperlink r:id="rId2743" ref="E703"/>
    <hyperlink r:id="rId2744" ref="F703"/>
    <hyperlink r:id="rId2745" ref="AD703"/>
    <hyperlink r:id="rId2746" ref="AF703"/>
    <hyperlink r:id="rId2747" ref="D704"/>
    <hyperlink r:id="rId2748" ref="E704"/>
    <hyperlink r:id="rId2749" ref="F704"/>
    <hyperlink r:id="rId2750" ref="AF704"/>
    <hyperlink r:id="rId2751" ref="D705"/>
    <hyperlink r:id="rId2752" ref="E705"/>
    <hyperlink r:id="rId2753" ref="F705"/>
    <hyperlink r:id="rId2754" ref="D706"/>
    <hyperlink r:id="rId2755" ref="E706"/>
    <hyperlink r:id="rId2756" ref="F706"/>
    <hyperlink r:id="rId2757" ref="D707"/>
    <hyperlink r:id="rId2758" ref="E707"/>
    <hyperlink r:id="rId2759" ref="F707"/>
    <hyperlink r:id="rId2760" ref="AF707"/>
    <hyperlink r:id="rId2761" ref="AJ707"/>
    <hyperlink r:id="rId2762" ref="D708"/>
    <hyperlink r:id="rId2763" ref="E708"/>
    <hyperlink r:id="rId2764" ref="F708"/>
    <hyperlink r:id="rId2765" ref="D709"/>
    <hyperlink r:id="rId2766" ref="E709"/>
    <hyperlink r:id="rId2767" ref="F709"/>
    <hyperlink r:id="rId2768" ref="D710"/>
    <hyperlink r:id="rId2769" ref="E710"/>
    <hyperlink r:id="rId2770" ref="F710"/>
    <hyperlink r:id="rId2771" ref="AD710"/>
    <hyperlink r:id="rId2772" ref="AF710"/>
    <hyperlink r:id="rId2773" ref="E711"/>
    <hyperlink r:id="rId2774" ref="F711"/>
    <hyperlink r:id="rId2775" ref="D712"/>
    <hyperlink r:id="rId2776" ref="E712"/>
    <hyperlink r:id="rId2777" ref="F712"/>
    <hyperlink r:id="rId2778" ref="D713"/>
    <hyperlink r:id="rId2779" ref="E713"/>
    <hyperlink r:id="rId2780" ref="F713"/>
    <hyperlink r:id="rId2781" ref="D714"/>
    <hyperlink r:id="rId2782" ref="E714"/>
    <hyperlink r:id="rId2783" ref="F714"/>
    <hyperlink r:id="rId2784" ref="AF714"/>
    <hyperlink r:id="rId2785" ref="AJ714"/>
    <hyperlink r:id="rId2786" ref="D715"/>
    <hyperlink r:id="rId2787" ref="E715"/>
    <hyperlink r:id="rId2788" ref="F715"/>
    <hyperlink r:id="rId2789" ref="D716"/>
    <hyperlink r:id="rId2790" ref="E716"/>
    <hyperlink r:id="rId2791" ref="F716"/>
    <hyperlink r:id="rId2792" ref="AF716"/>
    <hyperlink r:id="rId2793" ref="AJ716"/>
    <hyperlink r:id="rId2794" ref="D717"/>
    <hyperlink r:id="rId2795" ref="E717"/>
    <hyperlink r:id="rId2796" ref="F717"/>
    <hyperlink r:id="rId2797" ref="AZ717"/>
    <hyperlink r:id="rId2798" ref="E718"/>
    <hyperlink r:id="rId2799" ref="F718"/>
    <hyperlink r:id="rId2800" ref="AD718"/>
    <hyperlink r:id="rId2801" ref="AF718"/>
    <hyperlink r:id="rId2802" ref="D719"/>
    <hyperlink r:id="rId2803" ref="E719"/>
    <hyperlink r:id="rId2804" ref="F719"/>
    <hyperlink r:id="rId2805" ref="AD719"/>
    <hyperlink r:id="rId2806" ref="AF719"/>
    <hyperlink r:id="rId2807" ref="AJ719"/>
    <hyperlink r:id="rId2808" ref="D720"/>
    <hyperlink r:id="rId2809" location="section-overview" ref="E720"/>
    <hyperlink r:id="rId2810" ref="F720"/>
    <hyperlink r:id="rId2811" ref="D721"/>
    <hyperlink r:id="rId2812" ref="E721"/>
    <hyperlink r:id="rId2813" ref="F721"/>
    <hyperlink r:id="rId2814" ref="AD721"/>
    <hyperlink r:id="rId2815" ref="AF721"/>
    <hyperlink r:id="rId2816" ref="BB721"/>
    <hyperlink r:id="rId2817" ref="D722"/>
    <hyperlink r:id="rId2818" ref="E722"/>
    <hyperlink r:id="rId2819" ref="F722"/>
    <hyperlink r:id="rId2820" ref="E723"/>
    <hyperlink r:id="rId2821" ref="F723"/>
    <hyperlink r:id="rId2822" ref="D724"/>
    <hyperlink r:id="rId2823" ref="E724"/>
    <hyperlink r:id="rId2824" ref="F724"/>
    <hyperlink r:id="rId2825" ref="D725"/>
    <hyperlink r:id="rId2826" ref="E725"/>
    <hyperlink r:id="rId2827" ref="F725"/>
    <hyperlink r:id="rId2828" ref="E726"/>
    <hyperlink r:id="rId2829" ref="F726"/>
    <hyperlink r:id="rId2830" ref="AZ726"/>
    <hyperlink r:id="rId2831" ref="D727"/>
    <hyperlink r:id="rId2832" ref="E727"/>
    <hyperlink r:id="rId2833" ref="F727"/>
    <hyperlink r:id="rId2834" ref="AJ727"/>
    <hyperlink r:id="rId2835" ref="E728"/>
    <hyperlink r:id="rId2836" ref="F728"/>
    <hyperlink r:id="rId2837" ref="AJ728"/>
    <hyperlink r:id="rId2838" ref="D729"/>
    <hyperlink r:id="rId2839" ref="E729"/>
    <hyperlink r:id="rId2840" ref="F729"/>
    <hyperlink r:id="rId2841" ref="D730"/>
    <hyperlink r:id="rId2842" ref="E730"/>
    <hyperlink r:id="rId2843" ref="F730"/>
    <hyperlink r:id="rId2844" ref="AJ730"/>
    <hyperlink r:id="rId2845" ref="D731"/>
    <hyperlink r:id="rId2846" ref="E731"/>
    <hyperlink r:id="rId2847" ref="F731"/>
    <hyperlink r:id="rId2848" ref="E732"/>
    <hyperlink r:id="rId2849" ref="F732"/>
    <hyperlink r:id="rId2850" ref="E733"/>
    <hyperlink r:id="rId2851" ref="F733"/>
    <hyperlink r:id="rId2852" ref="AD733"/>
    <hyperlink r:id="rId2853" ref="AF733"/>
    <hyperlink r:id="rId2854" ref="D734"/>
    <hyperlink r:id="rId2855" ref="E734"/>
    <hyperlink r:id="rId2856" ref="F734"/>
    <hyperlink r:id="rId2857" ref="E735"/>
    <hyperlink r:id="rId2858" ref="F735"/>
    <hyperlink r:id="rId2859" ref="D736"/>
    <hyperlink r:id="rId2860" ref="E736"/>
    <hyperlink r:id="rId2861" ref="F736"/>
    <hyperlink r:id="rId2862" ref="AJ736"/>
    <hyperlink r:id="rId2863" ref="E737"/>
    <hyperlink r:id="rId2864" ref="F737"/>
    <hyperlink r:id="rId2865" ref="D738"/>
    <hyperlink r:id="rId2866" ref="E738"/>
    <hyperlink r:id="rId2867" ref="F738"/>
    <hyperlink r:id="rId2868" ref="AF738"/>
    <hyperlink r:id="rId2869" ref="D739"/>
    <hyperlink r:id="rId2870" ref="E739"/>
    <hyperlink r:id="rId2871" ref="F739"/>
    <hyperlink r:id="rId2872" ref="AD739"/>
    <hyperlink r:id="rId2873" ref="AF739"/>
    <hyperlink r:id="rId2874" ref="AJ739"/>
    <hyperlink r:id="rId2875" ref="D740"/>
    <hyperlink r:id="rId2876" ref="E740"/>
    <hyperlink r:id="rId2877" ref="F740"/>
    <hyperlink r:id="rId2878" ref="AF740"/>
    <hyperlink r:id="rId2879" ref="E741"/>
    <hyperlink r:id="rId2880" ref="F741"/>
    <hyperlink r:id="rId2881" ref="E742"/>
    <hyperlink r:id="rId2882" ref="F742"/>
    <hyperlink r:id="rId2883" ref="AJ742"/>
    <hyperlink r:id="rId2884" ref="E743"/>
    <hyperlink r:id="rId2885" ref="F743"/>
    <hyperlink r:id="rId2886" ref="AF743"/>
    <hyperlink r:id="rId2887" ref="E744"/>
    <hyperlink r:id="rId2888" ref="F744"/>
    <hyperlink r:id="rId2889" ref="AD744"/>
    <hyperlink r:id="rId2890" ref="AF744"/>
    <hyperlink r:id="rId2891" ref="D745"/>
    <hyperlink r:id="rId2892" ref="E745"/>
    <hyperlink r:id="rId2893" ref="F745"/>
    <hyperlink r:id="rId2894" ref="D746"/>
    <hyperlink r:id="rId2895" ref="E746"/>
    <hyperlink r:id="rId2896" ref="F746"/>
    <hyperlink r:id="rId2897" ref="AF746"/>
    <hyperlink r:id="rId2898" ref="D747"/>
    <hyperlink r:id="rId2899" ref="E747"/>
    <hyperlink r:id="rId2900" ref="F747"/>
    <hyperlink r:id="rId2901" ref="A748"/>
    <hyperlink r:id="rId2902" ref="D748"/>
    <hyperlink r:id="rId2903" ref="E748"/>
    <hyperlink r:id="rId2904" ref="F748"/>
    <hyperlink r:id="rId2905" ref="AF748"/>
    <hyperlink r:id="rId2906" ref="AH748"/>
    <hyperlink r:id="rId2907" ref="AJ748"/>
    <hyperlink r:id="rId2908" ref="E749"/>
    <hyperlink r:id="rId2909" ref="F749"/>
    <hyperlink r:id="rId2910" ref="AF749"/>
    <hyperlink r:id="rId2911" ref="E750"/>
    <hyperlink r:id="rId2912" ref="F750"/>
    <hyperlink r:id="rId2913" ref="AD750"/>
    <hyperlink r:id="rId2914" ref="AF750"/>
    <hyperlink r:id="rId2915" ref="AZ750"/>
    <hyperlink r:id="rId2916" ref="E751"/>
    <hyperlink r:id="rId2917" ref="F751"/>
    <hyperlink r:id="rId2918" ref="AD751"/>
    <hyperlink r:id="rId2919" ref="AF751"/>
    <hyperlink r:id="rId2920" ref="D752"/>
    <hyperlink r:id="rId2921" ref="E752"/>
    <hyperlink r:id="rId2922" ref="F752"/>
    <hyperlink r:id="rId2923" ref="AF752"/>
    <hyperlink r:id="rId2924" ref="E753"/>
    <hyperlink r:id="rId2925" ref="F753"/>
    <hyperlink r:id="rId2926" ref="D754"/>
    <hyperlink r:id="rId2927" ref="E754"/>
    <hyperlink r:id="rId2928" ref="F754"/>
    <hyperlink r:id="rId2929" ref="E755"/>
    <hyperlink r:id="rId2930" ref="F755"/>
    <hyperlink r:id="rId2931" ref="AD755"/>
    <hyperlink r:id="rId2932" ref="AF755"/>
    <hyperlink r:id="rId2933" ref="E756"/>
    <hyperlink r:id="rId2934" ref="F756"/>
    <hyperlink r:id="rId2935" ref="AD756"/>
    <hyperlink r:id="rId2936" ref="AF756"/>
    <hyperlink r:id="rId2937" ref="AJ756"/>
    <hyperlink r:id="rId2938" ref="D757"/>
    <hyperlink r:id="rId2939" ref="E757"/>
    <hyperlink r:id="rId2940" ref="F757"/>
    <hyperlink r:id="rId2941" ref="AJ757"/>
    <hyperlink r:id="rId2942" ref="AZ757"/>
    <hyperlink r:id="rId2943" ref="A758"/>
    <hyperlink r:id="rId2944" ref="E758"/>
    <hyperlink r:id="rId2945" ref="F758"/>
    <hyperlink r:id="rId2946" ref="E759"/>
    <hyperlink r:id="rId2947" ref="F759"/>
    <hyperlink r:id="rId2948" ref="D760"/>
    <hyperlink r:id="rId2949" ref="E760"/>
    <hyperlink r:id="rId2950" ref="F760"/>
    <hyperlink r:id="rId2951" ref="D761"/>
    <hyperlink r:id="rId2952" location="section-overview" ref="E761"/>
    <hyperlink r:id="rId2953" ref="F761"/>
    <hyperlink r:id="rId2954" ref="E762"/>
    <hyperlink r:id="rId2955" ref="F762"/>
    <hyperlink r:id="rId2956" ref="D763"/>
    <hyperlink r:id="rId2957" ref="E763"/>
    <hyperlink r:id="rId2958" ref="F763"/>
    <hyperlink r:id="rId2959" ref="D764"/>
    <hyperlink r:id="rId2960" ref="E764"/>
    <hyperlink r:id="rId2961" ref="F764"/>
    <hyperlink r:id="rId2962" ref="AD764"/>
    <hyperlink r:id="rId2963" ref="AF764"/>
    <hyperlink r:id="rId2964" ref="D765"/>
    <hyperlink r:id="rId2965" ref="E765"/>
    <hyperlink r:id="rId2966" ref="F765"/>
    <hyperlink r:id="rId2967" ref="E766"/>
    <hyperlink r:id="rId2968" ref="F766"/>
    <hyperlink r:id="rId2969" ref="E767"/>
    <hyperlink r:id="rId2970" ref="F767"/>
    <hyperlink r:id="rId2971" ref="AF767"/>
    <hyperlink r:id="rId2972" ref="E768"/>
    <hyperlink r:id="rId2973" ref="F768"/>
    <hyperlink r:id="rId2974" ref="AD768"/>
    <hyperlink r:id="rId2975" ref="AF768"/>
    <hyperlink r:id="rId2976" ref="D769"/>
    <hyperlink r:id="rId2977" ref="E769"/>
    <hyperlink r:id="rId2978" ref="F769"/>
    <hyperlink r:id="rId2979" ref="AF769"/>
    <hyperlink r:id="rId2980" ref="AJ769"/>
    <hyperlink r:id="rId2981" ref="E770"/>
    <hyperlink r:id="rId2982" ref="F770"/>
    <hyperlink r:id="rId2983" ref="E771"/>
    <hyperlink r:id="rId2984" ref="F771"/>
    <hyperlink r:id="rId2985" ref="AD771"/>
    <hyperlink r:id="rId2986" ref="AF771"/>
    <hyperlink r:id="rId2987" ref="E772"/>
    <hyperlink r:id="rId2988" ref="F772"/>
    <hyperlink r:id="rId2989" ref="AF772"/>
    <hyperlink r:id="rId2990" ref="AJ772"/>
    <hyperlink r:id="rId2991" ref="D773"/>
    <hyperlink r:id="rId2992" ref="E773"/>
    <hyperlink r:id="rId2993" ref="F773"/>
    <hyperlink r:id="rId2994" ref="E774"/>
    <hyperlink r:id="rId2995" ref="F774"/>
    <hyperlink r:id="rId2996" ref="AF774"/>
    <hyperlink r:id="rId2997" ref="A775"/>
    <hyperlink r:id="rId2998" ref="E775"/>
    <hyperlink r:id="rId2999" ref="F775"/>
    <hyperlink r:id="rId3000" ref="AJ775"/>
    <hyperlink r:id="rId3001" ref="D776"/>
    <hyperlink r:id="rId3002" ref="E776"/>
    <hyperlink r:id="rId3003" ref="F776"/>
    <hyperlink r:id="rId3004" ref="AJ776"/>
    <hyperlink r:id="rId3005" ref="D777"/>
    <hyperlink r:id="rId3006" ref="E777"/>
    <hyperlink r:id="rId3007" ref="F777"/>
    <hyperlink r:id="rId3008" ref="AF777"/>
    <hyperlink r:id="rId3009" ref="D778"/>
    <hyperlink r:id="rId3010" ref="E778"/>
    <hyperlink r:id="rId3011" ref="F778"/>
    <hyperlink r:id="rId3012" ref="E779"/>
    <hyperlink r:id="rId3013" ref="F779"/>
    <hyperlink r:id="rId3014" ref="E780"/>
    <hyperlink r:id="rId3015" ref="F780"/>
    <hyperlink r:id="rId3016" ref="AF780"/>
    <hyperlink r:id="rId3017" ref="AH780"/>
    <hyperlink r:id="rId3018" ref="AZ780"/>
    <hyperlink r:id="rId3019" ref="D781"/>
    <hyperlink r:id="rId3020" ref="E781"/>
    <hyperlink r:id="rId3021" ref="F781"/>
    <hyperlink r:id="rId3022" location="section-overview" ref="E782"/>
    <hyperlink r:id="rId3023" ref="F782"/>
    <hyperlink r:id="rId3024" ref="E783"/>
    <hyperlink r:id="rId3025" ref="F783"/>
    <hyperlink r:id="rId3026" ref="AF783"/>
    <hyperlink r:id="rId3027" ref="D784"/>
    <hyperlink r:id="rId3028" ref="E784"/>
    <hyperlink r:id="rId3029" ref="F784"/>
    <hyperlink r:id="rId3030" ref="AD784"/>
    <hyperlink r:id="rId3031" ref="AF784"/>
    <hyperlink r:id="rId3032" ref="E785"/>
    <hyperlink r:id="rId3033" ref="F785"/>
    <hyperlink r:id="rId3034" ref="AF785"/>
    <hyperlink r:id="rId3035" ref="AJ785"/>
    <hyperlink r:id="rId3036" ref="AL785"/>
    <hyperlink r:id="rId3037" ref="E786"/>
    <hyperlink r:id="rId3038" ref="F786"/>
    <hyperlink r:id="rId3039" ref="AZ786"/>
    <hyperlink r:id="rId3040" ref="BB786"/>
    <hyperlink r:id="rId3041" ref="D787"/>
    <hyperlink r:id="rId3042" ref="E787"/>
    <hyperlink r:id="rId3043" ref="F787"/>
    <hyperlink r:id="rId3044" ref="AF787"/>
    <hyperlink r:id="rId3045" ref="AJ787"/>
    <hyperlink r:id="rId3046" ref="D788"/>
    <hyperlink r:id="rId3047" ref="E788"/>
    <hyperlink r:id="rId3048" ref="F788"/>
    <hyperlink r:id="rId3049" ref="AF788"/>
    <hyperlink r:id="rId3050" ref="AJ788"/>
    <hyperlink r:id="rId3051" ref="D789"/>
    <hyperlink r:id="rId3052" ref="E789"/>
    <hyperlink r:id="rId3053" ref="F789"/>
    <hyperlink r:id="rId3054" ref="D790"/>
    <hyperlink r:id="rId3055" ref="E790"/>
    <hyperlink r:id="rId3056" ref="F790"/>
    <hyperlink r:id="rId3057" ref="AD790"/>
    <hyperlink r:id="rId3058" ref="AF790"/>
    <hyperlink r:id="rId3059" ref="E791"/>
    <hyperlink r:id="rId3060" ref="F791"/>
    <hyperlink r:id="rId3061" ref="D792"/>
    <hyperlink r:id="rId3062" ref="E792"/>
    <hyperlink r:id="rId3063" ref="F792"/>
    <hyperlink r:id="rId3064" ref="D794"/>
    <hyperlink r:id="rId3065" ref="E794"/>
    <hyperlink r:id="rId3066" ref="F794"/>
    <hyperlink r:id="rId3067" ref="AF794"/>
    <hyperlink r:id="rId3068" ref="E795"/>
    <hyperlink r:id="rId3069" ref="D796"/>
    <hyperlink r:id="rId3070" ref="E796"/>
    <hyperlink r:id="rId3071" ref="F796"/>
    <hyperlink r:id="rId3072" ref="AF796"/>
    <hyperlink r:id="rId3073" ref="AJ796"/>
    <hyperlink r:id="rId3074" ref="D797"/>
    <hyperlink r:id="rId3075" ref="E797"/>
    <hyperlink r:id="rId3076" ref="F797"/>
    <hyperlink r:id="rId3077" ref="D798"/>
    <hyperlink r:id="rId3078" ref="E798"/>
    <hyperlink r:id="rId3079" ref="F798"/>
    <hyperlink r:id="rId3080" ref="AF798"/>
    <hyperlink r:id="rId3081" ref="AJ798"/>
    <hyperlink r:id="rId3082" ref="E799"/>
    <hyperlink r:id="rId3083" ref="F799"/>
    <hyperlink r:id="rId3084" ref="D800"/>
    <hyperlink r:id="rId3085" ref="E800"/>
    <hyperlink r:id="rId3086" ref="F800"/>
    <hyperlink r:id="rId3087" ref="AJ800"/>
    <hyperlink r:id="rId3088" ref="E801"/>
    <hyperlink r:id="rId3089" ref="F801"/>
    <hyperlink r:id="rId3090" ref="E802"/>
    <hyperlink r:id="rId3091" ref="F802"/>
    <hyperlink r:id="rId3092" ref="E803"/>
    <hyperlink r:id="rId3093" ref="F803"/>
    <hyperlink r:id="rId3094" ref="AF803"/>
    <hyperlink r:id="rId3095" ref="D804"/>
    <hyperlink r:id="rId3096" ref="E804"/>
    <hyperlink r:id="rId3097" ref="F804"/>
    <hyperlink r:id="rId3098" ref="AF804"/>
    <hyperlink r:id="rId3099" ref="D805"/>
    <hyperlink r:id="rId3100" ref="E805"/>
    <hyperlink r:id="rId3101" ref="F805"/>
    <hyperlink r:id="rId3102" ref="AD805"/>
    <hyperlink r:id="rId3103" ref="AF805"/>
    <hyperlink r:id="rId3104" ref="E806"/>
    <hyperlink r:id="rId3105" ref="F806"/>
    <hyperlink r:id="rId3106" ref="D807"/>
    <hyperlink r:id="rId3107" ref="E807"/>
    <hyperlink r:id="rId3108" ref="F807"/>
    <hyperlink r:id="rId3109" ref="D808"/>
    <hyperlink r:id="rId3110" ref="E808"/>
    <hyperlink r:id="rId3111" ref="F808"/>
    <hyperlink r:id="rId3112" ref="D809"/>
    <hyperlink r:id="rId3113" ref="E809"/>
    <hyperlink r:id="rId3114" ref="F809"/>
    <hyperlink r:id="rId3115" ref="AF809"/>
    <hyperlink r:id="rId3116" ref="E810"/>
    <hyperlink r:id="rId3117" ref="F810"/>
    <hyperlink r:id="rId3118" ref="AF810"/>
    <hyperlink r:id="rId3119" ref="D811"/>
    <hyperlink r:id="rId3120" ref="E811"/>
    <hyperlink r:id="rId3121" ref="F811"/>
    <hyperlink r:id="rId3122" ref="D812"/>
    <hyperlink r:id="rId3123" ref="E812"/>
    <hyperlink r:id="rId3124" ref="F812"/>
    <hyperlink r:id="rId3125" ref="E813"/>
    <hyperlink r:id="rId3126" ref="F813"/>
    <hyperlink r:id="rId3127" ref="AJ813"/>
    <hyperlink r:id="rId3128" ref="E814"/>
    <hyperlink r:id="rId3129" ref="F814"/>
    <hyperlink r:id="rId3130" ref="D815"/>
    <hyperlink r:id="rId3131" ref="E815"/>
    <hyperlink r:id="rId3132" ref="F815"/>
    <hyperlink r:id="rId3133" ref="D816"/>
    <hyperlink r:id="rId3134" ref="E816"/>
    <hyperlink r:id="rId3135" ref="F816"/>
    <hyperlink r:id="rId3136" ref="AD816"/>
    <hyperlink r:id="rId3137" ref="AF816"/>
    <hyperlink r:id="rId3138" ref="D817"/>
    <hyperlink r:id="rId3139" ref="E817"/>
    <hyperlink r:id="rId3140" ref="F817"/>
    <hyperlink r:id="rId3141" ref="AD817"/>
    <hyperlink r:id="rId3142" ref="AF817"/>
    <hyperlink r:id="rId3143" ref="D818"/>
    <hyperlink r:id="rId3144" ref="E818"/>
    <hyperlink r:id="rId3145" ref="F818"/>
    <hyperlink r:id="rId3146" ref="A819"/>
    <hyperlink r:id="rId3147" ref="D819"/>
    <hyperlink r:id="rId3148" ref="E819"/>
    <hyperlink r:id="rId3149" ref="F819"/>
    <hyperlink r:id="rId3150" location="section-overview" ref="E820"/>
    <hyperlink r:id="rId3151" ref="F820"/>
    <hyperlink r:id="rId3152" ref="D821"/>
    <hyperlink r:id="rId3153" ref="E821"/>
    <hyperlink r:id="rId3154" ref="F821"/>
    <hyperlink r:id="rId3155" ref="D822"/>
    <hyperlink r:id="rId3156" ref="E822"/>
    <hyperlink r:id="rId3157" ref="F822"/>
    <hyperlink r:id="rId3158" ref="D823"/>
    <hyperlink r:id="rId3159" ref="E823"/>
    <hyperlink r:id="rId3160" ref="F823"/>
    <hyperlink r:id="rId3161" ref="AJ823"/>
    <hyperlink r:id="rId3162" ref="E824"/>
    <hyperlink r:id="rId3163" ref="F824"/>
    <hyperlink r:id="rId3164" ref="AD824"/>
    <hyperlink r:id="rId3165" ref="AF824"/>
    <hyperlink r:id="rId3166" ref="D825"/>
    <hyperlink r:id="rId3167" ref="E825"/>
    <hyperlink r:id="rId3168" ref="F825"/>
    <hyperlink r:id="rId3169" ref="AF825"/>
    <hyperlink r:id="rId3170" ref="AJ825"/>
    <hyperlink r:id="rId3171" ref="D826"/>
    <hyperlink r:id="rId3172" ref="E826"/>
    <hyperlink r:id="rId3173" ref="F826"/>
    <hyperlink r:id="rId3174" ref="AF826"/>
    <hyperlink r:id="rId3175" ref="AJ826"/>
    <hyperlink r:id="rId3176" ref="E827"/>
    <hyperlink r:id="rId3177" ref="F827"/>
    <hyperlink r:id="rId3178" ref="AF827"/>
    <hyperlink r:id="rId3179" ref="AZ827"/>
    <hyperlink r:id="rId3180" ref="E828"/>
    <hyperlink r:id="rId3181" ref="F828"/>
    <hyperlink r:id="rId3182" ref="E829"/>
    <hyperlink r:id="rId3183" ref="F829"/>
    <hyperlink r:id="rId3184" ref="AF829"/>
    <hyperlink r:id="rId3185" ref="E830"/>
    <hyperlink r:id="rId3186" ref="F830"/>
    <hyperlink r:id="rId3187" ref="D831"/>
    <hyperlink r:id="rId3188" ref="E831"/>
    <hyperlink r:id="rId3189" ref="F831"/>
    <hyperlink r:id="rId3190" ref="D832"/>
    <hyperlink r:id="rId3191" location="section-overview" ref="E832"/>
    <hyperlink r:id="rId3192" ref="F832"/>
    <hyperlink r:id="rId3193" ref="D833"/>
    <hyperlink r:id="rId3194" ref="E833"/>
    <hyperlink r:id="rId3195" ref="F833"/>
    <hyperlink r:id="rId3196" ref="AF833"/>
    <hyperlink r:id="rId3197" ref="D834"/>
    <hyperlink r:id="rId3198" ref="E834"/>
    <hyperlink r:id="rId3199" ref="F834"/>
    <hyperlink r:id="rId3200" ref="D835"/>
    <hyperlink r:id="rId3201" ref="E835"/>
    <hyperlink r:id="rId3202" ref="F835"/>
    <hyperlink r:id="rId3203" ref="AF835"/>
    <hyperlink r:id="rId3204" ref="E836"/>
    <hyperlink r:id="rId3205" ref="F836"/>
    <hyperlink r:id="rId3206" ref="D837"/>
    <hyperlink r:id="rId3207" ref="E837"/>
    <hyperlink r:id="rId3208" ref="F837"/>
    <hyperlink r:id="rId3209" ref="AD837"/>
    <hyperlink r:id="rId3210" ref="AF837"/>
    <hyperlink r:id="rId3211" ref="AZ837"/>
    <hyperlink r:id="rId3212" ref="D838"/>
    <hyperlink r:id="rId3213" ref="E838"/>
    <hyperlink r:id="rId3214" ref="F838"/>
    <hyperlink r:id="rId3215" ref="AJ838"/>
    <hyperlink r:id="rId3216" ref="E839"/>
    <hyperlink r:id="rId3217" ref="E840"/>
    <hyperlink r:id="rId3218" ref="F840"/>
    <hyperlink r:id="rId3219" ref="D841"/>
    <hyperlink r:id="rId3220" ref="E841"/>
    <hyperlink r:id="rId3221" ref="F841"/>
    <hyperlink r:id="rId3222" ref="D842"/>
    <hyperlink r:id="rId3223" location="section-overview" ref="E842"/>
    <hyperlink r:id="rId3224" ref="F842"/>
    <hyperlink r:id="rId3225" ref="D843"/>
    <hyperlink r:id="rId3226" ref="E843"/>
    <hyperlink r:id="rId3227" ref="F843"/>
    <hyperlink r:id="rId3228" ref="D844"/>
    <hyperlink r:id="rId3229" location="section-overview" ref="E844"/>
    <hyperlink r:id="rId3230" ref="F844"/>
    <hyperlink r:id="rId3231" ref="D845"/>
    <hyperlink r:id="rId3232" ref="E845"/>
    <hyperlink r:id="rId3233" ref="F845"/>
    <hyperlink r:id="rId3234" ref="AJ845"/>
    <hyperlink r:id="rId3235" ref="D846"/>
    <hyperlink r:id="rId3236" ref="E846"/>
    <hyperlink r:id="rId3237" ref="F846"/>
    <hyperlink r:id="rId3238" ref="D847"/>
    <hyperlink r:id="rId3239" ref="E847"/>
    <hyperlink r:id="rId3240" ref="F847"/>
    <hyperlink r:id="rId3241" ref="D848"/>
    <hyperlink r:id="rId3242" ref="E848"/>
    <hyperlink r:id="rId3243" ref="F848"/>
    <hyperlink r:id="rId3244" ref="E849"/>
    <hyperlink r:id="rId3245" ref="F849"/>
    <hyperlink r:id="rId3246" ref="AF849"/>
    <hyperlink r:id="rId3247" ref="E850"/>
    <hyperlink r:id="rId3248" ref="F850"/>
    <hyperlink r:id="rId3249" ref="D851"/>
    <hyperlink r:id="rId3250" ref="E851"/>
    <hyperlink r:id="rId3251" ref="F851"/>
    <hyperlink r:id="rId3252" ref="AF851"/>
    <hyperlink r:id="rId3253" ref="D852"/>
    <hyperlink r:id="rId3254" ref="E852"/>
    <hyperlink r:id="rId3255" ref="F852"/>
    <hyperlink r:id="rId3256" ref="E853"/>
    <hyperlink r:id="rId3257" ref="F853"/>
    <hyperlink r:id="rId3258" ref="AF853"/>
    <hyperlink r:id="rId3259" ref="A854"/>
    <hyperlink r:id="rId3260" ref="E854"/>
    <hyperlink r:id="rId3261" ref="F854"/>
    <hyperlink r:id="rId3262" ref="AL854"/>
    <hyperlink r:id="rId3263" ref="BB854"/>
    <hyperlink r:id="rId3264" ref="E855"/>
    <hyperlink r:id="rId3265" ref="F855"/>
    <hyperlink r:id="rId3266" ref="AF855"/>
    <hyperlink r:id="rId3267" ref="E856"/>
    <hyperlink r:id="rId3268" ref="F856"/>
    <hyperlink r:id="rId3269" ref="AF856"/>
    <hyperlink r:id="rId3270" ref="A857"/>
    <hyperlink r:id="rId3271" ref="D857"/>
    <hyperlink r:id="rId3272" ref="E857"/>
    <hyperlink r:id="rId3273" ref="F857"/>
    <hyperlink r:id="rId3274" ref="AF857"/>
    <hyperlink r:id="rId3275" ref="E858"/>
    <hyperlink r:id="rId3276" ref="F858"/>
    <hyperlink r:id="rId3277" ref="AJ858"/>
    <hyperlink r:id="rId3278" ref="D859"/>
    <hyperlink r:id="rId3279" ref="E859"/>
    <hyperlink r:id="rId3280" ref="F859"/>
    <hyperlink r:id="rId3281" ref="AF859"/>
    <hyperlink r:id="rId3282" ref="AJ859"/>
    <hyperlink r:id="rId3283" ref="E860"/>
    <hyperlink r:id="rId3284" ref="F860"/>
    <hyperlink r:id="rId3285" ref="AF860"/>
    <hyperlink r:id="rId3286" ref="D861"/>
    <hyperlink r:id="rId3287" ref="E861"/>
    <hyperlink r:id="rId3288" ref="F861"/>
    <hyperlink r:id="rId3289" ref="E862"/>
    <hyperlink r:id="rId3290" ref="F862"/>
    <hyperlink r:id="rId3291" ref="AF862"/>
    <hyperlink r:id="rId3292" ref="D863"/>
    <hyperlink r:id="rId3293" ref="E863"/>
    <hyperlink r:id="rId3294" ref="F863"/>
    <hyperlink r:id="rId3295" ref="D864"/>
    <hyperlink r:id="rId3296" ref="E864"/>
    <hyperlink r:id="rId3297" ref="F864"/>
    <hyperlink r:id="rId3298" ref="AD864"/>
    <hyperlink r:id="rId3299" ref="AF864"/>
    <hyperlink r:id="rId3300" ref="BB864"/>
    <hyperlink r:id="rId3301" ref="E865"/>
    <hyperlink r:id="rId3302" ref="F865"/>
    <hyperlink r:id="rId3303" ref="AF865"/>
    <hyperlink r:id="rId3304" ref="AL865"/>
    <hyperlink r:id="rId3305" ref="D866"/>
    <hyperlink r:id="rId3306" ref="E866"/>
    <hyperlink r:id="rId3307" ref="F866"/>
    <hyperlink r:id="rId3308" ref="D868"/>
    <hyperlink r:id="rId3309" ref="E868"/>
    <hyperlink r:id="rId3310" ref="F868"/>
    <hyperlink r:id="rId3311" ref="AF868"/>
    <hyperlink r:id="rId3312" ref="D869"/>
    <hyperlink r:id="rId3313" ref="E869"/>
    <hyperlink r:id="rId3314" ref="F869"/>
    <hyperlink r:id="rId3315" ref="AD869"/>
    <hyperlink r:id="rId3316" ref="AF869"/>
    <hyperlink r:id="rId3317" ref="D871"/>
    <hyperlink r:id="rId3318" ref="E872"/>
    <hyperlink r:id="rId3319" ref="F872"/>
    <hyperlink r:id="rId3320" ref="E873"/>
    <hyperlink r:id="rId3321" ref="F873"/>
    <hyperlink r:id="rId3322" ref="AJ873"/>
    <hyperlink r:id="rId3323" ref="E874"/>
    <hyperlink r:id="rId3324" ref="F874"/>
    <hyperlink r:id="rId3325" ref="D875"/>
    <hyperlink r:id="rId3326" ref="E875"/>
    <hyperlink r:id="rId3327" ref="F875"/>
    <hyperlink r:id="rId3328" ref="E876"/>
    <hyperlink r:id="rId3329" ref="F876"/>
    <hyperlink r:id="rId3330" ref="E877"/>
    <hyperlink r:id="rId3331" ref="F877"/>
    <hyperlink r:id="rId3332" ref="D878"/>
    <hyperlink r:id="rId3333" ref="E878"/>
    <hyperlink r:id="rId3334" ref="F878"/>
    <hyperlink r:id="rId3335" ref="AF878"/>
    <hyperlink r:id="rId3336" ref="D879"/>
    <hyperlink r:id="rId3337" ref="E879"/>
    <hyperlink r:id="rId3338" ref="F879"/>
    <hyperlink r:id="rId3339" ref="AF879"/>
    <hyperlink r:id="rId3340" ref="D880"/>
    <hyperlink r:id="rId3341" ref="E880"/>
    <hyperlink r:id="rId3342" ref="F880"/>
    <hyperlink r:id="rId3343" ref="AF880"/>
    <hyperlink r:id="rId3344" ref="D881"/>
    <hyperlink r:id="rId3345" ref="E881"/>
    <hyperlink r:id="rId3346" ref="F881"/>
    <hyperlink r:id="rId3347" ref="AF881"/>
    <hyperlink r:id="rId3348" ref="E882"/>
    <hyperlink r:id="rId3349" ref="F882"/>
    <hyperlink r:id="rId3350" ref="AF882"/>
    <hyperlink r:id="rId3351" ref="E883"/>
    <hyperlink r:id="rId3352" ref="F883"/>
    <hyperlink r:id="rId3353" ref="E884"/>
    <hyperlink r:id="rId3354" ref="F884"/>
    <hyperlink r:id="rId3355" ref="D885"/>
    <hyperlink r:id="rId3356" ref="E885"/>
    <hyperlink r:id="rId3357" ref="F885"/>
    <hyperlink r:id="rId3358" ref="AJ885"/>
    <hyperlink r:id="rId3359" ref="E886"/>
    <hyperlink r:id="rId3360" ref="F886"/>
    <hyperlink r:id="rId3361" ref="AF886"/>
    <hyperlink r:id="rId3362" ref="AJ886"/>
    <hyperlink r:id="rId3363" ref="BB886"/>
    <hyperlink r:id="rId3364" ref="D887"/>
    <hyperlink r:id="rId3365" ref="E887"/>
    <hyperlink r:id="rId3366" ref="F887"/>
    <hyperlink r:id="rId3367" ref="AD887"/>
    <hyperlink r:id="rId3368" ref="AZ887"/>
    <hyperlink r:id="rId3369" ref="E888"/>
    <hyperlink r:id="rId3370" ref="F888"/>
    <hyperlink r:id="rId3371" ref="AF888"/>
    <hyperlink r:id="rId3372" ref="D889"/>
    <hyperlink r:id="rId3373" ref="E889"/>
    <hyperlink r:id="rId3374" ref="F889"/>
    <hyperlink r:id="rId3375" ref="AD889"/>
    <hyperlink r:id="rId3376" ref="AF889"/>
    <hyperlink r:id="rId3377" ref="D890"/>
    <hyperlink r:id="rId3378" ref="E890"/>
    <hyperlink r:id="rId3379" ref="F890"/>
    <hyperlink r:id="rId3380" ref="AF890"/>
    <hyperlink r:id="rId3381" ref="AZ890"/>
    <hyperlink r:id="rId3382" ref="E891"/>
    <hyperlink r:id="rId3383" ref="F891"/>
    <hyperlink r:id="rId3384" ref="AF891"/>
    <hyperlink r:id="rId3385" ref="E892"/>
    <hyperlink r:id="rId3386" ref="F892"/>
    <hyperlink r:id="rId3387" ref="AD892"/>
    <hyperlink r:id="rId3388" ref="AF892"/>
    <hyperlink r:id="rId3389" ref="E893"/>
    <hyperlink r:id="rId3390" ref="E894"/>
    <hyperlink r:id="rId3391" ref="F894"/>
    <hyperlink r:id="rId3392" ref="D895"/>
    <hyperlink r:id="rId3393" ref="E895"/>
    <hyperlink r:id="rId3394" ref="F895"/>
    <hyperlink r:id="rId3395" ref="E896"/>
    <hyperlink r:id="rId3396" ref="F896"/>
    <hyperlink r:id="rId3397" ref="AF896"/>
    <hyperlink r:id="rId3398" ref="E897"/>
    <hyperlink r:id="rId3399" ref="F897"/>
    <hyperlink r:id="rId3400" ref="D898"/>
    <hyperlink r:id="rId3401" ref="E898"/>
    <hyperlink r:id="rId3402" ref="F898"/>
    <hyperlink r:id="rId3403" ref="E899"/>
    <hyperlink r:id="rId3404" ref="F899"/>
    <hyperlink r:id="rId3405" ref="D900"/>
    <hyperlink r:id="rId3406" ref="E900"/>
    <hyperlink r:id="rId3407" ref="F900"/>
    <hyperlink r:id="rId3408" ref="AJ900"/>
    <hyperlink r:id="rId3409" ref="D901"/>
    <hyperlink r:id="rId3410" ref="E901"/>
    <hyperlink r:id="rId3411" ref="F901"/>
    <hyperlink r:id="rId3412" ref="AF901"/>
    <hyperlink r:id="rId3413" ref="D903"/>
    <hyperlink r:id="rId3414" ref="D904"/>
    <hyperlink r:id="rId3415" ref="E904"/>
    <hyperlink r:id="rId3416" ref="F904"/>
    <hyperlink r:id="rId3417" ref="AF904"/>
    <hyperlink r:id="rId3418" ref="D905"/>
    <hyperlink r:id="rId3419" ref="E905"/>
    <hyperlink r:id="rId3420" ref="F905"/>
    <hyperlink r:id="rId3421" ref="AF905"/>
    <hyperlink r:id="rId3422" ref="D906"/>
    <hyperlink r:id="rId3423" ref="E906"/>
    <hyperlink r:id="rId3424" ref="F906"/>
    <hyperlink r:id="rId3425" ref="AF906"/>
    <hyperlink r:id="rId3426" ref="AJ906"/>
    <hyperlink r:id="rId3427" ref="E907"/>
    <hyperlink r:id="rId3428" ref="F907"/>
    <hyperlink r:id="rId3429" ref="AF907"/>
    <hyperlink r:id="rId3430" ref="D908"/>
    <hyperlink r:id="rId3431" ref="E908"/>
    <hyperlink r:id="rId3432" ref="F908"/>
    <hyperlink r:id="rId3433" ref="E909"/>
    <hyperlink r:id="rId3434" ref="F909"/>
    <hyperlink r:id="rId3435" ref="E910"/>
    <hyperlink r:id="rId3436" ref="F910"/>
    <hyperlink r:id="rId3437" ref="E911"/>
    <hyperlink r:id="rId3438" ref="F911"/>
    <hyperlink r:id="rId3439" ref="AF911"/>
    <hyperlink r:id="rId3440" ref="D912"/>
    <hyperlink r:id="rId3441" ref="E912"/>
    <hyperlink r:id="rId3442" ref="F912"/>
    <hyperlink r:id="rId3443" ref="D913"/>
    <hyperlink r:id="rId3444" ref="E913"/>
    <hyperlink r:id="rId3445" ref="F913"/>
    <hyperlink r:id="rId3446" ref="E914"/>
    <hyperlink r:id="rId3447" ref="F914"/>
    <hyperlink r:id="rId3448" ref="AF914"/>
    <hyperlink r:id="rId3449" ref="E915"/>
    <hyperlink r:id="rId3450" ref="F915"/>
    <hyperlink r:id="rId3451" ref="AF915"/>
    <hyperlink r:id="rId3452" ref="E916"/>
    <hyperlink r:id="rId3453" ref="F916"/>
    <hyperlink r:id="rId3454" ref="AF916"/>
    <hyperlink r:id="rId3455" ref="AJ916"/>
    <hyperlink r:id="rId3456" ref="E917"/>
    <hyperlink r:id="rId3457" ref="F917"/>
    <hyperlink r:id="rId3458" ref="AF917"/>
    <hyperlink r:id="rId3459" ref="D918"/>
    <hyperlink r:id="rId3460" ref="E918"/>
    <hyperlink r:id="rId3461" ref="F918"/>
    <hyperlink r:id="rId3462" ref="AF918"/>
    <hyperlink r:id="rId3463" ref="AZ918"/>
    <hyperlink r:id="rId3464" ref="BB918"/>
    <hyperlink r:id="rId3465" ref="D919"/>
    <hyperlink r:id="rId3466" ref="E919"/>
    <hyperlink r:id="rId3467" ref="F919"/>
    <hyperlink r:id="rId3468" ref="D920"/>
    <hyperlink r:id="rId3469" ref="E920"/>
    <hyperlink r:id="rId3470" location="/home" ref="F920"/>
    <hyperlink r:id="rId3471" ref="D921"/>
    <hyperlink r:id="rId3472" location="section-overview" ref="E921"/>
    <hyperlink r:id="rId3473" ref="F921"/>
    <hyperlink r:id="rId3474" ref="E922"/>
    <hyperlink r:id="rId3475" ref="F922"/>
    <hyperlink r:id="rId3476" ref="E923"/>
    <hyperlink r:id="rId3477" ref="F923"/>
    <hyperlink r:id="rId3478" ref="AD923"/>
    <hyperlink r:id="rId3479" ref="AF923"/>
    <hyperlink r:id="rId3480" ref="D924"/>
    <hyperlink r:id="rId3481" ref="E924"/>
    <hyperlink r:id="rId3482" ref="F924"/>
    <hyperlink r:id="rId3483" ref="D925"/>
    <hyperlink r:id="rId3484" ref="E925"/>
    <hyperlink r:id="rId3485" ref="F925"/>
    <hyperlink r:id="rId3486" ref="AF925"/>
    <hyperlink r:id="rId3487" ref="AJ925"/>
    <hyperlink r:id="rId3488" ref="D926"/>
    <hyperlink r:id="rId3489" ref="E926"/>
    <hyperlink r:id="rId3490" ref="F926"/>
    <hyperlink r:id="rId3491" ref="E927"/>
    <hyperlink r:id="rId3492" ref="F927"/>
    <hyperlink r:id="rId3493" ref="AF927"/>
    <hyperlink r:id="rId3494" ref="D928"/>
    <hyperlink r:id="rId3495" ref="E928"/>
    <hyperlink r:id="rId3496" ref="F928"/>
    <hyperlink r:id="rId3497" ref="E929"/>
    <hyperlink r:id="rId3498" ref="F929"/>
    <hyperlink r:id="rId3499" ref="AD929"/>
    <hyperlink r:id="rId3500" ref="AF929"/>
    <hyperlink r:id="rId3501" ref="D930"/>
    <hyperlink r:id="rId3502" ref="E930"/>
    <hyperlink r:id="rId3503" ref="F930"/>
    <hyperlink r:id="rId3504" ref="E931"/>
    <hyperlink r:id="rId3505" ref="F931"/>
    <hyperlink r:id="rId3506" ref="AF931"/>
    <hyperlink r:id="rId3507" ref="BB931"/>
    <hyperlink r:id="rId3508" ref="D932"/>
    <hyperlink r:id="rId3509" ref="E932"/>
    <hyperlink r:id="rId3510" ref="F932"/>
    <hyperlink r:id="rId3511" ref="AD932"/>
    <hyperlink r:id="rId3512" ref="AF932"/>
    <hyperlink r:id="rId3513" ref="E933"/>
    <hyperlink r:id="rId3514" ref="F933"/>
    <hyperlink r:id="rId3515" ref="AD933"/>
    <hyperlink r:id="rId3516" ref="AF933"/>
    <hyperlink r:id="rId3517" ref="AH933"/>
    <hyperlink r:id="rId3518" ref="BB933"/>
    <hyperlink r:id="rId3519" ref="E934"/>
    <hyperlink r:id="rId3520" ref="F934"/>
    <hyperlink r:id="rId3521" ref="AZ934"/>
    <hyperlink r:id="rId3522" ref="E935"/>
    <hyperlink r:id="rId3523" ref="F935"/>
    <hyperlink r:id="rId3524" ref="AF935"/>
    <hyperlink r:id="rId3525" ref="D936"/>
    <hyperlink r:id="rId3526" ref="E936"/>
    <hyperlink r:id="rId3527" ref="D937"/>
    <hyperlink r:id="rId3528" ref="E937"/>
    <hyperlink r:id="rId3529" ref="F937"/>
    <hyperlink r:id="rId3530" ref="AF937"/>
    <hyperlink r:id="rId3531" ref="D938"/>
    <hyperlink r:id="rId3532" ref="E938"/>
    <hyperlink r:id="rId3533" ref="F938"/>
    <hyperlink r:id="rId3534" ref="AF938"/>
    <hyperlink r:id="rId3535" ref="D939"/>
    <hyperlink r:id="rId3536" ref="E939"/>
    <hyperlink r:id="rId3537" ref="F939"/>
    <hyperlink r:id="rId3538" ref="AF939"/>
    <hyperlink r:id="rId3539" ref="E940"/>
    <hyperlink r:id="rId3540" ref="F940"/>
    <hyperlink r:id="rId3541" ref="AF940"/>
    <hyperlink r:id="rId3542" ref="D941"/>
    <hyperlink r:id="rId3543" ref="E941"/>
    <hyperlink r:id="rId3544" ref="F941"/>
    <hyperlink r:id="rId3545" ref="AD941"/>
    <hyperlink r:id="rId3546" ref="E942"/>
    <hyperlink r:id="rId3547" ref="F942"/>
    <hyperlink r:id="rId3548" ref="AF942"/>
    <hyperlink r:id="rId3549" ref="D943"/>
    <hyperlink r:id="rId3550" ref="E943"/>
    <hyperlink r:id="rId3551" ref="F943"/>
    <hyperlink r:id="rId3552" ref="E944"/>
    <hyperlink r:id="rId3553" ref="F944"/>
    <hyperlink r:id="rId3554" ref="E945"/>
    <hyperlink r:id="rId3555" ref="F945"/>
    <hyperlink r:id="rId3556" ref="D946"/>
    <hyperlink r:id="rId3557" ref="E946"/>
    <hyperlink r:id="rId3558" ref="F946"/>
    <hyperlink r:id="rId3559" ref="E947"/>
    <hyperlink r:id="rId3560" ref="F947"/>
    <hyperlink r:id="rId3561" ref="AD947"/>
    <hyperlink r:id="rId3562" ref="AF947"/>
    <hyperlink r:id="rId3563" ref="D948"/>
    <hyperlink r:id="rId3564" ref="E948"/>
    <hyperlink r:id="rId3565" ref="F948"/>
    <hyperlink r:id="rId3566" ref="AF948"/>
    <hyperlink r:id="rId3567" ref="D949"/>
    <hyperlink r:id="rId3568" ref="E949"/>
    <hyperlink r:id="rId3569" ref="F949"/>
    <hyperlink r:id="rId3570" ref="AF949"/>
    <hyperlink r:id="rId3571" ref="E950"/>
    <hyperlink r:id="rId3572" ref="F950"/>
    <hyperlink r:id="rId3573" ref="AD950"/>
    <hyperlink r:id="rId3574" ref="AJ950"/>
    <hyperlink r:id="rId3575" ref="D951"/>
    <hyperlink r:id="rId3576" ref="E951"/>
    <hyperlink r:id="rId3577" ref="F951"/>
    <hyperlink r:id="rId3578" ref="AD951"/>
    <hyperlink r:id="rId3579" ref="AF951"/>
    <hyperlink r:id="rId3580" ref="E952"/>
    <hyperlink r:id="rId3581" ref="F952"/>
    <hyperlink r:id="rId3582" ref="AD952"/>
    <hyperlink r:id="rId3583" ref="E953"/>
    <hyperlink r:id="rId3584" ref="F953"/>
    <hyperlink r:id="rId3585" ref="AD953"/>
    <hyperlink r:id="rId3586" ref="AF953"/>
    <hyperlink r:id="rId3587" ref="D954"/>
    <hyperlink r:id="rId3588" ref="E954"/>
    <hyperlink r:id="rId3589" ref="F954"/>
    <hyperlink r:id="rId3590" ref="D955"/>
    <hyperlink r:id="rId3591" ref="E955"/>
    <hyperlink r:id="rId3592" ref="F955"/>
    <hyperlink r:id="rId3593" ref="AD955"/>
    <hyperlink r:id="rId3594" ref="AF955"/>
    <hyperlink r:id="rId3595" ref="D956"/>
    <hyperlink r:id="rId3596" ref="E956"/>
    <hyperlink r:id="rId3597" ref="F956"/>
    <hyperlink r:id="rId3598" ref="E957"/>
    <hyperlink r:id="rId3599" ref="F957"/>
    <hyperlink r:id="rId3600" ref="AD957"/>
    <hyperlink r:id="rId3601" ref="AF957"/>
    <hyperlink r:id="rId3602" ref="E958"/>
    <hyperlink r:id="rId3603" ref="F958"/>
    <hyperlink r:id="rId3604" ref="AD958"/>
    <hyperlink r:id="rId3605" ref="AF958"/>
    <hyperlink r:id="rId3606" ref="BB958"/>
    <hyperlink r:id="rId3607" ref="E959"/>
    <hyperlink r:id="rId3608" ref="F959"/>
    <hyperlink r:id="rId3609" ref="AZ959"/>
    <hyperlink r:id="rId3610" ref="D960"/>
    <hyperlink r:id="rId3611" ref="E960"/>
    <hyperlink r:id="rId3612" ref="F960"/>
    <hyperlink r:id="rId3613" ref="AF960"/>
    <hyperlink r:id="rId3614" ref="D961"/>
    <hyperlink r:id="rId3615" ref="E961"/>
    <hyperlink r:id="rId3616" ref="F961"/>
    <hyperlink r:id="rId3617" ref="AD961"/>
    <hyperlink r:id="rId3618" ref="AF961"/>
    <hyperlink r:id="rId3619" ref="E962"/>
    <hyperlink r:id="rId3620" ref="F962"/>
    <hyperlink r:id="rId3621" ref="AF962"/>
    <hyperlink r:id="rId3622" ref="D963"/>
    <hyperlink r:id="rId3623" ref="E963"/>
    <hyperlink r:id="rId3624" ref="F963"/>
    <hyperlink r:id="rId3625" ref="D964"/>
    <hyperlink r:id="rId3626" ref="E964"/>
    <hyperlink r:id="rId3627" ref="F964"/>
    <hyperlink r:id="rId3628" ref="AF964"/>
    <hyperlink r:id="rId3629" ref="D965"/>
    <hyperlink r:id="rId3630" ref="E965"/>
    <hyperlink r:id="rId3631" ref="F965"/>
    <hyperlink r:id="rId3632" ref="E966"/>
    <hyperlink r:id="rId3633" ref="F966"/>
    <hyperlink r:id="rId3634" ref="D967"/>
    <hyperlink r:id="rId3635" ref="E967"/>
    <hyperlink r:id="rId3636" ref="F967"/>
    <hyperlink r:id="rId3637" ref="D968"/>
    <hyperlink r:id="rId3638" ref="E968"/>
    <hyperlink r:id="rId3639" ref="F968"/>
    <hyperlink r:id="rId3640" ref="D969"/>
    <hyperlink r:id="rId3641" ref="E969"/>
    <hyperlink r:id="rId3642" ref="F969"/>
    <hyperlink r:id="rId3643" ref="AF969"/>
    <hyperlink r:id="rId3644" ref="D970"/>
    <hyperlink r:id="rId3645" ref="E970"/>
    <hyperlink r:id="rId3646" ref="F970"/>
    <hyperlink r:id="rId3647" ref="G970"/>
    <hyperlink r:id="rId3648" ref="D971"/>
    <hyperlink r:id="rId3649" ref="E971"/>
    <hyperlink r:id="rId3650" ref="F971"/>
    <hyperlink r:id="rId3651" ref="D972"/>
    <hyperlink r:id="rId3652" ref="E972"/>
    <hyperlink r:id="rId3653" ref="F972"/>
    <hyperlink r:id="rId3654" ref="D973"/>
    <hyperlink r:id="rId3655" ref="E973"/>
    <hyperlink r:id="rId3656" ref="F973"/>
    <hyperlink r:id="rId3657" ref="AJ973"/>
    <hyperlink r:id="rId3658" ref="E974"/>
    <hyperlink r:id="rId3659" ref="F974"/>
    <hyperlink r:id="rId3660" ref="AF974"/>
    <hyperlink r:id="rId3661" ref="A975"/>
    <hyperlink r:id="rId3662" ref="E975"/>
    <hyperlink r:id="rId3663" ref="F975"/>
    <hyperlink r:id="rId3664" ref="AZ975"/>
    <hyperlink r:id="rId3665" ref="E976"/>
    <hyperlink r:id="rId3666" ref="F976"/>
    <hyperlink r:id="rId3667" ref="AF976"/>
    <hyperlink r:id="rId3668" ref="D977"/>
    <hyperlink r:id="rId3669" ref="E977"/>
    <hyperlink r:id="rId3670" ref="F977"/>
    <hyperlink r:id="rId3671" ref="AD977"/>
    <hyperlink r:id="rId3672" ref="AZ977"/>
    <hyperlink r:id="rId3673" ref="D978"/>
    <hyperlink r:id="rId3674" ref="E978"/>
    <hyperlink r:id="rId3675" ref="F978"/>
    <hyperlink r:id="rId3676" ref="AF978"/>
    <hyperlink r:id="rId3677" ref="E979"/>
    <hyperlink r:id="rId3678" ref="F979"/>
    <hyperlink r:id="rId3679" ref="AF979"/>
    <hyperlink r:id="rId3680" ref="D980"/>
    <hyperlink r:id="rId3681" ref="E980"/>
    <hyperlink r:id="rId3682" ref="F980"/>
    <hyperlink r:id="rId3683" ref="BB980"/>
    <hyperlink r:id="rId3684" ref="D981"/>
    <hyperlink r:id="rId3685" ref="E981"/>
    <hyperlink r:id="rId3686" ref="F981"/>
    <hyperlink r:id="rId3687" ref="AD981"/>
    <hyperlink r:id="rId3688" ref="AF981"/>
    <hyperlink r:id="rId3689" ref="AH981"/>
    <hyperlink r:id="rId3690" ref="D982"/>
    <hyperlink r:id="rId3691" ref="E982"/>
    <hyperlink r:id="rId3692" ref="F982"/>
    <hyperlink r:id="rId3693" ref="D984"/>
    <hyperlink r:id="rId3694" ref="E984"/>
    <hyperlink r:id="rId3695" ref="F984"/>
    <hyperlink r:id="rId3696" ref="D985"/>
    <hyperlink r:id="rId3697" ref="E985"/>
    <hyperlink r:id="rId3698" ref="F985"/>
    <hyperlink r:id="rId3699" ref="AF985"/>
    <hyperlink r:id="rId3700" ref="D986"/>
    <hyperlink r:id="rId3701" ref="E986"/>
    <hyperlink r:id="rId3702" ref="F986"/>
    <hyperlink r:id="rId3703" ref="AD986"/>
    <hyperlink r:id="rId3704" ref="AF986"/>
    <hyperlink r:id="rId3705" ref="D987"/>
    <hyperlink r:id="rId3706" ref="E987"/>
    <hyperlink r:id="rId3707" ref="F987"/>
    <hyperlink r:id="rId3708" ref="AF987"/>
    <hyperlink r:id="rId3709" ref="E988"/>
    <hyperlink r:id="rId3710" ref="F988"/>
    <hyperlink r:id="rId3711" ref="D989"/>
    <hyperlink r:id="rId3712" ref="E989"/>
    <hyperlink r:id="rId3713" ref="F989"/>
    <hyperlink r:id="rId3714" ref="F990"/>
    <hyperlink r:id="rId3715" ref="E991"/>
    <hyperlink r:id="rId3716" ref="F991"/>
    <hyperlink r:id="rId3717" ref="E992"/>
    <hyperlink r:id="rId3718" ref="F992"/>
    <hyperlink r:id="rId3719" ref="AF992"/>
    <hyperlink r:id="rId3720" ref="E993"/>
    <hyperlink r:id="rId3721" ref="F993"/>
    <hyperlink r:id="rId3722" ref="E994"/>
    <hyperlink r:id="rId3723" ref="F994"/>
    <hyperlink r:id="rId3724" ref="E995"/>
    <hyperlink r:id="rId3725" ref="F995"/>
    <hyperlink r:id="rId3726" ref="AF995"/>
    <hyperlink r:id="rId3727" ref="D996"/>
    <hyperlink r:id="rId3728" ref="E996"/>
    <hyperlink r:id="rId3729" ref="F996"/>
    <hyperlink r:id="rId3730" ref="D997"/>
    <hyperlink r:id="rId3731" ref="E997"/>
    <hyperlink r:id="rId3732" ref="F997"/>
    <hyperlink r:id="rId3733" ref="D998"/>
    <hyperlink r:id="rId3734" ref="E998"/>
    <hyperlink r:id="rId3735" ref="F998"/>
    <hyperlink r:id="rId3736" ref="D999"/>
    <hyperlink r:id="rId3737" ref="E999"/>
    <hyperlink r:id="rId3738" ref="F999"/>
    <hyperlink r:id="rId3739" ref="AF999"/>
    <hyperlink r:id="rId3740" ref="D1000"/>
    <hyperlink r:id="rId3741" ref="E1000"/>
    <hyperlink r:id="rId3742" ref="F1000"/>
    <hyperlink r:id="rId3743" ref="D1001"/>
    <hyperlink r:id="rId3744" location="section-overview" ref="E1001"/>
    <hyperlink r:id="rId3745" ref="F1001"/>
    <hyperlink r:id="rId3746" ref="E1002"/>
    <hyperlink r:id="rId3747" ref="F1002"/>
    <hyperlink r:id="rId3748" ref="AF1002"/>
    <hyperlink r:id="rId3749" ref="E1003"/>
    <hyperlink r:id="rId3750" ref="F1003"/>
    <hyperlink r:id="rId3751" ref="AF1003"/>
    <hyperlink r:id="rId3752" ref="E1004"/>
    <hyperlink r:id="rId3753" ref="F1004"/>
    <hyperlink r:id="rId3754" ref="AF1004"/>
    <hyperlink r:id="rId3755" ref="E1005"/>
    <hyperlink r:id="rId3756" ref="F1005"/>
    <hyperlink r:id="rId3757" ref="AF1005"/>
    <hyperlink r:id="rId3758" ref="D1006"/>
    <hyperlink r:id="rId3759" ref="E1006"/>
    <hyperlink r:id="rId3760" ref="F1006"/>
    <hyperlink r:id="rId3761" ref="AD1006"/>
    <hyperlink r:id="rId3762" ref="D1007"/>
    <hyperlink r:id="rId3763" ref="E1007"/>
    <hyperlink r:id="rId3764" ref="F1007"/>
    <hyperlink r:id="rId3765" ref="AD1007"/>
    <hyperlink r:id="rId3766" ref="E1008"/>
    <hyperlink r:id="rId3767" ref="F1008"/>
    <hyperlink r:id="rId3768" ref="AD1008"/>
    <hyperlink r:id="rId3769" ref="D1009"/>
    <hyperlink r:id="rId3770" ref="E1009"/>
    <hyperlink r:id="rId3771" ref="F1009"/>
    <hyperlink r:id="rId3772" ref="D1010"/>
    <hyperlink r:id="rId3773" ref="E1010"/>
    <hyperlink r:id="rId3774" ref="AF1010"/>
    <hyperlink r:id="rId3775" ref="D1011"/>
    <hyperlink r:id="rId3776" ref="E1011"/>
    <hyperlink r:id="rId3777" ref="F1011"/>
    <hyperlink r:id="rId3778" ref="AF1011"/>
    <hyperlink r:id="rId3779" ref="D1012"/>
    <hyperlink r:id="rId3780" ref="E1012"/>
    <hyperlink r:id="rId3781" ref="F1012"/>
    <hyperlink r:id="rId3782" ref="AF1012"/>
    <hyperlink r:id="rId3783" ref="D1013"/>
    <hyperlink r:id="rId3784" ref="E1013"/>
    <hyperlink r:id="rId3785" ref="F1013"/>
    <hyperlink r:id="rId3786" ref="E1014"/>
    <hyperlink r:id="rId3787" ref="F1014"/>
    <hyperlink r:id="rId3788" ref="AD1014"/>
    <hyperlink r:id="rId3789" ref="AF1014"/>
    <hyperlink r:id="rId3790" ref="E1015"/>
    <hyperlink r:id="rId3791" ref="F1015"/>
    <hyperlink r:id="rId3792" ref="AD1015"/>
    <hyperlink r:id="rId3793" ref="AF1015"/>
    <hyperlink r:id="rId3794" ref="E1016"/>
    <hyperlink r:id="rId3795" ref="F1016"/>
    <hyperlink r:id="rId3796" ref="AD1016"/>
    <hyperlink r:id="rId3797" ref="AF1016"/>
    <hyperlink r:id="rId3798" ref="AH1016"/>
    <hyperlink r:id="rId3799" ref="D1017"/>
    <hyperlink r:id="rId3800" ref="E1017"/>
    <hyperlink r:id="rId3801" ref="F1017"/>
    <hyperlink r:id="rId3802" ref="E1018"/>
    <hyperlink r:id="rId3803" ref="F1018"/>
    <hyperlink r:id="rId3804" ref="AF1018"/>
    <hyperlink r:id="rId3805" ref="D1019"/>
    <hyperlink r:id="rId3806" ref="E1019"/>
    <hyperlink r:id="rId3807" ref="F1019"/>
    <hyperlink r:id="rId3808" ref="AF1019"/>
    <hyperlink r:id="rId3809" ref="E1020"/>
    <hyperlink r:id="rId3810" ref="F1020"/>
    <hyperlink r:id="rId3811" ref="D1021"/>
    <hyperlink r:id="rId3812" ref="E1021"/>
    <hyperlink r:id="rId3813" ref="F1021"/>
    <hyperlink r:id="rId3814" ref="AD1021"/>
    <hyperlink r:id="rId3815" ref="AF1021"/>
    <hyperlink r:id="rId3816" ref="D1022"/>
    <hyperlink r:id="rId3817" ref="E1022"/>
    <hyperlink r:id="rId3818" ref="F1022"/>
    <hyperlink r:id="rId3819" ref="E1023"/>
    <hyperlink r:id="rId3820" ref="F1023"/>
    <hyperlink r:id="rId3821" ref="E1024"/>
    <hyperlink r:id="rId3822" ref="F1024"/>
    <hyperlink r:id="rId3823" ref="AF1024"/>
    <hyperlink r:id="rId3824" ref="D1025"/>
    <hyperlink r:id="rId3825" ref="E1025"/>
    <hyperlink r:id="rId3826" ref="F1025"/>
    <hyperlink r:id="rId3827" ref="D1026"/>
    <hyperlink r:id="rId3828" ref="E1026"/>
    <hyperlink r:id="rId3829" ref="F1026"/>
    <hyperlink r:id="rId3830" ref="AF1026"/>
    <hyperlink r:id="rId3831" ref="D1027"/>
    <hyperlink r:id="rId3832" ref="E1027"/>
    <hyperlink r:id="rId3833" ref="F1027"/>
    <hyperlink r:id="rId3834" ref="E1028"/>
    <hyperlink r:id="rId3835" ref="F1028"/>
    <hyperlink r:id="rId3836" ref="AD1028"/>
    <hyperlink r:id="rId3837" ref="AF1028"/>
    <hyperlink r:id="rId3838" ref="AZ1028"/>
    <hyperlink r:id="rId3839" ref="D1029"/>
    <hyperlink r:id="rId3840" ref="E1029"/>
    <hyperlink r:id="rId3841" ref="F1029"/>
    <hyperlink r:id="rId3842" ref="AF1029"/>
    <hyperlink r:id="rId3843" ref="D1030"/>
    <hyperlink r:id="rId3844" location="section-overview" ref="E1030"/>
    <hyperlink r:id="rId3845" ref="F1030"/>
    <hyperlink r:id="rId3846" ref="D1031"/>
    <hyperlink r:id="rId3847" ref="E1031"/>
    <hyperlink r:id="rId3848" ref="F1031"/>
    <hyperlink r:id="rId3849" ref="AD1031"/>
    <hyperlink r:id="rId3850" ref="AZ1031"/>
    <hyperlink r:id="rId3851" ref="D1032"/>
    <hyperlink r:id="rId3852" ref="E1032"/>
    <hyperlink r:id="rId3853" ref="F1032"/>
    <hyperlink r:id="rId3854" ref="D1033"/>
    <hyperlink r:id="rId3855" ref="E1033"/>
    <hyperlink r:id="rId3856" ref="F1033"/>
    <hyperlink r:id="rId3857" ref="D1034"/>
    <hyperlink r:id="rId3858" ref="E1034"/>
    <hyperlink r:id="rId3859" ref="F1034"/>
    <hyperlink r:id="rId3860" ref="AF1034"/>
    <hyperlink r:id="rId3861" ref="E1035"/>
    <hyperlink r:id="rId3862" ref="F1035"/>
    <hyperlink r:id="rId3863" ref="AD1035"/>
    <hyperlink r:id="rId3864" ref="AF1035"/>
    <hyperlink r:id="rId3865" ref="E1036"/>
    <hyperlink r:id="rId3866" ref="F1036"/>
    <hyperlink r:id="rId3867" ref="D1037"/>
    <hyperlink r:id="rId3868" ref="E1037"/>
    <hyperlink r:id="rId3869" ref="F1037"/>
    <hyperlink r:id="rId3870" ref="AF1037"/>
    <hyperlink r:id="rId3871" ref="A1038"/>
    <hyperlink r:id="rId3872" ref="E1038"/>
    <hyperlink r:id="rId3873" ref="F1038"/>
    <hyperlink r:id="rId3874" ref="AF1038"/>
    <hyperlink r:id="rId3875" ref="D1039"/>
    <hyperlink r:id="rId3876" ref="E1039"/>
    <hyperlink r:id="rId3877" ref="F1039"/>
    <hyperlink r:id="rId3878" ref="D1040"/>
    <hyperlink r:id="rId3879" ref="E1040"/>
    <hyperlink r:id="rId3880" ref="F1040"/>
    <hyperlink r:id="rId3881" ref="D1041"/>
    <hyperlink r:id="rId3882" ref="E1041"/>
    <hyperlink r:id="rId3883" ref="F1041"/>
    <hyperlink r:id="rId3884" ref="D1042"/>
    <hyperlink r:id="rId3885" ref="E1042"/>
    <hyperlink r:id="rId3886" ref="F1042"/>
    <hyperlink r:id="rId3887" ref="AF1042"/>
    <hyperlink r:id="rId3888" ref="D1043"/>
    <hyperlink r:id="rId3889" ref="E1043"/>
    <hyperlink r:id="rId3890" ref="F1043"/>
    <hyperlink r:id="rId3891" ref="AF1043"/>
    <hyperlink r:id="rId3892" ref="D1044"/>
    <hyperlink r:id="rId3893" ref="E1044"/>
    <hyperlink r:id="rId3894" ref="F1044"/>
    <hyperlink r:id="rId3895" ref="AL1044"/>
    <hyperlink r:id="rId3896" ref="D1045"/>
    <hyperlink r:id="rId3897" ref="E1045"/>
    <hyperlink r:id="rId3898" ref="F1045"/>
    <hyperlink r:id="rId3899" ref="D1046"/>
    <hyperlink r:id="rId3900" ref="E1046"/>
    <hyperlink r:id="rId3901" ref="F1046"/>
    <hyperlink r:id="rId3902" ref="AF1046"/>
    <hyperlink r:id="rId3903" ref="D1047"/>
    <hyperlink r:id="rId3904" ref="E1047"/>
    <hyperlink r:id="rId3905" ref="F1047"/>
    <hyperlink r:id="rId3906" ref="F1048"/>
    <hyperlink r:id="rId3907" ref="D1049"/>
    <hyperlink r:id="rId3908" ref="E1049"/>
    <hyperlink r:id="rId3909" ref="F1049"/>
    <hyperlink r:id="rId3910" ref="D1050"/>
    <hyperlink r:id="rId3911" ref="E1050"/>
    <hyperlink r:id="rId3912" ref="F1050"/>
    <hyperlink r:id="rId3913" ref="D1052"/>
    <hyperlink r:id="rId3914" ref="E1052"/>
    <hyperlink r:id="rId3915" ref="F1052"/>
    <hyperlink r:id="rId3916" ref="E1053"/>
    <hyperlink r:id="rId3917" ref="F1053"/>
    <hyperlink r:id="rId3918" ref="E1054"/>
    <hyperlink r:id="rId3919" ref="F1054"/>
    <hyperlink r:id="rId3920" ref="AD1054"/>
    <hyperlink r:id="rId3921" ref="D1055"/>
    <hyperlink r:id="rId3922" ref="E1055"/>
    <hyperlink r:id="rId3923" ref="F1055"/>
    <hyperlink r:id="rId3924" ref="AF1055"/>
    <hyperlink r:id="rId3925" ref="E1056"/>
    <hyperlink r:id="rId3926" ref="F1056"/>
    <hyperlink r:id="rId3927" ref="AF1056"/>
    <hyperlink r:id="rId3928" ref="D1058"/>
    <hyperlink r:id="rId3929" location="section-overview" ref="E1058"/>
    <hyperlink r:id="rId3930" ref="F1058"/>
    <hyperlink r:id="rId3931" ref="E1059"/>
    <hyperlink r:id="rId3932" ref="F1059"/>
    <hyperlink r:id="rId3933" ref="D1060"/>
    <hyperlink r:id="rId3934" ref="E1060"/>
    <hyperlink r:id="rId3935" ref="F1060"/>
    <hyperlink r:id="rId3936" ref="AD1060"/>
    <hyperlink r:id="rId3937" ref="E1061"/>
    <hyperlink r:id="rId3938" ref="F1061"/>
    <hyperlink r:id="rId3939" ref="AF1061"/>
    <hyperlink r:id="rId3940" ref="D1062"/>
    <hyperlink r:id="rId3941" location="section-overview" ref="E1062"/>
    <hyperlink r:id="rId3942" ref="F1062"/>
    <hyperlink r:id="rId3943" ref="E1063"/>
    <hyperlink r:id="rId3944" ref="F1063"/>
    <hyperlink r:id="rId3945" ref="AD1063"/>
    <hyperlink r:id="rId3946" ref="E1064"/>
    <hyperlink r:id="rId3947" ref="F1064"/>
    <hyperlink r:id="rId3948" ref="AF1064"/>
    <hyperlink r:id="rId3949" ref="E1065"/>
    <hyperlink r:id="rId3950" ref="F1065"/>
    <hyperlink r:id="rId3951" ref="E1066"/>
    <hyperlink r:id="rId3952" ref="F1066"/>
    <hyperlink r:id="rId3953" ref="E1067"/>
    <hyperlink r:id="rId3954" ref="AF1067"/>
    <hyperlink r:id="rId3955" ref="D1068"/>
    <hyperlink r:id="rId3956" ref="E1068"/>
    <hyperlink r:id="rId3957" ref="F1068"/>
    <hyperlink r:id="rId3958" ref="AD1068"/>
    <hyperlink r:id="rId3959" ref="AF1068"/>
    <hyperlink r:id="rId3960" ref="E1069"/>
    <hyperlink r:id="rId3961" ref="F1069"/>
    <hyperlink r:id="rId3962" ref="AD1069"/>
    <hyperlink r:id="rId3963" ref="AF1069"/>
    <hyperlink r:id="rId3964" ref="D1070"/>
    <hyperlink r:id="rId3965" location="section-overview" ref="E1070"/>
    <hyperlink r:id="rId3966" ref="F1070"/>
    <hyperlink r:id="rId3967" ref="D1071"/>
    <hyperlink r:id="rId3968" ref="E1071"/>
    <hyperlink r:id="rId3969" ref="F1071"/>
    <hyperlink r:id="rId3970" ref="AF1071"/>
    <hyperlink r:id="rId3971" ref="AJ1071"/>
    <hyperlink r:id="rId3972" ref="D1072"/>
    <hyperlink r:id="rId3973" ref="E1072"/>
    <hyperlink r:id="rId3974" ref="F1072"/>
    <hyperlink r:id="rId3975" ref="D1073"/>
    <hyperlink r:id="rId3976" ref="E1073"/>
    <hyperlink r:id="rId3977" ref="F1073"/>
    <hyperlink r:id="rId3978" ref="AF1073"/>
    <hyperlink r:id="rId3979" ref="D1074"/>
    <hyperlink r:id="rId3980" ref="E1074"/>
    <hyperlink r:id="rId3981" ref="F1074"/>
    <hyperlink r:id="rId3982" ref="AF1074"/>
    <hyperlink r:id="rId3983" ref="E1075"/>
    <hyperlink r:id="rId3984" ref="F1075"/>
    <hyperlink r:id="rId3985" ref="E1076"/>
    <hyperlink r:id="rId3986" ref="F1076"/>
    <hyperlink r:id="rId3987" ref="AD1076"/>
    <hyperlink r:id="rId3988" ref="D1077"/>
    <hyperlink r:id="rId3989" ref="E1077"/>
    <hyperlink r:id="rId3990" ref="F1077"/>
    <hyperlink r:id="rId3991" ref="AF1077"/>
    <hyperlink r:id="rId3992" ref="D1078"/>
    <hyperlink r:id="rId3993" ref="E1078"/>
    <hyperlink r:id="rId3994" ref="F1078"/>
    <hyperlink r:id="rId3995" ref="D1079"/>
    <hyperlink r:id="rId3996" ref="E1079"/>
    <hyperlink r:id="rId3997" ref="F1079"/>
    <hyperlink r:id="rId3998" ref="E1080"/>
    <hyperlink r:id="rId3999" ref="F1080"/>
    <hyperlink r:id="rId4000" ref="D1081"/>
    <hyperlink r:id="rId4001" ref="E1081"/>
    <hyperlink r:id="rId4002" ref="F1081"/>
    <hyperlink r:id="rId4003" ref="D1082"/>
    <hyperlink r:id="rId4004" ref="E1082"/>
    <hyperlink r:id="rId4005" ref="F1082"/>
    <hyperlink r:id="rId4006" ref="D1083"/>
    <hyperlink r:id="rId4007" ref="E1083"/>
    <hyperlink r:id="rId4008" ref="F1083"/>
    <hyperlink r:id="rId4009" ref="AF1083"/>
    <hyperlink r:id="rId4010" ref="D1085"/>
    <hyperlink r:id="rId4011" ref="E1085"/>
    <hyperlink r:id="rId4012" ref="F1085"/>
    <hyperlink r:id="rId4013" ref="D1086"/>
    <hyperlink r:id="rId4014" ref="E1086"/>
    <hyperlink r:id="rId4015" ref="F1086"/>
    <hyperlink r:id="rId4016" ref="AF1086"/>
    <hyperlink r:id="rId4017" ref="D1087"/>
    <hyperlink r:id="rId4018" ref="E1087"/>
    <hyperlink r:id="rId4019" ref="F1087"/>
    <hyperlink r:id="rId4020" ref="AF1087"/>
    <hyperlink r:id="rId4021" ref="D1088"/>
    <hyperlink r:id="rId4022" location="section-overview" ref="E1088"/>
    <hyperlink r:id="rId4023" ref="F1088"/>
    <hyperlink r:id="rId4024" ref="D1089"/>
    <hyperlink r:id="rId4025" ref="E1089"/>
    <hyperlink r:id="rId4026" ref="F1089"/>
    <hyperlink r:id="rId4027" ref="D1090"/>
    <hyperlink r:id="rId4028" ref="E1090"/>
    <hyperlink r:id="rId4029" ref="F1090"/>
    <hyperlink r:id="rId4030" ref="AD1090"/>
    <hyperlink r:id="rId4031" ref="E1091"/>
    <hyperlink r:id="rId4032" ref="F1091"/>
    <hyperlink r:id="rId4033" ref="AF1091"/>
    <hyperlink r:id="rId4034" ref="D1092"/>
    <hyperlink r:id="rId4035" ref="E1092"/>
    <hyperlink r:id="rId4036" ref="F1092"/>
    <hyperlink r:id="rId4037" ref="AF1092"/>
    <hyperlink r:id="rId4038" ref="D1093"/>
    <hyperlink r:id="rId4039" ref="E1093"/>
    <hyperlink r:id="rId4040" ref="F1093"/>
    <hyperlink r:id="rId4041" ref="AF1093"/>
    <hyperlink r:id="rId4042" ref="D1094"/>
    <hyperlink r:id="rId4043" ref="E1094"/>
    <hyperlink r:id="rId4044" ref="F1094"/>
    <hyperlink r:id="rId4045" ref="AD1094"/>
    <hyperlink r:id="rId4046" ref="D1095"/>
    <hyperlink r:id="rId4047" ref="E1095"/>
    <hyperlink r:id="rId4048" ref="F1095"/>
    <hyperlink r:id="rId4049" ref="D1096"/>
    <hyperlink r:id="rId4050" ref="E1096"/>
    <hyperlink r:id="rId4051" ref="F1096"/>
    <hyperlink r:id="rId4052" ref="D1097"/>
    <hyperlink r:id="rId4053" ref="E1097"/>
    <hyperlink r:id="rId4054" ref="F1097"/>
    <hyperlink r:id="rId4055" ref="AF1097"/>
    <hyperlink r:id="rId4056" ref="D1098"/>
    <hyperlink r:id="rId4057" ref="E1098"/>
    <hyperlink r:id="rId4058" ref="F1098"/>
    <hyperlink r:id="rId4059" ref="AF1098"/>
    <hyperlink r:id="rId4060" ref="AZ1098"/>
    <hyperlink r:id="rId4061" ref="D1099"/>
    <hyperlink r:id="rId4062" ref="E1099"/>
    <hyperlink r:id="rId4063" ref="F1099"/>
    <hyperlink r:id="rId4064" ref="D1100"/>
    <hyperlink r:id="rId4065" ref="E1100"/>
    <hyperlink r:id="rId4066" ref="F1100"/>
    <hyperlink r:id="rId4067" ref="AF1100"/>
    <hyperlink r:id="rId4068" ref="D1101"/>
    <hyperlink r:id="rId4069" ref="E1101"/>
    <hyperlink r:id="rId4070" ref="F1101"/>
    <hyperlink r:id="rId4071" ref="D1102"/>
    <hyperlink r:id="rId4072" ref="E1102"/>
    <hyperlink r:id="rId4073" ref="F1102"/>
    <hyperlink r:id="rId4074" ref="D1103"/>
    <hyperlink r:id="rId4075" ref="E1103"/>
    <hyperlink r:id="rId4076" ref="F1103"/>
    <hyperlink r:id="rId4077" ref="AD1103"/>
    <hyperlink r:id="rId4078" ref="A1104"/>
    <hyperlink r:id="rId4079" ref="E1104"/>
    <hyperlink r:id="rId4080" ref="F1104"/>
    <hyperlink r:id="rId4081" ref="AD1104"/>
    <hyperlink r:id="rId4082" ref="E1105"/>
    <hyperlink r:id="rId4083" ref="F1105"/>
    <hyperlink r:id="rId4084" ref="AD1105"/>
    <hyperlink r:id="rId4085" ref="D1106"/>
    <hyperlink r:id="rId4086" ref="E1106"/>
    <hyperlink r:id="rId4087" ref="F1106"/>
    <hyperlink r:id="rId4088" ref="D1107"/>
    <hyperlink r:id="rId4089" ref="E1107"/>
    <hyperlink r:id="rId4090" ref="F1107"/>
    <hyperlink r:id="rId4091" ref="AF1107"/>
    <hyperlink r:id="rId4092" ref="D1108"/>
    <hyperlink r:id="rId4093" ref="E1108"/>
    <hyperlink r:id="rId4094" ref="F1108"/>
    <hyperlink r:id="rId4095" ref="AF1108"/>
    <hyperlink r:id="rId4096" ref="A1109"/>
    <hyperlink r:id="rId4097" ref="D1109"/>
    <hyperlink r:id="rId4098" ref="E1109"/>
    <hyperlink r:id="rId4099" ref="F1109"/>
    <hyperlink r:id="rId4100" ref="AF1109"/>
    <hyperlink r:id="rId4101" ref="E1110"/>
    <hyperlink r:id="rId4102" ref="F1110"/>
    <hyperlink r:id="rId4103" ref="D1111"/>
    <hyperlink r:id="rId4104" ref="E1111"/>
    <hyperlink r:id="rId4105" ref="F1111"/>
    <hyperlink r:id="rId4106" ref="D1112"/>
    <hyperlink r:id="rId4107" location="section-overview" ref="E1112"/>
    <hyperlink r:id="rId4108" ref="F1112"/>
    <hyperlink r:id="rId4109" ref="E1113"/>
    <hyperlink r:id="rId4110" ref="F1113"/>
    <hyperlink r:id="rId4111" ref="E1114"/>
    <hyperlink r:id="rId4112" ref="F1114"/>
    <hyperlink r:id="rId4113" ref="AF1114"/>
    <hyperlink r:id="rId4114" ref="A1115"/>
    <hyperlink r:id="rId4115" ref="E1115"/>
    <hyperlink r:id="rId4116" ref="F1115"/>
    <hyperlink r:id="rId4117" ref="AD1115"/>
    <hyperlink r:id="rId4118" ref="AF1115"/>
    <hyperlink r:id="rId4119" ref="E1116"/>
    <hyperlink r:id="rId4120" ref="F1116"/>
    <hyperlink r:id="rId4121" ref="AZ1116"/>
    <hyperlink r:id="rId4122" ref="D1117"/>
    <hyperlink r:id="rId4123" ref="E1117"/>
    <hyperlink r:id="rId4124" ref="F1117"/>
    <hyperlink r:id="rId4125" ref="AF1117"/>
    <hyperlink r:id="rId4126" ref="D1118"/>
    <hyperlink r:id="rId4127" ref="E1118"/>
    <hyperlink r:id="rId4128" ref="F1118"/>
    <hyperlink r:id="rId4129" ref="AF1118"/>
    <hyperlink r:id="rId4130" ref="D1119"/>
    <hyperlink r:id="rId4131" ref="E1119"/>
    <hyperlink r:id="rId4132" ref="F1119"/>
    <hyperlink r:id="rId4133" ref="AZ1119"/>
    <hyperlink r:id="rId4134" ref="D1120"/>
    <hyperlink r:id="rId4135" ref="E1120"/>
    <hyperlink r:id="rId4136" ref="F1120"/>
    <hyperlink r:id="rId4137" ref="D1121"/>
    <hyperlink r:id="rId4138" ref="E1121"/>
    <hyperlink r:id="rId4139" ref="F1121"/>
    <hyperlink r:id="rId4140" ref="D1122"/>
    <hyperlink r:id="rId4141" ref="E1122"/>
    <hyperlink r:id="rId4142" ref="F1122"/>
    <hyperlink r:id="rId4143" ref="D1123"/>
    <hyperlink r:id="rId4144" ref="E1123"/>
    <hyperlink r:id="rId4145" ref="F1123"/>
    <hyperlink r:id="rId4146" ref="AF1123"/>
    <hyperlink r:id="rId4147" ref="D1124"/>
    <hyperlink r:id="rId4148" location="section-overview" ref="E1124"/>
    <hyperlink r:id="rId4149" ref="E1125"/>
    <hyperlink r:id="rId4150" ref="F1125"/>
    <hyperlink r:id="rId4151" ref="AF1125"/>
    <hyperlink r:id="rId4152" ref="D1126"/>
    <hyperlink r:id="rId4153" ref="E1126"/>
    <hyperlink r:id="rId4154" ref="F1126"/>
    <hyperlink r:id="rId4155" ref="AF1126"/>
    <hyperlink r:id="rId4156" ref="D1127"/>
    <hyperlink r:id="rId4157" ref="E1127"/>
    <hyperlink r:id="rId4158" ref="F1127"/>
    <hyperlink r:id="rId4159" ref="AF1127"/>
    <hyperlink r:id="rId4160" ref="D1128"/>
    <hyperlink r:id="rId4161" ref="E1128"/>
    <hyperlink r:id="rId4162" ref="F1128"/>
    <hyperlink r:id="rId4163" ref="AF1128"/>
    <hyperlink r:id="rId4164" ref="D1129"/>
    <hyperlink r:id="rId4165" ref="E1129"/>
    <hyperlink r:id="rId4166" ref="F1129"/>
    <hyperlink r:id="rId4167" ref="AF1129"/>
    <hyperlink r:id="rId4168" ref="E1130"/>
    <hyperlink r:id="rId4169" ref="F1130"/>
    <hyperlink r:id="rId4170" ref="D1131"/>
    <hyperlink r:id="rId4171" ref="E1131"/>
    <hyperlink r:id="rId4172" ref="F1131"/>
    <hyperlink r:id="rId4173" ref="AF1131"/>
    <hyperlink r:id="rId4174" ref="E1132"/>
    <hyperlink r:id="rId4175" ref="F1132"/>
    <hyperlink r:id="rId4176" ref="AD1132"/>
    <hyperlink r:id="rId4177" ref="AF1132"/>
    <hyperlink r:id="rId4178" ref="AZ1132"/>
    <hyperlink r:id="rId4179" ref="E1133"/>
    <hyperlink r:id="rId4180" ref="F1133"/>
    <hyperlink r:id="rId4181" ref="E1134"/>
    <hyperlink r:id="rId4182" ref="F1134"/>
    <hyperlink r:id="rId4183" ref="AD1134"/>
    <hyperlink r:id="rId4184" ref="D1135"/>
    <hyperlink r:id="rId4185" ref="E1135"/>
    <hyperlink r:id="rId4186" ref="F1135"/>
    <hyperlink r:id="rId4187" ref="D1136"/>
    <hyperlink r:id="rId4188" ref="E1136"/>
    <hyperlink r:id="rId4189" ref="F1136"/>
    <hyperlink r:id="rId4190" ref="D1137"/>
    <hyperlink r:id="rId4191" ref="E1137"/>
    <hyperlink r:id="rId4192" ref="F1137"/>
    <hyperlink r:id="rId4193" ref="D1138"/>
    <hyperlink r:id="rId4194" ref="E1138"/>
    <hyperlink r:id="rId4195" ref="F1138"/>
    <hyperlink r:id="rId4196" ref="AD1138"/>
    <hyperlink r:id="rId4197" ref="D1139"/>
    <hyperlink r:id="rId4198" location="section-overview" ref="E1139"/>
    <hyperlink r:id="rId4199" ref="F1139"/>
    <hyperlink r:id="rId4200" ref="D1140"/>
    <hyperlink r:id="rId4201" ref="E1140"/>
    <hyperlink r:id="rId4202" ref="F1140"/>
    <hyperlink r:id="rId4203" ref="AF1140"/>
    <hyperlink r:id="rId4204" ref="D1141"/>
    <hyperlink r:id="rId4205" ref="E1141"/>
    <hyperlink r:id="rId4206" ref="F1141"/>
    <hyperlink r:id="rId4207" ref="AF1141"/>
    <hyperlink r:id="rId4208" ref="D1142"/>
    <hyperlink r:id="rId4209" ref="E1142"/>
    <hyperlink r:id="rId4210" ref="F1142"/>
    <hyperlink r:id="rId4211" ref="E1143"/>
    <hyperlink r:id="rId4212" ref="F1143"/>
    <hyperlink r:id="rId4213" ref="D1144"/>
    <hyperlink r:id="rId4214" ref="E1144"/>
    <hyperlink r:id="rId4215" ref="F1144"/>
    <hyperlink r:id="rId4216" ref="AD1144"/>
    <hyperlink r:id="rId4217" ref="E1145"/>
    <hyperlink r:id="rId4218" ref="F1145"/>
    <hyperlink r:id="rId4219" ref="AZ1145"/>
    <hyperlink r:id="rId4220" ref="D1146"/>
    <hyperlink r:id="rId4221" ref="E1146"/>
    <hyperlink r:id="rId4222" ref="F1146"/>
    <hyperlink r:id="rId4223" ref="AD1146"/>
    <hyperlink r:id="rId4224" ref="AF1146"/>
    <hyperlink r:id="rId4225" ref="D1147"/>
    <hyperlink r:id="rId4226" ref="E1147"/>
    <hyperlink r:id="rId4227" ref="F1147"/>
    <hyperlink r:id="rId4228" ref="D1148"/>
    <hyperlink r:id="rId4229" ref="E1148"/>
    <hyperlink r:id="rId4230" ref="F1148"/>
    <hyperlink r:id="rId4231" ref="AD1148"/>
    <hyperlink r:id="rId4232" ref="D1149"/>
    <hyperlink r:id="rId4233" ref="E1149"/>
    <hyperlink r:id="rId4234" ref="F1149"/>
    <hyperlink r:id="rId4235" ref="AF1149"/>
    <hyperlink r:id="rId4236" ref="AZ1149"/>
    <hyperlink r:id="rId4237" ref="D1150"/>
    <hyperlink r:id="rId4238" ref="E1150"/>
    <hyperlink r:id="rId4239" ref="E1151"/>
    <hyperlink r:id="rId4240" ref="F1151"/>
    <hyperlink r:id="rId4241" ref="D1152"/>
    <hyperlink r:id="rId4242" ref="E1152"/>
    <hyperlink r:id="rId4243" ref="F1152"/>
    <hyperlink r:id="rId4244" ref="AF1152"/>
    <hyperlink r:id="rId4245" ref="D1153"/>
    <hyperlink r:id="rId4246" ref="E1153"/>
    <hyperlink r:id="rId4247" ref="F1153"/>
    <hyperlink r:id="rId4248" ref="AF1153"/>
    <hyperlink r:id="rId4249" ref="D1154"/>
    <hyperlink r:id="rId4250" ref="E1154"/>
    <hyperlink r:id="rId4251" ref="F1154"/>
    <hyperlink r:id="rId4252" ref="AF1154"/>
    <hyperlink r:id="rId4253" ref="D1155"/>
    <hyperlink r:id="rId4254" ref="E1155"/>
    <hyperlink r:id="rId4255" ref="F1155"/>
    <hyperlink r:id="rId4256" ref="AD1155"/>
    <hyperlink r:id="rId4257" ref="D1156"/>
    <hyperlink r:id="rId4258" ref="E1156"/>
    <hyperlink r:id="rId4259" ref="F1156"/>
    <hyperlink r:id="rId4260" ref="D1157"/>
    <hyperlink r:id="rId4261" location="section-overview" ref="E1157"/>
    <hyperlink r:id="rId4262" ref="F1157"/>
    <hyperlink r:id="rId4263" ref="D1158"/>
    <hyperlink r:id="rId4264" ref="E1158"/>
    <hyperlink r:id="rId4265" ref="F1158"/>
    <hyperlink r:id="rId4266" ref="AF1158"/>
    <hyperlink r:id="rId4267" ref="BB1158"/>
    <hyperlink r:id="rId4268" ref="D1159"/>
    <hyperlink r:id="rId4269" ref="E1159"/>
    <hyperlink r:id="rId4270" ref="F1159"/>
    <hyperlink r:id="rId4271" ref="AF1159"/>
    <hyperlink r:id="rId4272" ref="D1160"/>
    <hyperlink r:id="rId4273" ref="E1160"/>
    <hyperlink r:id="rId4274" ref="F1160"/>
    <hyperlink r:id="rId4275" ref="AD1160"/>
    <hyperlink r:id="rId4276" ref="AF1160"/>
    <hyperlink r:id="rId4277" ref="E1161"/>
    <hyperlink r:id="rId4278" ref="F1161"/>
    <hyperlink r:id="rId4279" ref="AF1161"/>
    <hyperlink r:id="rId4280" ref="E1162"/>
    <hyperlink r:id="rId4281" ref="F1162"/>
    <hyperlink r:id="rId4282" ref="AD1162"/>
    <hyperlink r:id="rId4283" ref="D1163"/>
    <hyperlink r:id="rId4284" ref="E1163"/>
    <hyperlink r:id="rId4285" ref="F1163"/>
    <hyperlink r:id="rId4286" ref="AD1163"/>
    <hyperlink r:id="rId4287" ref="AF1163"/>
    <hyperlink r:id="rId4288" ref="D1164"/>
    <hyperlink r:id="rId4289" ref="E1164"/>
    <hyperlink r:id="rId4290" ref="F1164"/>
    <hyperlink r:id="rId4291" ref="E1165"/>
    <hyperlink r:id="rId4292" ref="F1165"/>
    <hyperlink r:id="rId4293" ref="AD1165"/>
    <hyperlink r:id="rId4294" ref="D1166"/>
    <hyperlink r:id="rId4295" ref="E1166"/>
    <hyperlink r:id="rId4296" ref="F1166"/>
    <hyperlink r:id="rId4297" ref="E1167"/>
    <hyperlink r:id="rId4298" ref="F1167"/>
    <hyperlink r:id="rId4299" ref="AF1167"/>
    <hyperlink r:id="rId4300" ref="D1168"/>
    <hyperlink r:id="rId4301" ref="E1168"/>
    <hyperlink r:id="rId4302" ref="F1168"/>
    <hyperlink r:id="rId4303" ref="AF1168"/>
    <hyperlink r:id="rId4304" ref="E1169"/>
    <hyperlink r:id="rId4305" ref="F1169"/>
    <hyperlink r:id="rId4306" ref="AD1169"/>
    <hyperlink r:id="rId4307" ref="AF1169"/>
    <hyperlink r:id="rId4308" ref="D1170"/>
    <hyperlink r:id="rId4309" ref="E1170"/>
    <hyperlink r:id="rId4310" ref="F1170"/>
    <hyperlink r:id="rId4311" ref="AF1170"/>
    <hyperlink r:id="rId4312" location="section-overview" ref="E1171"/>
    <hyperlink r:id="rId4313" ref="A1172"/>
    <hyperlink r:id="rId4314" location="section-overview" ref="E1172"/>
    <hyperlink r:id="rId4315" ref="F1172"/>
    <hyperlink r:id="rId4316" ref="D1173"/>
    <hyperlink r:id="rId4317" location="section-overview" ref="E1173"/>
    <hyperlink r:id="rId4318" ref="F1173"/>
    <hyperlink r:id="rId4319" ref="E1174"/>
    <hyperlink r:id="rId4320" ref="F1174"/>
    <hyperlink r:id="rId4321" ref="AF1174"/>
    <hyperlink r:id="rId4322" ref="D1175"/>
    <hyperlink r:id="rId4323" ref="E1175"/>
    <hyperlink r:id="rId4324" ref="F1175"/>
    <hyperlink r:id="rId4325" ref="AF1175"/>
    <hyperlink r:id="rId4326" ref="E1176"/>
    <hyperlink r:id="rId4327" ref="F1176"/>
    <hyperlink r:id="rId4328" ref="AF1176"/>
    <hyperlink r:id="rId4329" ref="D1177"/>
    <hyperlink r:id="rId4330" ref="E1177"/>
    <hyperlink r:id="rId4331" ref="F1177"/>
    <hyperlink r:id="rId4332" ref="AD1177"/>
    <hyperlink r:id="rId4333" ref="D1178"/>
    <hyperlink r:id="rId4334" location="section-overview" ref="E1178"/>
    <hyperlink r:id="rId4335" ref="F1178"/>
    <hyperlink r:id="rId4336" ref="D1179"/>
    <hyperlink r:id="rId4337" ref="E1179"/>
    <hyperlink r:id="rId4338" ref="F1179"/>
    <hyperlink r:id="rId4339" ref="AD1179"/>
    <hyperlink r:id="rId4340" ref="D1180"/>
    <hyperlink r:id="rId4341" ref="E1180"/>
    <hyperlink r:id="rId4342" ref="F1180"/>
    <hyperlink r:id="rId4343" ref="AD1180"/>
    <hyperlink r:id="rId4344" ref="D1181"/>
    <hyperlink r:id="rId4345" ref="E1181"/>
    <hyperlink r:id="rId4346" ref="F1181"/>
    <hyperlink r:id="rId4347" ref="E1182"/>
    <hyperlink r:id="rId4348" ref="F1182"/>
    <hyperlink r:id="rId4349" ref="AD1182"/>
    <hyperlink r:id="rId4350" ref="D1183"/>
    <hyperlink r:id="rId4351" location="section-overview" ref="E1183"/>
    <hyperlink r:id="rId4352" ref="F1183"/>
    <hyperlink r:id="rId4353" ref="D1184"/>
    <hyperlink r:id="rId4354" ref="E1184"/>
    <hyperlink r:id="rId4355" ref="F1184"/>
    <hyperlink r:id="rId4356" ref="E1185"/>
    <hyperlink r:id="rId4357" ref="F1185"/>
    <hyperlink r:id="rId4358" ref="D1186"/>
    <hyperlink r:id="rId4359" ref="E1186"/>
    <hyperlink r:id="rId4360" ref="F1186"/>
    <hyperlink r:id="rId4361" ref="E1187"/>
    <hyperlink r:id="rId4362" ref="F1187"/>
    <hyperlink r:id="rId4363" ref="AD1187"/>
    <hyperlink r:id="rId4364" ref="E1188"/>
    <hyperlink r:id="rId4365" ref="F1188"/>
    <hyperlink r:id="rId4366" ref="AD1188"/>
    <hyperlink r:id="rId4367" ref="D1189"/>
    <hyperlink r:id="rId4368" ref="E1189"/>
    <hyperlink r:id="rId4369" ref="F1189"/>
    <hyperlink r:id="rId4370" ref="AF1189"/>
    <hyperlink r:id="rId4371" ref="D1190"/>
    <hyperlink r:id="rId4372" ref="E1190"/>
    <hyperlink r:id="rId4373" ref="F1190"/>
    <hyperlink r:id="rId4374" ref="AF1190"/>
    <hyperlink r:id="rId4375" ref="A1191"/>
    <hyperlink r:id="rId4376" ref="D1191"/>
    <hyperlink r:id="rId4377" ref="E1191"/>
    <hyperlink r:id="rId4378" ref="F1191"/>
    <hyperlink r:id="rId4379" ref="D1192"/>
    <hyperlink r:id="rId4380" ref="E1192"/>
    <hyperlink r:id="rId4381" ref="F1192"/>
    <hyperlink r:id="rId4382" ref="A1193"/>
    <hyperlink r:id="rId4383" ref="D1193"/>
    <hyperlink r:id="rId4384" ref="E1193"/>
    <hyperlink r:id="rId4385" ref="F1193"/>
    <hyperlink r:id="rId4386" ref="AF1193"/>
    <hyperlink r:id="rId4387" ref="D1194"/>
    <hyperlink r:id="rId4388" ref="E1194"/>
    <hyperlink r:id="rId4389" ref="F1194"/>
    <hyperlink r:id="rId4390" ref="AF1194"/>
    <hyperlink r:id="rId4391" ref="D1195"/>
    <hyperlink r:id="rId4392" ref="E1195"/>
    <hyperlink r:id="rId4393" ref="D1196"/>
    <hyperlink r:id="rId4394" ref="E1196"/>
    <hyperlink r:id="rId4395" ref="F1196"/>
    <hyperlink r:id="rId4396" ref="E1197"/>
    <hyperlink r:id="rId4397" ref="F1197"/>
    <hyperlink r:id="rId4398" ref="D1198"/>
    <hyperlink r:id="rId4399" ref="E1198"/>
    <hyperlink r:id="rId4400" ref="F1198"/>
    <hyperlink r:id="rId4401" ref="D1199"/>
    <hyperlink r:id="rId4402" ref="E1199"/>
    <hyperlink r:id="rId4403" ref="F1199"/>
    <hyperlink r:id="rId4404" ref="AD1199"/>
    <hyperlink r:id="rId4405" ref="D1200"/>
    <hyperlink r:id="rId4406" ref="E1200"/>
    <hyperlink r:id="rId4407" ref="F1200"/>
    <hyperlink r:id="rId4408" ref="D1201"/>
    <hyperlink r:id="rId4409" ref="E1201"/>
    <hyperlink r:id="rId4410" ref="F1201"/>
    <hyperlink r:id="rId4411" ref="AF1201"/>
    <hyperlink r:id="rId4412" ref="D1202"/>
    <hyperlink r:id="rId4413" ref="E1202"/>
    <hyperlink r:id="rId4414" ref="F1202"/>
    <hyperlink r:id="rId4415" ref="AF1202"/>
    <hyperlink r:id="rId4416" ref="AZ1202"/>
    <hyperlink r:id="rId4417" ref="E1203"/>
    <hyperlink r:id="rId4418" ref="F1203"/>
    <hyperlink r:id="rId4419" ref="AD1203"/>
    <hyperlink r:id="rId4420" ref="E1204"/>
    <hyperlink r:id="rId4421" ref="D1205"/>
    <hyperlink r:id="rId4422" ref="E1205"/>
    <hyperlink r:id="rId4423" ref="F1205"/>
    <hyperlink r:id="rId4424" ref="E1206"/>
    <hyperlink r:id="rId4425" ref="F1206"/>
    <hyperlink r:id="rId4426" ref="AF1206"/>
    <hyperlink r:id="rId4427" ref="D1207"/>
    <hyperlink r:id="rId4428" ref="E1207"/>
    <hyperlink r:id="rId4429" ref="F1207"/>
    <hyperlink r:id="rId4430" ref="D1208"/>
    <hyperlink r:id="rId4431" ref="E1208"/>
    <hyperlink r:id="rId4432" ref="AF1208"/>
    <hyperlink r:id="rId4433" ref="D1209"/>
    <hyperlink r:id="rId4434" location="section-overview" ref="E1209"/>
    <hyperlink r:id="rId4435" ref="F1209"/>
    <hyperlink r:id="rId4436" ref="E1210"/>
    <hyperlink r:id="rId4437" ref="F1210"/>
    <hyperlink r:id="rId4438" ref="AF1210"/>
    <hyperlink r:id="rId4439" ref="A1211"/>
    <hyperlink r:id="rId4440" ref="D1211"/>
    <hyperlink r:id="rId4441" ref="E1211"/>
    <hyperlink r:id="rId4442" ref="F1211"/>
    <hyperlink r:id="rId4443" ref="D1212"/>
    <hyperlink r:id="rId4444" ref="E1212"/>
    <hyperlink r:id="rId4445" ref="F1212"/>
    <hyperlink r:id="rId4446" ref="AF1212"/>
    <hyperlink r:id="rId4447" ref="D1213"/>
    <hyperlink r:id="rId4448" ref="E1213"/>
    <hyperlink r:id="rId4449" ref="F1213"/>
    <hyperlink r:id="rId4450" ref="AF1213"/>
    <hyperlink r:id="rId4451" ref="D1214"/>
    <hyperlink r:id="rId4452" ref="E1214"/>
    <hyperlink r:id="rId4453" ref="F1214"/>
    <hyperlink r:id="rId4454" ref="AF1214"/>
    <hyperlink r:id="rId4455" ref="E1215"/>
    <hyperlink r:id="rId4456" ref="F1215"/>
    <hyperlink r:id="rId4457" ref="E1216"/>
    <hyperlink r:id="rId4458" ref="F1216"/>
    <hyperlink r:id="rId4459" ref="AD1216"/>
    <hyperlink r:id="rId4460" ref="D1217"/>
    <hyperlink r:id="rId4461" location="section-overview" ref="E1217"/>
    <hyperlink r:id="rId4462" ref="F1217"/>
    <hyperlink r:id="rId4463" ref="D1218"/>
    <hyperlink r:id="rId4464" ref="E1218"/>
    <hyperlink r:id="rId4465" ref="F1218"/>
    <hyperlink r:id="rId4466" ref="D1219"/>
    <hyperlink r:id="rId4467" ref="E1219"/>
    <hyperlink r:id="rId4468" ref="F1219"/>
    <hyperlink r:id="rId4469" ref="AF1219"/>
    <hyperlink r:id="rId4470" ref="D1220"/>
    <hyperlink r:id="rId4471" ref="E1220"/>
    <hyperlink r:id="rId4472" ref="F1220"/>
    <hyperlink r:id="rId4473" ref="AF1220"/>
    <hyperlink r:id="rId4474" location="section-overview" ref="E1221"/>
    <hyperlink r:id="rId4475" ref="F1221"/>
    <hyperlink r:id="rId4476" ref="D1222"/>
    <hyperlink r:id="rId4477" ref="E1222"/>
    <hyperlink r:id="rId4478" ref="F1222"/>
    <hyperlink r:id="rId4479" ref="D1223"/>
    <hyperlink r:id="rId4480" ref="E1223"/>
    <hyperlink r:id="rId4481" ref="F1223"/>
    <hyperlink r:id="rId4482" ref="AF1223"/>
    <hyperlink r:id="rId4483" ref="D1224"/>
    <hyperlink r:id="rId4484" ref="E1224"/>
    <hyperlink r:id="rId4485" ref="F1224"/>
    <hyperlink r:id="rId4486" ref="E1225"/>
    <hyperlink r:id="rId4487" ref="F1225"/>
    <hyperlink r:id="rId4488" ref="AF1225"/>
    <hyperlink r:id="rId4489" ref="E1226"/>
    <hyperlink r:id="rId4490" ref="F1226"/>
    <hyperlink r:id="rId4491" ref="E1227"/>
    <hyperlink r:id="rId4492" ref="AF1227"/>
    <hyperlink r:id="rId4493" ref="D1228"/>
    <hyperlink r:id="rId4494" ref="E1228"/>
    <hyperlink r:id="rId4495" ref="F1228"/>
    <hyperlink r:id="rId4496" ref="AF1228"/>
    <hyperlink r:id="rId4497" ref="D1229"/>
    <hyperlink r:id="rId4498" ref="E1229"/>
    <hyperlink r:id="rId4499" ref="F1229"/>
    <hyperlink r:id="rId4500" ref="D1230"/>
    <hyperlink r:id="rId4501" ref="E1230"/>
    <hyperlink r:id="rId4502" ref="F1230"/>
    <hyperlink r:id="rId4503" ref="D1231"/>
    <hyperlink r:id="rId4504" ref="E1231"/>
    <hyperlink r:id="rId4505" ref="F1231"/>
    <hyperlink r:id="rId4506" ref="AF1231"/>
    <hyperlink r:id="rId4507" ref="D1232"/>
    <hyperlink r:id="rId4508" ref="E1232"/>
    <hyperlink r:id="rId4509" ref="F1232"/>
    <hyperlink r:id="rId4510" ref="D1233"/>
    <hyperlink r:id="rId4511" ref="E1233"/>
    <hyperlink r:id="rId4512" ref="F1233"/>
    <hyperlink r:id="rId4513" ref="E1234"/>
    <hyperlink r:id="rId4514" ref="F1234"/>
    <hyperlink r:id="rId4515" ref="AI1234"/>
    <hyperlink r:id="rId4516" ref="D1235"/>
    <hyperlink r:id="rId4517" location="section-overview" ref="E1235"/>
    <hyperlink r:id="rId4518" ref="F1235"/>
    <hyperlink r:id="rId4519" ref="D1236"/>
    <hyperlink r:id="rId4520" ref="E1236"/>
    <hyperlink r:id="rId4521" ref="F1236"/>
    <hyperlink r:id="rId4522" ref="AF1236"/>
    <hyperlink r:id="rId4523" ref="D1237"/>
    <hyperlink r:id="rId4524" location="section-overview" ref="E1237"/>
    <hyperlink r:id="rId4525" ref="F1237"/>
    <hyperlink r:id="rId4526" ref="D1238"/>
    <hyperlink r:id="rId4527" ref="E1238"/>
    <hyperlink r:id="rId4528" ref="F1238"/>
    <hyperlink r:id="rId4529" ref="AF1238"/>
    <hyperlink r:id="rId4530" ref="D1239"/>
    <hyperlink r:id="rId4531" ref="E1239"/>
    <hyperlink r:id="rId4532" ref="F1239"/>
    <hyperlink r:id="rId4533" ref="D1240"/>
    <hyperlink r:id="rId4534" ref="E1240"/>
    <hyperlink r:id="rId4535" ref="F1240"/>
    <hyperlink r:id="rId4536" ref="AF1240"/>
    <hyperlink r:id="rId4537" ref="E1241"/>
    <hyperlink r:id="rId4538" ref="F1241"/>
    <hyperlink r:id="rId4539" ref="D1242"/>
    <hyperlink r:id="rId4540" ref="E1242"/>
    <hyperlink r:id="rId4541" ref="F1242"/>
    <hyperlink r:id="rId4542" ref="E1243"/>
    <hyperlink r:id="rId4543" ref="F1243"/>
    <hyperlink r:id="rId4544" ref="E1244"/>
    <hyperlink r:id="rId4545" ref="F1244"/>
    <hyperlink r:id="rId4546" ref="D1245"/>
    <hyperlink r:id="rId4547" ref="E1245"/>
    <hyperlink r:id="rId4548" ref="F1245"/>
    <hyperlink r:id="rId4549" ref="AD1245"/>
    <hyperlink r:id="rId4550" ref="E1246"/>
    <hyperlink r:id="rId4551" ref="F1246"/>
    <hyperlink r:id="rId4552" ref="E1247"/>
    <hyperlink r:id="rId4553" ref="F1247"/>
    <hyperlink r:id="rId4554" ref="D1248"/>
    <hyperlink r:id="rId4555" ref="E1248"/>
    <hyperlink r:id="rId4556" ref="F1248"/>
    <hyperlink r:id="rId4557" ref="D1250"/>
    <hyperlink r:id="rId4558" ref="E1250"/>
    <hyperlink r:id="rId4559" ref="D1251"/>
    <hyperlink r:id="rId4560" ref="E1251"/>
    <hyperlink r:id="rId4561" ref="F1251"/>
    <hyperlink r:id="rId4562" ref="D1252"/>
    <hyperlink r:id="rId4563" ref="E1252"/>
    <hyperlink r:id="rId4564" ref="D1253"/>
    <hyperlink r:id="rId4565" ref="E1253"/>
    <hyperlink r:id="rId4566" ref="F1253"/>
    <hyperlink r:id="rId4567" ref="D1254"/>
    <hyperlink r:id="rId4568" ref="E1254"/>
    <hyperlink r:id="rId4569" ref="F1254"/>
    <hyperlink r:id="rId4570" ref="D1255"/>
    <hyperlink r:id="rId4571" location="section-overview" ref="E1256"/>
    <hyperlink r:id="rId4572" ref="F1256"/>
    <hyperlink r:id="rId4573" ref="E1257"/>
    <hyperlink r:id="rId4574" ref="F1257"/>
    <hyperlink r:id="rId4575" ref="F1258"/>
    <hyperlink r:id="rId4576" ref="E1259"/>
    <hyperlink r:id="rId4577" ref="F1259"/>
    <hyperlink r:id="rId4578" ref="D1260"/>
    <hyperlink r:id="rId4579" ref="F1260"/>
    <hyperlink r:id="rId4580" ref="E1261"/>
    <hyperlink r:id="rId4581" ref="F1261"/>
    <hyperlink r:id="rId4582" ref="D1262"/>
    <hyperlink r:id="rId4583" ref="E1262"/>
    <hyperlink r:id="rId4584" ref="F1262"/>
    <hyperlink r:id="rId4585" ref="D1263"/>
    <hyperlink r:id="rId4586" ref="E1263"/>
    <hyperlink r:id="rId4587" ref="E1264"/>
    <hyperlink r:id="rId4588" ref="F1264"/>
    <hyperlink r:id="rId4589" ref="D1265"/>
    <hyperlink r:id="rId4590" ref="E1265"/>
    <hyperlink r:id="rId4591" ref="F1265"/>
    <hyperlink r:id="rId4592" ref="D1266"/>
    <hyperlink r:id="rId4593" ref="E1266"/>
    <hyperlink r:id="rId4594" ref="F1266"/>
    <hyperlink r:id="rId4595" ref="E1267"/>
    <hyperlink r:id="rId4596" ref="F1267"/>
    <hyperlink r:id="rId4597" ref="E1268"/>
    <hyperlink r:id="rId4598" ref="F1268"/>
    <hyperlink r:id="rId4599" ref="E1269"/>
    <hyperlink r:id="rId4600" ref="F1269"/>
    <hyperlink r:id="rId4601" ref="E1270"/>
    <hyperlink r:id="rId4602" ref="F1270"/>
    <hyperlink r:id="rId4603" ref="E1271"/>
    <hyperlink r:id="rId4604" ref="F1271"/>
    <hyperlink r:id="rId4605" ref="E1272"/>
    <hyperlink r:id="rId4606" ref="F1272"/>
    <hyperlink r:id="rId4607" ref="E1273"/>
    <hyperlink r:id="rId4608" ref="F1273"/>
    <hyperlink r:id="rId4609" ref="F1274"/>
    <hyperlink r:id="rId4610" ref="E1275"/>
    <hyperlink r:id="rId4611" ref="F1275"/>
    <hyperlink r:id="rId4612" ref="F1276"/>
    <hyperlink r:id="rId4613" ref="F1277"/>
    <hyperlink r:id="rId4614" ref="E1278"/>
    <hyperlink r:id="rId4615" ref="F1278"/>
    <hyperlink r:id="rId4616" ref="E1279"/>
    <hyperlink r:id="rId4617" ref="F1279"/>
    <hyperlink r:id="rId4618" ref="E1280"/>
    <hyperlink r:id="rId4619" ref="F1280"/>
    <hyperlink r:id="rId4620" ref="D1281"/>
    <hyperlink r:id="rId4621" ref="E1281"/>
    <hyperlink r:id="rId4622" ref="F1281"/>
    <hyperlink r:id="rId4623" ref="E1282"/>
    <hyperlink r:id="rId4624" ref="F1282"/>
    <hyperlink r:id="rId4625" ref="E1283"/>
    <hyperlink r:id="rId4626" ref="F1283"/>
    <hyperlink r:id="rId4627" ref="D1284"/>
    <hyperlink r:id="rId4628" ref="F1284"/>
    <hyperlink r:id="rId4629" ref="D1285"/>
    <hyperlink r:id="rId4630" ref="E1285"/>
    <hyperlink r:id="rId4631" ref="F1285"/>
    <hyperlink r:id="rId4632" ref="D1286"/>
    <hyperlink r:id="rId4633" ref="E1286"/>
    <hyperlink r:id="rId4634" ref="F1286"/>
    <hyperlink r:id="rId4635" ref="D1287"/>
    <hyperlink r:id="rId4636" ref="E1287"/>
    <hyperlink r:id="rId4637" ref="F1287"/>
    <hyperlink r:id="rId4638" ref="D1288"/>
    <hyperlink r:id="rId4639" ref="F1288"/>
    <hyperlink r:id="rId4640" ref="D1289"/>
    <hyperlink r:id="rId4641" ref="E1289"/>
    <hyperlink r:id="rId4642" ref="F1289"/>
    <hyperlink r:id="rId4643" ref="D1290"/>
    <hyperlink r:id="rId4644" ref="F1290"/>
    <hyperlink r:id="rId4645" ref="E1291"/>
    <hyperlink r:id="rId4646" ref="F1291"/>
    <hyperlink r:id="rId4647" ref="A1292"/>
    <hyperlink r:id="rId4648" ref="E1292"/>
    <hyperlink r:id="rId4649" ref="F1292"/>
    <hyperlink r:id="rId4650" ref="E1293"/>
    <hyperlink r:id="rId4651" ref="F1293"/>
    <hyperlink r:id="rId4652" ref="D1294"/>
    <hyperlink r:id="rId4653" ref="E1294"/>
    <hyperlink r:id="rId4654" ref="F1294"/>
    <hyperlink r:id="rId4655" ref="D1295"/>
    <hyperlink r:id="rId4656" ref="E1295"/>
    <hyperlink r:id="rId4657" ref="F1295"/>
    <hyperlink r:id="rId4658" ref="D1296"/>
    <hyperlink r:id="rId4659" ref="E1296"/>
    <hyperlink r:id="rId4660" ref="F1296"/>
    <hyperlink r:id="rId4661" ref="F1297"/>
    <hyperlink r:id="rId4662" ref="D1298"/>
    <hyperlink r:id="rId4663" ref="E1298"/>
    <hyperlink r:id="rId4664" ref="F1298"/>
    <hyperlink r:id="rId4665" ref="D1299"/>
    <hyperlink r:id="rId4666" ref="E1299"/>
    <hyperlink r:id="rId4667" ref="F1299"/>
    <hyperlink r:id="rId4668" ref="D1300"/>
    <hyperlink r:id="rId4669" ref="E1300"/>
    <hyperlink r:id="rId4670" ref="F1300"/>
    <hyperlink r:id="rId4671" ref="F1301"/>
    <hyperlink r:id="rId4672" ref="E1302"/>
    <hyperlink r:id="rId4673" ref="D1303"/>
    <hyperlink r:id="rId4674" ref="E1303"/>
    <hyperlink r:id="rId4675" ref="F1303"/>
    <hyperlink r:id="rId4676" ref="D1304"/>
    <hyperlink r:id="rId4677" ref="E1304"/>
    <hyperlink r:id="rId4678" ref="F1304"/>
    <hyperlink r:id="rId4679" ref="D1305"/>
    <hyperlink r:id="rId4680" ref="F1305"/>
    <hyperlink r:id="rId4681" ref="D1306"/>
    <hyperlink r:id="rId4682" ref="E1306"/>
    <hyperlink r:id="rId4683" ref="F1306"/>
    <hyperlink r:id="rId4684" ref="D1307"/>
    <hyperlink r:id="rId4685" ref="E1307"/>
    <hyperlink r:id="rId4686" ref="F1307"/>
    <hyperlink r:id="rId4687" ref="D1308"/>
    <hyperlink r:id="rId4688" location="section-overview" ref="E1308"/>
    <hyperlink r:id="rId4689" ref="D1309"/>
    <hyperlink r:id="rId4690" ref="E1309"/>
    <hyperlink r:id="rId4691" ref="F1309"/>
    <hyperlink r:id="rId4692" ref="D1310"/>
    <hyperlink r:id="rId4693" ref="E1310"/>
    <hyperlink r:id="rId4694" ref="F1310"/>
    <hyperlink r:id="rId4695" ref="D1311"/>
    <hyperlink r:id="rId4696" ref="E1311"/>
    <hyperlink r:id="rId4697" ref="D1312"/>
    <hyperlink r:id="rId4698" ref="E1312"/>
    <hyperlink r:id="rId4699" ref="F1312"/>
    <hyperlink r:id="rId4700" ref="E1313"/>
    <hyperlink r:id="rId4701" ref="F1313"/>
    <hyperlink r:id="rId4702" ref="D1314"/>
    <hyperlink r:id="rId4703" ref="E1314"/>
    <hyperlink r:id="rId4704" ref="F1314"/>
    <hyperlink r:id="rId4705" ref="A1315"/>
    <hyperlink r:id="rId4706" ref="D1315"/>
    <hyperlink r:id="rId4707" ref="E1315"/>
    <hyperlink r:id="rId4708" ref="F1315"/>
    <hyperlink r:id="rId4709" ref="F1316"/>
    <hyperlink r:id="rId4710" ref="D1317"/>
    <hyperlink r:id="rId4711" ref="E1317"/>
    <hyperlink r:id="rId4712" ref="F1317"/>
    <hyperlink r:id="rId4713" ref="D1318"/>
    <hyperlink r:id="rId4714" ref="F1318"/>
    <hyperlink r:id="rId4715" ref="F1319"/>
    <hyperlink r:id="rId4716" ref="F1320"/>
    <hyperlink r:id="rId4717" ref="E1321"/>
    <hyperlink r:id="rId4718" ref="F1321"/>
    <hyperlink r:id="rId4719" ref="D1322"/>
    <hyperlink r:id="rId4720" ref="E1322"/>
    <hyperlink r:id="rId4721" ref="F1322"/>
    <hyperlink r:id="rId4722" ref="D1323"/>
    <hyperlink r:id="rId4723" ref="F1323"/>
    <hyperlink r:id="rId4724" ref="F1324"/>
    <hyperlink r:id="rId4725" ref="D1325"/>
    <hyperlink r:id="rId4726" ref="E1325"/>
    <hyperlink r:id="rId4727" ref="F1325"/>
    <hyperlink r:id="rId4728" ref="E1326"/>
    <hyperlink r:id="rId4729" ref="F1326"/>
    <hyperlink r:id="rId4730" ref="D1327"/>
    <hyperlink r:id="rId4731" ref="F1327"/>
    <hyperlink r:id="rId4732" ref="E1328"/>
    <hyperlink r:id="rId4733" ref="F1328"/>
    <hyperlink r:id="rId4734" ref="D1329"/>
    <hyperlink r:id="rId4735" ref="E1329"/>
    <hyperlink r:id="rId4736" ref="F1329"/>
    <hyperlink r:id="rId4737" ref="A1330"/>
    <hyperlink r:id="rId4738" ref="E1330"/>
    <hyperlink r:id="rId4739" ref="F1330"/>
    <hyperlink r:id="rId4740" ref="A1331"/>
    <hyperlink r:id="rId4741" ref="D1331"/>
    <hyperlink r:id="rId4742" ref="F1331"/>
    <hyperlink r:id="rId4743" ref="E1332"/>
    <hyperlink r:id="rId4744" ref="F1332"/>
    <hyperlink r:id="rId4745" ref="E1333"/>
    <hyperlink r:id="rId4746" ref="F1333"/>
    <hyperlink r:id="rId4747" ref="A1334"/>
    <hyperlink r:id="rId4748" ref="F1334"/>
    <hyperlink r:id="rId4749" ref="E1335"/>
    <hyperlink r:id="rId4750" ref="F1335"/>
    <hyperlink r:id="rId4751" ref="D1336"/>
    <hyperlink r:id="rId4752" ref="E1336"/>
    <hyperlink r:id="rId4753" ref="F1336"/>
    <hyperlink r:id="rId4754" ref="F1337"/>
    <hyperlink r:id="rId4755" ref="F1338"/>
    <hyperlink r:id="rId4756" ref="E1339"/>
    <hyperlink r:id="rId4757" ref="F1339"/>
    <hyperlink r:id="rId4758" ref="D1340"/>
    <hyperlink r:id="rId4759" location="section-overview" ref="E1340"/>
    <hyperlink r:id="rId4760" ref="F1340"/>
    <hyperlink r:id="rId4761" ref="D1341"/>
    <hyperlink r:id="rId4762" ref="E1341"/>
    <hyperlink r:id="rId4763" ref="F1341"/>
    <hyperlink r:id="rId4764" ref="D1342"/>
    <hyperlink r:id="rId4765" ref="E1342"/>
    <hyperlink r:id="rId4766" ref="F1342"/>
    <hyperlink r:id="rId4767" ref="D1343"/>
    <hyperlink r:id="rId4768" ref="E1343"/>
    <hyperlink r:id="rId4769" ref="F1343"/>
    <hyperlink r:id="rId4770" ref="E1344"/>
    <hyperlink r:id="rId4771" ref="F1344"/>
    <hyperlink r:id="rId4772" ref="D1345"/>
    <hyperlink r:id="rId4773" ref="E1345"/>
    <hyperlink r:id="rId4774" ref="F1345"/>
    <hyperlink r:id="rId4775" ref="D1346"/>
    <hyperlink r:id="rId4776" ref="F1346"/>
    <hyperlink r:id="rId4777" ref="D1347"/>
    <hyperlink r:id="rId4778" ref="E1347"/>
    <hyperlink r:id="rId4779" ref="F1347"/>
    <hyperlink r:id="rId4780" ref="E1348"/>
    <hyperlink r:id="rId4781" ref="F1348"/>
    <hyperlink r:id="rId4782" ref="D1349"/>
    <hyperlink r:id="rId4783" ref="E1349"/>
    <hyperlink r:id="rId4784" ref="F1349"/>
    <hyperlink r:id="rId4785" ref="D1350"/>
    <hyperlink r:id="rId4786" ref="E1350"/>
    <hyperlink r:id="rId4787" ref="F1350"/>
    <hyperlink r:id="rId4788" ref="D1351"/>
    <hyperlink r:id="rId4789" ref="E1351"/>
    <hyperlink r:id="rId4790" ref="F1351"/>
    <hyperlink r:id="rId4791" ref="F1352"/>
    <hyperlink r:id="rId4792" ref="D1353"/>
    <hyperlink r:id="rId4793" ref="E1353"/>
    <hyperlink r:id="rId4794" ref="F1353"/>
    <hyperlink r:id="rId4795" ref="D1354"/>
    <hyperlink r:id="rId4796" ref="F1354"/>
    <hyperlink r:id="rId4797" ref="D1355"/>
    <hyperlink r:id="rId4798" location="section-overview" ref="E1355"/>
    <hyperlink r:id="rId4799" ref="F1355"/>
    <hyperlink r:id="rId4800" ref="D1356"/>
    <hyperlink r:id="rId4801" ref="E1356"/>
    <hyperlink r:id="rId4802" ref="F1356"/>
    <hyperlink r:id="rId4803" ref="D1357"/>
    <hyperlink r:id="rId4804" ref="E1357"/>
    <hyperlink r:id="rId4805" ref="F1357"/>
    <hyperlink r:id="rId4806" ref="E1358"/>
    <hyperlink r:id="rId4807" ref="F1358"/>
    <hyperlink r:id="rId4808" ref="D1359"/>
    <hyperlink r:id="rId4809" ref="E1359"/>
    <hyperlink r:id="rId4810" ref="F1359"/>
    <hyperlink r:id="rId4811" ref="E1360"/>
    <hyperlink r:id="rId4812" ref="F1360"/>
    <hyperlink r:id="rId4813" ref="D1361"/>
    <hyperlink r:id="rId4814" ref="E1361"/>
    <hyperlink r:id="rId4815" ref="F1361"/>
    <hyperlink r:id="rId4816" ref="D1362"/>
    <hyperlink r:id="rId4817" ref="F1362"/>
    <hyperlink r:id="rId4818" ref="D1363"/>
    <hyperlink r:id="rId4819" ref="E1363"/>
    <hyperlink r:id="rId4820" ref="F1363"/>
    <hyperlink r:id="rId4821" ref="F1364"/>
    <hyperlink r:id="rId4822" ref="D1365"/>
    <hyperlink r:id="rId4823" ref="E1365"/>
    <hyperlink r:id="rId4824" ref="F1365"/>
    <hyperlink r:id="rId4825" ref="D1366"/>
    <hyperlink r:id="rId4826" ref="E1366"/>
    <hyperlink r:id="rId4827" ref="F1366"/>
    <hyperlink r:id="rId4828" ref="F1367"/>
    <hyperlink r:id="rId4829" ref="E1368"/>
    <hyperlink r:id="rId4830" ref="F1368"/>
    <hyperlink r:id="rId4831" ref="D1369"/>
    <hyperlink r:id="rId4832" ref="F1369"/>
    <hyperlink r:id="rId4833" ref="D1370"/>
    <hyperlink r:id="rId4834" ref="E1370"/>
    <hyperlink r:id="rId4835" ref="F1370"/>
    <hyperlink r:id="rId4836" ref="D1371"/>
    <hyperlink r:id="rId4837" ref="E1371"/>
    <hyperlink r:id="rId4838" ref="F1371"/>
    <hyperlink r:id="rId4839" ref="E1372"/>
    <hyperlink r:id="rId4840" ref="D1373"/>
    <hyperlink r:id="rId4841" ref="E1373"/>
    <hyperlink r:id="rId4842" ref="F1373"/>
    <hyperlink r:id="rId4843" ref="D1374"/>
    <hyperlink r:id="rId4844" ref="E1374"/>
    <hyperlink r:id="rId4845" ref="F1374"/>
    <hyperlink r:id="rId4846" ref="D1375"/>
    <hyperlink r:id="rId4847" ref="E1375"/>
    <hyperlink r:id="rId4848" ref="F1375"/>
    <hyperlink r:id="rId4849" ref="D1376"/>
    <hyperlink r:id="rId4850" ref="E1376"/>
    <hyperlink r:id="rId4851" ref="F1376"/>
    <hyperlink r:id="rId4852" ref="D1377"/>
    <hyperlink r:id="rId4853" ref="E1377"/>
    <hyperlink r:id="rId4854" ref="F1377"/>
    <hyperlink r:id="rId4855" ref="F1378"/>
    <hyperlink r:id="rId4856" ref="E1379"/>
    <hyperlink r:id="rId4857" ref="F1379"/>
    <hyperlink r:id="rId4858" ref="F1380"/>
    <hyperlink r:id="rId4859" ref="D1381"/>
    <hyperlink r:id="rId4860" ref="E1381"/>
    <hyperlink r:id="rId4861" ref="F1381"/>
    <hyperlink r:id="rId4862" ref="D1382"/>
    <hyperlink r:id="rId4863" ref="E1382"/>
    <hyperlink r:id="rId4864" ref="F1382"/>
    <hyperlink r:id="rId4865" ref="F1383"/>
    <hyperlink r:id="rId4866" ref="D1384"/>
    <hyperlink r:id="rId4867" ref="E1384"/>
    <hyperlink r:id="rId4868" ref="F1384"/>
    <hyperlink r:id="rId4869" ref="F1385"/>
    <hyperlink r:id="rId4870" ref="D1386"/>
    <hyperlink r:id="rId4871" ref="E1386"/>
    <hyperlink r:id="rId4872" ref="F1386"/>
    <hyperlink r:id="rId4873" ref="E1387"/>
    <hyperlink r:id="rId4874" ref="F1387"/>
    <hyperlink r:id="rId4875" ref="D1388"/>
    <hyperlink r:id="rId4876" ref="E1388"/>
    <hyperlink r:id="rId4877" ref="F1388"/>
    <hyperlink r:id="rId4878" ref="D1389"/>
    <hyperlink r:id="rId4879" ref="F1389"/>
    <hyperlink r:id="rId4880" ref="F1390"/>
    <hyperlink r:id="rId4881" ref="E1391"/>
    <hyperlink r:id="rId4882" ref="F1391"/>
    <hyperlink r:id="rId4883" ref="D1392"/>
    <hyperlink r:id="rId4884" ref="F1392"/>
    <hyperlink r:id="rId4885" ref="D1393"/>
    <hyperlink r:id="rId4886" ref="E1393"/>
    <hyperlink r:id="rId4887" ref="F1393"/>
    <hyperlink r:id="rId4888" ref="D1394"/>
    <hyperlink r:id="rId4889" ref="F1394"/>
    <hyperlink r:id="rId4890" ref="E1395"/>
    <hyperlink r:id="rId4891" ref="F1395"/>
    <hyperlink r:id="rId4892" ref="D1396"/>
    <hyperlink r:id="rId4893" ref="E1396"/>
    <hyperlink r:id="rId4894" ref="F1396"/>
    <hyperlink r:id="rId4895" ref="E1397"/>
    <hyperlink r:id="rId4896" ref="F1397"/>
    <hyperlink r:id="rId4897" ref="D1398"/>
    <hyperlink r:id="rId4898" ref="E1398"/>
    <hyperlink r:id="rId4899" ref="F1398"/>
    <hyperlink r:id="rId4900" ref="D1399"/>
    <hyperlink r:id="rId4901" ref="E1399"/>
    <hyperlink r:id="rId4902" ref="F1399"/>
    <hyperlink r:id="rId4903" ref="H1399"/>
    <hyperlink r:id="rId4904" ref="E1400"/>
    <hyperlink r:id="rId4905" ref="F1400"/>
    <hyperlink r:id="rId4906" ref="E1401"/>
    <hyperlink r:id="rId4907" ref="F1401"/>
    <hyperlink r:id="rId4908" ref="H1401"/>
    <hyperlink r:id="rId4909" ref="F1402"/>
    <hyperlink r:id="rId4910" ref="E1403"/>
    <hyperlink r:id="rId4911" ref="F1403"/>
    <hyperlink r:id="rId4912" ref="D1404"/>
    <hyperlink r:id="rId4913" ref="E1404"/>
    <hyperlink r:id="rId4914" ref="F1404"/>
    <hyperlink r:id="rId4915" ref="D1405"/>
    <hyperlink r:id="rId4916" ref="E1405"/>
    <hyperlink r:id="rId4917" ref="F1405"/>
    <hyperlink r:id="rId4918" ref="D1406"/>
    <hyperlink r:id="rId4919" ref="F1406"/>
    <hyperlink r:id="rId4920" ref="E1407"/>
    <hyperlink r:id="rId4921" ref="F1407"/>
    <hyperlink r:id="rId4922" ref="D1408"/>
    <hyperlink r:id="rId4923" ref="E1408"/>
    <hyperlink r:id="rId4924" ref="F1408"/>
    <hyperlink r:id="rId4925" ref="E1409"/>
    <hyperlink r:id="rId4926" ref="F1409"/>
    <hyperlink r:id="rId4927" ref="E1410"/>
    <hyperlink r:id="rId4928" ref="F1410"/>
    <hyperlink r:id="rId4929" ref="E1411"/>
    <hyperlink r:id="rId4930" ref="F1411"/>
    <hyperlink r:id="rId4931" ref="E1412"/>
    <hyperlink r:id="rId4932" ref="F1412"/>
    <hyperlink r:id="rId4933" ref="E1413"/>
    <hyperlink r:id="rId4934" ref="F1413"/>
    <hyperlink r:id="rId4935" ref="D1414"/>
    <hyperlink r:id="rId4936" ref="E1414"/>
    <hyperlink r:id="rId4937" ref="F1414"/>
    <hyperlink r:id="rId4938" ref="D1415"/>
    <hyperlink r:id="rId4939" ref="E1415"/>
    <hyperlink r:id="rId4940" ref="F1415"/>
    <hyperlink r:id="rId4941" ref="D1416"/>
    <hyperlink r:id="rId4942" location="section-overview" ref="E1416"/>
    <hyperlink r:id="rId4943" ref="F1416"/>
    <hyperlink r:id="rId4944" ref="F1417"/>
    <hyperlink r:id="rId4945" ref="E1418"/>
    <hyperlink r:id="rId4946" ref="F1418"/>
    <hyperlink r:id="rId4947" ref="D1419"/>
    <hyperlink r:id="rId4948" ref="E1419"/>
    <hyperlink r:id="rId4949" ref="F1419"/>
    <hyperlink r:id="rId4950" ref="E1420"/>
    <hyperlink r:id="rId4951" ref="F1420"/>
    <hyperlink r:id="rId4952" ref="D1421"/>
    <hyperlink r:id="rId4953" ref="E1421"/>
    <hyperlink r:id="rId4954" ref="F1421"/>
    <hyperlink r:id="rId4955" location="/home" ref="F1422"/>
    <hyperlink r:id="rId4956" ref="E1423"/>
    <hyperlink r:id="rId4957" ref="F1423"/>
    <hyperlink r:id="rId4958" ref="D1424"/>
    <hyperlink r:id="rId4959" ref="F1424"/>
    <hyperlink r:id="rId4960" ref="D1425"/>
    <hyperlink r:id="rId4961" ref="E1425"/>
    <hyperlink r:id="rId4962" ref="F1425"/>
    <hyperlink r:id="rId4963" ref="F1426"/>
    <hyperlink r:id="rId4964" ref="D1427"/>
    <hyperlink r:id="rId4965" location="section-overview" ref="E1427"/>
    <hyperlink r:id="rId4966" ref="F1427"/>
    <hyperlink r:id="rId4967" ref="D1428"/>
    <hyperlink r:id="rId4968" ref="E1428"/>
    <hyperlink r:id="rId4969" ref="F1428"/>
    <hyperlink r:id="rId4970" ref="E1429"/>
    <hyperlink r:id="rId4971" ref="F1429"/>
    <hyperlink r:id="rId4972" ref="F1430"/>
    <hyperlink r:id="rId4973" ref="D1431"/>
    <hyperlink r:id="rId4974" ref="E1431"/>
    <hyperlink r:id="rId4975" ref="F1431"/>
    <hyperlink r:id="rId4976" location="section-overview" ref="E1432"/>
    <hyperlink r:id="rId4977" ref="F1432"/>
    <hyperlink r:id="rId4978" ref="D1433"/>
    <hyperlink r:id="rId4979" ref="E1433"/>
    <hyperlink r:id="rId4980" ref="F1433"/>
    <hyperlink r:id="rId4981" ref="D1434"/>
    <hyperlink r:id="rId4982" ref="F1434"/>
    <hyperlink r:id="rId4983" ref="D1435"/>
    <hyperlink r:id="rId4984" ref="E1435"/>
    <hyperlink r:id="rId4985" ref="F1435"/>
    <hyperlink r:id="rId4986" ref="E1436"/>
    <hyperlink r:id="rId4987" ref="F1436"/>
    <hyperlink r:id="rId4988" ref="E1437"/>
    <hyperlink r:id="rId4989" ref="F1437"/>
    <hyperlink r:id="rId4990" ref="D1438"/>
    <hyperlink r:id="rId4991" ref="E1438"/>
    <hyperlink r:id="rId4992" ref="F1438"/>
    <hyperlink r:id="rId4993" ref="E1439"/>
    <hyperlink r:id="rId4994" ref="F1439"/>
    <hyperlink r:id="rId4995" ref="D1440"/>
    <hyperlink r:id="rId4996" ref="E1440"/>
    <hyperlink r:id="rId4997" ref="F1440"/>
    <hyperlink r:id="rId4998" ref="E1441"/>
    <hyperlink r:id="rId4999" ref="F1441"/>
    <hyperlink r:id="rId5000" ref="D1442"/>
    <hyperlink r:id="rId5001" ref="E1442"/>
    <hyperlink r:id="rId5002" ref="F1442"/>
    <hyperlink r:id="rId5003" location="section-overview" ref="E1443"/>
    <hyperlink r:id="rId5004" ref="F1443"/>
    <hyperlink r:id="rId5005" ref="D1444"/>
    <hyperlink r:id="rId5006" ref="F1444"/>
    <hyperlink r:id="rId5007" ref="E1445"/>
    <hyperlink r:id="rId5008" ref="F1445"/>
    <hyperlink r:id="rId5009" ref="D1446"/>
    <hyperlink r:id="rId5010" ref="F1446"/>
    <hyperlink r:id="rId5011" location="section-overview" ref="E1447"/>
    <hyperlink r:id="rId5012" ref="F1447"/>
    <hyperlink r:id="rId5013" ref="D1448"/>
    <hyperlink r:id="rId5014" ref="E1448"/>
    <hyperlink r:id="rId5015" ref="F1448"/>
    <hyperlink r:id="rId5016" ref="D1449"/>
    <hyperlink r:id="rId5017" ref="E1449"/>
    <hyperlink r:id="rId5018" ref="F1449"/>
    <hyperlink r:id="rId5019" ref="D1450"/>
    <hyperlink r:id="rId5020" ref="E1450"/>
    <hyperlink r:id="rId5021" ref="F1450"/>
    <hyperlink r:id="rId5022" ref="D1451"/>
    <hyperlink r:id="rId5023" ref="E1451"/>
    <hyperlink r:id="rId5024" ref="F1451"/>
    <hyperlink r:id="rId5025" ref="D1452"/>
    <hyperlink r:id="rId5026" ref="E1452"/>
    <hyperlink r:id="rId5027" ref="F1452"/>
    <hyperlink r:id="rId5028" ref="D1453"/>
    <hyperlink r:id="rId5029" ref="E1453"/>
    <hyperlink r:id="rId5030" ref="F1453"/>
    <hyperlink r:id="rId5031" ref="E1454"/>
    <hyperlink r:id="rId5032" ref="F1454"/>
    <hyperlink r:id="rId5033" location="section-overview" ref="E1455"/>
    <hyperlink r:id="rId5034" ref="F1455"/>
    <hyperlink r:id="rId5035" ref="D1456"/>
    <hyperlink r:id="rId5036" ref="F1456"/>
    <hyperlink r:id="rId5037" ref="D1457"/>
    <hyperlink r:id="rId5038" ref="F1457"/>
    <hyperlink r:id="rId5039" ref="D1458"/>
    <hyperlink r:id="rId5040" ref="F1459"/>
    <hyperlink r:id="rId5041" ref="D1460"/>
    <hyperlink r:id="rId5042" ref="E1460"/>
    <hyperlink r:id="rId5043" ref="F1460"/>
    <hyperlink r:id="rId5044" ref="D1461"/>
    <hyperlink r:id="rId5045" ref="E1461"/>
    <hyperlink r:id="rId5046" ref="F1461"/>
    <hyperlink r:id="rId5047" ref="D1462"/>
    <hyperlink r:id="rId5048" ref="E1462"/>
    <hyperlink r:id="rId5049" ref="F1462"/>
    <hyperlink r:id="rId5050" ref="E1463"/>
    <hyperlink r:id="rId5051" ref="F1463"/>
    <hyperlink r:id="rId5052" ref="E1464"/>
    <hyperlink r:id="rId5053" ref="F1464"/>
    <hyperlink r:id="rId5054" ref="D1465"/>
    <hyperlink r:id="rId5055" ref="E1465"/>
    <hyperlink r:id="rId5056" ref="F1465"/>
    <hyperlink r:id="rId5057" ref="E1466"/>
    <hyperlink r:id="rId5058" ref="F1466"/>
    <hyperlink r:id="rId5059" ref="D1467"/>
    <hyperlink r:id="rId5060" ref="F1467"/>
    <hyperlink r:id="rId5061" ref="D1468"/>
    <hyperlink r:id="rId5062" ref="E1468"/>
    <hyperlink r:id="rId5063" ref="F1468"/>
    <hyperlink r:id="rId5064" ref="E1469"/>
    <hyperlink r:id="rId5065" ref="F1469"/>
    <hyperlink r:id="rId5066" ref="E1470"/>
    <hyperlink r:id="rId5067" ref="F1470"/>
    <hyperlink r:id="rId5068" ref="D1471"/>
    <hyperlink r:id="rId5069" ref="E1471"/>
    <hyperlink r:id="rId5070" ref="F1471"/>
    <hyperlink r:id="rId5071" ref="D1472"/>
    <hyperlink r:id="rId5072" ref="E1472"/>
    <hyperlink r:id="rId5073" ref="F1472"/>
    <hyperlink r:id="rId5074" ref="F1473"/>
    <hyperlink r:id="rId5075" ref="D1474"/>
    <hyperlink r:id="rId5076" ref="E1474"/>
    <hyperlink r:id="rId5077" ref="F1474"/>
    <hyperlink r:id="rId5078" ref="E1475"/>
    <hyperlink r:id="rId5079" ref="F1475"/>
    <hyperlink r:id="rId5080" ref="D1476"/>
    <hyperlink r:id="rId5081" ref="E1476"/>
    <hyperlink r:id="rId5082" ref="F1476"/>
    <hyperlink r:id="rId5083" ref="D1477"/>
    <hyperlink r:id="rId5084" ref="E1477"/>
    <hyperlink r:id="rId5085" ref="F1477"/>
    <hyperlink r:id="rId5086" ref="E1478"/>
    <hyperlink r:id="rId5087" ref="F1478"/>
    <hyperlink r:id="rId5088" ref="D1479"/>
    <hyperlink r:id="rId5089" ref="E1479"/>
    <hyperlink r:id="rId5090" ref="F1479"/>
    <hyperlink r:id="rId5091" ref="E1481"/>
    <hyperlink r:id="rId5092" ref="F1481"/>
    <hyperlink r:id="rId5093" ref="D1482"/>
    <hyperlink r:id="rId5094" ref="E1482"/>
    <hyperlink r:id="rId5095" ref="F1482"/>
    <hyperlink r:id="rId5096" ref="D1483"/>
    <hyperlink r:id="rId5097" ref="E1483"/>
    <hyperlink r:id="rId5098" ref="F1483"/>
    <hyperlink r:id="rId5099" ref="D1484"/>
    <hyperlink r:id="rId5100" ref="E1484"/>
    <hyperlink r:id="rId5101" ref="F1484"/>
    <hyperlink r:id="rId5102" ref="E1485"/>
    <hyperlink r:id="rId5103" ref="F1485"/>
    <hyperlink r:id="rId5104" ref="E1486"/>
    <hyperlink r:id="rId5105" ref="F1486"/>
    <hyperlink r:id="rId5106" ref="D1487"/>
    <hyperlink r:id="rId5107" ref="E1487"/>
    <hyperlink r:id="rId5108" ref="F1487"/>
    <hyperlink r:id="rId5109" ref="D1488"/>
    <hyperlink r:id="rId5110" ref="E1488"/>
    <hyperlink r:id="rId5111" ref="F1488"/>
    <hyperlink r:id="rId5112" ref="D1489"/>
    <hyperlink r:id="rId5113" ref="E1489"/>
    <hyperlink r:id="rId5114" ref="F1489"/>
    <hyperlink r:id="rId5115" ref="D1490"/>
    <hyperlink r:id="rId5116" ref="E1490"/>
    <hyperlink r:id="rId5117" ref="F1490"/>
    <hyperlink r:id="rId5118" ref="D1491"/>
    <hyperlink r:id="rId5119" ref="E1491"/>
    <hyperlink r:id="rId5120" ref="F1491"/>
    <hyperlink r:id="rId5121" ref="D1492"/>
    <hyperlink r:id="rId5122" ref="E1492"/>
    <hyperlink r:id="rId5123" ref="F1492"/>
    <hyperlink r:id="rId5124" ref="E1493"/>
    <hyperlink r:id="rId5125" ref="F1493"/>
    <hyperlink r:id="rId5126" ref="E1494"/>
    <hyperlink r:id="rId5127" ref="F1494"/>
    <hyperlink r:id="rId5128" ref="E1495"/>
    <hyperlink r:id="rId5129" ref="F1495"/>
    <hyperlink r:id="rId5130" ref="D1496"/>
    <hyperlink r:id="rId5131" ref="E1496"/>
    <hyperlink r:id="rId5132" ref="F1496"/>
    <hyperlink r:id="rId5133" ref="D1497"/>
    <hyperlink r:id="rId5134" ref="E1497"/>
    <hyperlink r:id="rId5135" ref="F1497"/>
    <hyperlink r:id="rId5136" ref="D1498"/>
    <hyperlink r:id="rId5137" ref="E1498"/>
    <hyperlink r:id="rId5138" ref="F1498"/>
    <hyperlink r:id="rId5139" ref="F1499"/>
    <hyperlink r:id="rId5140" ref="D1500"/>
    <hyperlink r:id="rId5141" ref="E1500"/>
    <hyperlink r:id="rId5142" ref="F1500"/>
    <hyperlink r:id="rId5143" ref="E1501"/>
    <hyperlink r:id="rId5144" ref="F1501"/>
    <hyperlink r:id="rId5145" ref="E1502"/>
    <hyperlink r:id="rId5146" ref="F1502"/>
    <hyperlink r:id="rId5147" ref="E1503"/>
    <hyperlink r:id="rId5148" ref="F1503"/>
    <hyperlink r:id="rId5149" ref="E1504"/>
    <hyperlink r:id="rId5150" ref="F1504"/>
    <hyperlink r:id="rId5151" ref="D1505"/>
    <hyperlink r:id="rId5152" ref="F1505"/>
    <hyperlink r:id="rId5153" ref="D1506"/>
    <hyperlink r:id="rId5154" ref="F1506"/>
    <hyperlink r:id="rId5155" ref="E1507"/>
    <hyperlink r:id="rId5156" ref="F1507"/>
    <hyperlink r:id="rId5157" ref="D1508"/>
    <hyperlink r:id="rId5158" ref="E1508"/>
    <hyperlink r:id="rId5159" ref="F1508"/>
    <hyperlink r:id="rId5160" ref="D1509"/>
    <hyperlink r:id="rId5161" ref="F1509"/>
    <hyperlink r:id="rId5162" ref="D1510"/>
    <hyperlink r:id="rId5163" location="section-overview" ref="E1510"/>
    <hyperlink r:id="rId5164" ref="F1510"/>
    <hyperlink r:id="rId5165" ref="D1511"/>
    <hyperlink r:id="rId5166" location="section-overview" ref="E1511"/>
    <hyperlink r:id="rId5167" ref="F1511"/>
    <hyperlink r:id="rId5168" ref="D1512"/>
    <hyperlink r:id="rId5169" location="section-overview" ref="E1512"/>
    <hyperlink r:id="rId5170" ref="F1512"/>
    <hyperlink r:id="rId5171" ref="F1513"/>
    <hyperlink r:id="rId5172" ref="D1514"/>
    <hyperlink r:id="rId5173" location="section-overview" ref="E1514"/>
    <hyperlink r:id="rId5174" ref="F1514"/>
    <hyperlink r:id="rId5175" ref="D1515"/>
    <hyperlink r:id="rId5176" location="section-overview" ref="E1515"/>
    <hyperlink r:id="rId5177" ref="F1515"/>
    <hyperlink r:id="rId5178" ref="D1516"/>
    <hyperlink r:id="rId5179" ref="F1516"/>
    <hyperlink r:id="rId5180" ref="D1517"/>
    <hyperlink r:id="rId5181" ref="E1517"/>
    <hyperlink r:id="rId5182" ref="F1517"/>
    <hyperlink r:id="rId5183" ref="D1518"/>
    <hyperlink r:id="rId5184" ref="E1518"/>
    <hyperlink r:id="rId5185" ref="F1518"/>
    <hyperlink r:id="rId5186" ref="D1519"/>
    <hyperlink r:id="rId5187" ref="E1519"/>
    <hyperlink r:id="rId5188" ref="F1519"/>
    <hyperlink r:id="rId5189" location="section-overview" ref="E1520"/>
    <hyperlink r:id="rId5190" ref="F1520"/>
    <hyperlink r:id="rId5191" ref="D1521"/>
    <hyperlink r:id="rId5192" ref="E1521"/>
    <hyperlink r:id="rId5193" ref="F1521"/>
    <hyperlink r:id="rId5194" ref="D1522"/>
    <hyperlink r:id="rId5195" ref="E1522"/>
    <hyperlink r:id="rId5196" ref="F1522"/>
    <hyperlink r:id="rId5197" ref="D1523"/>
    <hyperlink r:id="rId5198" ref="E1523"/>
    <hyperlink r:id="rId5199" ref="F1523"/>
    <hyperlink r:id="rId5200" ref="D1524"/>
    <hyperlink r:id="rId5201" ref="E1524"/>
    <hyperlink r:id="rId5202" ref="F1524"/>
    <hyperlink r:id="rId5203" ref="D1525"/>
    <hyperlink r:id="rId5204" ref="E1525"/>
    <hyperlink r:id="rId5205" ref="F1525"/>
    <hyperlink r:id="rId5206" ref="AF1525"/>
    <hyperlink r:id="rId5207" ref="D1526"/>
    <hyperlink r:id="rId5208" location="section-overview" ref="E1526"/>
    <hyperlink r:id="rId5209" ref="F1526"/>
    <hyperlink r:id="rId5210" ref="E1527"/>
    <hyperlink r:id="rId5211" ref="D1528"/>
    <hyperlink r:id="rId5212" ref="F1528"/>
    <hyperlink r:id="rId5213" ref="E1529"/>
    <hyperlink r:id="rId5214" ref="F1529"/>
    <hyperlink r:id="rId5215" location="section-overview" ref="E1530"/>
    <hyperlink r:id="rId5216" ref="F1530"/>
    <hyperlink r:id="rId5217" ref="E1531"/>
    <hyperlink r:id="rId5218" ref="F1531"/>
    <hyperlink r:id="rId5219" ref="D1532"/>
    <hyperlink r:id="rId5220" ref="E1532"/>
    <hyperlink r:id="rId5221" ref="F1532"/>
    <hyperlink r:id="rId5222" ref="E1533"/>
    <hyperlink r:id="rId5223" ref="F1533"/>
    <hyperlink r:id="rId5224" ref="D1534"/>
    <hyperlink r:id="rId5225" ref="E1534"/>
    <hyperlink r:id="rId5226" ref="F1534"/>
    <hyperlink r:id="rId5227" ref="E1535"/>
    <hyperlink r:id="rId5228" ref="F1535"/>
    <hyperlink r:id="rId5229" ref="E1536"/>
    <hyperlink r:id="rId5230" ref="F1536"/>
    <hyperlink r:id="rId5231" ref="D1537"/>
    <hyperlink r:id="rId5232" ref="E1537"/>
    <hyperlink r:id="rId5233" ref="F1537"/>
    <hyperlink r:id="rId5234" ref="F1538"/>
    <hyperlink r:id="rId5235" ref="D1539"/>
    <hyperlink r:id="rId5236" ref="E1539"/>
    <hyperlink r:id="rId5237" ref="F1539"/>
    <hyperlink r:id="rId5238" ref="D1540"/>
    <hyperlink r:id="rId5239" ref="E1540"/>
    <hyperlink r:id="rId5240" ref="F1540"/>
    <hyperlink r:id="rId5241" ref="D1541"/>
    <hyperlink r:id="rId5242" ref="E1541"/>
    <hyperlink r:id="rId5243" ref="F1541"/>
    <hyperlink r:id="rId5244" ref="E1542"/>
    <hyperlink r:id="rId5245" ref="F1542"/>
    <hyperlink r:id="rId5246" ref="E1543"/>
    <hyperlink r:id="rId5247" ref="F1543"/>
    <hyperlink r:id="rId5248" ref="D1544"/>
    <hyperlink r:id="rId5249" ref="E1544"/>
    <hyperlink r:id="rId5250" ref="F1544"/>
    <hyperlink r:id="rId5251" ref="E1545"/>
    <hyperlink r:id="rId5252" ref="F1545"/>
    <hyperlink r:id="rId5253" ref="D1546"/>
    <hyperlink r:id="rId5254" ref="E1546"/>
    <hyperlink r:id="rId5255" ref="F1546"/>
    <hyperlink r:id="rId5256" ref="E1547"/>
    <hyperlink r:id="rId5257" ref="F1547"/>
    <hyperlink r:id="rId5258" ref="D1548"/>
    <hyperlink r:id="rId5259" ref="E1548"/>
    <hyperlink r:id="rId5260" ref="F1548"/>
    <hyperlink r:id="rId5261" ref="D1549"/>
    <hyperlink r:id="rId5262" ref="F1549"/>
    <hyperlink r:id="rId5263" ref="D1550"/>
    <hyperlink r:id="rId5264" ref="E1550"/>
    <hyperlink r:id="rId5265" ref="F1550"/>
    <hyperlink r:id="rId5266" ref="D1551"/>
    <hyperlink r:id="rId5267" ref="E1551"/>
    <hyperlink r:id="rId5268" ref="F1551"/>
    <hyperlink r:id="rId5269" ref="D1552"/>
    <hyperlink r:id="rId5270" ref="E1552"/>
    <hyperlink r:id="rId5271" ref="F1552"/>
    <hyperlink r:id="rId5272" ref="D1553"/>
    <hyperlink r:id="rId5273" ref="F1553"/>
    <hyperlink r:id="rId5274" ref="E1554"/>
    <hyperlink r:id="rId5275" ref="F1554"/>
    <hyperlink r:id="rId5276" ref="E1555"/>
    <hyperlink r:id="rId5277" ref="F1555"/>
    <hyperlink r:id="rId5278" ref="F1556"/>
    <hyperlink r:id="rId5279" ref="D1557"/>
    <hyperlink r:id="rId5280" ref="E1557"/>
    <hyperlink r:id="rId5281" ref="F1557"/>
    <hyperlink r:id="rId5282" ref="F1558"/>
    <hyperlink r:id="rId5283" ref="F1559"/>
    <hyperlink r:id="rId5284" ref="D1560"/>
    <hyperlink r:id="rId5285" ref="E1560"/>
    <hyperlink r:id="rId5286" ref="F1560"/>
    <hyperlink r:id="rId5287" ref="D1561"/>
    <hyperlink r:id="rId5288" ref="E1561"/>
    <hyperlink r:id="rId5289" ref="F1561"/>
    <hyperlink r:id="rId5290" ref="E1562"/>
    <hyperlink r:id="rId5291" ref="F1562"/>
    <hyperlink r:id="rId5292" ref="D1563"/>
    <hyperlink r:id="rId5293" ref="E1563"/>
    <hyperlink r:id="rId5294" ref="F1563"/>
    <hyperlink r:id="rId5295" ref="E1564"/>
    <hyperlink r:id="rId5296" ref="F1564"/>
    <hyperlink r:id="rId5297" ref="D1565"/>
    <hyperlink r:id="rId5298" ref="F1565"/>
    <hyperlink r:id="rId5299" ref="F1566"/>
    <hyperlink r:id="rId5300" ref="D1567"/>
    <hyperlink r:id="rId5301" ref="E1567"/>
    <hyperlink r:id="rId5302" ref="F1567"/>
    <hyperlink r:id="rId5303" ref="F1568"/>
    <hyperlink r:id="rId5304" ref="F1569"/>
    <hyperlink r:id="rId5305" ref="D1570"/>
    <hyperlink r:id="rId5306" ref="F1570"/>
    <hyperlink r:id="rId5307" ref="D1571"/>
    <hyperlink r:id="rId5308" ref="E1571"/>
    <hyperlink r:id="rId5309" ref="F1571"/>
    <hyperlink r:id="rId5310" ref="E1572"/>
    <hyperlink r:id="rId5311" ref="F1572"/>
    <hyperlink r:id="rId5312" location="section-overview" ref="E1573"/>
    <hyperlink r:id="rId5313" ref="F1573"/>
    <hyperlink r:id="rId5314" ref="D1574"/>
    <hyperlink r:id="rId5315" ref="E1574"/>
    <hyperlink r:id="rId5316" ref="F1574"/>
    <hyperlink r:id="rId5317" ref="D1575"/>
    <hyperlink r:id="rId5318" ref="E1575"/>
    <hyperlink r:id="rId5319" ref="F1575"/>
    <hyperlink r:id="rId5320" ref="D1576"/>
    <hyperlink r:id="rId5321" ref="E1576"/>
    <hyperlink r:id="rId5322" ref="F1576"/>
    <hyperlink r:id="rId5323" ref="D1577"/>
    <hyperlink r:id="rId5324" ref="F1577"/>
    <hyperlink r:id="rId5325" ref="A1578"/>
    <hyperlink r:id="rId5326" ref="F1578"/>
    <hyperlink r:id="rId5327" ref="D1579"/>
    <hyperlink r:id="rId5328" ref="E1579"/>
    <hyperlink r:id="rId5329" ref="F1579"/>
    <hyperlink r:id="rId5330" ref="D1580"/>
    <hyperlink r:id="rId5331" ref="F1580"/>
    <hyperlink r:id="rId5332" ref="F1581"/>
    <hyperlink r:id="rId5333" location="about" ref="F1582"/>
    <hyperlink r:id="rId5334" ref="D1583"/>
    <hyperlink r:id="rId5335" ref="E1583"/>
    <hyperlink r:id="rId5336" ref="F1583"/>
    <hyperlink r:id="rId5337" ref="D1584"/>
    <hyperlink r:id="rId5338" ref="E1584"/>
    <hyperlink r:id="rId5339" ref="F1584"/>
    <hyperlink r:id="rId5340" ref="D1585"/>
    <hyperlink r:id="rId5341" ref="E1585"/>
    <hyperlink r:id="rId5342" ref="F1585"/>
    <hyperlink r:id="rId5343" ref="D1586"/>
    <hyperlink r:id="rId5344" ref="E1586"/>
    <hyperlink r:id="rId5345" ref="F1586"/>
    <hyperlink r:id="rId5346" ref="D1587"/>
    <hyperlink r:id="rId5347" location="section-overview" ref="E1587"/>
    <hyperlink r:id="rId5348" ref="F1587"/>
    <hyperlink r:id="rId5349" ref="D1588"/>
    <hyperlink r:id="rId5350" ref="F1588"/>
    <hyperlink r:id="rId5351" ref="D1589"/>
    <hyperlink r:id="rId5352" ref="E1589"/>
    <hyperlink r:id="rId5353" ref="F1589"/>
    <hyperlink r:id="rId5354" ref="D1590"/>
    <hyperlink r:id="rId5355" ref="E1590"/>
    <hyperlink r:id="rId5356" ref="F1590"/>
    <hyperlink r:id="rId5357" ref="D1591"/>
    <hyperlink r:id="rId5358" ref="E1591"/>
    <hyperlink r:id="rId5359" ref="F1591"/>
    <hyperlink r:id="rId5360" ref="F1592"/>
    <hyperlink r:id="rId5361" ref="D1593"/>
    <hyperlink r:id="rId5362" ref="E1593"/>
    <hyperlink r:id="rId5363" ref="F1593"/>
    <hyperlink r:id="rId5364" ref="E1594"/>
    <hyperlink r:id="rId5365" ref="F1594"/>
    <hyperlink r:id="rId5366" ref="E1595"/>
    <hyperlink r:id="rId5367" ref="F1595"/>
    <hyperlink r:id="rId5368" ref="F1596"/>
    <hyperlink r:id="rId5369" ref="E1597"/>
    <hyperlink r:id="rId5370" ref="F1597"/>
    <hyperlink r:id="rId5371" ref="E1598"/>
    <hyperlink r:id="rId5372" ref="F1598"/>
    <hyperlink r:id="rId5373" ref="D1599"/>
    <hyperlink r:id="rId5374" ref="E1599"/>
    <hyperlink r:id="rId5375" ref="F1599"/>
    <hyperlink r:id="rId5376" ref="D1600"/>
    <hyperlink r:id="rId5377" ref="E1600"/>
    <hyperlink r:id="rId5378" ref="F1600"/>
    <hyperlink r:id="rId5379" ref="D1601"/>
    <hyperlink r:id="rId5380" ref="E1601"/>
    <hyperlink r:id="rId5381" ref="F1601"/>
    <hyperlink r:id="rId5382" ref="D1602"/>
    <hyperlink r:id="rId5383" ref="E1602"/>
    <hyperlink r:id="rId5384" ref="F1602"/>
    <hyperlink r:id="rId5385" location="section-overview" ref="E1603"/>
    <hyperlink r:id="rId5386" ref="F1603"/>
    <hyperlink r:id="rId5387" ref="D1604"/>
    <hyperlink r:id="rId5388" ref="E1604"/>
    <hyperlink r:id="rId5389" ref="F1604"/>
    <hyperlink r:id="rId5390" ref="D1605"/>
    <hyperlink r:id="rId5391" ref="E1605"/>
    <hyperlink r:id="rId5392" ref="F1605"/>
    <hyperlink r:id="rId5393" ref="D1606"/>
    <hyperlink r:id="rId5394" ref="E1606"/>
    <hyperlink r:id="rId5395" ref="F1606"/>
    <hyperlink r:id="rId5396" ref="D1607"/>
    <hyperlink r:id="rId5397" ref="E1607"/>
    <hyperlink r:id="rId5398" ref="F1607"/>
    <hyperlink r:id="rId5399" ref="D1608"/>
    <hyperlink r:id="rId5400" ref="E1608"/>
    <hyperlink r:id="rId5401" ref="E1609"/>
    <hyperlink r:id="rId5402" ref="F1609"/>
    <hyperlink r:id="rId5403" ref="H1609"/>
    <hyperlink r:id="rId5404" ref="E1610"/>
    <hyperlink r:id="rId5405" ref="F1610"/>
    <hyperlink r:id="rId5406" ref="F1611"/>
    <hyperlink r:id="rId5407" ref="D1612"/>
    <hyperlink r:id="rId5408" ref="E1612"/>
    <hyperlink r:id="rId5409" ref="F1612"/>
    <hyperlink r:id="rId5410" ref="D1613"/>
    <hyperlink r:id="rId5411" location="section-overview" ref="E1613"/>
    <hyperlink r:id="rId5412" ref="F1613"/>
    <hyperlink r:id="rId5413" ref="F1614"/>
    <hyperlink r:id="rId5414" ref="E1615"/>
    <hyperlink r:id="rId5415" ref="F1615"/>
    <hyperlink r:id="rId5416" ref="D1616"/>
    <hyperlink r:id="rId5417" ref="E1616"/>
    <hyperlink r:id="rId5418" ref="F1616"/>
    <hyperlink r:id="rId5419" ref="D1617"/>
    <hyperlink r:id="rId5420" ref="E1617"/>
    <hyperlink r:id="rId5421" ref="F1617"/>
    <hyperlink r:id="rId5422" ref="D1618"/>
    <hyperlink r:id="rId5423" ref="E1618"/>
    <hyperlink r:id="rId5424" ref="F1618"/>
    <hyperlink r:id="rId5425" ref="E1619"/>
    <hyperlink r:id="rId5426" location="/" ref="F1619"/>
    <hyperlink r:id="rId5427" ref="E1620"/>
    <hyperlink r:id="rId5428" ref="F1620"/>
    <hyperlink r:id="rId5429" ref="F1621"/>
    <hyperlink r:id="rId5430" ref="D1622"/>
    <hyperlink r:id="rId5431" ref="E1622"/>
    <hyperlink r:id="rId5432" ref="F1622"/>
    <hyperlink r:id="rId5433" ref="D1623"/>
    <hyperlink r:id="rId5434" ref="E1623"/>
    <hyperlink r:id="rId5435" ref="F1623"/>
    <hyperlink r:id="rId5436" ref="E1624"/>
    <hyperlink r:id="rId5437" ref="F1624"/>
    <hyperlink r:id="rId5438" ref="AE1624"/>
    <hyperlink r:id="rId5439" ref="A1625"/>
    <hyperlink r:id="rId5440" ref="D1625"/>
    <hyperlink r:id="rId5441" ref="E1625"/>
    <hyperlink r:id="rId5442" ref="F1625"/>
    <hyperlink r:id="rId5443" ref="D1626"/>
    <hyperlink r:id="rId5444" ref="F1626"/>
    <hyperlink r:id="rId5445" ref="D1627"/>
    <hyperlink r:id="rId5446" ref="F1627"/>
    <hyperlink r:id="rId5447" ref="E1628"/>
    <hyperlink r:id="rId5448" ref="F1628"/>
    <hyperlink r:id="rId5449" location="section-overview" ref="E1629"/>
    <hyperlink r:id="rId5450" ref="F1629"/>
    <hyperlink r:id="rId5451" ref="D1630"/>
    <hyperlink r:id="rId5452" ref="F1630"/>
    <hyperlink r:id="rId5453" location="section-overview" ref="E1631"/>
    <hyperlink r:id="rId5454" ref="F1631"/>
    <hyperlink r:id="rId5455" ref="E1632"/>
    <hyperlink r:id="rId5456" ref="F1632"/>
    <hyperlink r:id="rId5457" ref="F1633"/>
    <hyperlink r:id="rId5458" ref="D1634"/>
    <hyperlink r:id="rId5459" ref="E1634"/>
    <hyperlink r:id="rId5460" ref="F1634"/>
    <hyperlink r:id="rId5461" ref="D1635"/>
    <hyperlink r:id="rId5462" location="section-overview" ref="E1635"/>
    <hyperlink r:id="rId5463" ref="F1635"/>
    <hyperlink r:id="rId5464" ref="D1636"/>
    <hyperlink r:id="rId5465" ref="E1636"/>
    <hyperlink r:id="rId5466" ref="F1636"/>
    <hyperlink r:id="rId5467" ref="AD1636"/>
    <hyperlink r:id="rId5468" ref="D1637"/>
    <hyperlink r:id="rId5469" ref="E1637"/>
    <hyperlink r:id="rId5470" ref="F1637"/>
    <hyperlink r:id="rId5471" ref="D1638"/>
    <hyperlink r:id="rId5472" ref="E1638"/>
    <hyperlink r:id="rId5473" ref="F1638"/>
    <hyperlink r:id="rId5474" ref="D1639"/>
    <hyperlink r:id="rId5475" ref="E1639"/>
    <hyperlink r:id="rId5476" ref="F1639"/>
    <hyperlink r:id="rId5477" ref="E1640"/>
    <hyperlink r:id="rId5478" ref="F1640"/>
    <hyperlink r:id="rId5479" ref="F1641"/>
    <hyperlink r:id="rId5480" ref="D1642"/>
    <hyperlink r:id="rId5481" ref="E1642"/>
    <hyperlink r:id="rId5482" ref="F1642"/>
    <hyperlink r:id="rId5483" ref="F1643"/>
    <hyperlink r:id="rId5484" ref="D1644"/>
    <hyperlink r:id="rId5485" ref="E1644"/>
    <hyperlink r:id="rId5486" ref="F1644"/>
    <hyperlink r:id="rId5487" ref="D1645"/>
    <hyperlink r:id="rId5488" ref="E1645"/>
    <hyperlink r:id="rId5489" ref="F1645"/>
    <hyperlink r:id="rId5490" ref="D1646"/>
    <hyperlink r:id="rId5491" ref="E1646"/>
    <hyperlink r:id="rId5492" ref="F1646"/>
    <hyperlink r:id="rId5493" ref="D1647"/>
    <hyperlink r:id="rId5494" ref="E1647"/>
    <hyperlink r:id="rId5495" ref="F1647"/>
    <hyperlink r:id="rId5496" ref="E1648"/>
    <hyperlink r:id="rId5497" ref="F1648"/>
    <hyperlink r:id="rId5498" ref="D1649"/>
    <hyperlink r:id="rId5499" ref="E1649"/>
    <hyperlink r:id="rId5500" ref="F1649"/>
    <hyperlink r:id="rId5501" ref="F1650"/>
    <hyperlink r:id="rId5502" ref="E1651"/>
    <hyperlink r:id="rId5503" ref="F1651"/>
    <hyperlink r:id="rId5504" ref="D1652"/>
    <hyperlink r:id="rId5505" location="section-overview" ref="E1652"/>
    <hyperlink r:id="rId5506" ref="F1652"/>
    <hyperlink r:id="rId5507" ref="E1653"/>
    <hyperlink r:id="rId5508" ref="F1653"/>
    <hyperlink r:id="rId5509" ref="E1654"/>
    <hyperlink r:id="rId5510" ref="F1654"/>
    <hyperlink r:id="rId5511" ref="E1655"/>
    <hyperlink r:id="rId5512" ref="D1656"/>
    <hyperlink r:id="rId5513" ref="F1656"/>
    <hyperlink r:id="rId5514" ref="D1657"/>
    <hyperlink r:id="rId5515" ref="E1657"/>
    <hyperlink r:id="rId5516" ref="F1657"/>
    <hyperlink r:id="rId5517" ref="D1658"/>
    <hyperlink r:id="rId5518" ref="E1658"/>
    <hyperlink r:id="rId5519" ref="F1658"/>
    <hyperlink r:id="rId5520" ref="D1659"/>
    <hyperlink r:id="rId5521" ref="E1659"/>
    <hyperlink r:id="rId5522" ref="F1659"/>
    <hyperlink r:id="rId5523" ref="E1660"/>
    <hyperlink r:id="rId5524" ref="F1660"/>
    <hyperlink r:id="rId5525" ref="E1661"/>
    <hyperlink r:id="rId5526" ref="F1661"/>
    <hyperlink r:id="rId5527" ref="E1662"/>
    <hyperlink r:id="rId5528" ref="F1662"/>
    <hyperlink r:id="rId5529" ref="D1663"/>
    <hyperlink r:id="rId5530" ref="E1663"/>
    <hyperlink r:id="rId5531" ref="F1663"/>
    <hyperlink r:id="rId5532" ref="D1664"/>
    <hyperlink r:id="rId5533" ref="E1664"/>
    <hyperlink r:id="rId5534" ref="F1664"/>
    <hyperlink r:id="rId5535" ref="E1665"/>
    <hyperlink r:id="rId5536" ref="D1666"/>
    <hyperlink r:id="rId5537" ref="E1666"/>
    <hyperlink r:id="rId5538" ref="F1666"/>
    <hyperlink r:id="rId5539" ref="F1667"/>
    <hyperlink r:id="rId5540" ref="D1668"/>
    <hyperlink r:id="rId5541" ref="E1668"/>
    <hyperlink r:id="rId5542" ref="F1668"/>
    <hyperlink r:id="rId5543" ref="F1669"/>
    <hyperlink r:id="rId5544" ref="D1670"/>
    <hyperlink r:id="rId5545" ref="E1670"/>
    <hyperlink r:id="rId5546" ref="F1670"/>
    <hyperlink r:id="rId5547" ref="E1671"/>
    <hyperlink r:id="rId5548" ref="F1671"/>
    <hyperlink r:id="rId5549" ref="D1672"/>
    <hyperlink r:id="rId5550" ref="E1672"/>
    <hyperlink r:id="rId5551" ref="F1672"/>
    <hyperlink r:id="rId5552" ref="E1673"/>
    <hyperlink r:id="rId5553" ref="F1673"/>
    <hyperlink r:id="rId5554" ref="F1674"/>
    <hyperlink r:id="rId5555" ref="F1675"/>
    <hyperlink r:id="rId5556" ref="F1676"/>
    <hyperlink r:id="rId5557" ref="E1677"/>
    <hyperlink r:id="rId5558" ref="F1677"/>
    <hyperlink r:id="rId5559" ref="D1678"/>
    <hyperlink r:id="rId5560" ref="E1678"/>
    <hyperlink r:id="rId5561" ref="F1678"/>
    <hyperlink r:id="rId5562" ref="D1679"/>
    <hyperlink r:id="rId5563" ref="E1679"/>
    <hyperlink r:id="rId5564" ref="F1679"/>
    <hyperlink r:id="rId5565" ref="D1680"/>
    <hyperlink r:id="rId5566" ref="E1680"/>
    <hyperlink r:id="rId5567" ref="F1680"/>
    <hyperlink r:id="rId5568" ref="A1681"/>
    <hyperlink r:id="rId5569" ref="D1681"/>
    <hyperlink r:id="rId5570" ref="E1681"/>
    <hyperlink r:id="rId5571" ref="F1681"/>
    <hyperlink r:id="rId5572" ref="D1682"/>
    <hyperlink r:id="rId5573" ref="E1682"/>
    <hyperlink r:id="rId5574" ref="F1682"/>
    <hyperlink r:id="rId5575" ref="E1683"/>
    <hyperlink r:id="rId5576" ref="F1683"/>
    <hyperlink r:id="rId5577" ref="E1684"/>
    <hyperlink r:id="rId5578" ref="F1684"/>
    <hyperlink r:id="rId5579" ref="D1685"/>
    <hyperlink r:id="rId5580" ref="E1685"/>
    <hyperlink r:id="rId5581" ref="F1685"/>
    <hyperlink r:id="rId5582" ref="D1686"/>
    <hyperlink r:id="rId5583" ref="E1686"/>
    <hyperlink r:id="rId5584" ref="F1686"/>
    <hyperlink r:id="rId5585" ref="D1687"/>
    <hyperlink r:id="rId5586" ref="E1687"/>
    <hyperlink r:id="rId5587" ref="F1687"/>
    <hyperlink r:id="rId5588" ref="F1688"/>
    <hyperlink r:id="rId5589" ref="F1689"/>
    <hyperlink r:id="rId5590" ref="D1690"/>
    <hyperlink r:id="rId5591" ref="E1690"/>
    <hyperlink r:id="rId5592" ref="F1690"/>
    <hyperlink r:id="rId5593" ref="E1691"/>
    <hyperlink r:id="rId5594" ref="F1691"/>
    <hyperlink r:id="rId5595" ref="E1692"/>
    <hyperlink r:id="rId5596" ref="F1692"/>
    <hyperlink r:id="rId5597" ref="E1693"/>
    <hyperlink r:id="rId5598" ref="F1693"/>
    <hyperlink r:id="rId5599" ref="D1694"/>
    <hyperlink r:id="rId5600" ref="E1694"/>
    <hyperlink r:id="rId5601" ref="F1694"/>
    <hyperlink r:id="rId5602" ref="D1695"/>
    <hyperlink r:id="rId5603" ref="E1695"/>
    <hyperlink r:id="rId5604" ref="F1695"/>
    <hyperlink r:id="rId5605" ref="D1696"/>
    <hyperlink r:id="rId5606" ref="E1696"/>
    <hyperlink r:id="rId5607" ref="F1696"/>
    <hyperlink r:id="rId5608" ref="D1697"/>
    <hyperlink r:id="rId5609" ref="E1697"/>
    <hyperlink r:id="rId5610" ref="F1697"/>
    <hyperlink r:id="rId5611" ref="F1698"/>
    <hyperlink r:id="rId5612" ref="F1699"/>
    <hyperlink r:id="rId5613" ref="D1700"/>
    <hyperlink r:id="rId5614" ref="E1700"/>
    <hyperlink r:id="rId5615" ref="D1701"/>
    <hyperlink r:id="rId5616" ref="E1701"/>
    <hyperlink r:id="rId5617" ref="F1701"/>
    <hyperlink r:id="rId5618" ref="D1702"/>
    <hyperlink r:id="rId5619" ref="E1702"/>
    <hyperlink r:id="rId5620" ref="F1702"/>
    <hyperlink r:id="rId5621" ref="D1703"/>
    <hyperlink r:id="rId5622" ref="E1703"/>
    <hyperlink r:id="rId5623" ref="F1703"/>
    <hyperlink r:id="rId5624" ref="D1704"/>
    <hyperlink r:id="rId5625" ref="F1704"/>
    <hyperlink r:id="rId5626" ref="D1705"/>
    <hyperlink r:id="rId5627" ref="F1705"/>
    <hyperlink r:id="rId5628" ref="D1706"/>
    <hyperlink r:id="rId5629" ref="F1706"/>
    <hyperlink r:id="rId5630" ref="E1707"/>
    <hyperlink r:id="rId5631" ref="F1707"/>
    <hyperlink r:id="rId5632" ref="D1708"/>
    <hyperlink r:id="rId5633" ref="E1708"/>
    <hyperlink r:id="rId5634" ref="F1708"/>
    <hyperlink r:id="rId5635" ref="E1709"/>
    <hyperlink r:id="rId5636" ref="F1709"/>
    <hyperlink r:id="rId5637" ref="F1710"/>
    <hyperlink r:id="rId5638" ref="E1711"/>
    <hyperlink r:id="rId5639" ref="F1711"/>
    <hyperlink r:id="rId5640" ref="E1712"/>
    <hyperlink r:id="rId5641" ref="F1712"/>
    <hyperlink r:id="rId5642" ref="D1713"/>
    <hyperlink r:id="rId5643" ref="F1713"/>
    <hyperlink r:id="rId5644" ref="D1714"/>
    <hyperlink r:id="rId5645" ref="E1714"/>
    <hyperlink r:id="rId5646" ref="F1714"/>
    <hyperlink r:id="rId5647" ref="D1715"/>
    <hyperlink r:id="rId5648" location="section-overview" ref="E1715"/>
    <hyperlink r:id="rId5649" ref="F1715"/>
    <hyperlink r:id="rId5650" ref="E1716"/>
    <hyperlink r:id="rId5651" ref="F1716"/>
    <hyperlink r:id="rId5652" ref="D1717"/>
    <hyperlink r:id="rId5653" ref="F1717"/>
    <hyperlink r:id="rId5654" ref="D1718"/>
    <hyperlink r:id="rId5655" ref="E1718"/>
    <hyperlink r:id="rId5656" ref="F1718"/>
    <hyperlink r:id="rId5657" ref="D1719"/>
    <hyperlink r:id="rId5658" ref="E1719"/>
    <hyperlink r:id="rId5659" ref="F1719"/>
    <hyperlink r:id="rId5660" ref="E1720"/>
    <hyperlink r:id="rId5661" ref="F1720"/>
    <hyperlink r:id="rId5662" ref="F1721"/>
    <hyperlink r:id="rId5663" ref="D1722"/>
    <hyperlink r:id="rId5664" ref="F1722"/>
    <hyperlink r:id="rId5665" ref="D1723"/>
    <hyperlink r:id="rId5666" ref="F1723"/>
    <hyperlink r:id="rId5667" ref="F1724"/>
    <hyperlink r:id="rId5668" ref="E1725"/>
    <hyperlink r:id="rId5669" ref="F1725"/>
    <hyperlink r:id="rId5670" ref="E1726"/>
    <hyperlink r:id="rId5671" ref="F1726"/>
    <hyperlink r:id="rId5672" ref="E1727"/>
    <hyperlink r:id="rId5673" ref="F1727"/>
    <hyperlink r:id="rId5674" ref="D1728"/>
    <hyperlink r:id="rId5675" ref="E1728"/>
    <hyperlink r:id="rId5676" ref="F1728"/>
    <hyperlink r:id="rId5677" ref="E1729"/>
    <hyperlink r:id="rId5678" ref="F1729"/>
    <hyperlink r:id="rId5679" ref="E1730"/>
    <hyperlink r:id="rId5680" ref="F1730"/>
    <hyperlink r:id="rId5681" ref="D1731"/>
    <hyperlink r:id="rId5682" ref="E1731"/>
    <hyperlink r:id="rId5683" ref="F1731"/>
    <hyperlink r:id="rId5684" ref="D1732"/>
    <hyperlink r:id="rId5685" ref="E1732"/>
    <hyperlink r:id="rId5686" ref="F1732"/>
    <hyperlink r:id="rId5687" ref="F1733"/>
    <hyperlink r:id="rId5688" ref="E1734"/>
    <hyperlink r:id="rId5689" ref="F1734"/>
    <hyperlink r:id="rId5690" ref="F1735"/>
    <hyperlink r:id="rId5691" ref="F1736"/>
    <hyperlink r:id="rId5692" ref="D1737"/>
    <hyperlink r:id="rId5693" ref="E1737"/>
    <hyperlink r:id="rId5694" ref="F1737"/>
    <hyperlink r:id="rId5695" ref="D1738"/>
    <hyperlink r:id="rId5696" ref="F1738"/>
    <hyperlink r:id="rId5697" ref="F1739"/>
    <hyperlink r:id="rId5698" ref="F1740"/>
    <hyperlink r:id="rId5699" ref="D1741"/>
    <hyperlink r:id="rId5700" ref="E1741"/>
    <hyperlink r:id="rId5701" ref="F1741"/>
    <hyperlink r:id="rId5702" ref="D1742"/>
    <hyperlink r:id="rId5703" ref="E1742"/>
    <hyperlink r:id="rId5704" ref="F1742"/>
    <hyperlink r:id="rId5705" ref="D1743"/>
    <hyperlink r:id="rId5706" ref="E1743"/>
    <hyperlink r:id="rId5707" ref="F1743"/>
    <hyperlink r:id="rId5708" ref="E1744"/>
    <hyperlink r:id="rId5709" ref="F1744"/>
    <hyperlink r:id="rId5710" ref="D1745"/>
    <hyperlink r:id="rId5711" location="section-overview" ref="E1745"/>
    <hyperlink r:id="rId5712" ref="F1745"/>
    <hyperlink r:id="rId5713" ref="E1746"/>
    <hyperlink r:id="rId5714" ref="F1746"/>
    <hyperlink r:id="rId5715" ref="E1747"/>
    <hyperlink r:id="rId5716" ref="F1747"/>
    <hyperlink r:id="rId5717" ref="D1748"/>
    <hyperlink r:id="rId5718" ref="E1748"/>
    <hyperlink r:id="rId5719" ref="F1748"/>
    <hyperlink r:id="rId5720" ref="E1749"/>
    <hyperlink r:id="rId5721" ref="F1749"/>
    <hyperlink r:id="rId5722" ref="D1750"/>
    <hyperlink r:id="rId5723" ref="E1750"/>
    <hyperlink r:id="rId5724" ref="F1750"/>
    <hyperlink r:id="rId5725" ref="D1751"/>
    <hyperlink r:id="rId5726" ref="E1751"/>
    <hyperlink r:id="rId5727" ref="F1751"/>
    <hyperlink r:id="rId5728" ref="D1752"/>
    <hyperlink r:id="rId5729" ref="E1752"/>
    <hyperlink r:id="rId5730" ref="F1752"/>
    <hyperlink r:id="rId5731" ref="D1753"/>
    <hyperlink r:id="rId5732" ref="E1753"/>
    <hyperlink r:id="rId5733" ref="F1753"/>
    <hyperlink r:id="rId5734" ref="E1754"/>
    <hyperlink r:id="rId5735" ref="F1754"/>
    <hyperlink r:id="rId5736" ref="E1755"/>
    <hyperlink r:id="rId5737" ref="F1755"/>
    <hyperlink r:id="rId5738" ref="E1756"/>
    <hyperlink r:id="rId5739" ref="F1756"/>
    <hyperlink r:id="rId5740" ref="E1757"/>
    <hyperlink r:id="rId5741" ref="F1757"/>
    <hyperlink r:id="rId5742" ref="E1758"/>
    <hyperlink r:id="rId5743" ref="F1758"/>
    <hyperlink r:id="rId5744" ref="E1759"/>
    <hyperlink r:id="rId5745" ref="F1759"/>
    <hyperlink r:id="rId5746" ref="G1759"/>
    <hyperlink r:id="rId5747" ref="F1760"/>
    <hyperlink r:id="rId5748" ref="D1761"/>
    <hyperlink r:id="rId5749" ref="E1761"/>
    <hyperlink r:id="rId5750" ref="F1761"/>
    <hyperlink r:id="rId5751" ref="F1762"/>
    <hyperlink r:id="rId5752" ref="D1763"/>
    <hyperlink r:id="rId5753" ref="E1763"/>
    <hyperlink r:id="rId5754" ref="F1763"/>
    <hyperlink r:id="rId5755" ref="E1764"/>
    <hyperlink r:id="rId5756" ref="F1764"/>
    <hyperlink r:id="rId5757" ref="D1765"/>
    <hyperlink r:id="rId5758" ref="F1765"/>
    <hyperlink r:id="rId5759" ref="D1766"/>
    <hyperlink r:id="rId5760" ref="F1766"/>
    <hyperlink r:id="rId5761" ref="D1767"/>
    <hyperlink r:id="rId5762" ref="E1767"/>
    <hyperlink r:id="rId5763" ref="F1767"/>
    <hyperlink r:id="rId5764" ref="E1768"/>
    <hyperlink r:id="rId5765" ref="D1769"/>
    <hyperlink r:id="rId5766" ref="E1769"/>
    <hyperlink r:id="rId5767" ref="F1769"/>
    <hyperlink r:id="rId5768" ref="D1770"/>
    <hyperlink r:id="rId5769" ref="F1770"/>
    <hyperlink r:id="rId5770" ref="E1771"/>
    <hyperlink r:id="rId5771" ref="F1771"/>
    <hyperlink r:id="rId5772" ref="D1772"/>
    <hyperlink r:id="rId5773" ref="E1772"/>
    <hyperlink r:id="rId5774" ref="F1772"/>
    <hyperlink r:id="rId5775" ref="D1773"/>
    <hyperlink r:id="rId5776" ref="F1773"/>
    <hyperlink r:id="rId5777" ref="F1774"/>
    <hyperlink r:id="rId5778" ref="D1775"/>
    <hyperlink r:id="rId5779" ref="E1775"/>
    <hyperlink r:id="rId5780" ref="F1775"/>
    <hyperlink r:id="rId5781" ref="E1776"/>
    <hyperlink r:id="rId5782" ref="F1776"/>
    <hyperlink r:id="rId5783" ref="D1777"/>
    <hyperlink r:id="rId5784" ref="E1777"/>
    <hyperlink r:id="rId5785" ref="D1778"/>
    <hyperlink r:id="rId5786" ref="E1778"/>
    <hyperlink r:id="rId5787" ref="F1778"/>
    <hyperlink r:id="rId5788" ref="D1779"/>
    <hyperlink r:id="rId5789" ref="F1779"/>
    <hyperlink r:id="rId5790" ref="A1780"/>
    <hyperlink r:id="rId5791" ref="E1780"/>
    <hyperlink r:id="rId5792" ref="F1780"/>
    <hyperlink r:id="rId5793" ref="D1781"/>
    <hyperlink r:id="rId5794" ref="E1781"/>
    <hyperlink r:id="rId5795" ref="F1781"/>
    <hyperlink r:id="rId5796" ref="E1783"/>
    <hyperlink r:id="rId5797" ref="F1783"/>
    <hyperlink r:id="rId5798" ref="D1784"/>
    <hyperlink r:id="rId5799" ref="E1784"/>
    <hyperlink r:id="rId5800" ref="F1784"/>
    <hyperlink r:id="rId5801" ref="D1785"/>
    <hyperlink r:id="rId5802" ref="E1785"/>
    <hyperlink r:id="rId5803" ref="F1785"/>
    <hyperlink r:id="rId5804" ref="D1786"/>
    <hyperlink r:id="rId5805" ref="E1786"/>
    <hyperlink r:id="rId5806" ref="F1787"/>
    <hyperlink r:id="rId5807" ref="D1788"/>
    <hyperlink r:id="rId5808" ref="E1788"/>
    <hyperlink r:id="rId5809" ref="E1789"/>
    <hyperlink r:id="rId5810" ref="F1789"/>
    <hyperlink r:id="rId5811" ref="E1790"/>
    <hyperlink r:id="rId5812" ref="F1790"/>
    <hyperlink r:id="rId5813" ref="E1791"/>
    <hyperlink r:id="rId5814" ref="F1791"/>
    <hyperlink r:id="rId5815" ref="D1792"/>
    <hyperlink r:id="rId5816" ref="E1792"/>
    <hyperlink r:id="rId5817" ref="F1792"/>
    <hyperlink r:id="rId5818" ref="D1793"/>
    <hyperlink r:id="rId5819" ref="E1793"/>
    <hyperlink r:id="rId5820" ref="F1793"/>
    <hyperlink r:id="rId5821" ref="E1794"/>
    <hyperlink r:id="rId5822" ref="E1795"/>
    <hyperlink r:id="rId5823" ref="F1795"/>
    <hyperlink r:id="rId5824" ref="E1796"/>
    <hyperlink r:id="rId5825" ref="F1796"/>
    <hyperlink r:id="rId5826" ref="D1797"/>
    <hyperlink r:id="rId5827" ref="E1797"/>
    <hyperlink r:id="rId5828" ref="D1798"/>
    <hyperlink r:id="rId5829" ref="E1798"/>
    <hyperlink r:id="rId5830" ref="F1798"/>
    <hyperlink r:id="rId5831" ref="E1799"/>
    <hyperlink r:id="rId5832" ref="F1799"/>
    <hyperlink r:id="rId5833" ref="D1800"/>
    <hyperlink r:id="rId5834" ref="E1800"/>
    <hyperlink r:id="rId5835" ref="F1800"/>
    <hyperlink r:id="rId5836" ref="D1801"/>
    <hyperlink r:id="rId5837" ref="E1801"/>
    <hyperlink r:id="rId5838" ref="F1801"/>
    <hyperlink r:id="rId5839" ref="E1802"/>
    <hyperlink r:id="rId5840" ref="F1802"/>
    <hyperlink r:id="rId5841" ref="F1803"/>
    <hyperlink r:id="rId5842" ref="E1804"/>
    <hyperlink r:id="rId5843" ref="F1804"/>
    <hyperlink r:id="rId5844" ref="D1805"/>
    <hyperlink r:id="rId5845" ref="E1805"/>
    <hyperlink r:id="rId5846" ref="F1805"/>
    <hyperlink r:id="rId5847" ref="D1806"/>
    <hyperlink r:id="rId5848" ref="E1806"/>
    <hyperlink r:id="rId5849" ref="F1806"/>
    <hyperlink r:id="rId5850" ref="E1807"/>
    <hyperlink r:id="rId5851" ref="F1807"/>
    <hyperlink r:id="rId5852" ref="F1808"/>
    <hyperlink r:id="rId5853" ref="D1809"/>
    <hyperlink r:id="rId5854" ref="E1809"/>
    <hyperlink r:id="rId5855" ref="F1809"/>
    <hyperlink r:id="rId5856" ref="D1810"/>
    <hyperlink r:id="rId5857" ref="F1810"/>
    <hyperlink r:id="rId5858" ref="E1811"/>
    <hyperlink r:id="rId5859" ref="F1811"/>
    <hyperlink r:id="rId5860" ref="D1812"/>
    <hyperlink r:id="rId5861" ref="E1812"/>
    <hyperlink r:id="rId5862" ref="F1812"/>
    <hyperlink r:id="rId5863" ref="F1813"/>
    <hyperlink r:id="rId5864" ref="D1814"/>
    <hyperlink r:id="rId5865" ref="E1814"/>
    <hyperlink r:id="rId5866" ref="F1814"/>
    <hyperlink r:id="rId5867" ref="D1815"/>
    <hyperlink r:id="rId5868" ref="E1815"/>
    <hyperlink r:id="rId5869" ref="F1815"/>
    <hyperlink r:id="rId5870" ref="D1816"/>
    <hyperlink r:id="rId5871" ref="E1816"/>
    <hyperlink r:id="rId5872" ref="F1816"/>
    <hyperlink r:id="rId5873" ref="E1817"/>
    <hyperlink r:id="rId5874" ref="F1817"/>
    <hyperlink r:id="rId5875" ref="D1818"/>
    <hyperlink r:id="rId5876" ref="F1818"/>
    <hyperlink r:id="rId5877" ref="E1819"/>
    <hyperlink r:id="rId5878" ref="F1819"/>
    <hyperlink r:id="rId5879" ref="F1820"/>
    <hyperlink r:id="rId5880" ref="E1821"/>
    <hyperlink r:id="rId5881" ref="F1821"/>
    <hyperlink r:id="rId5882" ref="E1822"/>
    <hyperlink r:id="rId5883" ref="F1822"/>
    <hyperlink r:id="rId5884" ref="D1823"/>
    <hyperlink r:id="rId5885" ref="E1823"/>
    <hyperlink r:id="rId5886" ref="F1823"/>
    <hyperlink r:id="rId5887" ref="E1824"/>
    <hyperlink r:id="rId5888" ref="F1824"/>
    <hyperlink r:id="rId5889" ref="E1825"/>
    <hyperlink r:id="rId5890" ref="F1825"/>
    <hyperlink r:id="rId5891" ref="D1826"/>
    <hyperlink r:id="rId5892" ref="E1826"/>
    <hyperlink r:id="rId5893" ref="F1826"/>
    <hyperlink r:id="rId5894" ref="D1827"/>
    <hyperlink r:id="rId5895" ref="E1827"/>
    <hyperlink r:id="rId5896" ref="F1827"/>
    <hyperlink r:id="rId5897" ref="F1828"/>
    <hyperlink r:id="rId5898" ref="D1829"/>
    <hyperlink r:id="rId5899" ref="E1829"/>
    <hyperlink r:id="rId5900" ref="F1829"/>
    <hyperlink r:id="rId5901" ref="F1830"/>
    <hyperlink r:id="rId5902" ref="D1831"/>
    <hyperlink r:id="rId5903" ref="E1831"/>
    <hyperlink r:id="rId5904" ref="F1831"/>
    <hyperlink r:id="rId5905" ref="D1832"/>
    <hyperlink r:id="rId5906" ref="E1832"/>
    <hyperlink r:id="rId5907" ref="F1832"/>
    <hyperlink r:id="rId5908" ref="D1833"/>
    <hyperlink r:id="rId5909" ref="E1833"/>
    <hyperlink r:id="rId5910" ref="F1833"/>
    <hyperlink r:id="rId5911" ref="E1834"/>
    <hyperlink r:id="rId5912" ref="F1834"/>
    <hyperlink r:id="rId5913" ref="F1835"/>
    <hyperlink r:id="rId5914" ref="F1836"/>
    <hyperlink r:id="rId5915" ref="D1837"/>
    <hyperlink r:id="rId5916" ref="E1837"/>
    <hyperlink r:id="rId5917" ref="F1837"/>
    <hyperlink r:id="rId5918" ref="F1838"/>
    <hyperlink r:id="rId5919" ref="E1839"/>
    <hyperlink r:id="rId5920" ref="F1839"/>
    <hyperlink r:id="rId5921" ref="E1840"/>
    <hyperlink r:id="rId5922" ref="F1840"/>
    <hyperlink r:id="rId5923" ref="F1841"/>
    <hyperlink r:id="rId5924" ref="E1842"/>
    <hyperlink r:id="rId5925" ref="F1842"/>
    <hyperlink r:id="rId5926" ref="E1843"/>
    <hyperlink r:id="rId5927" ref="F1843"/>
    <hyperlink r:id="rId5928" ref="E1844"/>
    <hyperlink r:id="rId5929" ref="F1844"/>
    <hyperlink r:id="rId5930" ref="D1845"/>
    <hyperlink r:id="rId5931" ref="E1845"/>
    <hyperlink r:id="rId5932" ref="F1845"/>
    <hyperlink r:id="rId5933" ref="F1846"/>
    <hyperlink r:id="rId5934" ref="E1847"/>
    <hyperlink r:id="rId5935" ref="F1847"/>
    <hyperlink r:id="rId5936" location="section-overview" ref="E1848"/>
    <hyperlink r:id="rId5937" ref="F1848"/>
    <hyperlink r:id="rId5938" ref="D1849"/>
    <hyperlink r:id="rId5939" ref="F1849"/>
    <hyperlink r:id="rId5940" ref="D1850"/>
    <hyperlink r:id="rId5941" ref="E1850"/>
    <hyperlink r:id="rId5942" ref="F1850"/>
    <hyperlink r:id="rId5943" ref="E1851"/>
    <hyperlink r:id="rId5944" ref="F1851"/>
    <hyperlink r:id="rId5945" ref="D1852"/>
    <hyperlink r:id="rId5946" ref="F1852"/>
    <hyperlink r:id="rId5947" ref="D1853"/>
    <hyperlink r:id="rId5948" ref="E1853"/>
    <hyperlink r:id="rId5949" ref="F1853"/>
    <hyperlink r:id="rId5950" ref="D1854"/>
    <hyperlink r:id="rId5951" ref="E1854"/>
    <hyperlink r:id="rId5952" ref="F1854"/>
    <hyperlink r:id="rId5953" ref="D1855"/>
    <hyperlink r:id="rId5954" ref="E1855"/>
    <hyperlink r:id="rId5955" ref="F1855"/>
    <hyperlink r:id="rId5956" ref="F1856"/>
    <hyperlink r:id="rId5957" ref="D1857"/>
    <hyperlink r:id="rId5958" ref="F1857"/>
    <hyperlink r:id="rId5959" ref="D1858"/>
    <hyperlink r:id="rId5960" ref="E1858"/>
    <hyperlink r:id="rId5961" ref="F1858"/>
    <hyperlink r:id="rId5962" ref="F1859"/>
    <hyperlink r:id="rId5963" ref="D1860"/>
    <hyperlink r:id="rId5964" ref="E1860"/>
    <hyperlink r:id="rId5965" ref="F1860"/>
    <hyperlink r:id="rId5966" ref="E1861"/>
    <hyperlink r:id="rId5967" ref="F1861"/>
    <hyperlink r:id="rId5968" ref="D1862"/>
    <hyperlink r:id="rId5969" ref="E1862"/>
    <hyperlink r:id="rId5970" ref="F1862"/>
    <hyperlink r:id="rId5971" ref="D1863"/>
    <hyperlink r:id="rId5972" ref="E1863"/>
    <hyperlink r:id="rId5973" ref="F1863"/>
    <hyperlink r:id="rId5974" ref="D1864"/>
    <hyperlink r:id="rId5975" ref="E1864"/>
    <hyperlink r:id="rId5976" ref="F1864"/>
    <hyperlink r:id="rId5977" ref="D1865"/>
    <hyperlink r:id="rId5978" ref="E1865"/>
    <hyperlink r:id="rId5979" ref="F1865"/>
    <hyperlink r:id="rId5980" ref="E1866"/>
    <hyperlink r:id="rId5981" ref="F1866"/>
    <hyperlink r:id="rId5982" ref="D1867"/>
    <hyperlink r:id="rId5983" ref="E1867"/>
    <hyperlink r:id="rId5984" ref="F1867"/>
    <hyperlink r:id="rId5985" ref="D1868"/>
    <hyperlink r:id="rId5986" ref="E1868"/>
    <hyperlink r:id="rId5987" ref="F1868"/>
    <hyperlink r:id="rId5988" ref="E1869"/>
    <hyperlink r:id="rId5989" ref="F1869"/>
    <hyperlink r:id="rId5990" ref="D1870"/>
    <hyperlink r:id="rId5991" ref="E1870"/>
    <hyperlink r:id="rId5992" ref="F1870"/>
    <hyperlink r:id="rId5993" ref="E1871"/>
    <hyperlink r:id="rId5994" ref="F1871"/>
    <hyperlink r:id="rId5995" ref="E1872"/>
    <hyperlink r:id="rId5996" ref="E1873"/>
    <hyperlink r:id="rId5997" ref="F1873"/>
    <hyperlink r:id="rId5998" ref="F1874"/>
    <hyperlink r:id="rId5999" ref="D1875"/>
    <hyperlink r:id="rId6000" ref="E1875"/>
    <hyperlink r:id="rId6001" ref="F1875"/>
    <hyperlink r:id="rId6002" ref="E1876"/>
    <hyperlink r:id="rId6003" ref="F1876"/>
    <hyperlink r:id="rId6004" ref="E1877"/>
    <hyperlink r:id="rId6005" ref="F1877"/>
    <hyperlink r:id="rId6006" ref="F1878"/>
    <hyperlink r:id="rId6007" ref="D1879"/>
    <hyperlink r:id="rId6008" ref="E1879"/>
    <hyperlink r:id="rId6009" ref="F1879"/>
    <hyperlink r:id="rId6010" ref="E1880"/>
    <hyperlink r:id="rId6011" ref="F1880"/>
    <hyperlink r:id="rId6012" ref="D1881"/>
    <hyperlink r:id="rId6013" ref="E1881"/>
    <hyperlink r:id="rId6014" ref="F1881"/>
    <hyperlink r:id="rId6015" ref="D1882"/>
    <hyperlink r:id="rId6016" ref="E1882"/>
    <hyperlink r:id="rId6017" ref="F1882"/>
    <hyperlink r:id="rId6018" ref="D1883"/>
    <hyperlink r:id="rId6019" ref="E1883"/>
    <hyperlink r:id="rId6020" ref="F1883"/>
    <hyperlink r:id="rId6021" ref="D1884"/>
    <hyperlink r:id="rId6022" ref="E1884"/>
    <hyperlink r:id="rId6023" ref="F1884"/>
    <hyperlink r:id="rId6024" ref="D1885"/>
    <hyperlink r:id="rId6025" ref="F1885"/>
    <hyperlink r:id="rId6026" ref="F1886"/>
    <hyperlink r:id="rId6027" ref="E1887"/>
    <hyperlink r:id="rId6028" ref="F1887"/>
    <hyperlink r:id="rId6029" ref="A1888"/>
    <hyperlink r:id="rId6030" ref="E1888"/>
    <hyperlink r:id="rId6031" ref="F1888"/>
    <hyperlink r:id="rId6032" ref="D1889"/>
    <hyperlink r:id="rId6033" ref="E1889"/>
    <hyperlink r:id="rId6034" ref="F1889"/>
    <hyperlink r:id="rId6035" ref="E1890"/>
    <hyperlink r:id="rId6036" ref="F1890"/>
    <hyperlink r:id="rId6037" ref="D1891"/>
    <hyperlink r:id="rId6038" ref="E1891"/>
    <hyperlink r:id="rId6039" ref="F1891"/>
    <hyperlink r:id="rId6040" ref="F1892"/>
    <hyperlink r:id="rId6041" ref="D1893"/>
    <hyperlink r:id="rId6042" ref="F1893"/>
    <hyperlink r:id="rId6043" ref="E1894"/>
    <hyperlink r:id="rId6044" ref="F1894"/>
    <hyperlink r:id="rId6045" ref="D1895"/>
    <hyperlink r:id="rId6046" ref="E1895"/>
    <hyperlink r:id="rId6047" ref="F1895"/>
    <hyperlink r:id="rId6048" ref="D1896"/>
    <hyperlink r:id="rId6049" ref="E1896"/>
    <hyperlink r:id="rId6050" ref="F1896"/>
    <hyperlink r:id="rId6051" ref="A1897"/>
    <hyperlink r:id="rId6052" ref="D1897"/>
    <hyperlink r:id="rId6053" ref="E1897"/>
    <hyperlink r:id="rId6054" ref="F1897"/>
    <hyperlink r:id="rId6055" ref="D1898"/>
    <hyperlink r:id="rId6056" ref="E1898"/>
    <hyperlink r:id="rId6057" ref="F1898"/>
    <hyperlink r:id="rId6058" ref="E1899"/>
    <hyperlink r:id="rId6059" ref="F1899"/>
    <hyperlink r:id="rId6060" ref="E1900"/>
    <hyperlink r:id="rId6061" ref="F1900"/>
    <hyperlink r:id="rId6062" ref="E1901"/>
    <hyperlink r:id="rId6063" ref="F1901"/>
    <hyperlink r:id="rId6064" ref="D1902"/>
    <hyperlink r:id="rId6065" ref="E1902"/>
    <hyperlink r:id="rId6066" ref="F1902"/>
    <hyperlink r:id="rId6067" ref="D1903"/>
    <hyperlink r:id="rId6068" ref="F1903"/>
    <hyperlink r:id="rId6069" ref="F1904"/>
    <hyperlink r:id="rId6070" ref="E1905"/>
    <hyperlink r:id="rId6071" ref="D1906"/>
    <hyperlink r:id="rId6072" ref="E1906"/>
    <hyperlink r:id="rId6073" ref="F1906"/>
    <hyperlink r:id="rId6074" ref="E1907"/>
    <hyperlink r:id="rId6075" ref="F1907"/>
    <hyperlink r:id="rId6076" ref="D1908"/>
    <hyperlink r:id="rId6077" ref="F1908"/>
    <hyperlink r:id="rId6078" ref="E1909"/>
    <hyperlink r:id="rId6079" ref="F1909"/>
    <hyperlink r:id="rId6080" ref="D1910"/>
    <hyperlink r:id="rId6081" ref="E1910"/>
    <hyperlink r:id="rId6082" ref="F1910"/>
    <hyperlink r:id="rId6083" location="/" ref="F1911"/>
    <hyperlink r:id="rId6084" ref="E1912"/>
    <hyperlink r:id="rId6085" ref="F1912"/>
    <hyperlink r:id="rId6086" ref="E1913"/>
    <hyperlink r:id="rId6087" ref="F1913"/>
    <hyperlink r:id="rId6088" ref="F1914"/>
    <hyperlink r:id="rId6089" ref="E1915"/>
    <hyperlink r:id="rId6090" ref="F1915"/>
    <hyperlink r:id="rId6091" ref="D1916"/>
    <hyperlink r:id="rId6092" ref="F1917"/>
    <hyperlink r:id="rId6093" ref="E1918"/>
    <hyperlink r:id="rId6094" ref="F1918"/>
    <hyperlink r:id="rId6095" ref="D1919"/>
    <hyperlink r:id="rId6096" ref="E1919"/>
    <hyperlink r:id="rId6097" ref="F1919"/>
    <hyperlink r:id="rId6098" ref="E1920"/>
    <hyperlink r:id="rId6099" ref="F1920"/>
    <hyperlink r:id="rId6100" ref="D1921"/>
    <hyperlink r:id="rId6101" ref="E1921"/>
    <hyperlink r:id="rId6102" ref="F1921"/>
    <hyperlink r:id="rId6103" ref="E1922"/>
    <hyperlink r:id="rId6104" ref="F1922"/>
    <hyperlink r:id="rId6105" ref="D1923"/>
    <hyperlink r:id="rId6106" ref="E1923"/>
    <hyperlink r:id="rId6107" ref="F1923"/>
    <hyperlink r:id="rId6108" ref="E1924"/>
    <hyperlink r:id="rId6109" ref="F1924"/>
    <hyperlink r:id="rId6110" ref="D1925"/>
    <hyperlink r:id="rId6111" ref="F1925"/>
    <hyperlink r:id="rId6112" ref="E1926"/>
    <hyperlink r:id="rId6113" ref="F1926"/>
    <hyperlink r:id="rId6114" ref="D1927"/>
    <hyperlink r:id="rId6115" ref="F1927"/>
    <hyperlink r:id="rId6116" ref="E1928"/>
    <hyperlink r:id="rId6117" ref="F1928"/>
    <hyperlink r:id="rId6118" ref="D1929"/>
    <hyperlink r:id="rId6119" ref="E1929"/>
    <hyperlink r:id="rId6120" ref="F1929"/>
    <hyperlink r:id="rId6121" ref="D1930"/>
    <hyperlink r:id="rId6122" ref="E1930"/>
    <hyperlink r:id="rId6123" ref="F1930"/>
    <hyperlink r:id="rId6124" ref="D1931"/>
    <hyperlink r:id="rId6125" ref="F1931"/>
    <hyperlink r:id="rId6126" ref="A1932"/>
    <hyperlink r:id="rId6127" ref="F1932"/>
    <hyperlink r:id="rId6128" ref="D1933"/>
    <hyperlink r:id="rId6129" ref="E1933"/>
    <hyperlink r:id="rId6130" ref="F1933"/>
    <hyperlink r:id="rId6131" ref="D1934"/>
    <hyperlink r:id="rId6132" ref="E1934"/>
    <hyperlink r:id="rId6133" ref="F1934"/>
    <hyperlink r:id="rId6134" ref="E1935"/>
    <hyperlink r:id="rId6135" ref="F1935"/>
    <hyperlink r:id="rId6136" ref="E1936"/>
    <hyperlink r:id="rId6137" ref="F1936"/>
    <hyperlink r:id="rId6138" ref="D1937"/>
    <hyperlink r:id="rId6139" ref="E1937"/>
    <hyperlink r:id="rId6140" ref="F1937"/>
    <hyperlink r:id="rId6141" ref="D1938"/>
    <hyperlink r:id="rId6142" ref="E1938"/>
    <hyperlink r:id="rId6143" ref="F1938"/>
    <hyperlink r:id="rId6144" ref="E1939"/>
    <hyperlink r:id="rId6145" ref="F1939"/>
    <hyperlink r:id="rId6146" ref="E1940"/>
    <hyperlink r:id="rId6147" ref="F1940"/>
    <hyperlink r:id="rId6148" ref="D1941"/>
    <hyperlink r:id="rId6149" location="section-overview" ref="E1941"/>
    <hyperlink r:id="rId6150" ref="F1941"/>
    <hyperlink r:id="rId6151" ref="D1942"/>
    <hyperlink r:id="rId6152" ref="E1942"/>
    <hyperlink r:id="rId6153" ref="F1942"/>
    <hyperlink r:id="rId6154" ref="E1943"/>
    <hyperlink r:id="rId6155" ref="F1943"/>
    <hyperlink r:id="rId6156" ref="D1944"/>
    <hyperlink r:id="rId6157" ref="E1944"/>
    <hyperlink r:id="rId6158" ref="F1944"/>
    <hyperlink r:id="rId6159" ref="D1945"/>
    <hyperlink r:id="rId6160" ref="E1945"/>
    <hyperlink r:id="rId6161" ref="F1945"/>
    <hyperlink r:id="rId6162" ref="D1946"/>
    <hyperlink r:id="rId6163" ref="E1946"/>
    <hyperlink r:id="rId6164" ref="F1946"/>
    <hyperlink r:id="rId6165" ref="D1947"/>
    <hyperlink r:id="rId6166" ref="E1947"/>
    <hyperlink r:id="rId6167" ref="F1947"/>
    <hyperlink r:id="rId6168" ref="E1948"/>
    <hyperlink r:id="rId6169" ref="F1948"/>
    <hyperlink r:id="rId6170" ref="D1949"/>
    <hyperlink r:id="rId6171" ref="E1949"/>
    <hyperlink r:id="rId6172" ref="F1949"/>
    <hyperlink r:id="rId6173" ref="D1950"/>
    <hyperlink r:id="rId6174" ref="F1950"/>
    <hyperlink r:id="rId6175" ref="D1951"/>
    <hyperlink r:id="rId6176" ref="E1951"/>
    <hyperlink r:id="rId6177" ref="F1951"/>
    <hyperlink r:id="rId6178" ref="D1952"/>
    <hyperlink r:id="rId6179" ref="F1952"/>
    <hyperlink r:id="rId6180" ref="E1953"/>
    <hyperlink r:id="rId6181" ref="F1953"/>
    <hyperlink r:id="rId6182" ref="E1954"/>
    <hyperlink r:id="rId6183" ref="F1954"/>
    <hyperlink r:id="rId6184" ref="E1955"/>
    <hyperlink r:id="rId6185" ref="F1955"/>
    <hyperlink r:id="rId6186" ref="D1956"/>
    <hyperlink r:id="rId6187" ref="E1956"/>
    <hyperlink r:id="rId6188" ref="F1956"/>
    <hyperlink r:id="rId6189" ref="D1957"/>
    <hyperlink r:id="rId6190" ref="E1957"/>
    <hyperlink r:id="rId6191" ref="F1957"/>
    <hyperlink r:id="rId6192" ref="D1958"/>
    <hyperlink r:id="rId6193" ref="E1958"/>
    <hyperlink r:id="rId6194" ref="F1958"/>
    <hyperlink r:id="rId6195" location="/prephub/" ref="F1959"/>
    <hyperlink r:id="rId6196" ref="D1960"/>
    <hyperlink r:id="rId6197" ref="E1960"/>
    <hyperlink r:id="rId6198" ref="F1960"/>
    <hyperlink r:id="rId6199" ref="F1961"/>
    <hyperlink r:id="rId6200" ref="D1962"/>
    <hyperlink r:id="rId6201" ref="E1962"/>
    <hyperlink r:id="rId6202" ref="F1962"/>
    <hyperlink r:id="rId6203" ref="E1963"/>
    <hyperlink r:id="rId6204" ref="F1963"/>
    <hyperlink r:id="rId6205" ref="D1964"/>
    <hyperlink r:id="rId6206" ref="E1964"/>
    <hyperlink r:id="rId6207" ref="F1964"/>
    <hyperlink r:id="rId6208" ref="F1965"/>
    <hyperlink r:id="rId6209" ref="D1966"/>
    <hyperlink r:id="rId6210" ref="F1966"/>
    <hyperlink r:id="rId6211" ref="D1967"/>
    <hyperlink r:id="rId6212" ref="E1967"/>
    <hyperlink r:id="rId6213" ref="F1967"/>
    <hyperlink r:id="rId6214" ref="E1968"/>
    <hyperlink r:id="rId6215" ref="F1968"/>
    <hyperlink r:id="rId6216" ref="D1969"/>
    <hyperlink r:id="rId6217" location="section-overview" ref="E1969"/>
    <hyperlink r:id="rId6218" ref="F1969"/>
    <hyperlink r:id="rId6219" ref="F1970"/>
    <hyperlink r:id="rId6220" ref="D1971"/>
    <hyperlink r:id="rId6221" ref="E1971"/>
    <hyperlink r:id="rId6222" ref="F1971"/>
    <hyperlink r:id="rId6223" ref="D1972"/>
    <hyperlink r:id="rId6224" ref="E1972"/>
    <hyperlink r:id="rId6225" ref="F1972"/>
    <hyperlink r:id="rId6226" ref="E1973"/>
    <hyperlink r:id="rId6227" ref="F1973"/>
    <hyperlink r:id="rId6228" ref="E1974"/>
    <hyperlink r:id="rId6229" ref="F1974"/>
    <hyperlink r:id="rId6230" ref="AD1974"/>
    <hyperlink r:id="rId6231" ref="D1975"/>
    <hyperlink r:id="rId6232" ref="E1975"/>
    <hyperlink r:id="rId6233" ref="F1975"/>
    <hyperlink r:id="rId6234" ref="E1976"/>
    <hyperlink r:id="rId6235" ref="F1976"/>
    <hyperlink r:id="rId6236" ref="D1977"/>
    <hyperlink r:id="rId6237" ref="E1977"/>
    <hyperlink r:id="rId6238" ref="F1977"/>
    <hyperlink r:id="rId6239" ref="D1978"/>
    <hyperlink r:id="rId6240" ref="E1978"/>
    <hyperlink r:id="rId6241" ref="F1978"/>
    <hyperlink r:id="rId6242" ref="D1979"/>
    <hyperlink r:id="rId6243" ref="E1979"/>
    <hyperlink r:id="rId6244" ref="D1980"/>
    <hyperlink r:id="rId6245" ref="E1980"/>
    <hyperlink r:id="rId6246" ref="F1980"/>
    <hyperlink r:id="rId6247" ref="D1981"/>
    <hyperlink r:id="rId6248" ref="F1981"/>
    <hyperlink r:id="rId6249" ref="D1982"/>
    <hyperlink r:id="rId6250" ref="E1982"/>
    <hyperlink r:id="rId6251" ref="F1982"/>
    <hyperlink r:id="rId6252" ref="D1983"/>
    <hyperlink r:id="rId6253" ref="E1983"/>
    <hyperlink r:id="rId6254" ref="F1983"/>
    <hyperlink r:id="rId6255" ref="D1984"/>
    <hyperlink r:id="rId6256" ref="E1984"/>
    <hyperlink r:id="rId6257" ref="F1984"/>
    <hyperlink r:id="rId6258" ref="A1985"/>
    <hyperlink r:id="rId6259" ref="D1985"/>
    <hyperlink r:id="rId6260" ref="E1985"/>
    <hyperlink r:id="rId6261" ref="F1985"/>
    <hyperlink r:id="rId6262" ref="E1986"/>
    <hyperlink r:id="rId6263" ref="F1986"/>
    <hyperlink r:id="rId6264" ref="E1987"/>
    <hyperlink r:id="rId6265" ref="F1987"/>
    <hyperlink r:id="rId6266" ref="D1988"/>
    <hyperlink r:id="rId6267" ref="E1988"/>
    <hyperlink r:id="rId6268" ref="F1988"/>
    <hyperlink r:id="rId6269" ref="E1989"/>
    <hyperlink r:id="rId6270" ref="F1989"/>
    <hyperlink r:id="rId6271" ref="D1990"/>
    <hyperlink r:id="rId6272" ref="F1991"/>
    <hyperlink r:id="rId6273" ref="D1992"/>
    <hyperlink r:id="rId6274" ref="E1992"/>
    <hyperlink r:id="rId6275" ref="F1992"/>
    <hyperlink r:id="rId6276" ref="E1993"/>
    <hyperlink r:id="rId6277" ref="F1993"/>
    <hyperlink r:id="rId6278" ref="D1994"/>
    <hyperlink r:id="rId6279" ref="E1994"/>
    <hyperlink r:id="rId6280" ref="F1994"/>
    <hyperlink r:id="rId6281" ref="D1995"/>
    <hyperlink r:id="rId6282" ref="E1995"/>
    <hyperlink r:id="rId6283" ref="F1995"/>
    <hyperlink r:id="rId6284" ref="D1996"/>
    <hyperlink r:id="rId6285" location="section-overview" ref="E1996"/>
    <hyperlink r:id="rId6286" ref="F1996"/>
    <hyperlink r:id="rId6287" ref="D1997"/>
    <hyperlink r:id="rId6288" ref="E1997"/>
    <hyperlink r:id="rId6289" ref="F1997"/>
    <hyperlink r:id="rId6290" ref="E1998"/>
    <hyperlink r:id="rId6291" ref="F1998"/>
    <hyperlink r:id="rId6292" ref="D1999"/>
    <hyperlink r:id="rId6293" ref="E1999"/>
    <hyperlink r:id="rId6294" ref="E2000"/>
    <hyperlink r:id="rId6295" ref="F2000"/>
    <hyperlink r:id="rId6296" ref="F2001"/>
    <hyperlink r:id="rId6297" ref="E2002"/>
    <hyperlink r:id="rId6298" ref="F2002"/>
    <hyperlink r:id="rId6299" ref="E2003"/>
    <hyperlink r:id="rId6300" ref="F2003"/>
    <hyperlink r:id="rId6301" ref="E2005"/>
    <hyperlink r:id="rId6302" ref="F2005"/>
    <hyperlink r:id="rId6303" ref="D2006"/>
    <hyperlink r:id="rId6304" ref="E2006"/>
    <hyperlink r:id="rId6305" ref="F2006"/>
    <hyperlink r:id="rId6306" ref="D2007"/>
    <hyperlink r:id="rId6307" ref="E2007"/>
    <hyperlink r:id="rId6308" ref="F2007"/>
    <hyperlink r:id="rId6309" ref="E2009"/>
    <hyperlink r:id="rId6310" ref="F2009"/>
    <hyperlink r:id="rId6311" ref="E2010"/>
    <hyperlink r:id="rId6312" ref="F2010"/>
    <hyperlink r:id="rId6313" ref="E2011"/>
    <hyperlink r:id="rId6314" ref="F2011"/>
    <hyperlink r:id="rId6315" ref="D2012"/>
    <hyperlink r:id="rId6316" ref="E2012"/>
    <hyperlink r:id="rId6317" ref="F2012"/>
    <hyperlink r:id="rId6318" ref="E2013"/>
    <hyperlink r:id="rId6319" ref="F2013"/>
    <hyperlink r:id="rId6320" ref="D2014"/>
    <hyperlink r:id="rId6321" ref="E2014"/>
    <hyperlink r:id="rId6322" ref="F2014"/>
    <hyperlink r:id="rId6323" ref="AF2014"/>
    <hyperlink r:id="rId6324" ref="D2015"/>
    <hyperlink r:id="rId6325" ref="E2015"/>
    <hyperlink r:id="rId6326" ref="F2015"/>
    <hyperlink r:id="rId6327" ref="A2016"/>
    <hyperlink r:id="rId6328" ref="D2016"/>
    <hyperlink r:id="rId6329" ref="E2016"/>
    <hyperlink r:id="rId6330" ref="F2016"/>
    <hyperlink r:id="rId6331" ref="E2017"/>
    <hyperlink r:id="rId6332" ref="F2017"/>
    <hyperlink r:id="rId6333" ref="E2018"/>
    <hyperlink r:id="rId6334" ref="F2018"/>
    <hyperlink r:id="rId6335" ref="E2019"/>
    <hyperlink r:id="rId6336" ref="F2019"/>
    <hyperlink r:id="rId6337" ref="D2020"/>
    <hyperlink r:id="rId6338" ref="E2020"/>
    <hyperlink r:id="rId6339" ref="F2020"/>
    <hyperlink r:id="rId6340" ref="D2021"/>
    <hyperlink r:id="rId6341" ref="E2021"/>
    <hyperlink r:id="rId6342" ref="F2021"/>
    <hyperlink r:id="rId6343" ref="D2022"/>
    <hyperlink r:id="rId6344" ref="E2022"/>
    <hyperlink r:id="rId6345" ref="F2022"/>
    <hyperlink r:id="rId6346" ref="E2023"/>
    <hyperlink r:id="rId6347" ref="F2023"/>
    <hyperlink r:id="rId6348" ref="AD2023"/>
    <hyperlink r:id="rId6349" ref="E2024"/>
    <hyperlink r:id="rId6350" ref="F2024"/>
    <hyperlink r:id="rId6351" ref="D2025"/>
    <hyperlink r:id="rId6352" ref="E2025"/>
    <hyperlink r:id="rId6353" ref="F2025"/>
    <hyperlink r:id="rId6354" ref="D2026"/>
    <hyperlink r:id="rId6355" ref="E2026"/>
    <hyperlink r:id="rId6356" ref="F2026"/>
    <hyperlink r:id="rId6357" ref="AF2026"/>
    <hyperlink r:id="rId6358" ref="E2027"/>
    <hyperlink r:id="rId6359" ref="F2027"/>
    <hyperlink r:id="rId6360" ref="E2028"/>
    <hyperlink r:id="rId6361" ref="F2028"/>
    <hyperlink r:id="rId6362" ref="F2029"/>
    <hyperlink r:id="rId6363" ref="D2030"/>
    <hyperlink r:id="rId6364" ref="E2030"/>
    <hyperlink r:id="rId6365" ref="F2030"/>
    <hyperlink r:id="rId6366" ref="AZ2030"/>
    <hyperlink r:id="rId6367" ref="D2031"/>
    <hyperlink r:id="rId6368" ref="E2031"/>
    <hyperlink r:id="rId6369" ref="F2031"/>
    <hyperlink r:id="rId6370" ref="AF2031"/>
    <hyperlink r:id="rId6371" ref="E2032"/>
    <hyperlink r:id="rId6372" ref="F2032"/>
    <hyperlink r:id="rId6373" ref="F2033"/>
    <hyperlink r:id="rId6374" ref="F2034"/>
    <hyperlink r:id="rId6375" ref="A2035"/>
    <hyperlink r:id="rId6376" ref="F2035"/>
    <hyperlink r:id="rId6377" ref="F2036"/>
    <hyperlink r:id="rId6378" ref="F2037"/>
    <hyperlink r:id="rId6379" ref="A2038"/>
    <hyperlink r:id="rId6380" ref="F2038"/>
    <hyperlink r:id="rId6381" ref="F2039"/>
    <hyperlink r:id="rId6382" ref="F2040"/>
    <hyperlink r:id="rId6383" ref="F2041"/>
    <hyperlink r:id="rId6384" ref="F2042"/>
    <hyperlink r:id="rId6385" ref="F2043"/>
    <hyperlink r:id="rId6386" ref="F2044"/>
    <hyperlink r:id="rId6387" ref="F2045"/>
    <hyperlink r:id="rId6388" ref="F2046"/>
    <hyperlink r:id="rId6389" ref="F2047"/>
    <hyperlink r:id="rId6390" ref="F2048"/>
    <hyperlink r:id="rId6391" ref="F2049"/>
    <hyperlink r:id="rId6392" ref="F2050"/>
    <hyperlink r:id="rId6393" ref="F2051"/>
    <hyperlink r:id="rId6394" ref="F2052"/>
    <hyperlink r:id="rId6395" ref="F2053"/>
    <hyperlink r:id="rId6396" ref="F2054"/>
    <hyperlink r:id="rId6397" ref="F2055"/>
    <hyperlink r:id="rId6398" ref="F2056"/>
    <hyperlink r:id="rId6399" ref="F2057"/>
    <hyperlink r:id="rId6400" ref="F2058"/>
    <hyperlink r:id="rId6401" ref="F2059"/>
    <hyperlink r:id="rId6402" ref="F2060"/>
    <hyperlink r:id="rId6403" ref="F2061"/>
    <hyperlink r:id="rId6404" ref="F2062"/>
    <hyperlink r:id="rId6405" ref="F2063"/>
    <hyperlink r:id="rId6406" ref="F2064"/>
    <hyperlink r:id="rId6407" ref="F2065"/>
    <hyperlink r:id="rId6408" ref="A2066"/>
    <hyperlink r:id="rId6409" ref="F2066"/>
    <hyperlink r:id="rId6410" ref="F2067"/>
    <hyperlink r:id="rId6411" ref="F2068"/>
    <hyperlink r:id="rId6412" ref="F2069"/>
    <hyperlink r:id="rId6413" ref="F2070"/>
    <hyperlink r:id="rId6414" ref="F2071"/>
    <hyperlink r:id="rId6415" ref="F2072"/>
    <hyperlink r:id="rId6416" ref="F2073"/>
    <hyperlink r:id="rId6417" ref="F2074"/>
    <hyperlink r:id="rId6418" ref="F2075"/>
    <hyperlink r:id="rId6419" ref="F2076"/>
    <hyperlink r:id="rId6420" ref="F2077"/>
    <hyperlink r:id="rId6421" ref="F2078"/>
    <hyperlink r:id="rId6422" ref="F2079"/>
    <hyperlink r:id="rId6423" ref="F2080"/>
    <hyperlink r:id="rId6424" ref="F2081"/>
    <hyperlink r:id="rId6425" ref="F2082"/>
    <hyperlink r:id="rId6426" ref="F2083"/>
    <hyperlink r:id="rId6427" ref="F2084"/>
    <hyperlink r:id="rId6428" ref="F2085"/>
    <hyperlink r:id="rId6429" ref="F2086"/>
    <hyperlink r:id="rId6430" ref="F2087"/>
    <hyperlink r:id="rId6431" ref="F2088"/>
    <hyperlink r:id="rId6432" ref="F2089"/>
    <hyperlink r:id="rId6433" ref="F2090"/>
    <hyperlink r:id="rId6434" ref="F2091"/>
    <hyperlink r:id="rId6435" ref="F2092"/>
    <hyperlink r:id="rId6436" ref="F2093"/>
    <hyperlink r:id="rId6437" ref="F2094"/>
    <hyperlink r:id="rId6438" ref="F2095"/>
    <hyperlink r:id="rId6439" ref="F2096"/>
    <hyperlink r:id="rId6440" ref="F2097"/>
    <hyperlink r:id="rId6441" ref="F2098"/>
    <hyperlink r:id="rId6442" ref="F2099"/>
    <hyperlink r:id="rId6443" ref="F2100"/>
    <hyperlink r:id="rId6444" ref="F2101"/>
    <hyperlink r:id="rId6445" ref="F2102"/>
    <hyperlink r:id="rId6446" ref="F2103"/>
    <hyperlink r:id="rId6447" ref="F2104"/>
    <hyperlink r:id="rId6448" ref="F2105"/>
    <hyperlink r:id="rId6449" ref="F2106"/>
    <hyperlink r:id="rId6450" ref="F2107"/>
    <hyperlink r:id="rId6451" ref="F2108"/>
    <hyperlink r:id="rId6452" ref="F2109"/>
    <hyperlink r:id="rId6453" ref="F2110"/>
    <hyperlink r:id="rId6454" ref="F2111"/>
    <hyperlink r:id="rId6455" ref="E2112"/>
    <hyperlink r:id="rId6456" ref="F2112"/>
    <hyperlink r:id="rId6457" ref="AF2112"/>
    <hyperlink r:id="rId6458" ref="AJ2112"/>
    <hyperlink r:id="rId6459" ref="D2113"/>
    <hyperlink r:id="rId6460" ref="E2113"/>
    <hyperlink r:id="rId6461" ref="F2113"/>
    <hyperlink r:id="rId6462" ref="AD2113"/>
    <hyperlink r:id="rId6463" ref="AF2113"/>
    <hyperlink r:id="rId6464" ref="BB2113"/>
    <hyperlink r:id="rId6465" ref="D2114"/>
    <hyperlink r:id="rId6466" ref="E2114"/>
    <hyperlink r:id="rId6467" ref="F2114"/>
    <hyperlink r:id="rId6468" ref="AZ2114"/>
    <hyperlink r:id="rId6469" ref="E2115"/>
    <hyperlink r:id="rId6470" ref="F2115"/>
    <hyperlink r:id="rId6471" ref="AF2115"/>
    <hyperlink r:id="rId6472" ref="E2116"/>
    <hyperlink r:id="rId6473" ref="F2116"/>
    <hyperlink r:id="rId6474" ref="AZ2116"/>
    <hyperlink r:id="rId6475" ref="E2117"/>
    <hyperlink r:id="rId6476" ref="F2117"/>
    <hyperlink r:id="rId6477" ref="AJ2117"/>
    <hyperlink r:id="rId6478" ref="E2118"/>
    <hyperlink r:id="rId6479" ref="F2118"/>
    <hyperlink r:id="rId6480" ref="E2119"/>
    <hyperlink r:id="rId6481" ref="F2119"/>
    <hyperlink r:id="rId6482" ref="AF2119"/>
    <hyperlink r:id="rId6483" ref="E2120"/>
    <hyperlink r:id="rId6484" ref="F2120"/>
    <hyperlink r:id="rId6485" ref="AZ2120"/>
    <hyperlink r:id="rId6486" ref="E2121"/>
    <hyperlink r:id="rId6487" ref="F2121"/>
    <hyperlink r:id="rId6488" ref="AZ2121"/>
    <hyperlink r:id="rId6489" ref="E2122"/>
    <hyperlink r:id="rId6490" ref="F2122"/>
    <hyperlink r:id="rId6491" ref="AZ2122"/>
    <hyperlink r:id="rId6492" ref="E2123"/>
    <hyperlink r:id="rId6493" ref="F2123"/>
    <hyperlink r:id="rId6494" ref="AF2123"/>
    <hyperlink r:id="rId6495" ref="AJ2123"/>
    <hyperlink r:id="rId6496" ref="D2124"/>
    <hyperlink r:id="rId6497" ref="E2124"/>
    <hyperlink r:id="rId6498" ref="F2124"/>
    <hyperlink r:id="rId6499" ref="AF2124"/>
    <hyperlink r:id="rId6500" ref="E2125"/>
    <hyperlink r:id="rId6501" ref="F2125"/>
    <hyperlink r:id="rId6502" ref="AF2125"/>
    <hyperlink r:id="rId6503" ref="AJ2125"/>
    <hyperlink r:id="rId6504" ref="D2126"/>
    <hyperlink r:id="rId6505" ref="E2126"/>
    <hyperlink r:id="rId6506" ref="F2126"/>
    <hyperlink r:id="rId6507" ref="AF2126"/>
    <hyperlink r:id="rId6508" ref="D2127"/>
    <hyperlink r:id="rId6509" ref="E2127"/>
    <hyperlink r:id="rId6510" ref="F2127"/>
    <hyperlink r:id="rId6511" ref="AD2127"/>
    <hyperlink r:id="rId6512" ref="D2128"/>
    <hyperlink r:id="rId6513" ref="E2128"/>
    <hyperlink r:id="rId6514" ref="F2128"/>
    <hyperlink r:id="rId6515" ref="AD2128"/>
    <hyperlink r:id="rId6516" ref="AF2128"/>
    <hyperlink r:id="rId6517" ref="AH2128"/>
    <hyperlink r:id="rId6518" ref="AJ2128"/>
    <hyperlink r:id="rId6519" ref="AL2128"/>
    <hyperlink r:id="rId6520" ref="E2129"/>
    <hyperlink r:id="rId6521" ref="F2129"/>
    <hyperlink r:id="rId6522" ref="BB2129"/>
    <hyperlink r:id="rId6523" ref="E2130"/>
    <hyperlink r:id="rId6524" ref="F2130"/>
    <hyperlink r:id="rId6525" ref="AF2130"/>
    <hyperlink r:id="rId6526" ref="AJ2130"/>
    <hyperlink r:id="rId6527" ref="E2131"/>
    <hyperlink r:id="rId6528" ref="F2131"/>
    <hyperlink r:id="rId6529" ref="AF2131"/>
    <hyperlink r:id="rId6530" ref="AJ2131"/>
    <hyperlink r:id="rId6531" ref="D2132"/>
    <hyperlink r:id="rId6532" ref="E2132"/>
    <hyperlink r:id="rId6533" ref="F2132"/>
    <hyperlink r:id="rId6534" ref="AD2132"/>
    <hyperlink r:id="rId6535" ref="AF2132"/>
    <hyperlink r:id="rId6536" ref="E2133"/>
    <hyperlink r:id="rId6537" ref="F2133"/>
    <hyperlink r:id="rId6538" ref="AD2133"/>
    <hyperlink r:id="rId6539" ref="E2134"/>
    <hyperlink r:id="rId6540" ref="F2134"/>
    <hyperlink r:id="rId6541" ref="AF2134"/>
    <hyperlink r:id="rId6542" ref="E2135"/>
    <hyperlink r:id="rId6543" ref="F2135"/>
    <hyperlink r:id="rId6544" ref="AF2135"/>
    <hyperlink r:id="rId6545" ref="D2136"/>
    <hyperlink r:id="rId6546" ref="E2136"/>
    <hyperlink r:id="rId6547" ref="F2136"/>
    <hyperlink r:id="rId6548" ref="AF2136"/>
    <hyperlink r:id="rId6549" ref="E2137"/>
    <hyperlink r:id="rId6550" ref="F2137"/>
    <hyperlink r:id="rId6551" ref="AD2137"/>
    <hyperlink r:id="rId6552" ref="AF2137"/>
    <hyperlink r:id="rId6553" ref="AJ2137"/>
    <hyperlink r:id="rId6554" ref="AL2137"/>
    <hyperlink r:id="rId6555" ref="AN2137"/>
    <hyperlink r:id="rId6556" ref="AZ2137"/>
    <hyperlink r:id="rId6557" ref="E2138"/>
    <hyperlink r:id="rId6558" ref="F2138"/>
    <hyperlink r:id="rId6559" ref="AD2138"/>
    <hyperlink r:id="rId6560" ref="AF2138"/>
    <hyperlink r:id="rId6561" ref="E2139"/>
    <hyperlink r:id="rId6562" ref="F2139"/>
    <hyperlink r:id="rId6563" ref="AF2139"/>
    <hyperlink r:id="rId6564" ref="E2140"/>
    <hyperlink r:id="rId6565" ref="F2140"/>
    <hyperlink r:id="rId6566" ref="AF2140"/>
    <hyperlink r:id="rId6567" ref="AH2140"/>
    <hyperlink r:id="rId6568" ref="AJ2140"/>
    <hyperlink r:id="rId6569" ref="AL2140"/>
    <hyperlink r:id="rId6570" ref="BB2140"/>
    <hyperlink r:id="rId6571" ref="E2141"/>
    <hyperlink r:id="rId6572" ref="F2141"/>
    <hyperlink r:id="rId6573" ref="AF2141"/>
    <hyperlink r:id="rId6574" ref="AJ2141"/>
    <hyperlink r:id="rId6575" ref="E2142"/>
    <hyperlink r:id="rId6576" ref="F2142"/>
    <hyperlink r:id="rId6577" ref="AF2142"/>
    <hyperlink r:id="rId6578" ref="AZ2142"/>
    <hyperlink r:id="rId6579" ref="BB2142"/>
    <hyperlink r:id="rId6580" ref="E2143"/>
    <hyperlink r:id="rId6581" ref="F2143"/>
    <hyperlink r:id="rId6582" ref="AJ2143"/>
    <hyperlink r:id="rId6583" ref="E2144"/>
    <hyperlink r:id="rId6584" ref="F2144"/>
    <hyperlink r:id="rId6585" ref="AF2144"/>
    <hyperlink r:id="rId6586" ref="E2145"/>
    <hyperlink r:id="rId6587" ref="F2145"/>
    <hyperlink r:id="rId6588" ref="BB2145"/>
    <hyperlink r:id="rId6589" ref="E2146"/>
    <hyperlink r:id="rId6590" ref="F2146"/>
    <hyperlink r:id="rId6591" ref="AD2146"/>
    <hyperlink r:id="rId6592" ref="AF2146"/>
    <hyperlink r:id="rId6593" ref="E2147"/>
    <hyperlink r:id="rId6594" ref="F2147"/>
    <hyperlink r:id="rId6595" ref="AZ2147"/>
    <hyperlink r:id="rId6596" ref="E2148"/>
    <hyperlink r:id="rId6597" ref="F2148"/>
    <hyperlink r:id="rId6598" ref="AZ2148"/>
    <hyperlink r:id="rId6599" ref="BB2148"/>
    <hyperlink r:id="rId6600" ref="E2149"/>
    <hyperlink r:id="rId6601" ref="F2149"/>
    <hyperlink r:id="rId6602" ref="AZ2149"/>
    <hyperlink r:id="rId6603" ref="E2150"/>
    <hyperlink r:id="rId6604" ref="F2150"/>
    <hyperlink r:id="rId6605" ref="AF2150"/>
    <hyperlink r:id="rId6606" ref="AJ2150"/>
    <hyperlink r:id="rId6607" ref="D2151"/>
    <hyperlink r:id="rId6608" ref="E2151"/>
    <hyperlink r:id="rId6609" ref="F2151"/>
    <hyperlink r:id="rId6610" ref="AF2151"/>
    <hyperlink r:id="rId6611" ref="E2152"/>
    <hyperlink r:id="rId6612" ref="F2152"/>
    <hyperlink r:id="rId6613" ref="AJ2152"/>
    <hyperlink r:id="rId6614" ref="E2153"/>
    <hyperlink r:id="rId6615" ref="F2153"/>
    <hyperlink r:id="rId6616" ref="AF2153"/>
    <hyperlink r:id="rId6617" ref="AJ2153"/>
    <hyperlink r:id="rId6618" ref="D2154"/>
    <hyperlink r:id="rId6619" ref="E2154"/>
    <hyperlink r:id="rId6620" ref="F2154"/>
    <hyperlink r:id="rId6621" ref="AF2154"/>
    <hyperlink r:id="rId6622" ref="AJ2154"/>
    <hyperlink r:id="rId6623" ref="E2155"/>
    <hyperlink r:id="rId6624" ref="F2155"/>
    <hyperlink r:id="rId6625" ref="AF2155"/>
    <hyperlink r:id="rId6626" ref="D2156"/>
    <hyperlink r:id="rId6627" ref="E2156"/>
    <hyperlink r:id="rId6628" ref="F2156"/>
    <hyperlink r:id="rId6629" ref="AF2156"/>
    <hyperlink r:id="rId6630" ref="AJ2156"/>
    <hyperlink r:id="rId6631" ref="E2157"/>
    <hyperlink r:id="rId6632" ref="F2157"/>
    <hyperlink r:id="rId6633" ref="AF2157"/>
    <hyperlink r:id="rId6634" ref="E2158"/>
    <hyperlink r:id="rId6635" ref="F2158"/>
    <hyperlink r:id="rId6636" ref="AZ2158"/>
    <hyperlink r:id="rId6637" ref="E2159"/>
    <hyperlink r:id="rId6638" ref="F2159"/>
    <hyperlink r:id="rId6639" ref="AZ2159"/>
    <hyperlink r:id="rId6640" ref="BB2159"/>
    <hyperlink r:id="rId6641" ref="E2160"/>
    <hyperlink r:id="rId6642" ref="F2160"/>
    <hyperlink r:id="rId6643" ref="AD2160"/>
    <hyperlink r:id="rId6644" ref="E2161"/>
    <hyperlink r:id="rId6645" ref="F2161"/>
    <hyperlink r:id="rId6646" ref="AZ2161"/>
    <hyperlink r:id="rId6647" ref="BB2161"/>
    <hyperlink r:id="rId6648" ref="E2162"/>
    <hyperlink r:id="rId6649" ref="F2162"/>
    <hyperlink r:id="rId6650" ref="AF2162"/>
    <hyperlink r:id="rId6651" ref="D2163"/>
    <hyperlink r:id="rId6652" ref="E2163"/>
    <hyperlink r:id="rId6653" ref="F2163"/>
    <hyperlink r:id="rId6654" ref="AF2163"/>
    <hyperlink r:id="rId6655" ref="AJ2163"/>
    <hyperlink r:id="rId6656" ref="AL2163"/>
    <hyperlink r:id="rId6657" ref="AZ2163"/>
    <hyperlink r:id="rId6658" ref="BB2163"/>
    <hyperlink r:id="rId6659" ref="E2164"/>
    <hyperlink r:id="rId6660" ref="F2164"/>
    <hyperlink r:id="rId6661" ref="AF2164"/>
    <hyperlink r:id="rId6662" ref="E2165"/>
    <hyperlink r:id="rId6663" ref="F2165"/>
    <hyperlink r:id="rId6664" ref="AZ2165"/>
    <hyperlink r:id="rId6665" ref="D2166"/>
    <hyperlink r:id="rId6666" ref="E2166"/>
    <hyperlink r:id="rId6667" ref="F2166"/>
    <hyperlink r:id="rId6668" ref="AF2166"/>
    <hyperlink r:id="rId6669" ref="E2167"/>
    <hyperlink r:id="rId6670" ref="F2167"/>
    <hyperlink r:id="rId6671" ref="AZ2167"/>
    <hyperlink r:id="rId6672" ref="D2168"/>
    <hyperlink r:id="rId6673" ref="E2168"/>
    <hyperlink r:id="rId6674" ref="F2168"/>
    <hyperlink r:id="rId6675" ref="AF2168"/>
  </hyperlinks>
  <printOptions/>
  <pageMargins bottom="0.75" footer="0.0" header="0.0" left="0.7" right="0.7" top="0.75"/>
  <pageSetup orientation="landscape"/>
  <drawing r:id="rId6676"/>
  <legacyDrawing r:id="rId6677"/>
</worksheet>
</file>